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ROZPOČET 2025 2025\"/>
    </mc:Choice>
  </mc:AlternateContent>
  <xr:revisionPtr revIDLastSave="0" documentId="8_{AF73991C-4EAA-4A0B-867A-DD4323076F40}" xr6:coauthVersionLast="47" xr6:coauthVersionMax="47" xr10:uidLastSave="{00000000-0000-0000-0000-000000000000}"/>
  <bookViews>
    <workbookView xWindow="-120" yWindow="-120" windowWidth="29040" windowHeight="15840" tabRatio="829" activeTab="9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ČL!$AZ$1:$AZ$307</definedName>
    <definedName name="_xlnm._FilterDatabase" localSheetId="2" hidden="1">FR!$AY$1:$AY$162</definedName>
    <definedName name="_xlnm._FilterDatabase" localSheetId="9" hidden="1">JI!$AZ$1:$AZ$159</definedName>
    <definedName name="_xlnm._FilterDatabase" localSheetId="3" hidden="1">JN!$AZ$1:$AZ$207</definedName>
    <definedName name="_xlnm._FilterDatabase" localSheetId="1" hidden="1">LB!$G$1:$G$492</definedName>
    <definedName name="_xlnm._FilterDatabase" localSheetId="7" hidden="1">NB!$AZ$1:$AZ$155</definedName>
    <definedName name="_xlnm._FilterDatabase" localSheetId="8" hidden="1">SM!$AT$1:$AT$184</definedName>
    <definedName name="_xlnm._FilterDatabase" localSheetId="4" hidden="1">TA!$AT$1:$AT$114</definedName>
    <definedName name="_xlnm._FilterDatabase" localSheetId="10" hidden="1">TU!$AZ$1:$AZ$219</definedName>
    <definedName name="_xlnm._FilterDatabase" localSheetId="5" hidden="1">ŽB!$BJ$1:$BL$131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198" i="42" l="1"/>
  <c r="BE199" i="42" s="1"/>
  <c r="BE191" i="42"/>
  <c r="BE185" i="42"/>
  <c r="BE179" i="42"/>
  <c r="BE172" i="42"/>
  <c r="BE166" i="42"/>
  <c r="BE162" i="42"/>
  <c r="BE156" i="42"/>
  <c r="BE153" i="42"/>
  <c r="BE148" i="42"/>
  <c r="BE145" i="42"/>
  <c r="BE138" i="42"/>
  <c r="BE135" i="42"/>
  <c r="BE131" i="42"/>
  <c r="BE125" i="42"/>
  <c r="BE121" i="42"/>
  <c r="BE115" i="42"/>
  <c r="BE112" i="42"/>
  <c r="BE105" i="42"/>
  <c r="BE99" i="42"/>
  <c r="BE95" i="42"/>
  <c r="BE89" i="42"/>
  <c r="BE85" i="42"/>
  <c r="BE78" i="42"/>
  <c r="BE76" i="42"/>
  <c r="BE69" i="42"/>
  <c r="BE64" i="42"/>
  <c r="BE58" i="42"/>
  <c r="BE52" i="42"/>
  <c r="BE46" i="42"/>
  <c r="BE44" i="42"/>
  <c r="BE40" i="42"/>
  <c r="BE37" i="42"/>
  <c r="BE33" i="42"/>
  <c r="BE29" i="42"/>
  <c r="BE25" i="42"/>
  <c r="BE21" i="42"/>
  <c r="BB195" i="42"/>
  <c r="BB198" i="42" s="1"/>
  <c r="BB199" i="42" s="1"/>
  <c r="BB191" i="42"/>
  <c r="BB185" i="42"/>
  <c r="BB179" i="42"/>
  <c r="BB172" i="42"/>
  <c r="BB166" i="42"/>
  <c r="BB162" i="42"/>
  <c r="BB156" i="42"/>
  <c r="BB153" i="42"/>
  <c r="BB148" i="42"/>
  <c r="BB145" i="42"/>
  <c r="BB138" i="42"/>
  <c r="BB135" i="42"/>
  <c r="BB131" i="42"/>
  <c r="BB125" i="42"/>
  <c r="BB121" i="42"/>
  <c r="BB115" i="42"/>
  <c r="BB109" i="42"/>
  <c r="BB112" i="42" s="1"/>
  <c r="BB105" i="42"/>
  <c r="BB99" i="42"/>
  <c r="BB95" i="42"/>
  <c r="BB89" i="42"/>
  <c r="BB85" i="42"/>
  <c r="BB78" i="42"/>
  <c r="BB76" i="42"/>
  <c r="BB69" i="42"/>
  <c r="BB64" i="42"/>
  <c r="BB55" i="42"/>
  <c r="BB58" i="42" s="1"/>
  <c r="BB52" i="42"/>
  <c r="BB46" i="42"/>
  <c r="BB44" i="42"/>
  <c r="BB40" i="42"/>
  <c r="BB37" i="42"/>
  <c r="BB33" i="42"/>
  <c r="BB29" i="42"/>
  <c r="BB25" i="42"/>
  <c r="BB21" i="42"/>
  <c r="BB17" i="42"/>
  <c r="BE137" i="41"/>
  <c r="BE130" i="41"/>
  <c r="BE124" i="41"/>
  <c r="BE120" i="41"/>
  <c r="BE112" i="41"/>
  <c r="BE105" i="41"/>
  <c r="BE97" i="41"/>
  <c r="BE93" i="41"/>
  <c r="BE87" i="41"/>
  <c r="BE83" i="41"/>
  <c r="BE79" i="41"/>
  <c r="BE72" i="41"/>
  <c r="BE65" i="41"/>
  <c r="BE61" i="41"/>
  <c r="BE58" i="41"/>
  <c r="BE50" i="41"/>
  <c r="BE43" i="41"/>
  <c r="BE36" i="41"/>
  <c r="BE29" i="41"/>
  <c r="BE27" i="41"/>
  <c r="BE21" i="41"/>
  <c r="BE16" i="41"/>
  <c r="BE138" i="41" s="1"/>
  <c r="BB137" i="41"/>
  <c r="BB130" i="41"/>
  <c r="BB124" i="41"/>
  <c r="BB120" i="41"/>
  <c r="BB112" i="41"/>
  <c r="BB105" i="41"/>
  <c r="BB97" i="41"/>
  <c r="BB93" i="41"/>
  <c r="BB87" i="41"/>
  <c r="BB83" i="41"/>
  <c r="BB79" i="41"/>
  <c r="BB72" i="41"/>
  <c r="BB65" i="41"/>
  <c r="BB61" i="41"/>
  <c r="BB58" i="41"/>
  <c r="BB54" i="41"/>
  <c r="BB47" i="41"/>
  <c r="BB50" i="41" s="1"/>
  <c r="BB43" i="41"/>
  <c r="BB36" i="41"/>
  <c r="BB29" i="41"/>
  <c r="BB27" i="41"/>
  <c r="BB21" i="41"/>
  <c r="BB16" i="41"/>
  <c r="BB138" i="41" s="1"/>
  <c r="BE165" i="40"/>
  <c r="BE166" i="40" s="1"/>
  <c r="BE161" i="40"/>
  <c r="BE155" i="40"/>
  <c r="BE151" i="40"/>
  <c r="BE144" i="40"/>
  <c r="BE137" i="40"/>
  <c r="BE130" i="40"/>
  <c r="BE127" i="40"/>
  <c r="BE124" i="40"/>
  <c r="BE118" i="40"/>
  <c r="BE114" i="40"/>
  <c r="BE110" i="40"/>
  <c r="BE108" i="40"/>
  <c r="BE102" i="40"/>
  <c r="BE98" i="40"/>
  <c r="BE92" i="40"/>
  <c r="BE88" i="40"/>
  <c r="BE81" i="40"/>
  <c r="BE74" i="40"/>
  <c r="BE67" i="40"/>
  <c r="BE60" i="40"/>
  <c r="BE53" i="40"/>
  <c r="BE51" i="40"/>
  <c r="BE44" i="40"/>
  <c r="BE38" i="40"/>
  <c r="BE32" i="40"/>
  <c r="BE25" i="40"/>
  <c r="BE23" i="40"/>
  <c r="BE19" i="40"/>
  <c r="BE15" i="40"/>
  <c r="BB165" i="40"/>
  <c r="BB161" i="40"/>
  <c r="BB155" i="40"/>
  <c r="BB151" i="40"/>
  <c r="BB144" i="40"/>
  <c r="BB137" i="40"/>
  <c r="BB130" i="40"/>
  <c r="BB127" i="40"/>
  <c r="BB124" i="40"/>
  <c r="BB117" i="40"/>
  <c r="BB118" i="40" s="1"/>
  <c r="BB114" i="40"/>
  <c r="BB110" i="40"/>
  <c r="BB108" i="40"/>
  <c r="BB102" i="40"/>
  <c r="BB98" i="40"/>
  <c r="BB92" i="40"/>
  <c r="BB88" i="40"/>
  <c r="BB81" i="40"/>
  <c r="BB71" i="40"/>
  <c r="BB74" i="40" s="1"/>
  <c r="BB67" i="40"/>
  <c r="BB60" i="40"/>
  <c r="BB53" i="40"/>
  <c r="BB51" i="40"/>
  <c r="BB44" i="40"/>
  <c r="BB38" i="40"/>
  <c r="BB32" i="40"/>
  <c r="BB25" i="40"/>
  <c r="BB23" i="40"/>
  <c r="BB19" i="40"/>
  <c r="BB15" i="40"/>
  <c r="BE123" i="39"/>
  <c r="BE118" i="39"/>
  <c r="BE114" i="39"/>
  <c r="BE107" i="39"/>
  <c r="BE100" i="39"/>
  <c r="BE93" i="39"/>
  <c r="BE86" i="39"/>
  <c r="BE79" i="39"/>
  <c r="BE72" i="39"/>
  <c r="BE65" i="39"/>
  <c r="BE58" i="39"/>
  <c r="BE56" i="39"/>
  <c r="BE50" i="39"/>
  <c r="BE46" i="39"/>
  <c r="BE44" i="39"/>
  <c r="BE42" i="39"/>
  <c r="BE36" i="39"/>
  <c r="BE30" i="39"/>
  <c r="BE24" i="39"/>
  <c r="BE18" i="39"/>
  <c r="BE13" i="39"/>
  <c r="BB123" i="39"/>
  <c r="BB118" i="39"/>
  <c r="BB114" i="39"/>
  <c r="BB107" i="39"/>
  <c r="BB100" i="39"/>
  <c r="BB93" i="39"/>
  <c r="BB86" i="39"/>
  <c r="BB79" i="39"/>
  <c r="BB72" i="39"/>
  <c r="BB62" i="39"/>
  <c r="BB65" i="39" s="1"/>
  <c r="BB58" i="39"/>
  <c r="BB56" i="39"/>
  <c r="BB50" i="39"/>
  <c r="BB46" i="39"/>
  <c r="BB44" i="39"/>
  <c r="BB42" i="39"/>
  <c r="BB36" i="39"/>
  <c r="BB30" i="39"/>
  <c r="BB24" i="39"/>
  <c r="BB18" i="39"/>
  <c r="BB13" i="39"/>
  <c r="Q21" i="47"/>
  <c r="BB124" i="39" l="1"/>
  <c r="AS23" i="47"/>
  <c r="C15" i="47" l="1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AW15" i="47"/>
  <c r="AX15" i="47"/>
  <c r="AY15" i="47"/>
  <c r="AZ15" i="47"/>
  <c r="BA15" i="47"/>
  <c r="BB15" i="47"/>
  <c r="BC15" i="47"/>
  <c r="BD15" i="47"/>
  <c r="BE15" i="47"/>
  <c r="BF15" i="47"/>
  <c r="BG15" i="47"/>
  <c r="BH15" i="47"/>
  <c r="BI15" i="47"/>
  <c r="BJ15" i="47"/>
  <c r="BK15" i="47"/>
  <c r="BL15" i="47"/>
  <c r="BM15" i="47"/>
  <c r="BN15" i="47"/>
  <c r="BO15" i="47"/>
  <c r="BP15" i="47"/>
  <c r="BQ15" i="47"/>
  <c r="BR15" i="47"/>
  <c r="BS15" i="47"/>
  <c r="BT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BC16" i="47"/>
  <c r="BD16" i="47"/>
  <c r="BE16" i="47"/>
  <c r="BF16" i="47"/>
  <c r="BG16" i="47"/>
  <c r="BH16" i="47"/>
  <c r="BI16" i="47"/>
  <c r="BJ16" i="47"/>
  <c r="BK16" i="47"/>
  <c r="BL16" i="47"/>
  <c r="BM16" i="47"/>
  <c r="BN16" i="47"/>
  <c r="BO16" i="47"/>
  <c r="BP16" i="47"/>
  <c r="BQ16" i="47"/>
  <c r="BR16" i="47"/>
  <c r="BS16" i="47"/>
  <c r="BT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AW17" i="47"/>
  <c r="AX17" i="47"/>
  <c r="AY17" i="47"/>
  <c r="AZ17" i="47"/>
  <c r="BA17" i="47"/>
  <c r="BB17" i="47"/>
  <c r="BC17" i="47"/>
  <c r="BD17" i="47"/>
  <c r="BE17" i="47"/>
  <c r="BF17" i="47"/>
  <c r="BG17" i="47"/>
  <c r="BH17" i="47"/>
  <c r="BI17" i="47"/>
  <c r="BJ17" i="47"/>
  <c r="BK17" i="47"/>
  <c r="BL17" i="47"/>
  <c r="BM17" i="47"/>
  <c r="BN17" i="47"/>
  <c r="BO17" i="47"/>
  <c r="BP17" i="47"/>
  <c r="BQ17" i="47"/>
  <c r="BR17" i="47"/>
  <c r="BS17" i="47"/>
  <c r="BT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AW18" i="47"/>
  <c r="AX18" i="47"/>
  <c r="AY18" i="47"/>
  <c r="AZ18" i="47"/>
  <c r="BA18" i="47"/>
  <c r="BB18" i="47"/>
  <c r="BC18" i="47"/>
  <c r="BD18" i="47"/>
  <c r="BE18" i="47"/>
  <c r="BF18" i="47"/>
  <c r="BG18" i="47"/>
  <c r="BH18" i="47"/>
  <c r="BI18" i="47"/>
  <c r="BJ18" i="47"/>
  <c r="BK18" i="47"/>
  <c r="BL18" i="47"/>
  <c r="BM18" i="47"/>
  <c r="BN18" i="47"/>
  <c r="BO18" i="47"/>
  <c r="BP18" i="47"/>
  <c r="BQ18" i="47"/>
  <c r="BR18" i="47"/>
  <c r="BS18" i="47"/>
  <c r="BT18" i="47"/>
  <c r="B18" i="47"/>
  <c r="B17" i="47"/>
  <c r="B16" i="47"/>
  <c r="B15" i="47"/>
  <c r="CA306" i="32"/>
  <c r="BZ306" i="32"/>
  <c r="BY306" i="32"/>
  <c r="BX306" i="32"/>
  <c r="BW306" i="32"/>
  <c r="BV306" i="32"/>
  <c r="BE306" i="32"/>
  <c r="BD306" i="32"/>
  <c r="BC306" i="32"/>
  <c r="BB306" i="32"/>
  <c r="BA306" i="32"/>
  <c r="AZ306" i="32"/>
  <c r="AY306" i="32"/>
  <c r="AX306" i="32"/>
  <c r="AU306" i="32"/>
  <c r="AT306" i="32"/>
  <c r="AK306" i="32"/>
  <c r="AJ306" i="32"/>
  <c r="AI306" i="32"/>
  <c r="AH306" i="32"/>
  <c r="AG306" i="32"/>
  <c r="AC306" i="32"/>
  <c r="AB306" i="32"/>
  <c r="AA306" i="32"/>
  <c r="Z306" i="32"/>
  <c r="Y306" i="32"/>
  <c r="X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CA305" i="32"/>
  <c r="BZ305" i="32"/>
  <c r="BY305" i="32"/>
  <c r="BX305" i="32"/>
  <c r="BW305" i="32"/>
  <c r="BV305" i="32"/>
  <c r="BE305" i="32"/>
  <c r="BD305" i="32"/>
  <c r="BC305" i="32"/>
  <c r="BB305" i="32"/>
  <c r="BA305" i="32"/>
  <c r="AZ305" i="32"/>
  <c r="AY305" i="32"/>
  <c r="AX305" i="32"/>
  <c r="AU305" i="32"/>
  <c r="AT305" i="32"/>
  <c r="AK305" i="32"/>
  <c r="AJ305" i="32"/>
  <c r="AI305" i="32"/>
  <c r="AH305" i="32"/>
  <c r="AG305" i="32"/>
  <c r="AC305" i="32"/>
  <c r="AB305" i="32"/>
  <c r="AA305" i="32"/>
  <c r="Z305" i="32"/>
  <c r="Y305" i="32"/>
  <c r="X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CA304" i="32"/>
  <c r="BZ304" i="32"/>
  <c r="BY304" i="32"/>
  <c r="BX304" i="32"/>
  <c r="BW304" i="32"/>
  <c r="BV304" i="32"/>
  <c r="BE304" i="32"/>
  <c r="BD304" i="32"/>
  <c r="BC304" i="32"/>
  <c r="BB304" i="32"/>
  <c r="BA304" i="32"/>
  <c r="AZ304" i="32"/>
  <c r="AY304" i="32"/>
  <c r="AX304" i="32"/>
  <c r="AU304" i="32"/>
  <c r="AT304" i="32"/>
  <c r="AK304" i="32"/>
  <c r="AJ304" i="32"/>
  <c r="AI304" i="32"/>
  <c r="AH304" i="32"/>
  <c r="AG304" i="32"/>
  <c r="AC304" i="32"/>
  <c r="AB304" i="32"/>
  <c r="AA304" i="32"/>
  <c r="Z304" i="32"/>
  <c r="Y304" i="32"/>
  <c r="X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CA303" i="32"/>
  <c r="BZ303" i="32"/>
  <c r="BY303" i="32"/>
  <c r="BX303" i="32"/>
  <c r="BW303" i="32"/>
  <c r="BV303" i="32"/>
  <c r="BE303" i="32"/>
  <c r="BD303" i="32"/>
  <c r="BC303" i="32"/>
  <c r="BB303" i="32"/>
  <c r="BA303" i="32"/>
  <c r="AZ303" i="32"/>
  <c r="AY303" i="32"/>
  <c r="AX303" i="32"/>
  <c r="AU303" i="32"/>
  <c r="AT303" i="32"/>
  <c r="AK303" i="32"/>
  <c r="AJ303" i="32"/>
  <c r="AI303" i="32"/>
  <c r="AH303" i="32"/>
  <c r="AG303" i="32"/>
  <c r="AC303" i="32"/>
  <c r="AB303" i="32"/>
  <c r="AA303" i="32"/>
  <c r="Z303" i="32"/>
  <c r="Y303" i="32"/>
  <c r="X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CA302" i="32"/>
  <c r="BZ302" i="32"/>
  <c r="BY302" i="32"/>
  <c r="BX302" i="32"/>
  <c r="BX296" i="32" s="1"/>
  <c r="BV295" i="32" s="1"/>
  <c r="BW302" i="32"/>
  <c r="BV302" i="32"/>
  <c r="BE302" i="32"/>
  <c r="BD302" i="32"/>
  <c r="BC302" i="32"/>
  <c r="BB302" i="32"/>
  <c r="BA302" i="32"/>
  <c r="AZ302" i="32"/>
  <c r="AY302" i="32"/>
  <c r="AX302" i="32"/>
  <c r="AU302" i="32"/>
  <c r="AT302" i="32"/>
  <c r="AK302" i="32"/>
  <c r="AJ302" i="32"/>
  <c r="AI302" i="32"/>
  <c r="AH302" i="32"/>
  <c r="AG302" i="32"/>
  <c r="AC302" i="32"/>
  <c r="AB302" i="32"/>
  <c r="AA302" i="32"/>
  <c r="Z302" i="32"/>
  <c r="Y302" i="32"/>
  <c r="X302" i="32"/>
  <c r="U302" i="32"/>
  <c r="T302" i="32"/>
  <c r="S302" i="32"/>
  <c r="R302" i="32"/>
  <c r="Q302" i="32"/>
  <c r="P302" i="32"/>
  <c r="O302" i="32"/>
  <c r="N302" i="32"/>
  <c r="M302" i="32"/>
  <c r="L302" i="32"/>
  <c r="K302" i="32"/>
  <c r="J302" i="32"/>
  <c r="J296" i="32" s="1"/>
  <c r="I302" i="32"/>
  <c r="CA301" i="32"/>
  <c r="BZ301" i="32"/>
  <c r="BY301" i="32"/>
  <c r="BX301" i="32"/>
  <c r="BW301" i="32"/>
  <c r="BW296" i="32" s="1"/>
  <c r="BV301" i="32"/>
  <c r="BU301" i="32"/>
  <c r="BT301" i="32"/>
  <c r="BS301" i="32"/>
  <c r="BR301" i="32"/>
  <c r="BQ301" i="32"/>
  <c r="BP301" i="32"/>
  <c r="BO301" i="32"/>
  <c r="BN301" i="32"/>
  <c r="BM301" i="32"/>
  <c r="BL301" i="32"/>
  <c r="BK301" i="32"/>
  <c r="BJ301" i="32"/>
  <c r="BI301" i="32"/>
  <c r="BH301" i="32"/>
  <c r="BG301" i="32"/>
  <c r="BF301" i="32"/>
  <c r="BE301" i="32"/>
  <c r="BE296" i="32" s="1"/>
  <c r="BD301" i="32"/>
  <c r="BC301" i="32"/>
  <c r="BB301" i="32"/>
  <c r="BA301" i="32"/>
  <c r="AZ301" i="32"/>
  <c r="AY301" i="32"/>
  <c r="AY296" i="32" s="1"/>
  <c r="BG295" i="32" s="1"/>
  <c r="AX301" i="32"/>
  <c r="AW301" i="32"/>
  <c r="AV301" i="32"/>
  <c r="AU301" i="32"/>
  <c r="AT301" i="32"/>
  <c r="AS301" i="32"/>
  <c r="AR301" i="32"/>
  <c r="AQ301" i="32"/>
  <c r="AP301" i="32"/>
  <c r="AO301" i="32"/>
  <c r="AN301" i="32"/>
  <c r="AM301" i="32"/>
  <c r="AL301" i="32"/>
  <c r="AK301" i="32"/>
  <c r="AJ301" i="32"/>
  <c r="AI301" i="32"/>
  <c r="AH301" i="32"/>
  <c r="AG301" i="32"/>
  <c r="AG296" i="32" s="1"/>
  <c r="V295" i="32" s="1"/>
  <c r="AF301" i="32"/>
  <c r="AE301" i="32"/>
  <c r="AD301" i="32"/>
  <c r="AC301" i="32"/>
  <c r="AB301" i="32"/>
  <c r="AA301" i="32"/>
  <c r="AA296" i="32" s="1"/>
  <c r="Z301" i="32"/>
  <c r="Y301" i="32"/>
  <c r="X301" i="32"/>
  <c r="W301" i="32"/>
  <c r="V301" i="32"/>
  <c r="U301" i="32"/>
  <c r="U296" i="32" s="1"/>
  <c r="T301" i="32"/>
  <c r="S301" i="32"/>
  <c r="R301" i="32"/>
  <c r="Q301" i="32"/>
  <c r="P301" i="32"/>
  <c r="O301" i="32"/>
  <c r="O296" i="32" s="1"/>
  <c r="M295" i="32" s="1"/>
  <c r="N301" i="32"/>
  <c r="M301" i="32"/>
  <c r="L301" i="32"/>
  <c r="K301" i="32"/>
  <c r="J301" i="32"/>
  <c r="I301" i="32"/>
  <c r="CA300" i="32"/>
  <c r="BZ300" i="32"/>
  <c r="BY300" i="32"/>
  <c r="BX300" i="32"/>
  <c r="BW300" i="32"/>
  <c r="BV300" i="32"/>
  <c r="BE300" i="32"/>
  <c r="BD300" i="32"/>
  <c r="BC300" i="32"/>
  <c r="BB300" i="32"/>
  <c r="BA300" i="32"/>
  <c r="AZ300" i="32"/>
  <c r="AY300" i="32"/>
  <c r="AX300" i="32"/>
  <c r="AU300" i="32"/>
  <c r="AT300" i="32"/>
  <c r="AK300" i="32"/>
  <c r="AJ300" i="32"/>
  <c r="AI300" i="32"/>
  <c r="AH300" i="32"/>
  <c r="AG300" i="32"/>
  <c r="AC300" i="32"/>
  <c r="AB300" i="32"/>
  <c r="AA300" i="32"/>
  <c r="Z300" i="32"/>
  <c r="Z296" i="32" s="1"/>
  <c r="Y300" i="32"/>
  <c r="X300" i="32"/>
  <c r="U300" i="32"/>
  <c r="T300" i="32"/>
  <c r="S300" i="32"/>
  <c r="R300" i="32"/>
  <c r="Q300" i="32"/>
  <c r="P300" i="32"/>
  <c r="O300" i="32"/>
  <c r="N300" i="32"/>
  <c r="M300" i="32"/>
  <c r="L300" i="32"/>
  <c r="K300" i="32"/>
  <c r="J300" i="32"/>
  <c r="I300" i="32"/>
  <c r="CA299" i="32"/>
  <c r="BZ299" i="32"/>
  <c r="BY299" i="32"/>
  <c r="BX299" i="32"/>
  <c r="BW299" i="32"/>
  <c r="BV299" i="32"/>
  <c r="BE299" i="32"/>
  <c r="BD299" i="32"/>
  <c r="BC299" i="32"/>
  <c r="BB299" i="32"/>
  <c r="BA299" i="32"/>
  <c r="AZ299" i="32"/>
  <c r="AY299" i="32"/>
  <c r="AX299" i="32"/>
  <c r="AU299" i="32"/>
  <c r="AT299" i="32"/>
  <c r="AK299" i="32"/>
  <c r="AJ299" i="32"/>
  <c r="AI299" i="32"/>
  <c r="AH299" i="32"/>
  <c r="AG299" i="32"/>
  <c r="AC299" i="32"/>
  <c r="AB299" i="32"/>
  <c r="AA299" i="32"/>
  <c r="Z299" i="32"/>
  <c r="Y299" i="32"/>
  <c r="X299" i="32"/>
  <c r="U299" i="32"/>
  <c r="T299" i="32"/>
  <c r="S299" i="32"/>
  <c r="R299" i="32"/>
  <c r="Q299" i="32"/>
  <c r="P299" i="32"/>
  <c r="O299" i="32"/>
  <c r="N299" i="32"/>
  <c r="M299" i="32"/>
  <c r="L299" i="32"/>
  <c r="K299" i="32"/>
  <c r="J299" i="32"/>
  <c r="I299" i="32"/>
  <c r="CA298" i="32"/>
  <c r="CA296" i="32" s="1"/>
  <c r="BZ298" i="32"/>
  <c r="BY298" i="32"/>
  <c r="BX298" i="32"/>
  <c r="BW298" i="32"/>
  <c r="BV298" i="32"/>
  <c r="BE298" i="32"/>
  <c r="BD298" i="32"/>
  <c r="BC298" i="32"/>
  <c r="BC296" i="32" s="1"/>
  <c r="BB298" i="32"/>
  <c r="BA298" i="32"/>
  <c r="AY298" i="32"/>
  <c r="AX298" i="32"/>
  <c r="AU298" i="32"/>
  <c r="AT298" i="32"/>
  <c r="AK298" i="32"/>
  <c r="AK296" i="32" s="1"/>
  <c r="AJ298" i="32"/>
  <c r="AI298" i="32"/>
  <c r="AH298" i="32"/>
  <c r="AG298" i="32"/>
  <c r="AC298" i="32"/>
  <c r="AB298" i="32"/>
  <c r="AA298" i="32"/>
  <c r="Z298" i="32"/>
  <c r="Y298" i="32"/>
  <c r="Y296" i="32" s="1"/>
  <c r="U298" i="32"/>
  <c r="T298" i="32"/>
  <c r="S298" i="32"/>
  <c r="S296" i="32" s="1"/>
  <c r="R298" i="32"/>
  <c r="Q298" i="32"/>
  <c r="P298" i="32"/>
  <c r="O298" i="32"/>
  <c r="N298" i="32"/>
  <c r="M298" i="32"/>
  <c r="M296" i="32" s="1"/>
  <c r="L298" i="32"/>
  <c r="K298" i="32"/>
  <c r="J298" i="32"/>
  <c r="I298" i="32"/>
  <c r="CA297" i="32"/>
  <c r="BZ297" i="32"/>
  <c r="BZ296" i="32" s="1"/>
  <c r="BY297" i="32"/>
  <c r="BX297" i="32"/>
  <c r="BW297" i="32"/>
  <c r="BE297" i="32"/>
  <c r="BD297" i="32"/>
  <c r="BC297" i="32"/>
  <c r="BB297" i="32"/>
  <c r="BB296" i="32" s="1"/>
  <c r="BA297" i="32"/>
  <c r="BA296" i="32" s="1"/>
  <c r="AZ297" i="32"/>
  <c r="AY297" i="32"/>
  <c r="AX297" i="32"/>
  <c r="AU297" i="32"/>
  <c r="AT297" i="32"/>
  <c r="AK297" i="32"/>
  <c r="AJ297" i="32"/>
  <c r="AJ296" i="32" s="1"/>
  <c r="AI297" i="32"/>
  <c r="AH297" i="32"/>
  <c r="AG297" i="32"/>
  <c r="AC297" i="32"/>
  <c r="AB297" i="32"/>
  <c r="AA297" i="32"/>
  <c r="Z297" i="32"/>
  <c r="Y297" i="32"/>
  <c r="X297" i="32"/>
  <c r="U297" i="32"/>
  <c r="T297" i="32"/>
  <c r="S297" i="32"/>
  <c r="R297" i="32"/>
  <c r="R296" i="32" s="1"/>
  <c r="Q297" i="32"/>
  <c r="P297" i="32"/>
  <c r="O297" i="32"/>
  <c r="N297" i="32"/>
  <c r="M297" i="32"/>
  <c r="L297" i="32"/>
  <c r="L296" i="32" s="1"/>
  <c r="K297" i="32"/>
  <c r="J297" i="32"/>
  <c r="I297" i="32"/>
  <c r="I296" i="32" s="1"/>
  <c r="BY296" i="32"/>
  <c r="BD296" i="32"/>
  <c r="AX296" i="32"/>
  <c r="AU296" i="32"/>
  <c r="AT296" i="32"/>
  <c r="AI296" i="32"/>
  <c r="AH296" i="32"/>
  <c r="W295" i="32" s="1"/>
  <c r="AC296" i="32"/>
  <c r="AB296" i="32"/>
  <c r="T296" i="32"/>
  <c r="P296" i="32"/>
  <c r="N296" i="32"/>
  <c r="AV295" i="32"/>
  <c r="I294" i="32"/>
  <c r="U293" i="32"/>
  <c r="T293" i="32"/>
  <c r="S293" i="32"/>
  <c r="R293" i="32"/>
  <c r="Q293" i="32"/>
  <c r="P293" i="32"/>
  <c r="O293" i="32"/>
  <c r="N293" i="32"/>
  <c r="M293" i="32"/>
  <c r="L293" i="32"/>
  <c r="K293" i="32"/>
  <c r="J294" i="32" s="1"/>
  <c r="J293" i="32"/>
  <c r="I293" i="32"/>
  <c r="CA292" i="32"/>
  <c r="BZ292" i="32"/>
  <c r="BY292" i="32"/>
  <c r="BX292" i="32"/>
  <c r="BW292" i="32"/>
  <c r="BV292" i="32"/>
  <c r="BE292" i="32"/>
  <c r="BD292" i="32"/>
  <c r="BC292" i="32"/>
  <c r="BB292" i="32"/>
  <c r="BA292" i="32"/>
  <c r="AZ292" i="32"/>
  <c r="AY292" i="32"/>
  <c r="AX292" i="32"/>
  <c r="AV292" i="32"/>
  <c r="AU292" i="32"/>
  <c r="AT292" i="32"/>
  <c r="AM292" i="32"/>
  <c r="AK292" i="32"/>
  <c r="AJ292" i="32"/>
  <c r="AI292" i="32"/>
  <c r="AH292" i="32"/>
  <c r="AG292" i="32"/>
  <c r="AE292" i="32"/>
  <c r="AC292" i="32"/>
  <c r="AB292" i="32"/>
  <c r="AA292" i="32"/>
  <c r="Z292" i="32"/>
  <c r="Y292" i="32"/>
  <c r="X292" i="32"/>
  <c r="V292" i="32"/>
  <c r="BR291" i="32"/>
  <c r="BR292" i="32" s="1"/>
  <c r="BO291" i="32"/>
  <c r="BO292" i="32" s="1"/>
  <c r="BG291" i="32"/>
  <c r="BG292" i="32" s="1"/>
  <c r="BF291" i="32"/>
  <c r="AV291" i="32"/>
  <c r="AM291" i="32"/>
  <c r="AL291" i="32"/>
  <c r="AE291" i="32"/>
  <c r="W291" i="32"/>
  <c r="W292" i="32" s="1"/>
  <c r="V291" i="32"/>
  <c r="AD291" i="32" s="1"/>
  <c r="CA290" i="32"/>
  <c r="BZ290" i="32"/>
  <c r="BY290" i="32"/>
  <c r="BX290" i="32"/>
  <c r="BW290" i="32"/>
  <c r="BV290" i="32"/>
  <c r="BE290" i="32"/>
  <c r="BD290" i="32"/>
  <c r="BC290" i="32"/>
  <c r="BB290" i="32"/>
  <c r="BA290" i="32"/>
  <c r="AZ290" i="32"/>
  <c r="AY290" i="32"/>
  <c r="AX290" i="32"/>
  <c r="AU290" i="32"/>
  <c r="AT290" i="32"/>
  <c r="AK290" i="32"/>
  <c r="AJ290" i="32"/>
  <c r="AI290" i="32"/>
  <c r="AH290" i="32"/>
  <c r="AG290" i="32"/>
  <c r="AC290" i="32"/>
  <c r="AB290" i="32"/>
  <c r="AA290" i="32"/>
  <c r="Z290" i="32"/>
  <c r="Y290" i="32"/>
  <c r="X290" i="32"/>
  <c r="W290" i="32"/>
  <c r="BR289" i="32"/>
  <c r="BG289" i="32"/>
  <c r="BU289" i="32" s="1"/>
  <c r="BF289" i="32"/>
  <c r="BT289" i="32" s="1"/>
  <c r="AV289" i="32"/>
  <c r="AM289" i="32"/>
  <c r="BO289" i="32" s="1"/>
  <c r="AL289" i="32"/>
  <c r="AE289" i="32"/>
  <c r="BL289" i="32" s="1"/>
  <c r="W289" i="32"/>
  <c r="V289" i="32"/>
  <c r="AD289" i="32" s="1"/>
  <c r="AO289" i="32" s="1"/>
  <c r="BN288" i="32"/>
  <c r="BL288" i="32"/>
  <c r="BG288" i="32"/>
  <c r="BU288" i="32" s="1"/>
  <c r="BF288" i="32"/>
  <c r="BT288" i="32" s="1"/>
  <c r="AV288" i="32"/>
  <c r="BR288" i="32" s="1"/>
  <c r="AM288" i="32"/>
  <c r="BO288" i="32" s="1"/>
  <c r="AL288" i="32"/>
  <c r="AN288" i="32" s="1"/>
  <c r="BM288" i="32" s="1"/>
  <c r="AE288" i="32"/>
  <c r="AP288" i="32" s="1"/>
  <c r="W288" i="32"/>
  <c r="V288" i="32"/>
  <c r="AD288" i="32" s="1"/>
  <c r="BT287" i="32"/>
  <c r="BO287" i="32"/>
  <c r="BG287" i="32"/>
  <c r="BH287" i="32" s="1"/>
  <c r="BS287" i="32" s="1"/>
  <c r="BF287" i="32"/>
  <c r="AV287" i="32"/>
  <c r="BR287" i="32" s="1"/>
  <c r="AM287" i="32"/>
  <c r="AL287" i="32"/>
  <c r="BN287" i="32" s="1"/>
  <c r="AF287" i="32"/>
  <c r="W287" i="32"/>
  <c r="AE287" i="32" s="1"/>
  <c r="V287" i="32"/>
  <c r="AD287" i="32" s="1"/>
  <c r="BU286" i="32"/>
  <c r="BT286" i="32"/>
  <c r="BN286" i="32"/>
  <c r="BH286" i="32"/>
  <c r="BS286" i="32" s="1"/>
  <c r="BG286" i="32"/>
  <c r="BF286" i="32"/>
  <c r="AV286" i="32"/>
  <c r="BR286" i="32" s="1"/>
  <c r="AP286" i="32"/>
  <c r="AN286" i="32"/>
  <c r="BM286" i="32" s="1"/>
  <c r="AM286" i="32"/>
  <c r="BO286" i="32" s="1"/>
  <c r="AL286" i="32"/>
  <c r="AE286" i="32"/>
  <c r="BL286" i="32" s="1"/>
  <c r="W286" i="32"/>
  <c r="V286" i="32"/>
  <c r="AD286" i="32" s="1"/>
  <c r="BU285" i="32"/>
  <c r="BO285" i="32"/>
  <c r="BG285" i="32"/>
  <c r="BF285" i="32"/>
  <c r="BT285" i="32" s="1"/>
  <c r="AV285" i="32"/>
  <c r="BR285" i="32" s="1"/>
  <c r="AS285" i="32"/>
  <c r="BQ285" i="32" s="1"/>
  <c r="AN285" i="32"/>
  <c r="BM285" i="32" s="1"/>
  <c r="AM285" i="32"/>
  <c r="AL285" i="32"/>
  <c r="BN285" i="32" s="1"/>
  <c r="AF285" i="32"/>
  <c r="AD285" i="32"/>
  <c r="AO285" i="32" s="1"/>
  <c r="W285" i="32"/>
  <c r="AE285" i="32" s="1"/>
  <c r="V285" i="32"/>
  <c r="BT284" i="32"/>
  <c r="BR284" i="32"/>
  <c r="BH284" i="32"/>
  <c r="BG284" i="32"/>
  <c r="BU284" i="32" s="1"/>
  <c r="BF284" i="32"/>
  <c r="BF290" i="32" s="1"/>
  <c r="AV284" i="32"/>
  <c r="AM284" i="32"/>
  <c r="BO284" i="32" s="1"/>
  <c r="AL284" i="32"/>
  <c r="AL290" i="32" s="1"/>
  <c r="AE284" i="32"/>
  <c r="AP284" i="32" s="1"/>
  <c r="AD284" i="32"/>
  <c r="AO284" i="32" s="1"/>
  <c r="W284" i="32"/>
  <c r="V284" i="32"/>
  <c r="CA283" i="32"/>
  <c r="BZ283" i="32"/>
  <c r="BY283" i="32"/>
  <c r="BX283" i="32"/>
  <c r="BW283" i="32"/>
  <c r="BV283" i="32"/>
  <c r="BU283" i="32"/>
  <c r="BE283" i="32"/>
  <c r="BD283" i="32"/>
  <c r="BC283" i="32"/>
  <c r="BB283" i="32"/>
  <c r="BA283" i="32"/>
  <c r="AZ283" i="32"/>
  <c r="AY283" i="32"/>
  <c r="AX283" i="32"/>
  <c r="AU283" i="32"/>
  <c r="AT283" i="32"/>
  <c r="AK283" i="32"/>
  <c r="AJ283" i="32"/>
  <c r="AI283" i="32"/>
  <c r="AH283" i="32"/>
  <c r="AG283" i="32"/>
  <c r="AC283" i="32"/>
  <c r="AB283" i="32"/>
  <c r="AA283" i="32"/>
  <c r="Z283" i="32"/>
  <c r="Y283" i="32"/>
  <c r="X283" i="32"/>
  <c r="BR282" i="32"/>
  <c r="BO282" i="32"/>
  <c r="BG282" i="32"/>
  <c r="BU282" i="32" s="1"/>
  <c r="BF282" i="32"/>
  <c r="AV282" i="32"/>
  <c r="AP282" i="32"/>
  <c r="AN282" i="32"/>
  <c r="BM282" i="32" s="1"/>
  <c r="AM282" i="32"/>
  <c r="AL282" i="32"/>
  <c r="BN282" i="32" s="1"/>
  <c r="W282" i="32"/>
  <c r="AE282" i="32" s="1"/>
  <c r="BL282" i="32" s="1"/>
  <c r="V282" i="32"/>
  <c r="AD282" i="32" s="1"/>
  <c r="BT281" i="32"/>
  <c r="BR281" i="32"/>
  <c r="BN281" i="32"/>
  <c r="BM281" i="32"/>
  <c r="BH281" i="32"/>
  <c r="BS281" i="32" s="1"/>
  <c r="BG281" i="32"/>
  <c r="BU281" i="32" s="1"/>
  <c r="BF281" i="32"/>
  <c r="AV281" i="32"/>
  <c r="AO281" i="32"/>
  <c r="AM281" i="32"/>
  <c r="BO281" i="32" s="1"/>
  <c r="AL281" i="32"/>
  <c r="AN281" i="32" s="1"/>
  <c r="AE281" i="32"/>
  <c r="BL281" i="32" s="1"/>
  <c r="AD281" i="32"/>
  <c r="AF281" i="32" s="1"/>
  <c r="W281" i="32"/>
  <c r="V281" i="32"/>
  <c r="BT280" i="32"/>
  <c r="BR280" i="32"/>
  <c r="BN280" i="32"/>
  <c r="BL280" i="32"/>
  <c r="BH280" i="32"/>
  <c r="BS280" i="32" s="1"/>
  <c r="BG280" i="32"/>
  <c r="BU280" i="32" s="1"/>
  <c r="BF280" i="32"/>
  <c r="AV280" i="32"/>
  <c r="AM280" i="32"/>
  <c r="AL280" i="32"/>
  <c r="AE280" i="32"/>
  <c r="W280" i="32"/>
  <c r="V280" i="32"/>
  <c r="BR279" i="32"/>
  <c r="BO279" i="32"/>
  <c r="BG279" i="32"/>
  <c r="BU279" i="32" s="1"/>
  <c r="BF279" i="32"/>
  <c r="BT279" i="32" s="1"/>
  <c r="AV279" i="32"/>
  <c r="AM279" i="32"/>
  <c r="AL279" i="32"/>
  <c r="AF279" i="32"/>
  <c r="AR279" i="32" s="1"/>
  <c r="BP279" i="32" s="1"/>
  <c r="AE279" i="32"/>
  <c r="W279" i="32"/>
  <c r="V279" i="32"/>
  <c r="AD279" i="32" s="1"/>
  <c r="BT278" i="32"/>
  <c r="BS278" i="32"/>
  <c r="BN278" i="32"/>
  <c r="BH278" i="32"/>
  <c r="BG278" i="32"/>
  <c r="BU278" i="32" s="1"/>
  <c r="BF278" i="32"/>
  <c r="AV278" i="32"/>
  <c r="BR278" i="32" s="1"/>
  <c r="AO278" i="32"/>
  <c r="AM278" i="32"/>
  <c r="AL278" i="32"/>
  <c r="AF278" i="32"/>
  <c r="W278" i="32"/>
  <c r="AE278" i="32" s="1"/>
  <c r="V278" i="32"/>
  <c r="AD278" i="32" s="1"/>
  <c r="BK278" i="32" s="1"/>
  <c r="BU277" i="32"/>
  <c r="BO277" i="32"/>
  <c r="BN277" i="32"/>
  <c r="BG277" i="32"/>
  <c r="BF277" i="32"/>
  <c r="AV277" i="32"/>
  <c r="AM277" i="32"/>
  <c r="AL277" i="32"/>
  <c r="W277" i="32"/>
  <c r="V277" i="32"/>
  <c r="AD277" i="32" s="1"/>
  <c r="CA276" i="32"/>
  <c r="BZ276" i="32"/>
  <c r="BY276" i="32"/>
  <c r="BX276" i="32"/>
  <c r="BW276" i="32"/>
  <c r="BV276" i="32"/>
  <c r="BU276" i="32"/>
  <c r="BE276" i="32"/>
  <c r="BD276" i="32"/>
  <c r="BC276" i="32"/>
  <c r="BB276" i="32"/>
  <c r="BA276" i="32"/>
  <c r="AZ276" i="32"/>
  <c r="AY276" i="32"/>
  <c r="AX276" i="32"/>
  <c r="AU276" i="32"/>
  <c r="AT276" i="32"/>
  <c r="AK276" i="32"/>
  <c r="AJ276" i="32"/>
  <c r="AI276" i="32"/>
  <c r="AH276" i="32"/>
  <c r="AG276" i="32"/>
  <c r="AC276" i="32"/>
  <c r="AB276" i="32"/>
  <c r="AA276" i="32"/>
  <c r="Z276" i="32"/>
  <c r="Y276" i="32"/>
  <c r="X276" i="32"/>
  <c r="BT275" i="32"/>
  <c r="BO275" i="32"/>
  <c r="BK275" i="32"/>
  <c r="BG275" i="32"/>
  <c r="BU275" i="32" s="1"/>
  <c r="BF275" i="32"/>
  <c r="AV275" i="32"/>
  <c r="BR275" i="32" s="1"/>
  <c r="AM275" i="32"/>
  <c r="AL275" i="32"/>
  <c r="AN275" i="32" s="1"/>
  <c r="BM275" i="32" s="1"/>
  <c r="W275" i="32"/>
  <c r="AE275" i="32" s="1"/>
  <c r="V275" i="32"/>
  <c r="AD275" i="32" s="1"/>
  <c r="AF275" i="32" s="1"/>
  <c r="BU274" i="32"/>
  <c r="BT274" i="32"/>
  <c r="BR274" i="32"/>
  <c r="BN274" i="32"/>
  <c r="BH274" i="32"/>
  <c r="BS274" i="32" s="1"/>
  <c r="BG274" i="32"/>
  <c r="BF274" i="32"/>
  <c r="AV274" i="32"/>
  <c r="AN274" i="32"/>
  <c r="BM274" i="32" s="1"/>
  <c r="AM274" i="32"/>
  <c r="BO274" i="32" s="1"/>
  <c r="AL274" i="32"/>
  <c r="W274" i="32"/>
  <c r="AE274" i="32" s="1"/>
  <c r="BL274" i="32" s="1"/>
  <c r="V274" i="32"/>
  <c r="AD274" i="32" s="1"/>
  <c r="BU273" i="32"/>
  <c r="BK273" i="32"/>
  <c r="BG273" i="32"/>
  <c r="BF273" i="32"/>
  <c r="BT273" i="32" s="1"/>
  <c r="AV273" i="32"/>
  <c r="BR273" i="32" s="1"/>
  <c r="AM273" i="32"/>
  <c r="AN273" i="32" s="1"/>
  <c r="BM273" i="32" s="1"/>
  <c r="AL273" i="32"/>
  <c r="BN273" i="32" s="1"/>
  <c r="W273" i="32"/>
  <c r="AE273" i="32" s="1"/>
  <c r="V273" i="32"/>
  <c r="AD273" i="32" s="1"/>
  <c r="AO273" i="32" s="1"/>
  <c r="BR272" i="32"/>
  <c r="BL272" i="32"/>
  <c r="BK272" i="32"/>
  <c r="BG272" i="32"/>
  <c r="BU272" i="32" s="1"/>
  <c r="BF272" i="32"/>
  <c r="AV272" i="32"/>
  <c r="AP272" i="32"/>
  <c r="AM272" i="32"/>
  <c r="BO272" i="32" s="1"/>
  <c r="AL272" i="32"/>
  <c r="AN272" i="32" s="1"/>
  <c r="BM272" i="32" s="1"/>
  <c r="AE272" i="32"/>
  <c r="AD272" i="32"/>
  <c r="W272" i="32"/>
  <c r="V272" i="32"/>
  <c r="BU271" i="32"/>
  <c r="BR271" i="32"/>
  <c r="BK271" i="32"/>
  <c r="BG271" i="32"/>
  <c r="BF271" i="32"/>
  <c r="AV271" i="32"/>
  <c r="AR271" i="32"/>
  <c r="BP271" i="32" s="1"/>
  <c r="AM271" i="32"/>
  <c r="BO271" i="32" s="1"/>
  <c r="AL271" i="32"/>
  <c r="AF271" i="32"/>
  <c r="BJ271" i="32" s="1"/>
  <c r="W271" i="32"/>
  <c r="AE271" i="32" s="1"/>
  <c r="AP271" i="32" s="1"/>
  <c r="V271" i="32"/>
  <c r="AD271" i="32" s="1"/>
  <c r="BU270" i="32"/>
  <c r="BR270" i="32"/>
  <c r="BO270" i="32"/>
  <c r="BL270" i="32"/>
  <c r="BG270" i="32"/>
  <c r="BF270" i="32"/>
  <c r="AV270" i="32"/>
  <c r="AN270" i="32"/>
  <c r="AM270" i="32"/>
  <c r="AL270" i="32"/>
  <c r="W270" i="32"/>
  <c r="AE270" i="32" s="1"/>
  <c r="AP270" i="32" s="1"/>
  <c r="V270" i="32"/>
  <c r="CA269" i="32"/>
  <c r="BZ269" i="32"/>
  <c r="BY269" i="32"/>
  <c r="BX269" i="32"/>
  <c r="BW269" i="32"/>
  <c r="BV269" i="32"/>
  <c r="BE269" i="32"/>
  <c r="BD269" i="32"/>
  <c r="BC269" i="32"/>
  <c r="BB269" i="32"/>
  <c r="BA269" i="32"/>
  <c r="AZ269" i="32"/>
  <c r="AY269" i="32"/>
  <c r="AX269" i="32"/>
  <c r="AU269" i="32"/>
  <c r="AT269" i="32"/>
  <c r="AK269" i="32"/>
  <c r="AJ269" i="32"/>
  <c r="AI269" i="32"/>
  <c r="AH269" i="32"/>
  <c r="AG269" i="32"/>
  <c r="AC269" i="32"/>
  <c r="AB269" i="32"/>
  <c r="AA269" i="32"/>
  <c r="Z269" i="32"/>
  <c r="Y269" i="32"/>
  <c r="X269" i="32"/>
  <c r="BT268" i="32"/>
  <c r="BG268" i="32"/>
  <c r="BH268" i="32" s="1"/>
  <c r="BS268" i="32" s="1"/>
  <c r="BF268" i="32"/>
  <c r="AV268" i="32"/>
  <c r="BR268" i="32" s="1"/>
  <c r="AM268" i="32"/>
  <c r="BO268" i="32" s="1"/>
  <c r="AL268" i="32"/>
  <c r="AN268" i="32" s="1"/>
  <c r="BM268" i="32" s="1"/>
  <c r="AD268" i="32"/>
  <c r="W268" i="32"/>
  <c r="AE268" i="32" s="1"/>
  <c r="V268" i="32"/>
  <c r="BU267" i="32"/>
  <c r="BL267" i="32"/>
  <c r="BG267" i="32"/>
  <c r="BF267" i="32"/>
  <c r="BH267" i="32" s="1"/>
  <c r="BS267" i="32" s="1"/>
  <c r="AV267" i="32"/>
  <c r="BR267" i="32" s="1"/>
  <c r="AO267" i="32"/>
  <c r="AM267" i="32"/>
  <c r="BO267" i="32" s="1"/>
  <c r="AL267" i="32"/>
  <c r="AD267" i="32"/>
  <c r="BK267" i="32" s="1"/>
  <c r="W267" i="32"/>
  <c r="AE267" i="32" s="1"/>
  <c r="V267" i="32"/>
  <c r="BU266" i="32"/>
  <c r="BM266" i="32"/>
  <c r="BG266" i="32"/>
  <c r="BF266" i="32"/>
  <c r="AV266" i="32"/>
  <c r="BR266" i="32" s="1"/>
  <c r="AO266" i="32"/>
  <c r="AQ266" i="32" s="1"/>
  <c r="AN266" i="32"/>
  <c r="AM266" i="32"/>
  <c r="BO266" i="32" s="1"/>
  <c r="AL266" i="32"/>
  <c r="BN266" i="32" s="1"/>
  <c r="AF266" i="32"/>
  <c r="AD266" i="32"/>
  <c r="BK266" i="32" s="1"/>
  <c r="W266" i="32"/>
  <c r="AE266" i="32" s="1"/>
  <c r="AP266" i="32" s="1"/>
  <c r="V266" i="32"/>
  <c r="BS265" i="32"/>
  <c r="BH265" i="32"/>
  <c r="BG265" i="32"/>
  <c r="BU265" i="32" s="1"/>
  <c r="BF265" i="32"/>
  <c r="BT265" i="32" s="1"/>
  <c r="AV265" i="32"/>
  <c r="BR265" i="32" s="1"/>
  <c r="AM265" i="32"/>
  <c r="BO265" i="32" s="1"/>
  <c r="AL265" i="32"/>
  <c r="BN265" i="32" s="1"/>
  <c r="AD265" i="32"/>
  <c r="W265" i="32"/>
  <c r="AE265" i="32" s="1"/>
  <c r="AP265" i="32" s="1"/>
  <c r="V265" i="32"/>
  <c r="BT264" i="32"/>
  <c r="BR264" i="32"/>
  <c r="BN264" i="32"/>
  <c r="BM264" i="32"/>
  <c r="BG264" i="32"/>
  <c r="BU264" i="32" s="1"/>
  <c r="BF264" i="32"/>
  <c r="AV264" i="32"/>
  <c r="AM264" i="32"/>
  <c r="BO264" i="32" s="1"/>
  <c r="AL264" i="32"/>
  <c r="AN264" i="32" s="1"/>
  <c r="AE264" i="32"/>
  <c r="BL264" i="32" s="1"/>
  <c r="AD264" i="32"/>
  <c r="W264" i="32"/>
  <c r="V264" i="32"/>
  <c r="BN263" i="32"/>
  <c r="BG263" i="32"/>
  <c r="BH263" i="32" s="1"/>
  <c r="BS263" i="32" s="1"/>
  <c r="BF263" i="32"/>
  <c r="BT263" i="32" s="1"/>
  <c r="AV263" i="32"/>
  <c r="AV269" i="32" s="1"/>
  <c r="AM263" i="32"/>
  <c r="BO263" i="32" s="1"/>
  <c r="BO269" i="32" s="1"/>
  <c r="AL263" i="32"/>
  <c r="AE263" i="32"/>
  <c r="AE269" i="32" s="1"/>
  <c r="W263" i="32"/>
  <c r="W269" i="32" s="1"/>
  <c r="V263" i="32"/>
  <c r="CA262" i="32"/>
  <c r="BZ262" i="32"/>
  <c r="BY262" i="32"/>
  <c r="BX262" i="32"/>
  <c r="BW262" i="32"/>
  <c r="BV262" i="32"/>
  <c r="BE262" i="32"/>
  <c r="BD262" i="32"/>
  <c r="BC262" i="32"/>
  <c r="BB262" i="32"/>
  <c r="BA262" i="32"/>
  <c r="AZ262" i="32"/>
  <c r="AY262" i="32"/>
  <c r="AX262" i="32"/>
  <c r="AU262" i="32"/>
  <c r="AT262" i="32"/>
  <c r="AK262" i="32"/>
  <c r="AJ262" i="32"/>
  <c r="AI262" i="32"/>
  <c r="AH262" i="32"/>
  <c r="AG262" i="32"/>
  <c r="AC262" i="32"/>
  <c r="AB262" i="32"/>
  <c r="AA262" i="32"/>
  <c r="Z262" i="32"/>
  <c r="Y262" i="32"/>
  <c r="X262" i="32"/>
  <c r="BU261" i="32"/>
  <c r="BT261" i="32"/>
  <c r="BR261" i="32"/>
  <c r="BK261" i="32"/>
  <c r="BH261" i="32"/>
  <c r="BS261" i="32" s="1"/>
  <c r="BG261" i="32"/>
  <c r="BF261" i="32"/>
  <c r="AV261" i="32"/>
  <c r="AR261" i="32"/>
  <c r="BP261" i="32" s="1"/>
  <c r="AM261" i="32"/>
  <c r="BO261" i="32" s="1"/>
  <c r="AL261" i="32"/>
  <c r="AE261" i="32"/>
  <c r="BL261" i="32" s="1"/>
  <c r="AD261" i="32"/>
  <c r="AF261" i="32" s="1"/>
  <c r="BJ261" i="32" s="1"/>
  <c r="W261" i="32"/>
  <c r="V261" i="32"/>
  <c r="BU260" i="32"/>
  <c r="BR260" i="32"/>
  <c r="BG260" i="32"/>
  <c r="BF260" i="32"/>
  <c r="AV260" i="32"/>
  <c r="AN260" i="32"/>
  <c r="BM260" i="32" s="1"/>
  <c r="AM260" i="32"/>
  <c r="BO260" i="32" s="1"/>
  <c r="AL260" i="32"/>
  <c r="BN260" i="32" s="1"/>
  <c r="W260" i="32"/>
  <c r="AE260" i="32" s="1"/>
  <c r="V260" i="32"/>
  <c r="AD260" i="32" s="1"/>
  <c r="BT259" i="32"/>
  <c r="BM259" i="32"/>
  <c r="BG259" i="32"/>
  <c r="BF259" i="32"/>
  <c r="AV259" i="32"/>
  <c r="BR259" i="32" s="1"/>
  <c r="AO259" i="32"/>
  <c r="AN259" i="32"/>
  <c r="AM259" i="32"/>
  <c r="BO259" i="32" s="1"/>
  <c r="AL259" i="32"/>
  <c r="BN259" i="32" s="1"/>
  <c r="AF259" i="32"/>
  <c r="AD259" i="32"/>
  <c r="BK259" i="32" s="1"/>
  <c r="W259" i="32"/>
  <c r="AE259" i="32" s="1"/>
  <c r="V259" i="32"/>
  <c r="BU258" i="32"/>
  <c r="BT258" i="32"/>
  <c r="BR258" i="32"/>
  <c r="BH258" i="32"/>
  <c r="BS258" i="32" s="1"/>
  <c r="BG258" i="32"/>
  <c r="BF258" i="32"/>
  <c r="AV258" i="32"/>
  <c r="AO258" i="32"/>
  <c r="AM258" i="32"/>
  <c r="BO258" i="32" s="1"/>
  <c r="AL258" i="32"/>
  <c r="AN258" i="32" s="1"/>
  <c r="BM258" i="32" s="1"/>
  <c r="AE258" i="32"/>
  <c r="BL258" i="32" s="1"/>
  <c r="AD258" i="32"/>
  <c r="W258" i="32"/>
  <c r="V258" i="32"/>
  <c r="BR257" i="32"/>
  <c r="BL257" i="32"/>
  <c r="BG257" i="32"/>
  <c r="BU257" i="32" s="1"/>
  <c r="BF257" i="32"/>
  <c r="AV257" i="32"/>
  <c r="AM257" i="32"/>
  <c r="AN257" i="32" s="1"/>
  <c r="BM257" i="32" s="1"/>
  <c r="AL257" i="32"/>
  <c r="BN257" i="32" s="1"/>
  <c r="AE257" i="32"/>
  <c r="AP257" i="32" s="1"/>
  <c r="AD257" i="32"/>
  <c r="W257" i="32"/>
  <c r="V257" i="32"/>
  <c r="BT256" i="32"/>
  <c r="BG256" i="32"/>
  <c r="BU256" i="32" s="1"/>
  <c r="BF256" i="32"/>
  <c r="AV256" i="32"/>
  <c r="BR256" i="32" s="1"/>
  <c r="BR262" i="32" s="1"/>
  <c r="AN256" i="32"/>
  <c r="AM256" i="32"/>
  <c r="BO256" i="32" s="1"/>
  <c r="AL256" i="32"/>
  <c r="AL262" i="32" s="1"/>
  <c r="AD256" i="32"/>
  <c r="W256" i="32"/>
  <c r="W262" i="32" s="1"/>
  <c r="V256" i="32"/>
  <c r="CA255" i="32"/>
  <c r="BZ255" i="32"/>
  <c r="BY255" i="32"/>
  <c r="BX255" i="32"/>
  <c r="BW255" i="32"/>
  <c r="BV255" i="32"/>
  <c r="BE255" i="32"/>
  <c r="BD255" i="32"/>
  <c r="BC255" i="32"/>
  <c r="BB255" i="32"/>
  <c r="BA255" i="32"/>
  <c r="AZ255" i="32"/>
  <c r="AY255" i="32"/>
  <c r="AX255" i="32"/>
  <c r="AU255" i="32"/>
  <c r="AT255" i="32"/>
  <c r="AK255" i="32"/>
  <c r="AJ255" i="32"/>
  <c r="AI255" i="32"/>
  <c r="AH255" i="32"/>
  <c r="AG255" i="32"/>
  <c r="AC255" i="32"/>
  <c r="AB255" i="32"/>
  <c r="AA255" i="32"/>
  <c r="Z255" i="32"/>
  <c r="Y255" i="32"/>
  <c r="X255" i="32"/>
  <c r="BU254" i="32"/>
  <c r="BR254" i="32"/>
  <c r="BO254" i="32"/>
  <c r="BL254" i="32"/>
  <c r="BK254" i="32"/>
  <c r="BG254" i="32"/>
  <c r="BF254" i="32"/>
  <c r="AV254" i="32"/>
  <c r="AO254" i="32"/>
  <c r="AQ254" i="32" s="1"/>
  <c r="AM254" i="32"/>
  <c r="AN254" i="32" s="1"/>
  <c r="BM254" i="32" s="1"/>
  <c r="AL254" i="32"/>
  <c r="BN254" i="32" s="1"/>
  <c r="AF254" i="32"/>
  <c r="AE254" i="32"/>
  <c r="AP254" i="32" s="1"/>
  <c r="AD254" i="32"/>
  <c r="W254" i="32"/>
  <c r="V254" i="32"/>
  <c r="BR253" i="32"/>
  <c r="BN253" i="32"/>
  <c r="BL253" i="32"/>
  <c r="BG253" i="32"/>
  <c r="BU253" i="32" s="1"/>
  <c r="BF253" i="32"/>
  <c r="BT253" i="32" s="1"/>
  <c r="AV253" i="32"/>
  <c r="AN253" i="32"/>
  <c r="BM253" i="32" s="1"/>
  <c r="AM253" i="32"/>
  <c r="BO253" i="32" s="1"/>
  <c r="AL253" i="32"/>
  <c r="AF253" i="32"/>
  <c r="AS253" i="32" s="1"/>
  <c r="BQ253" i="32" s="1"/>
  <c r="AE253" i="32"/>
  <c r="AP253" i="32" s="1"/>
  <c r="AD253" i="32"/>
  <c r="BK253" i="32" s="1"/>
  <c r="W253" i="32"/>
  <c r="V253" i="32"/>
  <c r="BT252" i="32"/>
  <c r="BR252" i="32"/>
  <c r="BO252" i="32"/>
  <c r="BG252" i="32"/>
  <c r="BH252" i="32" s="1"/>
  <c r="BS252" i="32" s="1"/>
  <c r="BF252" i="32"/>
  <c r="AV252" i="32"/>
  <c r="AM252" i="32"/>
  <c r="AL252" i="32"/>
  <c r="BN252" i="32" s="1"/>
  <c r="AE252" i="32"/>
  <c r="BL252" i="32" s="1"/>
  <c r="AD252" i="32"/>
  <c r="BK252" i="32" s="1"/>
  <c r="W252" i="32"/>
  <c r="V252" i="32"/>
  <c r="BU251" i="32"/>
  <c r="BN251" i="32"/>
  <c r="BL251" i="32"/>
  <c r="BH251" i="32"/>
  <c r="BS251" i="32" s="1"/>
  <c r="BG251" i="32"/>
  <c r="BF251" i="32"/>
  <c r="BT251" i="32" s="1"/>
  <c r="AV251" i="32"/>
  <c r="BR251" i="32" s="1"/>
  <c r="AP251" i="32"/>
  <c r="AM251" i="32"/>
  <c r="AM255" i="32" s="1"/>
  <c r="AL251" i="32"/>
  <c r="AN251" i="32" s="1"/>
  <c r="BM251" i="32" s="1"/>
  <c r="AE251" i="32"/>
  <c r="W251" i="32"/>
  <c r="V251" i="32"/>
  <c r="AD251" i="32" s="1"/>
  <c r="BT250" i="32"/>
  <c r="BS250" i="32"/>
  <c r="BO250" i="32"/>
  <c r="BG250" i="32"/>
  <c r="BH250" i="32" s="1"/>
  <c r="BF250" i="32"/>
  <c r="AV250" i="32"/>
  <c r="BR250" i="32" s="1"/>
  <c r="AN250" i="32"/>
  <c r="BM250" i="32" s="1"/>
  <c r="AM250" i="32"/>
  <c r="AL250" i="32"/>
  <c r="BN250" i="32" s="1"/>
  <c r="W250" i="32"/>
  <c r="AE250" i="32" s="1"/>
  <c r="V250" i="32"/>
  <c r="AD250" i="32" s="1"/>
  <c r="BU249" i="32"/>
  <c r="BN249" i="32"/>
  <c r="BN255" i="32" s="1"/>
  <c r="BK249" i="32"/>
  <c r="BG249" i="32"/>
  <c r="BF249" i="32"/>
  <c r="AV249" i="32"/>
  <c r="BR249" i="32" s="1"/>
  <c r="AN249" i="32"/>
  <c r="AM249" i="32"/>
  <c r="BO249" i="32" s="1"/>
  <c r="AL249" i="32"/>
  <c r="AL255" i="32" s="1"/>
  <c r="AE249" i="32"/>
  <c r="AP249" i="32" s="1"/>
  <c r="AD249" i="32"/>
  <c r="AO249" i="32" s="1"/>
  <c r="W249" i="32"/>
  <c r="W255" i="32" s="1"/>
  <c r="V249" i="32"/>
  <c r="V255" i="32" s="1"/>
  <c r="CA248" i="32"/>
  <c r="BZ248" i="32"/>
  <c r="BY248" i="32"/>
  <c r="BX248" i="32"/>
  <c r="BW248" i="32"/>
  <c r="BV248" i="32"/>
  <c r="BF248" i="32"/>
  <c r="BE248" i="32"/>
  <c r="BD248" i="32"/>
  <c r="BC248" i="32"/>
  <c r="BB248" i="32"/>
  <c r="BA248" i="32"/>
  <c r="AZ248" i="32"/>
  <c r="AY248" i="32"/>
  <c r="AX248" i="32"/>
  <c r="AU248" i="32"/>
  <c r="AT248" i="32"/>
  <c r="AK248" i="32"/>
  <c r="AJ248" i="32"/>
  <c r="AI248" i="32"/>
  <c r="AH248" i="32"/>
  <c r="AG248" i="32"/>
  <c r="AE248" i="32"/>
  <c r="AC248" i="32"/>
  <c r="AB248" i="32"/>
  <c r="AA248" i="32"/>
  <c r="Z248" i="32"/>
  <c r="Y248" i="32"/>
  <c r="X248" i="32"/>
  <c r="BT247" i="32"/>
  <c r="BN247" i="32"/>
  <c r="BJ247" i="32"/>
  <c r="BH247" i="32"/>
  <c r="BS247" i="32" s="1"/>
  <c r="BG247" i="32"/>
  <c r="BU247" i="32" s="1"/>
  <c r="BF247" i="32"/>
  <c r="AV247" i="32"/>
  <c r="BR247" i="32" s="1"/>
  <c r="AM247" i="32"/>
  <c r="AL247" i="32"/>
  <c r="AF247" i="32"/>
  <c r="AR247" i="32" s="1"/>
  <c r="BP247" i="32" s="1"/>
  <c r="AD247" i="32"/>
  <c r="AO247" i="32" s="1"/>
  <c r="W247" i="32"/>
  <c r="AE247" i="32" s="1"/>
  <c r="V247" i="32"/>
  <c r="BU246" i="32"/>
  <c r="BR246" i="32"/>
  <c r="BN246" i="32"/>
  <c r="BN248" i="32" s="1"/>
  <c r="BH246" i="32"/>
  <c r="BG246" i="32"/>
  <c r="BF246" i="32"/>
  <c r="BT246" i="32" s="1"/>
  <c r="BT248" i="32" s="1"/>
  <c r="AV246" i="32"/>
  <c r="AP246" i="32"/>
  <c r="AN246" i="32"/>
  <c r="BM246" i="32" s="1"/>
  <c r="AM246" i="32"/>
  <c r="AM248" i="32" s="1"/>
  <c r="AL246" i="32"/>
  <c r="AL248" i="32" s="1"/>
  <c r="AE246" i="32"/>
  <c r="BL246" i="32" s="1"/>
  <c r="AD246" i="32"/>
  <c r="W246" i="32"/>
  <c r="W248" i="32" s="1"/>
  <c r="V246" i="32"/>
  <c r="V248" i="32" s="1"/>
  <c r="CA245" i="32"/>
  <c r="BZ245" i="32"/>
  <c r="BY245" i="32"/>
  <c r="BX245" i="32"/>
  <c r="BW245" i="32"/>
  <c r="BV245" i="32"/>
  <c r="BE245" i="32"/>
  <c r="BD245" i="32"/>
  <c r="BC245" i="32"/>
  <c r="BB245" i="32"/>
  <c r="BA245" i="32"/>
  <c r="AZ245" i="32"/>
  <c r="AY245" i="32"/>
  <c r="AX245" i="32"/>
  <c r="AU245" i="32"/>
  <c r="AT245" i="32"/>
  <c r="AK245" i="32"/>
  <c r="AJ245" i="32"/>
  <c r="AI245" i="32"/>
  <c r="AH245" i="32"/>
  <c r="AG245" i="32"/>
  <c r="AC245" i="32"/>
  <c r="AB245" i="32"/>
  <c r="AA245" i="32"/>
  <c r="Z245" i="32"/>
  <c r="Y245" i="32"/>
  <c r="X245" i="32"/>
  <c r="BT244" i="32"/>
  <c r="BO244" i="32"/>
  <c r="BM244" i="32"/>
  <c r="BH244" i="32"/>
  <c r="BS244" i="32" s="1"/>
  <c r="BG244" i="32"/>
  <c r="BU244" i="32" s="1"/>
  <c r="BF244" i="32"/>
  <c r="AV244" i="32"/>
  <c r="BR244" i="32" s="1"/>
  <c r="AN244" i="32"/>
  <c r="AM244" i="32"/>
  <c r="AL244" i="32"/>
  <c r="BN244" i="32" s="1"/>
  <c r="AF244" i="32"/>
  <c r="AR244" i="32" s="1"/>
  <c r="BP244" i="32" s="1"/>
  <c r="W244" i="32"/>
  <c r="AE244" i="32" s="1"/>
  <c r="V244" i="32"/>
  <c r="AD244" i="32" s="1"/>
  <c r="BU243" i="32"/>
  <c r="BR243" i="32"/>
  <c r="BO243" i="32"/>
  <c r="BK243" i="32"/>
  <c r="BH243" i="32"/>
  <c r="BS243" i="32" s="1"/>
  <c r="BG243" i="32"/>
  <c r="BF243" i="32"/>
  <c r="BT243" i="32" s="1"/>
  <c r="AV243" i="32"/>
  <c r="AN243" i="32"/>
  <c r="BM243" i="32" s="1"/>
  <c r="AM243" i="32"/>
  <c r="AL243" i="32"/>
  <c r="BN243" i="32" s="1"/>
  <c r="AE243" i="32"/>
  <c r="AP243" i="32" s="1"/>
  <c r="W243" i="32"/>
  <c r="V243" i="32"/>
  <c r="AD243" i="32" s="1"/>
  <c r="BO242" i="32"/>
  <c r="BG242" i="32"/>
  <c r="BU242" i="32" s="1"/>
  <c r="BF242" i="32"/>
  <c r="AV242" i="32"/>
  <c r="BR242" i="32" s="1"/>
  <c r="AP242" i="32"/>
  <c r="AN242" i="32"/>
  <c r="BM242" i="32" s="1"/>
  <c r="AM242" i="32"/>
  <c r="AL242" i="32"/>
  <c r="BN242" i="32" s="1"/>
  <c r="AE242" i="32"/>
  <c r="BL242" i="32" s="1"/>
  <c r="W242" i="32"/>
  <c r="V242" i="32"/>
  <c r="AD242" i="32" s="1"/>
  <c r="BN241" i="32"/>
  <c r="BK241" i="32"/>
  <c r="BH241" i="32"/>
  <c r="BS241" i="32" s="1"/>
  <c r="BG241" i="32"/>
  <c r="BU241" i="32" s="1"/>
  <c r="BF241" i="32"/>
  <c r="BT241" i="32" s="1"/>
  <c r="AV241" i="32"/>
  <c r="BR241" i="32" s="1"/>
  <c r="AN241" i="32"/>
  <c r="BM241" i="32" s="1"/>
  <c r="AM241" i="32"/>
  <c r="BO241" i="32" s="1"/>
  <c r="AL241" i="32"/>
  <c r="AF241" i="32"/>
  <c r="AS241" i="32" s="1"/>
  <c r="BQ241" i="32" s="1"/>
  <c r="AE241" i="32"/>
  <c r="AP241" i="32" s="1"/>
  <c r="AD241" i="32"/>
  <c r="AO241" i="32" s="1"/>
  <c r="W241" i="32"/>
  <c r="V241" i="32"/>
  <c r="BR240" i="32"/>
  <c r="BO240" i="32"/>
  <c r="BL240" i="32"/>
  <c r="BH240" i="32"/>
  <c r="BS240" i="32" s="1"/>
  <c r="BG240" i="32"/>
  <c r="BU240" i="32" s="1"/>
  <c r="BF240" i="32"/>
  <c r="BT240" i="32" s="1"/>
  <c r="AV240" i="32"/>
  <c r="AP240" i="32"/>
  <c r="AM240" i="32"/>
  <c r="AM245" i="32" s="1"/>
  <c r="AL240" i="32"/>
  <c r="BN240" i="32" s="1"/>
  <c r="AF240" i="32"/>
  <c r="AE240" i="32"/>
  <c r="AD240" i="32"/>
  <c r="AO240" i="32" s="1"/>
  <c r="AQ240" i="32" s="1"/>
  <c r="W240" i="32"/>
  <c r="V240" i="32"/>
  <c r="BT239" i="32"/>
  <c r="BR239" i="32"/>
  <c r="BO239" i="32"/>
  <c r="BG239" i="32"/>
  <c r="BG245" i="32" s="1"/>
  <c r="BF239" i="32"/>
  <c r="AV239" i="32"/>
  <c r="AN239" i="32"/>
  <c r="AM239" i="32"/>
  <c r="AL239" i="32"/>
  <c r="AL245" i="32" s="1"/>
  <c r="W239" i="32"/>
  <c r="AE239" i="32" s="1"/>
  <c r="V239" i="32"/>
  <c r="AD239" i="32" s="1"/>
  <c r="CA238" i="32"/>
  <c r="BZ238" i="32"/>
  <c r="BY238" i="32"/>
  <c r="BX238" i="32"/>
  <c r="BW238" i="32"/>
  <c r="BV238" i="32"/>
  <c r="BE238" i="32"/>
  <c r="BD238" i="32"/>
  <c r="BC238" i="32"/>
  <c r="BB238" i="32"/>
  <c r="BA238" i="32"/>
  <c r="AZ238" i="32"/>
  <c r="AY238" i="32"/>
  <c r="AX238" i="32"/>
  <c r="AU238" i="32"/>
  <c r="AT238" i="32"/>
  <c r="AK238" i="32"/>
  <c r="AJ238" i="32"/>
  <c r="AI238" i="32"/>
  <c r="AH238" i="32"/>
  <c r="AG238" i="32"/>
  <c r="AC238" i="32"/>
  <c r="AB238" i="32"/>
  <c r="AA238" i="32"/>
  <c r="Z238" i="32"/>
  <c r="Y238" i="32"/>
  <c r="X238" i="32"/>
  <c r="BU237" i="32"/>
  <c r="BR237" i="32"/>
  <c r="BN237" i="32"/>
  <c r="BG237" i="32"/>
  <c r="BH237" i="32" s="1"/>
  <c r="BS237" i="32" s="1"/>
  <c r="BF237" i="32"/>
  <c r="BT237" i="32" s="1"/>
  <c r="AV237" i="32"/>
  <c r="AM237" i="32"/>
  <c r="BO237" i="32" s="1"/>
  <c r="AL237" i="32"/>
  <c r="AE237" i="32"/>
  <c r="W237" i="32"/>
  <c r="V237" i="32"/>
  <c r="AD237" i="32" s="1"/>
  <c r="BS236" i="32"/>
  <c r="BL236" i="32"/>
  <c r="BH236" i="32"/>
  <c r="BG236" i="32"/>
  <c r="BU236" i="32" s="1"/>
  <c r="BF236" i="32"/>
  <c r="BT236" i="32" s="1"/>
  <c r="AV236" i="32"/>
  <c r="BR236" i="32" s="1"/>
  <c r="AO236" i="32"/>
  <c r="AM236" i="32"/>
  <c r="BO236" i="32" s="1"/>
  <c r="AL236" i="32"/>
  <c r="BN236" i="32" s="1"/>
  <c r="AE236" i="32"/>
  <c r="AP236" i="32" s="1"/>
  <c r="AD236" i="32"/>
  <c r="W236" i="32"/>
  <c r="V236" i="32"/>
  <c r="BU235" i="32"/>
  <c r="BR235" i="32"/>
  <c r="BG235" i="32"/>
  <c r="BG238" i="32" s="1"/>
  <c r="BF235" i="32"/>
  <c r="AV235" i="32"/>
  <c r="AV238" i="32" s="1"/>
  <c r="AN235" i="32"/>
  <c r="BM235" i="32" s="1"/>
  <c r="AM235" i="32"/>
  <c r="BO235" i="32" s="1"/>
  <c r="BO238" i="32" s="1"/>
  <c r="AL235" i="32"/>
  <c r="AL238" i="32" s="1"/>
  <c r="AE235" i="32"/>
  <c r="AE238" i="32" s="1"/>
  <c r="W235" i="32"/>
  <c r="W238" i="32" s="1"/>
  <c r="V235" i="32"/>
  <c r="AD235" i="32" s="1"/>
  <c r="CA234" i="32"/>
  <c r="BZ234" i="32"/>
  <c r="BY234" i="32"/>
  <c r="BX234" i="32"/>
  <c r="BW234" i="32"/>
  <c r="BV234" i="32"/>
  <c r="BE234" i="32"/>
  <c r="BD234" i="32"/>
  <c r="BC234" i="32"/>
  <c r="BB234" i="32"/>
  <c r="BA234" i="32"/>
  <c r="AZ234" i="32"/>
  <c r="AY234" i="32"/>
  <c r="AX234" i="32"/>
  <c r="AU234" i="32"/>
  <c r="AT234" i="32"/>
  <c r="AK234" i="32"/>
  <c r="AJ234" i="32"/>
  <c r="AI234" i="32"/>
  <c r="AH234" i="32"/>
  <c r="AG234" i="32"/>
  <c r="AC234" i="32"/>
  <c r="AB234" i="32"/>
  <c r="AA234" i="32"/>
  <c r="Z234" i="32"/>
  <c r="Y234" i="32"/>
  <c r="X234" i="32"/>
  <c r="BU233" i="32"/>
  <c r="BR233" i="32"/>
  <c r="BG233" i="32"/>
  <c r="BF233" i="32"/>
  <c r="BT233" i="32" s="1"/>
  <c r="AV233" i="32"/>
  <c r="AM233" i="32"/>
  <c r="BO233" i="32" s="1"/>
  <c r="AL233" i="32"/>
  <c r="BN233" i="32" s="1"/>
  <c r="AE233" i="32"/>
  <c r="W233" i="32"/>
  <c r="V233" i="32"/>
  <c r="AD233" i="32" s="1"/>
  <c r="BN232" i="32"/>
  <c r="BG232" i="32"/>
  <c r="BU232" i="32" s="1"/>
  <c r="BF232" i="32"/>
  <c r="BH232" i="32" s="1"/>
  <c r="BS232" i="32" s="1"/>
  <c r="AV232" i="32"/>
  <c r="BR232" i="32" s="1"/>
  <c r="AN232" i="32"/>
  <c r="BM232" i="32" s="1"/>
  <c r="AM232" i="32"/>
  <c r="BO232" i="32" s="1"/>
  <c r="AL232" i="32"/>
  <c r="AE232" i="32"/>
  <c r="AP232" i="32" s="1"/>
  <c r="W232" i="32"/>
  <c r="V232" i="32"/>
  <c r="AD232" i="32" s="1"/>
  <c r="BT231" i="32"/>
  <c r="BN231" i="32"/>
  <c r="BH231" i="32"/>
  <c r="BS231" i="32" s="1"/>
  <c r="BG231" i="32"/>
  <c r="BU231" i="32" s="1"/>
  <c r="BF231" i="32"/>
  <c r="AV231" i="32"/>
  <c r="BR231" i="32" s="1"/>
  <c r="AM231" i="32"/>
  <c r="BO231" i="32" s="1"/>
  <c r="AL231" i="32"/>
  <c r="AN231" i="32" s="1"/>
  <c r="BM231" i="32" s="1"/>
  <c r="AF231" i="32"/>
  <c r="BJ231" i="32" s="1"/>
  <c r="AD231" i="32"/>
  <c r="BK231" i="32" s="1"/>
  <c r="W231" i="32"/>
  <c r="AE231" i="32" s="1"/>
  <c r="V231" i="32"/>
  <c r="BU230" i="32"/>
  <c r="BR230" i="32"/>
  <c r="BN230" i="32"/>
  <c r="BG230" i="32"/>
  <c r="BF230" i="32"/>
  <c r="BH230" i="32" s="1"/>
  <c r="BS230" i="32" s="1"/>
  <c r="AV230" i="32"/>
  <c r="AN230" i="32"/>
  <c r="BM230" i="32" s="1"/>
  <c r="AM230" i="32"/>
  <c r="BO230" i="32" s="1"/>
  <c r="AL230" i="32"/>
  <c r="W230" i="32"/>
  <c r="AE230" i="32" s="1"/>
  <c r="V230" i="32"/>
  <c r="AD230" i="32" s="1"/>
  <c r="BO229" i="32"/>
  <c r="BG229" i="32"/>
  <c r="BG234" i="32" s="1"/>
  <c r="BF229" i="32"/>
  <c r="AV229" i="32"/>
  <c r="BR229" i="32" s="1"/>
  <c r="AM229" i="32"/>
  <c r="AN229" i="32" s="1"/>
  <c r="BM229" i="32" s="1"/>
  <c r="AL229" i="32"/>
  <c r="BN229" i="32" s="1"/>
  <c r="AE229" i="32"/>
  <c r="AP229" i="32" s="1"/>
  <c r="AD229" i="32"/>
  <c r="BK229" i="32" s="1"/>
  <c r="W229" i="32"/>
  <c r="V229" i="32"/>
  <c r="BK228" i="32"/>
  <c r="BG228" i="32"/>
  <c r="BU228" i="32" s="1"/>
  <c r="BF228" i="32"/>
  <c r="BF234" i="32" s="1"/>
  <c r="AV228" i="32"/>
  <c r="AV234" i="32" s="1"/>
  <c r="AM228" i="32"/>
  <c r="BO228" i="32" s="1"/>
  <c r="AL228" i="32"/>
  <c r="AL234" i="32" s="1"/>
  <c r="AD228" i="32"/>
  <c r="AF228" i="32" s="1"/>
  <c r="W228" i="32"/>
  <c r="AE228" i="32" s="1"/>
  <c r="V228" i="32"/>
  <c r="V234" i="32" s="1"/>
  <c r="CA227" i="32"/>
  <c r="BZ227" i="32"/>
  <c r="BY227" i="32"/>
  <c r="BX227" i="32"/>
  <c r="BW227" i="32"/>
  <c r="BV227" i="32"/>
  <c r="BE227" i="32"/>
  <c r="BD227" i="32"/>
  <c r="BC227" i="32"/>
  <c r="BB227" i="32"/>
  <c r="BA227" i="32"/>
  <c r="AZ227" i="32"/>
  <c r="AY227" i="32"/>
  <c r="AX227" i="32"/>
  <c r="AU227" i="32"/>
  <c r="AT227" i="32"/>
  <c r="AK227" i="32"/>
  <c r="AJ227" i="32"/>
  <c r="AI227" i="32"/>
  <c r="AH227" i="32"/>
  <c r="AG227" i="32"/>
  <c r="AC227" i="32"/>
  <c r="AB227" i="32"/>
  <c r="AA227" i="32"/>
  <c r="Z227" i="32"/>
  <c r="Y227" i="32"/>
  <c r="X227" i="32"/>
  <c r="BU226" i="32"/>
  <c r="BO226" i="32"/>
  <c r="BM226" i="32"/>
  <c r="BG226" i="32"/>
  <c r="BF226" i="32"/>
  <c r="AV226" i="32"/>
  <c r="BR226" i="32" s="1"/>
  <c r="AN226" i="32"/>
  <c r="AM226" i="32"/>
  <c r="AL226" i="32"/>
  <c r="BN226" i="32" s="1"/>
  <c r="AD226" i="32"/>
  <c r="AF226" i="32" s="1"/>
  <c r="W226" i="32"/>
  <c r="AE226" i="32" s="1"/>
  <c r="V226" i="32"/>
  <c r="BK225" i="32"/>
  <c r="BH225" i="32"/>
  <c r="BS225" i="32" s="1"/>
  <c r="BG225" i="32"/>
  <c r="BU225" i="32" s="1"/>
  <c r="BF225" i="32"/>
  <c r="BT225" i="32" s="1"/>
  <c r="AV225" i="32"/>
  <c r="BR225" i="32" s="1"/>
  <c r="AM225" i="32"/>
  <c r="BO225" i="32" s="1"/>
  <c r="AL225" i="32"/>
  <c r="AN225" i="32" s="1"/>
  <c r="BM225" i="32" s="1"/>
  <c r="AD225" i="32"/>
  <c r="AO225" i="32" s="1"/>
  <c r="W225" i="32"/>
  <c r="AE225" i="32" s="1"/>
  <c r="V225" i="32"/>
  <c r="BR224" i="32"/>
  <c r="BO224" i="32"/>
  <c r="BN224" i="32"/>
  <c r="BG224" i="32"/>
  <c r="BU224" i="32" s="1"/>
  <c r="BF224" i="32"/>
  <c r="BH224" i="32" s="1"/>
  <c r="BS224" i="32" s="1"/>
  <c r="AV224" i="32"/>
  <c r="AM224" i="32"/>
  <c r="AL224" i="32"/>
  <c r="AN224" i="32" s="1"/>
  <c r="BM224" i="32" s="1"/>
  <c r="AE224" i="32"/>
  <c r="AP224" i="32" s="1"/>
  <c r="AD224" i="32"/>
  <c r="BK224" i="32" s="1"/>
  <c r="W224" i="32"/>
  <c r="V224" i="32"/>
  <c r="BG223" i="32"/>
  <c r="BU223" i="32" s="1"/>
  <c r="BF223" i="32"/>
  <c r="BH223" i="32" s="1"/>
  <c r="BS223" i="32" s="1"/>
  <c r="AV223" i="32"/>
  <c r="BR223" i="32" s="1"/>
  <c r="AM223" i="32"/>
  <c r="BO223" i="32" s="1"/>
  <c r="AL223" i="32"/>
  <c r="BN223" i="32" s="1"/>
  <c r="W223" i="32"/>
  <c r="AE223" i="32" s="1"/>
  <c r="V223" i="32"/>
  <c r="AD223" i="32" s="1"/>
  <c r="BT222" i="32"/>
  <c r="BO222" i="32"/>
  <c r="BN222" i="32"/>
  <c r="BG222" i="32"/>
  <c r="BH222" i="32" s="1"/>
  <c r="BS222" i="32" s="1"/>
  <c r="BF222" i="32"/>
  <c r="AV222" i="32"/>
  <c r="BR222" i="32" s="1"/>
  <c r="AM222" i="32"/>
  <c r="AL222" i="32"/>
  <c r="AN222" i="32" s="1"/>
  <c r="BM222" i="32" s="1"/>
  <c r="AD222" i="32"/>
  <c r="AF222" i="32" s="1"/>
  <c r="W222" i="32"/>
  <c r="AE222" i="32" s="1"/>
  <c r="V222" i="32"/>
  <c r="BU221" i="32"/>
  <c r="BG221" i="32"/>
  <c r="BF221" i="32"/>
  <c r="BT221" i="32" s="1"/>
  <c r="AV221" i="32"/>
  <c r="BR221" i="32" s="1"/>
  <c r="AM221" i="32"/>
  <c r="AM227" i="32" s="1"/>
  <c r="AL221" i="32"/>
  <c r="AL227" i="32" s="1"/>
  <c r="W221" i="32"/>
  <c r="W227" i="32" s="1"/>
  <c r="V221" i="32"/>
  <c r="AD221" i="32" s="1"/>
  <c r="CA220" i="32"/>
  <c r="BZ220" i="32"/>
  <c r="BY220" i="32"/>
  <c r="BX220" i="32"/>
  <c r="BW220" i="32"/>
  <c r="BV220" i="32"/>
  <c r="BE220" i="32"/>
  <c r="BD220" i="32"/>
  <c r="BC220" i="32"/>
  <c r="BB220" i="32"/>
  <c r="BA220" i="32"/>
  <c r="AZ220" i="32"/>
  <c r="AY220" i="32"/>
  <c r="AX220" i="32"/>
  <c r="AU220" i="32"/>
  <c r="AT220" i="32"/>
  <c r="AL220" i="32"/>
  <c r="AK220" i="32"/>
  <c r="AJ220" i="32"/>
  <c r="AI220" i="32"/>
  <c r="AH220" i="32"/>
  <c r="AG220" i="32"/>
  <c r="AC220" i="32"/>
  <c r="AB220" i="32"/>
  <c r="AA220" i="32"/>
  <c r="Z220" i="32"/>
  <c r="Y220" i="32"/>
  <c r="X220" i="32"/>
  <c r="BT219" i="32"/>
  <c r="BN219" i="32"/>
  <c r="BG219" i="32"/>
  <c r="BH219" i="32" s="1"/>
  <c r="BS219" i="32" s="1"/>
  <c r="BF219" i="32"/>
  <c r="AV219" i="32"/>
  <c r="BR219" i="32" s="1"/>
  <c r="AN219" i="32"/>
  <c r="BM219" i="32" s="1"/>
  <c r="AM219" i="32"/>
  <c r="BO219" i="32" s="1"/>
  <c r="AL219" i="32"/>
  <c r="W219" i="32"/>
  <c r="AE219" i="32" s="1"/>
  <c r="V219" i="32"/>
  <c r="AD219" i="32" s="1"/>
  <c r="BU218" i="32"/>
  <c r="BO218" i="32"/>
  <c r="BN218" i="32"/>
  <c r="BH218" i="32"/>
  <c r="BS218" i="32" s="1"/>
  <c r="BG218" i="32"/>
  <c r="BF218" i="32"/>
  <c r="BT218" i="32" s="1"/>
  <c r="AV218" i="32"/>
  <c r="BR218" i="32" s="1"/>
  <c r="AM218" i="32"/>
  <c r="AL218" i="32"/>
  <c r="AN218" i="32" s="1"/>
  <c r="BM218" i="32" s="1"/>
  <c r="AE218" i="32"/>
  <c r="AP218" i="32" s="1"/>
  <c r="AD218" i="32"/>
  <c r="AO218" i="32" s="1"/>
  <c r="AQ218" i="32" s="1"/>
  <c r="W218" i="32"/>
  <c r="V218" i="32"/>
  <c r="BU217" i="32"/>
  <c r="BG217" i="32"/>
  <c r="BF217" i="32"/>
  <c r="BF220" i="32" s="1"/>
  <c r="AV217" i="32"/>
  <c r="AV220" i="32" s="1"/>
  <c r="AM217" i="32"/>
  <c r="BO217" i="32" s="1"/>
  <c r="AL217" i="32"/>
  <c r="BN217" i="32" s="1"/>
  <c r="BN220" i="32" s="1"/>
  <c r="W217" i="32"/>
  <c r="AE217" i="32" s="1"/>
  <c r="V217" i="32"/>
  <c r="V220" i="32" s="1"/>
  <c r="CA216" i="32"/>
  <c r="BZ216" i="32"/>
  <c r="BY216" i="32"/>
  <c r="BX216" i="32"/>
  <c r="BW216" i="32"/>
  <c r="BV216" i="32"/>
  <c r="BN216" i="32"/>
  <c r="BG216" i="32"/>
  <c r="BE216" i="32"/>
  <c r="BD216" i="32"/>
  <c r="BC216" i="32"/>
  <c r="BB216" i="32"/>
  <c r="BA216" i="32"/>
  <c r="AZ216" i="32"/>
  <c r="AY216" i="32"/>
  <c r="AX216" i="32"/>
  <c r="AV216" i="32"/>
  <c r="AU216" i="32"/>
  <c r="AT216" i="32"/>
  <c r="AM216" i="32"/>
  <c r="AL216" i="32"/>
  <c r="AK216" i="32"/>
  <c r="AJ216" i="32"/>
  <c r="AI216" i="32"/>
  <c r="AH216" i="32"/>
  <c r="AG216" i="32"/>
  <c r="AC216" i="32"/>
  <c r="AB216" i="32"/>
  <c r="AA216" i="32"/>
  <c r="Z216" i="32"/>
  <c r="Y216" i="32"/>
  <c r="X216" i="32"/>
  <c r="BU215" i="32"/>
  <c r="BU216" i="32" s="1"/>
  <c r="BR215" i="32"/>
  <c r="BR216" i="32" s="1"/>
  <c r="BO215" i="32"/>
  <c r="BO216" i="32" s="1"/>
  <c r="BN215" i="32"/>
  <c r="BG215" i="32"/>
  <c r="BF215" i="32"/>
  <c r="BH215" i="32" s="1"/>
  <c r="AV215" i="32"/>
  <c r="AN215" i="32"/>
  <c r="BM215" i="32" s="1"/>
  <c r="BM216" i="32" s="1"/>
  <c r="AM215" i="32"/>
  <c r="AL215" i="32"/>
  <c r="W215" i="32"/>
  <c r="W216" i="32" s="1"/>
  <c r="V215" i="32"/>
  <c r="V216" i="32" s="1"/>
  <c r="CA214" i="32"/>
  <c r="BZ214" i="32"/>
  <c r="BY214" i="32"/>
  <c r="BX214" i="32"/>
  <c r="BW214" i="32"/>
  <c r="BV214" i="32"/>
  <c r="BE214" i="32"/>
  <c r="BD214" i="32"/>
  <c r="BC214" i="32"/>
  <c r="BB214" i="32"/>
  <c r="BA214" i="32"/>
  <c r="AZ214" i="32"/>
  <c r="AY214" i="32"/>
  <c r="AX214" i="32"/>
  <c r="AU214" i="32"/>
  <c r="AT214" i="32"/>
  <c r="AK214" i="32"/>
  <c r="AJ214" i="32"/>
  <c r="AI214" i="32"/>
  <c r="AH214" i="32"/>
  <c r="AG214" i="32"/>
  <c r="AC214" i="32"/>
  <c r="AB214" i="32"/>
  <c r="AA214" i="32"/>
  <c r="Z214" i="32"/>
  <c r="Y214" i="32"/>
  <c r="X214" i="32"/>
  <c r="BU213" i="32"/>
  <c r="BT213" i="32"/>
  <c r="BH213" i="32"/>
  <c r="BS213" i="32" s="1"/>
  <c r="BG213" i="32"/>
  <c r="BF213" i="32"/>
  <c r="AV213" i="32"/>
  <c r="BR213" i="32" s="1"/>
  <c r="AM213" i="32"/>
  <c r="BO213" i="32" s="1"/>
  <c r="AL213" i="32"/>
  <c r="AN213" i="32" s="1"/>
  <c r="BM213" i="32" s="1"/>
  <c r="W213" i="32"/>
  <c r="AE213" i="32" s="1"/>
  <c r="V213" i="32"/>
  <c r="AD213" i="32" s="1"/>
  <c r="BU212" i="32"/>
  <c r="BG212" i="32"/>
  <c r="BF212" i="32"/>
  <c r="BT212" i="32" s="1"/>
  <c r="AV212" i="32"/>
  <c r="BR212" i="32" s="1"/>
  <c r="AM212" i="32"/>
  <c r="AN212" i="32" s="1"/>
  <c r="BM212" i="32" s="1"/>
  <c r="AL212" i="32"/>
  <c r="BN212" i="32" s="1"/>
  <c r="W212" i="32"/>
  <c r="AE212" i="32" s="1"/>
  <c r="V212" i="32"/>
  <c r="AD212" i="32" s="1"/>
  <c r="BG211" i="32"/>
  <c r="BU211" i="32" s="1"/>
  <c r="BF211" i="32"/>
  <c r="BT211" i="32" s="1"/>
  <c r="AV211" i="32"/>
  <c r="BR211" i="32" s="1"/>
  <c r="AN211" i="32"/>
  <c r="BM211" i="32" s="1"/>
  <c r="AM211" i="32"/>
  <c r="BO211" i="32" s="1"/>
  <c r="AL211" i="32"/>
  <c r="BN211" i="32" s="1"/>
  <c r="AD211" i="32"/>
  <c r="AF211" i="32" s="1"/>
  <c r="W211" i="32"/>
  <c r="AE211" i="32" s="1"/>
  <c r="V211" i="32"/>
  <c r="BR210" i="32"/>
  <c r="BG210" i="32"/>
  <c r="BU210" i="32" s="1"/>
  <c r="BF210" i="32"/>
  <c r="BT210" i="32" s="1"/>
  <c r="AV210" i="32"/>
  <c r="AM210" i="32"/>
  <c r="BO210" i="32" s="1"/>
  <c r="AL210" i="32"/>
  <c r="BN210" i="32" s="1"/>
  <c r="AE210" i="32"/>
  <c r="BL210" i="32" s="1"/>
  <c r="AD210" i="32"/>
  <c r="AF210" i="32" s="1"/>
  <c r="W210" i="32"/>
  <c r="V210" i="32"/>
  <c r="BR209" i="32"/>
  <c r="BG209" i="32"/>
  <c r="BU209" i="32" s="1"/>
  <c r="BF209" i="32"/>
  <c r="BT209" i="32" s="1"/>
  <c r="AV209" i="32"/>
  <c r="AM209" i="32"/>
  <c r="BO209" i="32" s="1"/>
  <c r="AL209" i="32"/>
  <c r="AN209" i="32" s="1"/>
  <c r="BM209" i="32" s="1"/>
  <c r="AE209" i="32"/>
  <c r="BL209" i="32" s="1"/>
  <c r="W209" i="32"/>
  <c r="V209" i="32"/>
  <c r="AD209" i="32" s="1"/>
  <c r="BT208" i="32"/>
  <c r="BG208" i="32"/>
  <c r="BG214" i="32" s="1"/>
  <c r="BF208" i="32"/>
  <c r="AV208" i="32"/>
  <c r="BR208" i="32" s="1"/>
  <c r="AM208" i="32"/>
  <c r="BO208" i="32" s="1"/>
  <c r="AL208" i="32"/>
  <c r="AN208" i="32" s="1"/>
  <c r="BM208" i="32" s="1"/>
  <c r="W208" i="32"/>
  <c r="AE208" i="32" s="1"/>
  <c r="V208" i="32"/>
  <c r="AD208" i="32" s="1"/>
  <c r="BU207" i="32"/>
  <c r="BT207" i="32"/>
  <c r="BH207" i="32"/>
  <c r="BS207" i="32" s="1"/>
  <c r="BG207" i="32"/>
  <c r="BF207" i="32"/>
  <c r="AV207" i="32"/>
  <c r="BR207" i="32" s="1"/>
  <c r="AM207" i="32"/>
  <c r="BO207" i="32" s="1"/>
  <c r="AL207" i="32"/>
  <c r="W207" i="32"/>
  <c r="AE207" i="32" s="1"/>
  <c r="V207" i="32"/>
  <c r="AD207" i="32" s="1"/>
  <c r="BU206" i="32"/>
  <c r="BO206" i="32"/>
  <c r="BG206" i="32"/>
  <c r="BF206" i="32"/>
  <c r="BF214" i="32" s="1"/>
  <c r="AV206" i="32"/>
  <c r="AN206" i="32"/>
  <c r="AM206" i="32"/>
  <c r="AL206" i="32"/>
  <c r="BN206" i="32" s="1"/>
  <c r="W206" i="32"/>
  <c r="V206" i="32"/>
  <c r="CA205" i="32"/>
  <c r="BZ205" i="32"/>
  <c r="BY205" i="32"/>
  <c r="BX205" i="32"/>
  <c r="BW205" i="32"/>
  <c r="BV205" i="32"/>
  <c r="BE205" i="32"/>
  <c r="BD205" i="32"/>
  <c r="BC205" i="32"/>
  <c r="BB205" i="32"/>
  <c r="BA205" i="32"/>
  <c r="AZ205" i="32"/>
  <c r="AY205" i="32"/>
  <c r="AX205" i="32"/>
  <c r="AU205" i="32"/>
  <c r="AT205" i="32"/>
  <c r="AK205" i="32"/>
  <c r="AJ205" i="32"/>
  <c r="AI205" i="32"/>
  <c r="AH205" i="32"/>
  <c r="AG205" i="32"/>
  <c r="AC205" i="32"/>
  <c r="AB205" i="32"/>
  <c r="AA205" i="32"/>
  <c r="Z205" i="32"/>
  <c r="Y205" i="32"/>
  <c r="X205" i="32"/>
  <c r="BU204" i="32"/>
  <c r="BT204" i="32"/>
  <c r="BH204" i="32"/>
  <c r="BS204" i="32" s="1"/>
  <c r="BG204" i="32"/>
  <c r="BF204" i="32"/>
  <c r="AV204" i="32"/>
  <c r="BR204" i="32" s="1"/>
  <c r="AM204" i="32"/>
  <c r="BO204" i="32" s="1"/>
  <c r="AL204" i="32"/>
  <c r="W204" i="32"/>
  <c r="AE204" i="32" s="1"/>
  <c r="V204" i="32"/>
  <c r="AD204" i="32" s="1"/>
  <c r="BU203" i="32"/>
  <c r="BR203" i="32"/>
  <c r="BG203" i="32"/>
  <c r="BF203" i="32"/>
  <c r="AV203" i="32"/>
  <c r="AM203" i="32"/>
  <c r="AN203" i="32" s="1"/>
  <c r="BM203" i="32" s="1"/>
  <c r="AL203" i="32"/>
  <c r="BN203" i="32" s="1"/>
  <c r="W203" i="32"/>
  <c r="AE203" i="32" s="1"/>
  <c r="V203" i="32"/>
  <c r="AD203" i="32" s="1"/>
  <c r="BG202" i="32"/>
  <c r="BU202" i="32" s="1"/>
  <c r="BF202" i="32"/>
  <c r="BT202" i="32" s="1"/>
  <c r="AV202" i="32"/>
  <c r="BR202" i="32" s="1"/>
  <c r="AN202" i="32"/>
  <c r="BM202" i="32" s="1"/>
  <c r="AM202" i="32"/>
  <c r="BO202" i="32" s="1"/>
  <c r="AL202" i="32"/>
  <c r="BN202" i="32" s="1"/>
  <c r="AD202" i="32"/>
  <c r="BK202" i="32" s="1"/>
  <c r="W202" i="32"/>
  <c r="V202" i="32"/>
  <c r="BT201" i="32"/>
  <c r="BR201" i="32"/>
  <c r="BH201" i="32"/>
  <c r="BS201" i="32" s="1"/>
  <c r="BG201" i="32"/>
  <c r="BU201" i="32" s="1"/>
  <c r="BF201" i="32"/>
  <c r="AV201" i="32"/>
  <c r="AP201" i="32"/>
  <c r="AO201" i="32"/>
  <c r="AM201" i="32"/>
  <c r="BO201" i="32" s="1"/>
  <c r="AL201" i="32"/>
  <c r="AN201" i="32" s="1"/>
  <c r="BM201" i="32" s="1"/>
  <c r="AE201" i="32"/>
  <c r="BL201" i="32" s="1"/>
  <c r="AD201" i="32"/>
  <c r="AF201" i="32" s="1"/>
  <c r="W201" i="32"/>
  <c r="V201" i="32"/>
  <c r="BR200" i="32"/>
  <c r="BG200" i="32"/>
  <c r="BG205" i="32" s="1"/>
  <c r="BF200" i="32"/>
  <c r="AV200" i="32"/>
  <c r="AV205" i="32" s="1"/>
  <c r="AM200" i="32"/>
  <c r="AM205" i="32" s="1"/>
  <c r="AL200" i="32"/>
  <c r="AE200" i="32"/>
  <c r="W200" i="32"/>
  <c r="V200" i="32"/>
  <c r="CA199" i="32"/>
  <c r="BZ199" i="32"/>
  <c r="BY199" i="32"/>
  <c r="BX199" i="32"/>
  <c r="BW199" i="32"/>
  <c r="BV199" i="32"/>
  <c r="BE199" i="32"/>
  <c r="BD199" i="32"/>
  <c r="BC199" i="32"/>
  <c r="BB199" i="32"/>
  <c r="BA199" i="32"/>
  <c r="AZ199" i="32"/>
  <c r="AY199" i="32"/>
  <c r="AX199" i="32"/>
  <c r="AU199" i="32"/>
  <c r="AT199" i="32"/>
  <c r="AK199" i="32"/>
  <c r="AJ199" i="32"/>
  <c r="AI199" i="32"/>
  <c r="AH199" i="32"/>
  <c r="AG199" i="32"/>
  <c r="AC199" i="32"/>
  <c r="AB199" i="32"/>
  <c r="AA199" i="32"/>
  <c r="Z199" i="32"/>
  <c r="Y199" i="32"/>
  <c r="X199" i="32"/>
  <c r="W199" i="32"/>
  <c r="BR198" i="32"/>
  <c r="BN198" i="32"/>
  <c r="BK198" i="32"/>
  <c r="BH198" i="32"/>
  <c r="BS198" i="32" s="1"/>
  <c r="BG198" i="32"/>
  <c r="BU198" i="32" s="1"/>
  <c r="BF198" i="32"/>
  <c r="BT198" i="32" s="1"/>
  <c r="AV198" i="32"/>
  <c r="AO198" i="32"/>
  <c r="AM198" i="32"/>
  <c r="BO198" i="32" s="1"/>
  <c r="AL198" i="32"/>
  <c r="AN198" i="32" s="1"/>
  <c r="BM198" i="32" s="1"/>
  <c r="AE198" i="32"/>
  <c r="BL198" i="32" s="1"/>
  <c r="AD198" i="32"/>
  <c r="W198" i="32"/>
  <c r="V198" i="32"/>
  <c r="BT197" i="32"/>
  <c r="BR197" i="32"/>
  <c r="BO197" i="32"/>
  <c r="BN197" i="32"/>
  <c r="BG197" i="32"/>
  <c r="BU197" i="32" s="1"/>
  <c r="BF197" i="32"/>
  <c r="BH197" i="32" s="1"/>
  <c r="BS197" i="32" s="1"/>
  <c r="AV197" i="32"/>
  <c r="AM197" i="32"/>
  <c r="AL197" i="32"/>
  <c r="AE197" i="32"/>
  <c r="AP197" i="32" s="1"/>
  <c r="W197" i="32"/>
  <c r="V197" i="32"/>
  <c r="AD197" i="32" s="1"/>
  <c r="BU196" i="32"/>
  <c r="BT196" i="32"/>
  <c r="BT199" i="32" s="1"/>
  <c r="BN196" i="32"/>
  <c r="BN199" i="32" s="1"/>
  <c r="BH196" i="32"/>
  <c r="BS196" i="32" s="1"/>
  <c r="BS199" i="32" s="1"/>
  <c r="BG196" i="32"/>
  <c r="BG199" i="32" s="1"/>
  <c r="BF196" i="32"/>
  <c r="BF199" i="32" s="1"/>
  <c r="AV196" i="32"/>
  <c r="BR196" i="32" s="1"/>
  <c r="AN196" i="32"/>
  <c r="BM196" i="32" s="1"/>
  <c r="AM196" i="32"/>
  <c r="AM199" i="32" s="1"/>
  <c r="AL196" i="32"/>
  <c r="AL199" i="32" s="1"/>
  <c r="AD196" i="32"/>
  <c r="BK196" i="32" s="1"/>
  <c r="W196" i="32"/>
  <c r="AE196" i="32" s="1"/>
  <c r="V196" i="32"/>
  <c r="V199" i="32" s="1"/>
  <c r="CA195" i="32"/>
  <c r="BZ195" i="32"/>
  <c r="BY195" i="32"/>
  <c r="BX195" i="32"/>
  <c r="BW195" i="32"/>
  <c r="BV195" i="32"/>
  <c r="BE195" i="32"/>
  <c r="BD195" i="32"/>
  <c r="BC195" i="32"/>
  <c r="BB195" i="32"/>
  <c r="BA195" i="32"/>
  <c r="AZ195" i="32"/>
  <c r="AY195" i="32"/>
  <c r="AX195" i="32"/>
  <c r="AU195" i="32"/>
  <c r="AT195" i="32"/>
  <c r="AK195" i="32"/>
  <c r="AJ195" i="32"/>
  <c r="AI195" i="32"/>
  <c r="AH195" i="32"/>
  <c r="AG195" i="32"/>
  <c r="AC195" i="32"/>
  <c r="AB195" i="32"/>
  <c r="AA195" i="32"/>
  <c r="Z195" i="32"/>
  <c r="Y195" i="32"/>
  <c r="X195" i="32"/>
  <c r="BR194" i="32"/>
  <c r="BG194" i="32"/>
  <c r="BU194" i="32" s="1"/>
  <c r="BF194" i="32"/>
  <c r="BT194" i="32" s="1"/>
  <c r="AV194" i="32"/>
  <c r="AM194" i="32"/>
  <c r="BO194" i="32" s="1"/>
  <c r="AL194" i="32"/>
  <c r="BN194" i="32" s="1"/>
  <c r="W194" i="32"/>
  <c r="AE194" i="32" s="1"/>
  <c r="V194" i="32"/>
  <c r="AD194" i="32" s="1"/>
  <c r="BT193" i="32"/>
  <c r="BS193" i="32"/>
  <c r="BO193" i="32"/>
  <c r="BH193" i="32"/>
  <c r="BG193" i="32"/>
  <c r="BU193" i="32" s="1"/>
  <c r="BF193" i="32"/>
  <c r="AV193" i="32"/>
  <c r="BR193" i="32" s="1"/>
  <c r="AN193" i="32"/>
  <c r="BM193" i="32" s="1"/>
  <c r="AM193" i="32"/>
  <c r="AL193" i="32"/>
  <c r="BN193" i="32" s="1"/>
  <c r="W193" i="32"/>
  <c r="AE193" i="32" s="1"/>
  <c r="V193" i="32"/>
  <c r="AD193" i="32" s="1"/>
  <c r="BU192" i="32"/>
  <c r="BR192" i="32"/>
  <c r="BO192" i="32"/>
  <c r="BH192" i="32"/>
  <c r="BS192" i="32" s="1"/>
  <c r="BG192" i="32"/>
  <c r="BF192" i="32"/>
  <c r="BT192" i="32" s="1"/>
  <c r="AV192" i="32"/>
  <c r="AM192" i="32"/>
  <c r="AL192" i="32"/>
  <c r="AN192" i="32" s="1"/>
  <c r="BM192" i="32" s="1"/>
  <c r="AE192" i="32"/>
  <c r="BL192" i="32" s="1"/>
  <c r="W192" i="32"/>
  <c r="V192" i="32"/>
  <c r="AD192" i="32" s="1"/>
  <c r="BG191" i="32"/>
  <c r="BU191" i="32" s="1"/>
  <c r="BF191" i="32"/>
  <c r="AV191" i="32"/>
  <c r="BR191" i="32" s="1"/>
  <c r="AM191" i="32"/>
  <c r="AM195" i="32" s="1"/>
  <c r="AL191" i="32"/>
  <c r="BN191" i="32" s="1"/>
  <c r="W191" i="32"/>
  <c r="AE191" i="32" s="1"/>
  <c r="V191" i="32"/>
  <c r="AD191" i="32" s="1"/>
  <c r="BN190" i="32"/>
  <c r="BK190" i="32"/>
  <c r="BG190" i="32"/>
  <c r="BU190" i="32" s="1"/>
  <c r="BF190" i="32"/>
  <c r="BT190" i="32" s="1"/>
  <c r="AV190" i="32"/>
  <c r="BR190" i="32" s="1"/>
  <c r="AN190" i="32"/>
  <c r="BM190" i="32" s="1"/>
  <c r="AM190" i="32"/>
  <c r="BO190" i="32" s="1"/>
  <c r="AL190" i="32"/>
  <c r="AE190" i="32"/>
  <c r="BL190" i="32" s="1"/>
  <c r="AD190" i="32"/>
  <c r="AO190" i="32" s="1"/>
  <c r="W190" i="32"/>
  <c r="V190" i="32"/>
  <c r="BR189" i="32"/>
  <c r="BO189" i="32"/>
  <c r="BM189" i="32"/>
  <c r="BL189" i="32"/>
  <c r="BG189" i="32"/>
  <c r="BF189" i="32"/>
  <c r="BF195" i="32" s="1"/>
  <c r="AV189" i="32"/>
  <c r="AP189" i="32"/>
  <c r="AO189" i="32"/>
  <c r="AM189" i="32"/>
  <c r="AL189" i="32"/>
  <c r="AN189" i="32" s="1"/>
  <c r="AE189" i="32"/>
  <c r="AD189" i="32"/>
  <c r="AF189" i="32" s="1"/>
  <c r="W189" i="32"/>
  <c r="W195" i="32" s="1"/>
  <c r="V189" i="32"/>
  <c r="V195" i="32" s="1"/>
  <c r="CA188" i="32"/>
  <c r="BZ188" i="32"/>
  <c r="BY188" i="32"/>
  <c r="BX188" i="32"/>
  <c r="BW188" i="32"/>
  <c r="BV188" i="32"/>
  <c r="BE188" i="32"/>
  <c r="BD188" i="32"/>
  <c r="BC188" i="32"/>
  <c r="BB188" i="32"/>
  <c r="BA188" i="32"/>
  <c r="AZ188" i="32"/>
  <c r="AY188" i="32"/>
  <c r="AX188" i="32"/>
  <c r="AU188" i="32"/>
  <c r="AT188" i="32"/>
  <c r="AK188" i="32"/>
  <c r="AJ188" i="32"/>
  <c r="AI188" i="32"/>
  <c r="AH188" i="32"/>
  <c r="AG188" i="32"/>
  <c r="AC188" i="32"/>
  <c r="AB188" i="32"/>
  <c r="AA188" i="32"/>
  <c r="Z188" i="32"/>
  <c r="Y188" i="32"/>
  <c r="X188" i="32"/>
  <c r="BH187" i="32"/>
  <c r="BS187" i="32" s="1"/>
  <c r="BG187" i="32"/>
  <c r="BU187" i="32" s="1"/>
  <c r="BF187" i="32"/>
  <c r="BT187" i="32" s="1"/>
  <c r="AV187" i="32"/>
  <c r="BR187" i="32" s="1"/>
  <c r="AM187" i="32"/>
  <c r="BO187" i="32" s="1"/>
  <c r="AL187" i="32"/>
  <c r="AN187" i="32" s="1"/>
  <c r="BM187" i="32" s="1"/>
  <c r="AD187" i="32"/>
  <c r="AO187" i="32" s="1"/>
  <c r="W187" i="32"/>
  <c r="AE187" i="32" s="1"/>
  <c r="V187" i="32"/>
  <c r="BR186" i="32"/>
  <c r="BN186" i="32"/>
  <c r="BG186" i="32"/>
  <c r="BU186" i="32" s="1"/>
  <c r="BF186" i="32"/>
  <c r="BH186" i="32" s="1"/>
  <c r="BS186" i="32" s="1"/>
  <c r="AV186" i="32"/>
  <c r="AP186" i="32"/>
  <c r="AM186" i="32"/>
  <c r="BO186" i="32" s="1"/>
  <c r="AL186" i="32"/>
  <c r="AE186" i="32"/>
  <c r="BL186" i="32" s="1"/>
  <c r="AD186" i="32"/>
  <c r="BK186" i="32" s="1"/>
  <c r="W186" i="32"/>
  <c r="V186" i="32"/>
  <c r="BS185" i="32"/>
  <c r="BR185" i="32"/>
  <c r="BL185" i="32"/>
  <c r="BH185" i="32"/>
  <c r="BG185" i="32"/>
  <c r="BU185" i="32" s="1"/>
  <c r="BF185" i="32"/>
  <c r="BT185" i="32" s="1"/>
  <c r="AV185" i="32"/>
  <c r="AM185" i="32"/>
  <c r="BO185" i="32" s="1"/>
  <c r="AL185" i="32"/>
  <c r="BN185" i="32" s="1"/>
  <c r="AE185" i="32"/>
  <c r="AP185" i="32" s="1"/>
  <c r="W185" i="32"/>
  <c r="V185" i="32"/>
  <c r="AD185" i="32" s="1"/>
  <c r="AF185" i="32" s="1"/>
  <c r="BT184" i="32"/>
  <c r="BN184" i="32"/>
  <c r="BG184" i="32"/>
  <c r="BG188" i="32" s="1"/>
  <c r="BF184" i="32"/>
  <c r="AV184" i="32"/>
  <c r="BR184" i="32" s="1"/>
  <c r="AO184" i="32"/>
  <c r="AM184" i="32"/>
  <c r="BO184" i="32" s="1"/>
  <c r="AL184" i="32"/>
  <c r="AN184" i="32" s="1"/>
  <c r="BM184" i="32" s="1"/>
  <c r="AD184" i="32"/>
  <c r="AF184" i="32" s="1"/>
  <c r="W184" i="32"/>
  <c r="AE184" i="32" s="1"/>
  <c r="V184" i="32"/>
  <c r="BU183" i="32"/>
  <c r="BG183" i="32"/>
  <c r="BF183" i="32"/>
  <c r="BF188" i="32" s="1"/>
  <c r="AV183" i="32"/>
  <c r="BR183" i="32" s="1"/>
  <c r="AM183" i="32"/>
  <c r="AM188" i="32" s="1"/>
  <c r="AL183" i="32"/>
  <c r="BN183" i="32" s="1"/>
  <c r="AD183" i="32"/>
  <c r="AO183" i="32" s="1"/>
  <c r="W183" i="32"/>
  <c r="W188" i="32" s="1"/>
  <c r="V183" i="32"/>
  <c r="V188" i="32" s="1"/>
  <c r="CA182" i="32"/>
  <c r="BZ182" i="32"/>
  <c r="BY182" i="32"/>
  <c r="BX182" i="32"/>
  <c r="BW182" i="32"/>
  <c r="BV182" i="32"/>
  <c r="BF182" i="32"/>
  <c r="BE182" i="32"/>
  <c r="BD182" i="32"/>
  <c r="BC182" i="32"/>
  <c r="BB182" i="32"/>
  <c r="BA182" i="32"/>
  <c r="AZ182" i="32"/>
  <c r="AY182" i="32"/>
  <c r="AX182" i="32"/>
  <c r="AU182" i="32"/>
  <c r="AT182" i="32"/>
  <c r="AL182" i="32"/>
  <c r="AK182" i="32"/>
  <c r="AJ182" i="32"/>
  <c r="AI182" i="32"/>
  <c r="AH182" i="32"/>
  <c r="AG182" i="32"/>
  <c r="AC182" i="32"/>
  <c r="AB182" i="32"/>
  <c r="AA182" i="32"/>
  <c r="Z182" i="32"/>
  <c r="Y182" i="32"/>
  <c r="X182" i="32"/>
  <c r="BT181" i="32"/>
  <c r="BS181" i="32"/>
  <c r="BN181" i="32"/>
  <c r="BH181" i="32"/>
  <c r="BG181" i="32"/>
  <c r="BU181" i="32" s="1"/>
  <c r="BF181" i="32"/>
  <c r="AV181" i="32"/>
  <c r="BR181" i="32" s="1"/>
  <c r="AM181" i="32"/>
  <c r="BO181" i="32" s="1"/>
  <c r="AL181" i="32"/>
  <c r="W181" i="32"/>
  <c r="AE181" i="32" s="1"/>
  <c r="V181" i="32"/>
  <c r="AD181" i="32" s="1"/>
  <c r="BU180" i="32"/>
  <c r="BR180" i="32"/>
  <c r="BO180" i="32"/>
  <c r="BN180" i="32"/>
  <c r="BH180" i="32"/>
  <c r="BS180" i="32" s="1"/>
  <c r="BG180" i="32"/>
  <c r="BF180" i="32"/>
  <c r="BT180" i="32" s="1"/>
  <c r="AV180" i="32"/>
  <c r="AP180" i="32"/>
  <c r="AN180" i="32"/>
  <c r="BM180" i="32" s="1"/>
  <c r="AM180" i="32"/>
  <c r="AL180" i="32"/>
  <c r="AE180" i="32"/>
  <c r="BL180" i="32" s="1"/>
  <c r="AD180" i="32"/>
  <c r="AF180" i="32" s="1"/>
  <c r="BJ180" i="32" s="1"/>
  <c r="W180" i="32"/>
  <c r="V180" i="32"/>
  <c r="BG179" i="32"/>
  <c r="BU179" i="32" s="1"/>
  <c r="BF179" i="32"/>
  <c r="AV179" i="32"/>
  <c r="AV182" i="32" s="1"/>
  <c r="AM179" i="32"/>
  <c r="BO179" i="32" s="1"/>
  <c r="AL179" i="32"/>
  <c r="BN179" i="32" s="1"/>
  <c r="BN182" i="32" s="1"/>
  <c r="AE179" i="32"/>
  <c r="AP179" i="32" s="1"/>
  <c r="W179" i="32"/>
  <c r="W182" i="32" s="1"/>
  <c r="V179" i="32"/>
  <c r="V182" i="32" s="1"/>
  <c r="CA178" i="32"/>
  <c r="BZ178" i="32"/>
  <c r="BY178" i="32"/>
  <c r="BX178" i="32"/>
  <c r="BW178" i="32"/>
  <c r="BV178" i="32"/>
  <c r="BE178" i="32"/>
  <c r="BD178" i="32"/>
  <c r="BC178" i="32"/>
  <c r="BB178" i="32"/>
  <c r="BA178" i="32"/>
  <c r="AZ178" i="32"/>
  <c r="AY178" i="32"/>
  <c r="AX178" i="32"/>
  <c r="AU178" i="32"/>
  <c r="AT178" i="32"/>
  <c r="AK178" i="32"/>
  <c r="AJ178" i="32"/>
  <c r="AI178" i="32"/>
  <c r="AH178" i="32"/>
  <c r="AG178" i="32"/>
  <c r="AC178" i="32"/>
  <c r="AB178" i="32"/>
  <c r="AA178" i="32"/>
  <c r="Z178" i="32"/>
  <c r="Y178" i="32"/>
  <c r="X178" i="32"/>
  <c r="BU177" i="32"/>
  <c r="BR177" i="32"/>
  <c r="BO177" i="32"/>
  <c r="BG177" i="32"/>
  <c r="BF177" i="32"/>
  <c r="BH177" i="32" s="1"/>
  <c r="BS177" i="32" s="1"/>
  <c r="AV177" i="32"/>
  <c r="AN177" i="32"/>
  <c r="BM177" i="32" s="1"/>
  <c r="AM177" i="32"/>
  <c r="AL177" i="32"/>
  <c r="BN177" i="32" s="1"/>
  <c r="W177" i="32"/>
  <c r="AE177" i="32" s="1"/>
  <c r="V177" i="32"/>
  <c r="AD177" i="32" s="1"/>
  <c r="BO176" i="32"/>
  <c r="BG176" i="32"/>
  <c r="BU176" i="32" s="1"/>
  <c r="BF176" i="32"/>
  <c r="AV176" i="32"/>
  <c r="BR176" i="32" s="1"/>
  <c r="AN176" i="32"/>
  <c r="BM176" i="32" s="1"/>
  <c r="AM176" i="32"/>
  <c r="AL176" i="32"/>
  <c r="BN176" i="32" s="1"/>
  <c r="AE176" i="32"/>
  <c r="BL176" i="32" s="1"/>
  <c r="W176" i="32"/>
  <c r="V176" i="32"/>
  <c r="AD176" i="32" s="1"/>
  <c r="BS175" i="32"/>
  <c r="BN175" i="32"/>
  <c r="BK175" i="32"/>
  <c r="BH175" i="32"/>
  <c r="BG175" i="32"/>
  <c r="BU175" i="32" s="1"/>
  <c r="BF175" i="32"/>
  <c r="BT175" i="32" s="1"/>
  <c r="AV175" i="32"/>
  <c r="BR175" i="32" s="1"/>
  <c r="AN175" i="32"/>
  <c r="BM175" i="32" s="1"/>
  <c r="AM175" i="32"/>
  <c r="BO175" i="32" s="1"/>
  <c r="AL175" i="32"/>
  <c r="AD175" i="32"/>
  <c r="AO175" i="32" s="1"/>
  <c r="W175" i="32"/>
  <c r="AE175" i="32" s="1"/>
  <c r="V175" i="32"/>
  <c r="BR174" i="32"/>
  <c r="BO174" i="32"/>
  <c r="BL174" i="32"/>
  <c r="BH174" i="32"/>
  <c r="BS174" i="32" s="1"/>
  <c r="BG174" i="32"/>
  <c r="BU174" i="32" s="1"/>
  <c r="BF174" i="32"/>
  <c r="BT174" i="32" s="1"/>
  <c r="AV174" i="32"/>
  <c r="AP174" i="32"/>
  <c r="AM174" i="32"/>
  <c r="AL174" i="32"/>
  <c r="AN174" i="32" s="1"/>
  <c r="BM174" i="32" s="1"/>
  <c r="AF174" i="32"/>
  <c r="BJ174" i="32" s="1"/>
  <c r="AE174" i="32"/>
  <c r="AD174" i="32"/>
  <c r="AO174" i="32" s="1"/>
  <c r="AQ174" i="32" s="1"/>
  <c r="W174" i="32"/>
  <c r="V174" i="32"/>
  <c r="BR173" i="32"/>
  <c r="BO173" i="32"/>
  <c r="BN173" i="32"/>
  <c r="BG173" i="32"/>
  <c r="BG178" i="32" s="1"/>
  <c r="BF173" i="32"/>
  <c r="BH173" i="32" s="1"/>
  <c r="BS173" i="32" s="1"/>
  <c r="AV173" i="32"/>
  <c r="AN173" i="32"/>
  <c r="BM173" i="32" s="1"/>
  <c r="AM173" i="32"/>
  <c r="AL173" i="32"/>
  <c r="W173" i="32"/>
  <c r="AE173" i="32" s="1"/>
  <c r="V173" i="32"/>
  <c r="AD173" i="32" s="1"/>
  <c r="BT172" i="32"/>
  <c r="BO172" i="32"/>
  <c r="BO178" i="32" s="1"/>
  <c r="BH172" i="32"/>
  <c r="BS172" i="32" s="1"/>
  <c r="BG172" i="32"/>
  <c r="BU172" i="32" s="1"/>
  <c r="BF172" i="32"/>
  <c r="AV172" i="32"/>
  <c r="BR172" i="32" s="1"/>
  <c r="AM172" i="32"/>
  <c r="AM178" i="32" s="1"/>
  <c r="AL172" i="32"/>
  <c r="AN172" i="32" s="1"/>
  <c r="W172" i="32"/>
  <c r="AE172" i="32" s="1"/>
  <c r="V172" i="32"/>
  <c r="V178" i="32" s="1"/>
  <c r="CA171" i="32"/>
  <c r="BZ171" i="32"/>
  <c r="BY171" i="32"/>
  <c r="BX171" i="32"/>
  <c r="BW171" i="32"/>
  <c r="BV171" i="32"/>
  <c r="BE171" i="32"/>
  <c r="BD171" i="32"/>
  <c r="BC171" i="32"/>
  <c r="BB171" i="32"/>
  <c r="BA171" i="32"/>
  <c r="AZ171" i="32"/>
  <c r="AY171" i="32"/>
  <c r="AX171" i="32"/>
  <c r="AU171" i="32"/>
  <c r="AT171" i="32"/>
  <c r="AK171" i="32"/>
  <c r="AJ171" i="32"/>
  <c r="AI171" i="32"/>
  <c r="AH171" i="32"/>
  <c r="AG171" i="32"/>
  <c r="AC171" i="32"/>
  <c r="AB171" i="32"/>
  <c r="AA171" i="32"/>
  <c r="Z171" i="32"/>
  <c r="Y171" i="32"/>
  <c r="X171" i="32"/>
  <c r="BS170" i="32"/>
  <c r="BR170" i="32"/>
  <c r="BL170" i="32"/>
  <c r="BH170" i="32"/>
  <c r="BG170" i="32"/>
  <c r="BU170" i="32" s="1"/>
  <c r="BF170" i="32"/>
  <c r="BT170" i="32" s="1"/>
  <c r="AV170" i="32"/>
  <c r="AM170" i="32"/>
  <c r="BO170" i="32" s="1"/>
  <c r="AL170" i="32"/>
  <c r="BN170" i="32" s="1"/>
  <c r="AE170" i="32"/>
  <c r="AP170" i="32" s="1"/>
  <c r="W170" i="32"/>
  <c r="V170" i="32"/>
  <c r="AD170" i="32" s="1"/>
  <c r="AF170" i="32" s="1"/>
  <c r="BT169" i="32"/>
  <c r="BN169" i="32"/>
  <c r="BG169" i="32"/>
  <c r="BH169" i="32" s="1"/>
  <c r="BS169" i="32" s="1"/>
  <c r="BF169" i="32"/>
  <c r="AV169" i="32"/>
  <c r="BR169" i="32" s="1"/>
  <c r="AO169" i="32"/>
  <c r="AM169" i="32"/>
  <c r="BO169" i="32" s="1"/>
  <c r="AL169" i="32"/>
  <c r="AN169" i="32" s="1"/>
  <c r="BM169" i="32" s="1"/>
  <c r="AD169" i="32"/>
  <c r="AF169" i="32" s="1"/>
  <c r="W169" i="32"/>
  <c r="AE169" i="32" s="1"/>
  <c r="V169" i="32"/>
  <c r="BU168" i="32"/>
  <c r="BG168" i="32"/>
  <c r="BF168" i="32"/>
  <c r="BT168" i="32" s="1"/>
  <c r="AV168" i="32"/>
  <c r="BR168" i="32" s="1"/>
  <c r="AM168" i="32"/>
  <c r="BO168" i="32" s="1"/>
  <c r="AL168" i="32"/>
  <c r="BN168" i="32" s="1"/>
  <c r="AD168" i="32"/>
  <c r="AO168" i="32" s="1"/>
  <c r="W168" i="32"/>
  <c r="AE168" i="32" s="1"/>
  <c r="V168" i="32"/>
  <c r="BU167" i="32"/>
  <c r="BO167" i="32"/>
  <c r="BG167" i="32"/>
  <c r="BF167" i="32"/>
  <c r="AV167" i="32"/>
  <c r="BR167" i="32" s="1"/>
  <c r="AN167" i="32"/>
  <c r="BM167" i="32" s="1"/>
  <c r="AM167" i="32"/>
  <c r="AL167" i="32"/>
  <c r="BN167" i="32" s="1"/>
  <c r="AD167" i="32"/>
  <c r="W167" i="32"/>
  <c r="AE167" i="32" s="1"/>
  <c r="V167" i="32"/>
  <c r="BH166" i="32"/>
  <c r="BS166" i="32" s="1"/>
  <c r="BG166" i="32"/>
  <c r="BU166" i="32" s="1"/>
  <c r="BF166" i="32"/>
  <c r="BT166" i="32" s="1"/>
  <c r="AV166" i="32"/>
  <c r="BR166" i="32" s="1"/>
  <c r="AM166" i="32"/>
  <c r="BO166" i="32" s="1"/>
  <c r="AL166" i="32"/>
  <c r="AN166" i="32" s="1"/>
  <c r="BM166" i="32" s="1"/>
  <c r="AD166" i="32"/>
  <c r="AO166" i="32" s="1"/>
  <c r="W166" i="32"/>
  <c r="AE166" i="32" s="1"/>
  <c r="V166" i="32"/>
  <c r="BU165" i="32"/>
  <c r="BT165" i="32"/>
  <c r="BR165" i="32"/>
  <c r="BH165" i="32"/>
  <c r="BG165" i="32"/>
  <c r="BF165" i="32"/>
  <c r="BF171" i="32" s="1"/>
  <c r="AV165" i="32"/>
  <c r="AV171" i="32" s="1"/>
  <c r="AM165" i="32"/>
  <c r="AM171" i="32" s="1"/>
  <c r="AL165" i="32"/>
  <c r="AN165" i="32" s="1"/>
  <c r="AE165" i="32"/>
  <c r="BL165" i="32" s="1"/>
  <c r="W165" i="32"/>
  <c r="V165" i="32"/>
  <c r="V171" i="32" s="1"/>
  <c r="CA164" i="32"/>
  <c r="BZ164" i="32"/>
  <c r="BY164" i="32"/>
  <c r="BX164" i="32"/>
  <c r="BW164" i="32"/>
  <c r="BV164" i="32"/>
  <c r="BE164" i="32"/>
  <c r="BD164" i="32"/>
  <c r="BC164" i="32"/>
  <c r="BB164" i="32"/>
  <c r="BA164" i="32"/>
  <c r="AZ164" i="32"/>
  <c r="AY164" i="32"/>
  <c r="AX164" i="32"/>
  <c r="AU164" i="32"/>
  <c r="AT164" i="32"/>
  <c r="AK164" i="32"/>
  <c r="AJ164" i="32"/>
  <c r="AI164" i="32"/>
  <c r="AH164" i="32"/>
  <c r="AG164" i="32"/>
  <c r="AC164" i="32"/>
  <c r="AB164" i="32"/>
  <c r="AA164" i="32"/>
  <c r="Z164" i="32"/>
  <c r="Y164" i="32"/>
  <c r="X164" i="32"/>
  <c r="BT163" i="32"/>
  <c r="BG163" i="32"/>
  <c r="BU163" i="32" s="1"/>
  <c r="BF163" i="32"/>
  <c r="AV163" i="32"/>
  <c r="BR163" i="32" s="1"/>
  <c r="AM163" i="32"/>
  <c r="BO163" i="32" s="1"/>
  <c r="AL163" i="32"/>
  <c r="AN163" i="32" s="1"/>
  <c r="BM163" i="32" s="1"/>
  <c r="AD163" i="32"/>
  <c r="BK163" i="32" s="1"/>
  <c r="W163" i="32"/>
  <c r="AE163" i="32" s="1"/>
  <c r="V163" i="32"/>
  <c r="BU162" i="32"/>
  <c r="BT162" i="32"/>
  <c r="BR162" i="32"/>
  <c r="BH162" i="32"/>
  <c r="BS162" i="32" s="1"/>
  <c r="BG162" i="32"/>
  <c r="BF162" i="32"/>
  <c r="AV162" i="32"/>
  <c r="AM162" i="32"/>
  <c r="BO162" i="32" s="1"/>
  <c r="AL162" i="32"/>
  <c r="AN162" i="32" s="1"/>
  <c r="BM162" i="32" s="1"/>
  <c r="AE162" i="32"/>
  <c r="BL162" i="32" s="1"/>
  <c r="W162" i="32"/>
  <c r="V162" i="32"/>
  <c r="AD162" i="32" s="1"/>
  <c r="BU161" i="32"/>
  <c r="BG161" i="32"/>
  <c r="BF161" i="32"/>
  <c r="BT161" i="32" s="1"/>
  <c r="AV161" i="32"/>
  <c r="BR161" i="32" s="1"/>
  <c r="AM161" i="32"/>
  <c r="AN161" i="32" s="1"/>
  <c r="BM161" i="32" s="1"/>
  <c r="AL161" i="32"/>
  <c r="BN161" i="32" s="1"/>
  <c r="W161" i="32"/>
  <c r="AE161" i="32" s="1"/>
  <c r="V161" i="32"/>
  <c r="AD161" i="32" s="1"/>
  <c r="BT160" i="32"/>
  <c r="BH160" i="32"/>
  <c r="BS160" i="32" s="1"/>
  <c r="BG160" i="32"/>
  <c r="BU160" i="32" s="1"/>
  <c r="BF160" i="32"/>
  <c r="AV160" i="32"/>
  <c r="BR160" i="32" s="1"/>
  <c r="AN160" i="32"/>
  <c r="BM160" i="32" s="1"/>
  <c r="AM160" i="32"/>
  <c r="BO160" i="32" s="1"/>
  <c r="AL160" i="32"/>
  <c r="BN160" i="32" s="1"/>
  <c r="AD160" i="32"/>
  <c r="AF160" i="32" s="1"/>
  <c r="W160" i="32"/>
  <c r="AE160" i="32" s="1"/>
  <c r="V160" i="32"/>
  <c r="BU159" i="32"/>
  <c r="BR159" i="32"/>
  <c r="BG159" i="32"/>
  <c r="BF159" i="32"/>
  <c r="BT159" i="32" s="1"/>
  <c r="AV159" i="32"/>
  <c r="AM159" i="32"/>
  <c r="BO159" i="32" s="1"/>
  <c r="AL159" i="32"/>
  <c r="BN159" i="32" s="1"/>
  <c r="AE159" i="32"/>
  <c r="BL159" i="32" s="1"/>
  <c r="AD159" i="32"/>
  <c r="AF159" i="32" s="1"/>
  <c r="W159" i="32"/>
  <c r="V159" i="32"/>
  <c r="BR158" i="32"/>
  <c r="BM158" i="32"/>
  <c r="BG158" i="32"/>
  <c r="BG164" i="32" s="1"/>
  <c r="BF158" i="32"/>
  <c r="AV158" i="32"/>
  <c r="AV164" i="32" s="1"/>
  <c r="AN158" i="32"/>
  <c r="AM158" i="32"/>
  <c r="BO158" i="32" s="1"/>
  <c r="AL158" i="32"/>
  <c r="BN158" i="32" s="1"/>
  <c r="AE158" i="32"/>
  <c r="AE164" i="32" s="1"/>
  <c r="W158" i="32"/>
  <c r="W164" i="32" s="1"/>
  <c r="V158" i="32"/>
  <c r="V164" i="32" s="1"/>
  <c r="CA157" i="32"/>
  <c r="BZ157" i="32"/>
  <c r="BY157" i="32"/>
  <c r="BX157" i="32"/>
  <c r="BW157" i="32"/>
  <c r="BV157" i="32"/>
  <c r="BE157" i="32"/>
  <c r="BD157" i="32"/>
  <c r="BC157" i="32"/>
  <c r="BB157" i="32"/>
  <c r="BA157" i="32"/>
  <c r="AZ157" i="32"/>
  <c r="AY157" i="32"/>
  <c r="AX157" i="32"/>
  <c r="AU157" i="32"/>
  <c r="AT157" i="32"/>
  <c r="AK157" i="32"/>
  <c r="AJ157" i="32"/>
  <c r="AI157" i="32"/>
  <c r="AH157" i="32"/>
  <c r="AG157" i="32"/>
  <c r="AC157" i="32"/>
  <c r="AB157" i="32"/>
  <c r="AA157" i="32"/>
  <c r="Z157" i="32"/>
  <c r="Y157" i="32"/>
  <c r="X157" i="32"/>
  <c r="BR156" i="32"/>
  <c r="BG156" i="32"/>
  <c r="BU156" i="32" s="1"/>
  <c r="BF156" i="32"/>
  <c r="AV156" i="32"/>
  <c r="AM156" i="32"/>
  <c r="BO156" i="32" s="1"/>
  <c r="AL156" i="32"/>
  <c r="BN156" i="32" s="1"/>
  <c r="AE156" i="32"/>
  <c r="BL156" i="32" s="1"/>
  <c r="AD156" i="32"/>
  <c r="W156" i="32"/>
  <c r="V156" i="32"/>
  <c r="BR155" i="32"/>
  <c r="BM155" i="32"/>
  <c r="BG155" i="32"/>
  <c r="BU155" i="32" s="1"/>
  <c r="BF155" i="32"/>
  <c r="AV155" i="32"/>
  <c r="AN155" i="32"/>
  <c r="AM155" i="32"/>
  <c r="BO155" i="32" s="1"/>
  <c r="AL155" i="32"/>
  <c r="BN155" i="32" s="1"/>
  <c r="W155" i="32"/>
  <c r="AE155" i="32" s="1"/>
  <c r="V155" i="32"/>
  <c r="AD155" i="32" s="1"/>
  <c r="BT154" i="32"/>
  <c r="BN154" i="32"/>
  <c r="BG154" i="32"/>
  <c r="BU154" i="32" s="1"/>
  <c r="BF154" i="32"/>
  <c r="AV154" i="32"/>
  <c r="BR154" i="32" s="1"/>
  <c r="AN154" i="32"/>
  <c r="BM154" i="32" s="1"/>
  <c r="AM154" i="32"/>
  <c r="BO154" i="32" s="1"/>
  <c r="AL154" i="32"/>
  <c r="W154" i="32"/>
  <c r="AE154" i="32" s="1"/>
  <c r="V154" i="32"/>
  <c r="AD154" i="32" s="1"/>
  <c r="BU153" i="32"/>
  <c r="BO153" i="32"/>
  <c r="BN153" i="32"/>
  <c r="BH153" i="32"/>
  <c r="BS153" i="32" s="1"/>
  <c r="BG153" i="32"/>
  <c r="BF153" i="32"/>
  <c r="BT153" i="32" s="1"/>
  <c r="AV153" i="32"/>
  <c r="BR153" i="32" s="1"/>
  <c r="AM153" i="32"/>
  <c r="AL153" i="32"/>
  <c r="AN153" i="32" s="1"/>
  <c r="BM153" i="32" s="1"/>
  <c r="AE153" i="32"/>
  <c r="AP153" i="32" s="1"/>
  <c r="AD153" i="32"/>
  <c r="AO153" i="32" s="1"/>
  <c r="AQ153" i="32" s="1"/>
  <c r="W153" i="32"/>
  <c r="V153" i="32"/>
  <c r="BU152" i="32"/>
  <c r="BG152" i="32"/>
  <c r="BF152" i="32"/>
  <c r="AV152" i="32"/>
  <c r="AV157" i="32" s="1"/>
  <c r="AM152" i="32"/>
  <c r="AM157" i="32" s="1"/>
  <c r="AL152" i="32"/>
  <c r="BN152" i="32" s="1"/>
  <c r="W152" i="32"/>
  <c r="AE152" i="32" s="1"/>
  <c r="V152" i="32"/>
  <c r="AD152" i="32" s="1"/>
  <c r="BN151" i="32"/>
  <c r="BN157" i="32" s="1"/>
  <c r="BG151" i="32"/>
  <c r="BU151" i="32" s="1"/>
  <c r="BU157" i="32" s="1"/>
  <c r="BF151" i="32"/>
  <c r="BF157" i="32" s="1"/>
  <c r="AV151" i="32"/>
  <c r="BR151" i="32" s="1"/>
  <c r="AM151" i="32"/>
  <c r="BO151" i="32" s="1"/>
  <c r="AL151" i="32"/>
  <c r="AL157" i="32" s="1"/>
  <c r="AE151" i="32"/>
  <c r="BL151" i="32" s="1"/>
  <c r="AD151" i="32"/>
  <c r="BK151" i="32" s="1"/>
  <c r="W151" i="32"/>
  <c r="V151" i="32"/>
  <c r="CA150" i="32"/>
  <c r="BZ150" i="32"/>
  <c r="BY150" i="32"/>
  <c r="BX150" i="32"/>
  <c r="BW150" i="32"/>
  <c r="BV150" i="32"/>
  <c r="BG150" i="32"/>
  <c r="BE150" i="32"/>
  <c r="BD150" i="32"/>
  <c r="BC150" i="32"/>
  <c r="BB150" i="32"/>
  <c r="BA150" i="32"/>
  <c r="AZ150" i="32"/>
  <c r="AY150" i="32"/>
  <c r="AX150" i="32"/>
  <c r="AU150" i="32"/>
  <c r="AT150" i="32"/>
  <c r="AK150" i="32"/>
  <c r="AJ150" i="32"/>
  <c r="AI150" i="32"/>
  <c r="AH150" i="32"/>
  <c r="AG150" i="32"/>
  <c r="AC150" i="32"/>
  <c r="AB150" i="32"/>
  <c r="AA150" i="32"/>
  <c r="Z150" i="32"/>
  <c r="Y150" i="32"/>
  <c r="X150" i="32"/>
  <c r="BU149" i="32"/>
  <c r="BG149" i="32"/>
  <c r="BF149" i="32"/>
  <c r="AV149" i="32"/>
  <c r="AV150" i="32" s="1"/>
  <c r="AN149" i="32"/>
  <c r="BM149" i="32" s="1"/>
  <c r="AM149" i="32"/>
  <c r="BO149" i="32" s="1"/>
  <c r="AL149" i="32"/>
  <c r="BN149" i="32" s="1"/>
  <c r="W149" i="32"/>
  <c r="AE149" i="32" s="1"/>
  <c r="V149" i="32"/>
  <c r="AD149" i="32" s="1"/>
  <c r="BN148" i="32"/>
  <c r="BM148" i="32"/>
  <c r="BG148" i="32"/>
  <c r="BU148" i="32" s="1"/>
  <c r="BF148" i="32"/>
  <c r="BH148" i="32" s="1"/>
  <c r="BS148" i="32" s="1"/>
  <c r="AV148" i="32"/>
  <c r="BR148" i="32" s="1"/>
  <c r="AN148" i="32"/>
  <c r="AM148" i="32"/>
  <c r="BO148" i="32" s="1"/>
  <c r="AL148" i="32"/>
  <c r="AD148" i="32"/>
  <c r="W148" i="32"/>
  <c r="AE148" i="32" s="1"/>
  <c r="V148" i="32"/>
  <c r="BR147" i="32"/>
  <c r="BL147" i="32"/>
  <c r="BG147" i="32"/>
  <c r="BU147" i="32" s="1"/>
  <c r="BU150" i="32" s="1"/>
  <c r="BF147" i="32"/>
  <c r="BT147" i="32" s="1"/>
  <c r="AV147" i="32"/>
  <c r="AM147" i="32"/>
  <c r="AP147" i="32" s="1"/>
  <c r="AL147" i="32"/>
  <c r="AE147" i="32"/>
  <c r="W147" i="32"/>
  <c r="V147" i="32"/>
  <c r="AD147" i="32" s="1"/>
  <c r="CA146" i="32"/>
  <c r="BZ146" i="32"/>
  <c r="BY146" i="32"/>
  <c r="BX146" i="32"/>
  <c r="BW146" i="32"/>
  <c r="BV146" i="32"/>
  <c r="BE146" i="32"/>
  <c r="BD146" i="32"/>
  <c r="BC146" i="32"/>
  <c r="BB146" i="32"/>
  <c r="BA146" i="32"/>
  <c r="AZ146" i="32"/>
  <c r="AY146" i="32"/>
  <c r="AX146" i="32"/>
  <c r="AV146" i="32"/>
  <c r="AU146" i="32"/>
  <c r="AT146" i="32"/>
  <c r="AK146" i="32"/>
  <c r="AJ146" i="32"/>
  <c r="AI146" i="32"/>
  <c r="AH146" i="32"/>
  <c r="AG146" i="32"/>
  <c r="AC146" i="32"/>
  <c r="AB146" i="32"/>
  <c r="AA146" i="32"/>
  <c r="Z146" i="32"/>
  <c r="Y146" i="32"/>
  <c r="X146" i="32"/>
  <c r="W146" i="32"/>
  <c r="V146" i="32"/>
  <c r="BN145" i="32"/>
  <c r="BN146" i="32" s="1"/>
  <c r="BG145" i="32"/>
  <c r="BU145" i="32" s="1"/>
  <c r="BU146" i="32" s="1"/>
  <c r="BF145" i="32"/>
  <c r="BH145" i="32" s="1"/>
  <c r="AV145" i="32"/>
  <c r="BR145" i="32" s="1"/>
  <c r="BR146" i="32" s="1"/>
  <c r="AM145" i="32"/>
  <c r="AM146" i="32" s="1"/>
  <c r="AL145" i="32"/>
  <c r="AL146" i="32" s="1"/>
  <c r="AE145" i="32"/>
  <c r="AE146" i="32" s="1"/>
  <c r="AD145" i="32"/>
  <c r="BK145" i="32" s="1"/>
  <c r="BK146" i="32" s="1"/>
  <c r="W145" i="32"/>
  <c r="V145" i="32"/>
  <c r="CA144" i="32"/>
  <c r="BZ144" i="32"/>
  <c r="BY144" i="32"/>
  <c r="BX144" i="32"/>
  <c r="BW144" i="32"/>
  <c r="BV144" i="32"/>
  <c r="BE144" i="32"/>
  <c r="BD144" i="32"/>
  <c r="BC144" i="32"/>
  <c r="BB144" i="32"/>
  <c r="BA144" i="32"/>
  <c r="AZ144" i="32"/>
  <c r="AY144" i="32"/>
  <c r="AX144" i="32"/>
  <c r="AU144" i="32"/>
  <c r="AT144" i="32"/>
  <c r="AK144" i="32"/>
  <c r="AJ144" i="32"/>
  <c r="AI144" i="32"/>
  <c r="AH144" i="32"/>
  <c r="AG144" i="32"/>
  <c r="AC144" i="32"/>
  <c r="AB144" i="32"/>
  <c r="AA144" i="32"/>
  <c r="Z144" i="32"/>
  <c r="Y144" i="32"/>
  <c r="X144" i="32"/>
  <c r="BU143" i="32"/>
  <c r="BG143" i="32"/>
  <c r="BF143" i="32"/>
  <c r="AV143" i="32"/>
  <c r="BR143" i="32" s="1"/>
  <c r="AN143" i="32"/>
  <c r="BM143" i="32" s="1"/>
  <c r="AM143" i="32"/>
  <c r="BO143" i="32" s="1"/>
  <c r="AL143" i="32"/>
  <c r="BN143" i="32" s="1"/>
  <c r="W143" i="32"/>
  <c r="AE143" i="32" s="1"/>
  <c r="V143" i="32"/>
  <c r="AD143" i="32" s="1"/>
  <c r="BN142" i="32"/>
  <c r="BM142" i="32"/>
  <c r="BG142" i="32"/>
  <c r="BU142" i="32" s="1"/>
  <c r="BF142" i="32"/>
  <c r="BH142" i="32" s="1"/>
  <c r="BS142" i="32" s="1"/>
  <c r="AV142" i="32"/>
  <c r="BR142" i="32" s="1"/>
  <c r="AN142" i="32"/>
  <c r="AM142" i="32"/>
  <c r="BO142" i="32" s="1"/>
  <c r="AL142" i="32"/>
  <c r="AD142" i="32"/>
  <c r="AF142" i="32" s="1"/>
  <c r="W142" i="32"/>
  <c r="AE142" i="32" s="1"/>
  <c r="V142" i="32"/>
  <c r="BR141" i="32"/>
  <c r="BL141" i="32"/>
  <c r="BG141" i="32"/>
  <c r="BU141" i="32" s="1"/>
  <c r="BF141" i="32"/>
  <c r="BT141" i="32" s="1"/>
  <c r="AV141" i="32"/>
  <c r="AM141" i="32"/>
  <c r="AP141" i="32" s="1"/>
  <c r="AL141" i="32"/>
  <c r="AE141" i="32"/>
  <c r="W141" i="32"/>
  <c r="V141" i="32"/>
  <c r="AD141" i="32" s="1"/>
  <c r="BR140" i="32"/>
  <c r="BO140" i="32"/>
  <c r="BH140" i="32"/>
  <c r="BS140" i="32" s="1"/>
  <c r="BG140" i="32"/>
  <c r="BG144" i="32" s="1"/>
  <c r="BF140" i="32"/>
  <c r="BT140" i="32" s="1"/>
  <c r="AV140" i="32"/>
  <c r="AM140" i="32"/>
  <c r="AL140" i="32"/>
  <c r="BN140" i="32" s="1"/>
  <c r="AE140" i="32"/>
  <c r="BL140" i="32" s="1"/>
  <c r="W140" i="32"/>
  <c r="V140" i="32"/>
  <c r="AD140" i="32" s="1"/>
  <c r="BT139" i="32"/>
  <c r="BG139" i="32"/>
  <c r="BU139" i="32" s="1"/>
  <c r="BF139" i="32"/>
  <c r="AV139" i="32"/>
  <c r="BR139" i="32" s="1"/>
  <c r="AM139" i="32"/>
  <c r="BO139" i="32" s="1"/>
  <c r="AL139" i="32"/>
  <c r="BN139" i="32" s="1"/>
  <c r="W139" i="32"/>
  <c r="AE139" i="32" s="1"/>
  <c r="V139" i="32"/>
  <c r="AD139" i="32" s="1"/>
  <c r="BU138" i="32"/>
  <c r="BO138" i="32"/>
  <c r="BN138" i="32"/>
  <c r="BG138" i="32"/>
  <c r="BF138" i="32"/>
  <c r="BF144" i="32" s="1"/>
  <c r="AV138" i="32"/>
  <c r="AV144" i="32" s="1"/>
  <c r="AM138" i="32"/>
  <c r="AM144" i="32" s="1"/>
  <c r="AL138" i="32"/>
  <c r="AL144" i="32" s="1"/>
  <c r="AD138" i="32"/>
  <c r="AO138" i="32" s="1"/>
  <c r="W138" i="32"/>
  <c r="AE138" i="32" s="1"/>
  <c r="V138" i="32"/>
  <c r="V144" i="32" s="1"/>
  <c r="CA137" i="32"/>
  <c r="BZ137" i="32"/>
  <c r="BY137" i="32"/>
  <c r="BX137" i="32"/>
  <c r="BW137" i="32"/>
  <c r="BE137" i="32"/>
  <c r="BD137" i="32"/>
  <c r="BC137" i="32"/>
  <c r="BB137" i="32"/>
  <c r="BA137" i="32"/>
  <c r="AZ137" i="32"/>
  <c r="AY137" i="32"/>
  <c r="AX137" i="32"/>
  <c r="AU137" i="32"/>
  <c r="AT137" i="32"/>
  <c r="AK137" i="32"/>
  <c r="AJ137" i="32"/>
  <c r="AI137" i="32"/>
  <c r="AH137" i="32"/>
  <c r="AG137" i="32"/>
  <c r="AC137" i="32"/>
  <c r="AB137" i="32"/>
  <c r="AA137" i="32"/>
  <c r="Z137" i="32"/>
  <c r="Y137" i="32"/>
  <c r="X137" i="32"/>
  <c r="BT136" i="32"/>
  <c r="BO136" i="32"/>
  <c r="BN136" i="32"/>
  <c r="BH136" i="32"/>
  <c r="BS136" i="32" s="1"/>
  <c r="BG136" i="32"/>
  <c r="BU136" i="32" s="1"/>
  <c r="BF136" i="32"/>
  <c r="AV136" i="32"/>
  <c r="BR136" i="32" s="1"/>
  <c r="AM136" i="32"/>
  <c r="AL136" i="32"/>
  <c r="AN136" i="32" s="1"/>
  <c r="BM136" i="32" s="1"/>
  <c r="AF136" i="32"/>
  <c r="BJ136" i="32" s="1"/>
  <c r="AD136" i="32"/>
  <c r="BK136" i="32" s="1"/>
  <c r="W136" i="32"/>
  <c r="AE136" i="32" s="1"/>
  <c r="V136" i="32"/>
  <c r="BU135" i="32"/>
  <c r="BR135" i="32"/>
  <c r="BN135" i="32"/>
  <c r="BG135" i="32"/>
  <c r="BF135" i="32"/>
  <c r="BH135" i="32" s="1"/>
  <c r="BS135" i="32" s="1"/>
  <c r="AV135" i="32"/>
  <c r="AN135" i="32"/>
  <c r="BM135" i="32" s="1"/>
  <c r="AM135" i="32"/>
  <c r="BO135" i="32" s="1"/>
  <c r="AL135" i="32"/>
  <c r="W135" i="32"/>
  <c r="AE135" i="32" s="1"/>
  <c r="V135" i="32"/>
  <c r="AD135" i="32" s="1"/>
  <c r="BO134" i="32"/>
  <c r="BG134" i="32"/>
  <c r="BU134" i="32" s="1"/>
  <c r="BF134" i="32"/>
  <c r="AV134" i="32"/>
  <c r="BR134" i="32" s="1"/>
  <c r="AM134" i="32"/>
  <c r="AN134" i="32" s="1"/>
  <c r="BM134" i="32" s="1"/>
  <c r="AL134" i="32"/>
  <c r="BN134" i="32" s="1"/>
  <c r="AE134" i="32"/>
  <c r="AP134" i="32" s="1"/>
  <c r="AD134" i="32"/>
  <c r="BK134" i="32" s="1"/>
  <c r="W134" i="32"/>
  <c r="V134" i="32"/>
  <c r="BK133" i="32"/>
  <c r="BG133" i="32"/>
  <c r="BU133" i="32" s="1"/>
  <c r="BF133" i="32"/>
  <c r="BF137" i="32" s="1"/>
  <c r="AV133" i="32"/>
  <c r="BR133" i="32" s="1"/>
  <c r="AM133" i="32"/>
  <c r="BO133" i="32" s="1"/>
  <c r="AL133" i="32"/>
  <c r="BN133" i="32" s="1"/>
  <c r="AD133" i="32"/>
  <c r="AO133" i="32" s="1"/>
  <c r="W133" i="32"/>
  <c r="AE133" i="32" s="1"/>
  <c r="V133" i="32"/>
  <c r="BR132" i="32"/>
  <c r="BO132" i="32"/>
  <c r="BN132" i="32"/>
  <c r="BH132" i="32"/>
  <c r="BS132" i="32" s="1"/>
  <c r="BG132" i="32"/>
  <c r="BU132" i="32" s="1"/>
  <c r="BF132" i="32"/>
  <c r="BT132" i="32" s="1"/>
  <c r="AV132" i="32"/>
  <c r="AM132" i="32"/>
  <c r="AL132" i="32"/>
  <c r="AE132" i="32"/>
  <c r="BL132" i="32" s="1"/>
  <c r="W132" i="32"/>
  <c r="V132" i="32"/>
  <c r="V137" i="32" s="1"/>
  <c r="BV131" i="32"/>
  <c r="BV297" i="32" s="1"/>
  <c r="BV296" i="32" s="1"/>
  <c r="BT131" i="32"/>
  <c r="BO131" i="32"/>
  <c r="BO137" i="32" s="1"/>
  <c r="BN131" i="32"/>
  <c r="BH131" i="32"/>
  <c r="BS131" i="32" s="1"/>
  <c r="BG131" i="32"/>
  <c r="BU131" i="32" s="1"/>
  <c r="BF131" i="32"/>
  <c r="AV131" i="32"/>
  <c r="AM131" i="32"/>
  <c r="AM137" i="32" s="1"/>
  <c r="AL131" i="32"/>
  <c r="AL137" i="32" s="1"/>
  <c r="AF131" i="32"/>
  <c r="AD131" i="32"/>
  <c r="AO131" i="32" s="1"/>
  <c r="W131" i="32"/>
  <c r="AE131" i="32" s="1"/>
  <c r="V131" i="32"/>
  <c r="CA130" i="32"/>
  <c r="BZ130" i="32"/>
  <c r="BY130" i="32"/>
  <c r="BX130" i="32"/>
  <c r="BW130" i="32"/>
  <c r="BV130" i="32"/>
  <c r="BE130" i="32"/>
  <c r="BD130" i="32"/>
  <c r="BC130" i="32"/>
  <c r="BB130" i="32"/>
  <c r="BA130" i="32"/>
  <c r="AZ130" i="32"/>
  <c r="AY130" i="32"/>
  <c r="AX130" i="32"/>
  <c r="AU130" i="32"/>
  <c r="AT130" i="32"/>
  <c r="AK130" i="32"/>
  <c r="AJ130" i="32"/>
  <c r="AI130" i="32"/>
  <c r="AH130" i="32"/>
  <c r="AG130" i="32"/>
  <c r="AC130" i="32"/>
  <c r="AB130" i="32"/>
  <c r="AA130" i="32"/>
  <c r="Z130" i="32"/>
  <c r="Y130" i="32"/>
  <c r="X130" i="32"/>
  <c r="BS129" i="32"/>
  <c r="BR129" i="32"/>
  <c r="BJ129" i="32"/>
  <c r="BH129" i="32"/>
  <c r="BG129" i="32"/>
  <c r="BU129" i="32" s="1"/>
  <c r="BF129" i="32"/>
  <c r="BT129" i="32" s="1"/>
  <c r="AV129" i="32"/>
  <c r="AS129" i="32"/>
  <c r="BQ129" i="32" s="1"/>
  <c r="AM129" i="32"/>
  <c r="BO129" i="32" s="1"/>
  <c r="AL129" i="32"/>
  <c r="AN129" i="32" s="1"/>
  <c r="BM129" i="32" s="1"/>
  <c r="AF129" i="32"/>
  <c r="AR129" i="32" s="1"/>
  <c r="BP129" i="32" s="1"/>
  <c r="AE129" i="32"/>
  <c r="BL129" i="32" s="1"/>
  <c r="W129" i="32"/>
  <c r="V129" i="32"/>
  <c r="AD129" i="32" s="1"/>
  <c r="BT128" i="32"/>
  <c r="BN128" i="32"/>
  <c r="BM128" i="32"/>
  <c r="BG128" i="32"/>
  <c r="BH128" i="32" s="1"/>
  <c r="BS128" i="32" s="1"/>
  <c r="BF128" i="32"/>
  <c r="AV128" i="32"/>
  <c r="BR128" i="32" s="1"/>
  <c r="AN128" i="32"/>
  <c r="AM128" i="32"/>
  <c r="BO128" i="32" s="1"/>
  <c r="AL128" i="32"/>
  <c r="W128" i="32"/>
  <c r="AE128" i="32" s="1"/>
  <c r="V128" i="32"/>
  <c r="AD128" i="32" s="1"/>
  <c r="BU127" i="32"/>
  <c r="BO127" i="32"/>
  <c r="BH127" i="32"/>
  <c r="BS127" i="32" s="1"/>
  <c r="BG127" i="32"/>
  <c r="BF127" i="32"/>
  <c r="BT127" i="32" s="1"/>
  <c r="AV127" i="32"/>
  <c r="BR127" i="32" s="1"/>
  <c r="AM127" i="32"/>
  <c r="AL127" i="32"/>
  <c r="AN127" i="32" s="1"/>
  <c r="BM127" i="32" s="1"/>
  <c r="AE127" i="32"/>
  <c r="AP127" i="32" s="1"/>
  <c r="AD127" i="32"/>
  <c r="AO127" i="32" s="1"/>
  <c r="AQ127" i="32" s="1"/>
  <c r="W127" i="32"/>
  <c r="V127" i="32"/>
  <c r="BU126" i="32"/>
  <c r="BG126" i="32"/>
  <c r="BF126" i="32"/>
  <c r="AV126" i="32"/>
  <c r="BR126" i="32" s="1"/>
  <c r="AN126" i="32"/>
  <c r="BM126" i="32" s="1"/>
  <c r="AM126" i="32"/>
  <c r="AM130" i="32" s="1"/>
  <c r="AL126" i="32"/>
  <c r="BN126" i="32" s="1"/>
  <c r="W126" i="32"/>
  <c r="AE126" i="32" s="1"/>
  <c r="V126" i="32"/>
  <c r="AD126" i="32" s="1"/>
  <c r="BN125" i="32"/>
  <c r="BH125" i="32"/>
  <c r="BG125" i="32"/>
  <c r="BF125" i="32"/>
  <c r="BF130" i="32" s="1"/>
  <c r="AV125" i="32"/>
  <c r="BR125" i="32" s="1"/>
  <c r="AM125" i="32"/>
  <c r="BO125" i="32" s="1"/>
  <c r="AL125" i="32"/>
  <c r="AL130" i="32" s="1"/>
  <c r="AF125" i="32"/>
  <c r="AS125" i="32" s="1"/>
  <c r="AE125" i="32"/>
  <c r="AP125" i="32" s="1"/>
  <c r="AD125" i="32"/>
  <c r="BK125" i="32" s="1"/>
  <c r="W125" i="32"/>
  <c r="V125" i="32"/>
  <c r="CA124" i="32"/>
  <c r="BZ124" i="32"/>
  <c r="BY124" i="32"/>
  <c r="BX124" i="32"/>
  <c r="BW124" i="32"/>
  <c r="BV124" i="32"/>
  <c r="BF124" i="32"/>
  <c r="BE124" i="32"/>
  <c r="BD124" i="32"/>
  <c r="BC124" i="32"/>
  <c r="BB124" i="32"/>
  <c r="BA124" i="32"/>
  <c r="AZ124" i="32"/>
  <c r="AY124" i="32"/>
  <c r="AX124" i="32"/>
  <c r="AU124" i="32"/>
  <c r="AT124" i="32"/>
  <c r="AK124" i="32"/>
  <c r="AJ124" i="32"/>
  <c r="AI124" i="32"/>
  <c r="AH124" i="32"/>
  <c r="AG124" i="32"/>
  <c r="AC124" i="32"/>
  <c r="AB124" i="32"/>
  <c r="AA124" i="32"/>
  <c r="Z124" i="32"/>
  <c r="Y124" i="32"/>
  <c r="X124" i="32"/>
  <c r="BU123" i="32"/>
  <c r="BG123" i="32"/>
  <c r="BF123" i="32"/>
  <c r="AV123" i="32"/>
  <c r="AV124" i="32" s="1"/>
  <c r="AM123" i="32"/>
  <c r="AN123" i="32" s="1"/>
  <c r="BM123" i="32" s="1"/>
  <c r="AL123" i="32"/>
  <c r="BN123" i="32" s="1"/>
  <c r="W123" i="32"/>
  <c r="AE123" i="32" s="1"/>
  <c r="V123" i="32"/>
  <c r="AD123" i="32" s="1"/>
  <c r="BN122" i="32"/>
  <c r="BM122" i="32"/>
  <c r="BG122" i="32"/>
  <c r="BU122" i="32" s="1"/>
  <c r="BF122" i="32"/>
  <c r="BH122" i="32" s="1"/>
  <c r="BS122" i="32" s="1"/>
  <c r="AV122" i="32"/>
  <c r="BR122" i="32" s="1"/>
  <c r="AN122" i="32"/>
  <c r="AM122" i="32"/>
  <c r="BO122" i="32" s="1"/>
  <c r="AL122" i="32"/>
  <c r="AE122" i="32"/>
  <c r="AE124" i="32" s="1"/>
  <c r="AD122" i="32"/>
  <c r="AF122" i="32" s="1"/>
  <c r="W122" i="32"/>
  <c r="W124" i="32" s="1"/>
  <c r="V122" i="32"/>
  <c r="BR121" i="32"/>
  <c r="BL121" i="32"/>
  <c r="BG121" i="32"/>
  <c r="BU121" i="32" s="1"/>
  <c r="BU124" i="32" s="1"/>
  <c r="BF121" i="32"/>
  <c r="BT121" i="32" s="1"/>
  <c r="AV121" i="32"/>
  <c r="AM121" i="32"/>
  <c r="AP121" i="32" s="1"/>
  <c r="AL121" i="32"/>
  <c r="AE121" i="32"/>
  <c r="W121" i="32"/>
  <c r="V121" i="32"/>
  <c r="AD121" i="32" s="1"/>
  <c r="CA120" i="32"/>
  <c r="BZ120" i="32"/>
  <c r="BY120" i="32"/>
  <c r="BX120" i="32"/>
  <c r="BW120" i="32"/>
  <c r="BV120" i="32"/>
  <c r="BE120" i="32"/>
  <c r="BD120" i="32"/>
  <c r="BC120" i="32"/>
  <c r="BB120" i="32"/>
  <c r="BA120" i="32"/>
  <c r="AZ120" i="32"/>
  <c r="AY120" i="32"/>
  <c r="AX120" i="32"/>
  <c r="AU120" i="32"/>
  <c r="AT120" i="32"/>
  <c r="AK120" i="32"/>
  <c r="AJ120" i="32"/>
  <c r="AI120" i="32"/>
  <c r="AH120" i="32"/>
  <c r="AG120" i="32"/>
  <c r="AC120" i="32"/>
  <c r="AB120" i="32"/>
  <c r="AA120" i="32"/>
  <c r="Z120" i="32"/>
  <c r="Y120" i="32"/>
  <c r="X120" i="32"/>
  <c r="BN119" i="32"/>
  <c r="BH119" i="32"/>
  <c r="BS119" i="32" s="1"/>
  <c r="BG119" i="32"/>
  <c r="BU119" i="32" s="1"/>
  <c r="BF119" i="32"/>
  <c r="BT119" i="32" s="1"/>
  <c r="AV119" i="32"/>
  <c r="BR119" i="32" s="1"/>
  <c r="AM119" i="32"/>
  <c r="BO119" i="32" s="1"/>
  <c r="AL119" i="32"/>
  <c r="AN119" i="32" s="1"/>
  <c r="BM119" i="32" s="1"/>
  <c r="AF119" i="32"/>
  <c r="AS119" i="32" s="1"/>
  <c r="BQ119" i="32" s="1"/>
  <c r="AE119" i="32"/>
  <c r="AP119" i="32" s="1"/>
  <c r="AD119" i="32"/>
  <c r="BK119" i="32" s="1"/>
  <c r="W119" i="32"/>
  <c r="V119" i="32"/>
  <c r="BR118" i="32"/>
  <c r="BN118" i="32"/>
  <c r="BL118" i="32"/>
  <c r="BG118" i="32"/>
  <c r="BU118" i="32" s="1"/>
  <c r="BF118" i="32"/>
  <c r="BH118" i="32" s="1"/>
  <c r="BS118" i="32" s="1"/>
  <c r="AV118" i="32"/>
  <c r="AP118" i="32"/>
  <c r="AM118" i="32"/>
  <c r="BO118" i="32" s="1"/>
  <c r="AL118" i="32"/>
  <c r="AE118" i="32"/>
  <c r="AD118" i="32"/>
  <c r="AF118" i="32" s="1"/>
  <c r="W118" i="32"/>
  <c r="V118" i="32"/>
  <c r="BS117" i="32"/>
  <c r="BR117" i="32"/>
  <c r="BJ117" i="32"/>
  <c r="BH117" i="32"/>
  <c r="BG117" i="32"/>
  <c r="BU117" i="32" s="1"/>
  <c r="BF117" i="32"/>
  <c r="BT117" i="32" s="1"/>
  <c r="AV117" i="32"/>
  <c r="AS117" i="32"/>
  <c r="BQ117" i="32" s="1"/>
  <c r="AM117" i="32"/>
  <c r="BO117" i="32" s="1"/>
  <c r="AL117" i="32"/>
  <c r="AN117" i="32" s="1"/>
  <c r="BM117" i="32" s="1"/>
  <c r="AF117" i="32"/>
  <c r="AR117" i="32" s="1"/>
  <c r="BP117" i="32" s="1"/>
  <c r="AE117" i="32"/>
  <c r="BL117" i="32" s="1"/>
  <c r="W117" i="32"/>
  <c r="V117" i="32"/>
  <c r="AD117" i="32" s="1"/>
  <c r="BO116" i="32"/>
  <c r="BN116" i="32"/>
  <c r="BM116" i="32"/>
  <c r="BG116" i="32"/>
  <c r="BU116" i="32" s="1"/>
  <c r="BF116" i="32"/>
  <c r="BH116" i="32" s="1"/>
  <c r="BS116" i="32" s="1"/>
  <c r="AV116" i="32"/>
  <c r="BR116" i="32" s="1"/>
  <c r="AN116" i="32"/>
  <c r="AM116" i="32"/>
  <c r="AL116" i="32"/>
  <c r="AE116" i="32"/>
  <c r="BL116" i="32" s="1"/>
  <c r="AD116" i="32"/>
  <c r="AF116" i="32" s="1"/>
  <c r="W116" i="32"/>
  <c r="V116" i="32"/>
  <c r="BR115" i="32"/>
  <c r="BG115" i="32"/>
  <c r="BG300" i="32" s="1"/>
  <c r="BF115" i="32"/>
  <c r="BF300" i="32" s="1"/>
  <c r="AV115" i="32"/>
  <c r="AM115" i="32"/>
  <c r="AM300" i="32" s="1"/>
  <c r="AL115" i="32"/>
  <c r="AL300" i="32" s="1"/>
  <c r="AE115" i="32"/>
  <c r="W115" i="32"/>
  <c r="V115" i="32"/>
  <c r="V300" i="32" s="1"/>
  <c r="BT114" i="32"/>
  <c r="BG114" i="32"/>
  <c r="BF114" i="32"/>
  <c r="BF120" i="32" s="1"/>
  <c r="AV114" i="32"/>
  <c r="AV120" i="32" s="1"/>
  <c r="AM114" i="32"/>
  <c r="AM120" i="32" s="1"/>
  <c r="AL114" i="32"/>
  <c r="AN114" i="32" s="1"/>
  <c r="W114" i="32"/>
  <c r="W120" i="32" s="1"/>
  <c r="V114" i="32"/>
  <c r="V120" i="32" s="1"/>
  <c r="CA113" i="32"/>
  <c r="BZ113" i="32"/>
  <c r="BY113" i="32"/>
  <c r="BX113" i="32"/>
  <c r="BW113" i="32"/>
  <c r="BV113" i="32"/>
  <c r="BE113" i="32"/>
  <c r="BD113" i="32"/>
  <c r="BC113" i="32"/>
  <c r="BB113" i="32"/>
  <c r="BA113" i="32"/>
  <c r="AZ113" i="32"/>
  <c r="AY113" i="32"/>
  <c r="AX113" i="32"/>
  <c r="AV113" i="32"/>
  <c r="AU113" i="32"/>
  <c r="AT113" i="32"/>
  <c r="AK113" i="32"/>
  <c r="AJ113" i="32"/>
  <c r="AI113" i="32"/>
  <c r="AH113" i="32"/>
  <c r="AG113" i="32"/>
  <c r="AC113" i="32"/>
  <c r="AB113" i="32"/>
  <c r="AA113" i="32"/>
  <c r="Z113" i="32"/>
  <c r="Y113" i="32"/>
  <c r="X113" i="32"/>
  <c r="BR112" i="32"/>
  <c r="BG112" i="32"/>
  <c r="BU112" i="32" s="1"/>
  <c r="BF112" i="32"/>
  <c r="AV112" i="32"/>
  <c r="AM112" i="32"/>
  <c r="BO112" i="32" s="1"/>
  <c r="AL112" i="32"/>
  <c r="BN112" i="32" s="1"/>
  <c r="AE112" i="32"/>
  <c r="AP112" i="32" s="1"/>
  <c r="W112" i="32"/>
  <c r="V112" i="32"/>
  <c r="AD112" i="32" s="1"/>
  <c r="BT111" i="32"/>
  <c r="BG111" i="32"/>
  <c r="BU111" i="32" s="1"/>
  <c r="BF111" i="32"/>
  <c r="AV111" i="32"/>
  <c r="BR111" i="32" s="1"/>
  <c r="AM111" i="32"/>
  <c r="BO111" i="32" s="1"/>
  <c r="AL111" i="32"/>
  <c r="AN111" i="32" s="1"/>
  <c r="BM111" i="32" s="1"/>
  <c r="AF111" i="32"/>
  <c r="W111" i="32"/>
  <c r="AE111" i="32" s="1"/>
  <c r="V111" i="32"/>
  <c r="AD111" i="32" s="1"/>
  <c r="BU110" i="32"/>
  <c r="BU113" i="32" s="1"/>
  <c r="BT110" i="32"/>
  <c r="BO110" i="32"/>
  <c r="BO113" i="32" s="1"/>
  <c r="BH110" i="32"/>
  <c r="BS110" i="32" s="1"/>
  <c r="BG110" i="32"/>
  <c r="BG113" i="32" s="1"/>
  <c r="BF110" i="32"/>
  <c r="BF113" i="32" s="1"/>
  <c r="AV110" i="32"/>
  <c r="BR110" i="32" s="1"/>
  <c r="BR113" i="32" s="1"/>
  <c r="AM110" i="32"/>
  <c r="AM113" i="32" s="1"/>
  <c r="AL110" i="32"/>
  <c r="BN110" i="32" s="1"/>
  <c r="W110" i="32"/>
  <c r="W113" i="32" s="1"/>
  <c r="V110" i="32"/>
  <c r="CA109" i="32"/>
  <c r="BZ109" i="32"/>
  <c r="BY109" i="32"/>
  <c r="BX109" i="32"/>
  <c r="BW109" i="32"/>
  <c r="BV109" i="32"/>
  <c r="BF109" i="32"/>
  <c r="BE109" i="32"/>
  <c r="BD109" i="32"/>
  <c r="BC109" i="32"/>
  <c r="BB109" i="32"/>
  <c r="BA109" i="32"/>
  <c r="AZ109" i="32"/>
  <c r="AY109" i="32"/>
  <c r="AX109" i="32"/>
  <c r="AU109" i="32"/>
  <c r="AT109" i="32"/>
  <c r="AL109" i="32"/>
  <c r="AK109" i="32"/>
  <c r="AJ109" i="32"/>
  <c r="AI109" i="32"/>
  <c r="AH109" i="32"/>
  <c r="AG109" i="32"/>
  <c r="AC109" i="32"/>
  <c r="AB109" i="32"/>
  <c r="AA109" i="32"/>
  <c r="Z109" i="32"/>
  <c r="Y109" i="32"/>
  <c r="X109" i="32"/>
  <c r="BT108" i="32"/>
  <c r="BN108" i="32"/>
  <c r="BH108" i="32"/>
  <c r="BS108" i="32" s="1"/>
  <c r="BG108" i="32"/>
  <c r="BF108" i="32"/>
  <c r="BF305" i="32" s="1"/>
  <c r="AV108" i="32"/>
  <c r="AN108" i="32"/>
  <c r="AN109" i="32" s="1"/>
  <c r="AM108" i="32"/>
  <c r="AM305" i="32" s="1"/>
  <c r="AL108" i="32"/>
  <c r="AL305" i="32" s="1"/>
  <c r="W108" i="32"/>
  <c r="V108" i="32"/>
  <c r="CA107" i="32"/>
  <c r="BZ107" i="32"/>
  <c r="BY107" i="32"/>
  <c r="BX107" i="32"/>
  <c r="BW107" i="32"/>
  <c r="BV107" i="32"/>
  <c r="BE107" i="32"/>
  <c r="BD107" i="32"/>
  <c r="BC107" i="32"/>
  <c r="BB107" i="32"/>
  <c r="BA107" i="32"/>
  <c r="AZ107" i="32"/>
  <c r="AY107" i="32"/>
  <c r="AX107" i="32"/>
  <c r="AU107" i="32"/>
  <c r="AT107" i="32"/>
  <c r="AK107" i="32"/>
  <c r="AJ107" i="32"/>
  <c r="AI107" i="32"/>
  <c r="AH107" i="32"/>
  <c r="AG107" i="32"/>
  <c r="AC107" i="32"/>
  <c r="AB107" i="32"/>
  <c r="AA107" i="32"/>
  <c r="Z107" i="32"/>
  <c r="Y107" i="32"/>
  <c r="X107" i="32"/>
  <c r="BU106" i="32"/>
  <c r="BR106" i="32"/>
  <c r="BO106" i="32"/>
  <c r="BN106" i="32"/>
  <c r="BM106" i="32"/>
  <c r="BG106" i="32"/>
  <c r="BF106" i="32"/>
  <c r="BH106" i="32" s="1"/>
  <c r="BS106" i="32" s="1"/>
  <c r="AV106" i="32"/>
  <c r="AP106" i="32"/>
  <c r="AM106" i="32"/>
  <c r="AL106" i="32"/>
  <c r="AN106" i="32" s="1"/>
  <c r="AE106" i="32"/>
  <c r="BL106" i="32" s="1"/>
  <c r="AD106" i="32"/>
  <c r="AF106" i="32" s="1"/>
  <c r="W106" i="32"/>
  <c r="V106" i="32"/>
  <c r="BR105" i="32"/>
  <c r="BG105" i="32"/>
  <c r="BU105" i="32" s="1"/>
  <c r="BF105" i="32"/>
  <c r="BT105" i="32" s="1"/>
  <c r="AV105" i="32"/>
  <c r="AM105" i="32"/>
  <c r="BO105" i="32" s="1"/>
  <c r="AL105" i="32"/>
  <c r="BN105" i="32" s="1"/>
  <c r="W105" i="32"/>
  <c r="AE105" i="32" s="1"/>
  <c r="V105" i="32"/>
  <c r="AD105" i="32" s="1"/>
  <c r="BT104" i="32"/>
  <c r="BO104" i="32"/>
  <c r="BN104" i="32"/>
  <c r="BM104" i="32"/>
  <c r="BH104" i="32"/>
  <c r="BS104" i="32" s="1"/>
  <c r="BG104" i="32"/>
  <c r="BU104" i="32" s="1"/>
  <c r="BF104" i="32"/>
  <c r="AV104" i="32"/>
  <c r="BR104" i="32" s="1"/>
  <c r="AN104" i="32"/>
  <c r="AM104" i="32"/>
  <c r="AL104" i="32"/>
  <c r="W104" i="32"/>
  <c r="AE104" i="32" s="1"/>
  <c r="V104" i="32"/>
  <c r="AD104" i="32" s="1"/>
  <c r="BU103" i="32"/>
  <c r="BR103" i="32"/>
  <c r="BH103" i="32"/>
  <c r="BS103" i="32" s="1"/>
  <c r="BG103" i="32"/>
  <c r="BF103" i="32"/>
  <c r="BT103" i="32" s="1"/>
  <c r="AV103" i="32"/>
  <c r="AM103" i="32"/>
  <c r="BO103" i="32" s="1"/>
  <c r="AL103" i="32"/>
  <c r="AN103" i="32" s="1"/>
  <c r="BM103" i="32" s="1"/>
  <c r="AE103" i="32"/>
  <c r="BL103" i="32" s="1"/>
  <c r="W103" i="32"/>
  <c r="V103" i="32"/>
  <c r="AD103" i="32" s="1"/>
  <c r="BG102" i="32"/>
  <c r="BU102" i="32" s="1"/>
  <c r="BF102" i="32"/>
  <c r="AV102" i="32"/>
  <c r="BR102" i="32" s="1"/>
  <c r="AN102" i="32"/>
  <c r="BM102" i="32" s="1"/>
  <c r="AM102" i="32"/>
  <c r="BO102" i="32" s="1"/>
  <c r="AL102" i="32"/>
  <c r="BN102" i="32" s="1"/>
  <c r="W102" i="32"/>
  <c r="AE102" i="32" s="1"/>
  <c r="V102" i="32"/>
  <c r="AD102" i="32" s="1"/>
  <c r="BN101" i="32"/>
  <c r="BN302" i="32" s="1"/>
  <c r="BK101" i="32"/>
  <c r="BG101" i="32"/>
  <c r="BF101" i="32"/>
  <c r="AV101" i="32"/>
  <c r="AV302" i="32" s="1"/>
  <c r="AM101" i="32"/>
  <c r="AL101" i="32"/>
  <c r="AL302" i="32" s="1"/>
  <c r="AE101" i="32"/>
  <c r="AD101" i="32"/>
  <c r="W101" i="32"/>
  <c r="V101" i="32"/>
  <c r="BR100" i="32"/>
  <c r="BO100" i="32"/>
  <c r="BN100" i="32"/>
  <c r="BM100" i="32"/>
  <c r="BL100" i="32"/>
  <c r="BH100" i="32"/>
  <c r="BS100" i="32" s="1"/>
  <c r="BG100" i="32"/>
  <c r="BU100" i="32" s="1"/>
  <c r="BF100" i="32"/>
  <c r="BT100" i="32" s="1"/>
  <c r="AV100" i="32"/>
  <c r="AO100" i="32"/>
  <c r="AQ100" i="32" s="1"/>
  <c r="AM100" i="32"/>
  <c r="AL100" i="32"/>
  <c r="AN100" i="32" s="1"/>
  <c r="AF100" i="32"/>
  <c r="BJ100" i="32" s="1"/>
  <c r="AE100" i="32"/>
  <c r="AP100" i="32" s="1"/>
  <c r="AD100" i="32"/>
  <c r="BK100" i="32" s="1"/>
  <c r="W100" i="32"/>
  <c r="V100" i="32"/>
  <c r="BG99" i="32"/>
  <c r="BF99" i="32"/>
  <c r="BF299" i="32" s="1"/>
  <c r="AV99" i="32"/>
  <c r="AV299" i="32" s="1"/>
  <c r="AN99" i="32"/>
  <c r="AN299" i="32" s="1"/>
  <c r="AM99" i="32"/>
  <c r="AM299" i="32" s="1"/>
  <c r="AL99" i="32"/>
  <c r="AL299" i="32" s="1"/>
  <c r="W99" i="32"/>
  <c r="W299" i="32" s="1"/>
  <c r="V99" i="32"/>
  <c r="BT98" i="32"/>
  <c r="BO98" i="32"/>
  <c r="BN98" i="32"/>
  <c r="BH98" i="32"/>
  <c r="BS98" i="32" s="1"/>
  <c r="BG98" i="32"/>
  <c r="BG107" i="32" s="1"/>
  <c r="BF98" i="32"/>
  <c r="AV98" i="32"/>
  <c r="BR98" i="32" s="1"/>
  <c r="AM98" i="32"/>
  <c r="AL98" i="32"/>
  <c r="AN98" i="32" s="1"/>
  <c r="BM98" i="32" s="1"/>
  <c r="AF98" i="32"/>
  <c r="AS98" i="32" s="1"/>
  <c r="BQ98" i="32" s="1"/>
  <c r="AD98" i="32"/>
  <c r="AO98" i="32" s="1"/>
  <c r="W98" i="32"/>
  <c r="AE98" i="32" s="1"/>
  <c r="V98" i="32"/>
  <c r="BU97" i="32"/>
  <c r="BR97" i="32"/>
  <c r="BG97" i="32"/>
  <c r="BF97" i="32"/>
  <c r="BF107" i="32" s="1"/>
  <c r="AV97" i="32"/>
  <c r="AV107" i="32" s="1"/>
  <c r="AN97" i="32"/>
  <c r="AM97" i="32"/>
  <c r="BO97" i="32" s="1"/>
  <c r="AL97" i="32"/>
  <c r="AL107" i="32" s="1"/>
  <c r="W97" i="32"/>
  <c r="AE97" i="32" s="1"/>
  <c r="V97" i="32"/>
  <c r="V107" i="32" s="1"/>
  <c r="CA96" i="32"/>
  <c r="BZ96" i="32"/>
  <c r="BY96" i="32"/>
  <c r="BX96" i="32"/>
  <c r="BW96" i="32"/>
  <c r="BV96" i="32"/>
  <c r="BE96" i="32"/>
  <c r="BD96" i="32"/>
  <c r="BC96" i="32"/>
  <c r="BB96" i="32"/>
  <c r="BA96" i="32"/>
  <c r="AZ96" i="32"/>
  <c r="AY96" i="32"/>
  <c r="AX96" i="32"/>
  <c r="AU96" i="32"/>
  <c r="AT96" i="32"/>
  <c r="AL96" i="32"/>
  <c r="AK96" i="32"/>
  <c r="AJ96" i="32"/>
  <c r="AI96" i="32"/>
  <c r="AH96" i="32"/>
  <c r="AG96" i="32"/>
  <c r="AC96" i="32"/>
  <c r="AB96" i="32"/>
  <c r="AA96" i="32"/>
  <c r="Z96" i="32"/>
  <c r="Y96" i="32"/>
  <c r="BT95" i="32"/>
  <c r="BS95" i="32"/>
  <c r="BH95" i="32"/>
  <c r="BG95" i="32"/>
  <c r="BU95" i="32" s="1"/>
  <c r="BF95" i="32"/>
  <c r="AV95" i="32"/>
  <c r="BR95" i="32" s="1"/>
  <c r="AN95" i="32"/>
  <c r="BM95" i="32" s="1"/>
  <c r="AM95" i="32"/>
  <c r="BO95" i="32" s="1"/>
  <c r="AL95" i="32"/>
  <c r="BN95" i="32" s="1"/>
  <c r="W95" i="32"/>
  <c r="AE95" i="32" s="1"/>
  <c r="V95" i="32"/>
  <c r="AD95" i="32" s="1"/>
  <c r="BU94" i="32"/>
  <c r="BR94" i="32"/>
  <c r="BO94" i="32"/>
  <c r="BN94" i="32"/>
  <c r="BH94" i="32"/>
  <c r="BS94" i="32" s="1"/>
  <c r="BG94" i="32"/>
  <c r="BF94" i="32"/>
  <c r="BT94" i="32" s="1"/>
  <c r="AV94" i="32"/>
  <c r="AM94" i="32"/>
  <c r="AL94" i="32"/>
  <c r="AN94" i="32" s="1"/>
  <c r="BM94" i="32" s="1"/>
  <c r="AE94" i="32"/>
  <c r="AP94" i="32" s="1"/>
  <c r="AD94" i="32"/>
  <c r="AO94" i="32" s="1"/>
  <c r="W94" i="32"/>
  <c r="V94" i="32"/>
  <c r="BG93" i="32"/>
  <c r="BU93" i="32" s="1"/>
  <c r="BF93" i="32"/>
  <c r="AV93" i="32"/>
  <c r="BR93" i="32" s="1"/>
  <c r="AM93" i="32"/>
  <c r="AN93" i="32" s="1"/>
  <c r="BM93" i="32" s="1"/>
  <c r="AL93" i="32"/>
  <c r="BN93" i="32" s="1"/>
  <c r="W93" i="32"/>
  <c r="AE93" i="32" s="1"/>
  <c r="V93" i="32"/>
  <c r="AD93" i="32" s="1"/>
  <c r="BR92" i="32"/>
  <c r="BN92" i="32"/>
  <c r="BM92" i="32"/>
  <c r="BG92" i="32"/>
  <c r="BU92" i="32" s="1"/>
  <c r="BF92" i="32"/>
  <c r="BH92" i="32" s="1"/>
  <c r="BS92" i="32" s="1"/>
  <c r="AZ92" i="32"/>
  <c r="AZ298" i="32" s="1"/>
  <c r="AZ296" i="32" s="1"/>
  <c r="AV92" i="32"/>
  <c r="AM92" i="32"/>
  <c r="BO92" i="32" s="1"/>
  <c r="AL92" i="32"/>
  <c r="AN92" i="32" s="1"/>
  <c r="AF92" i="32"/>
  <c r="AS92" i="32" s="1"/>
  <c r="BQ92" i="32" s="1"/>
  <c r="AE92" i="32"/>
  <c r="BL92" i="32" s="1"/>
  <c r="AD92" i="32"/>
  <c r="BK92" i="32" s="1"/>
  <c r="X92" i="32"/>
  <c r="X298" i="32" s="1"/>
  <c r="W92" i="32"/>
  <c r="V92" i="32"/>
  <c r="BT91" i="32"/>
  <c r="BO91" i="32"/>
  <c r="BN91" i="32"/>
  <c r="BM91" i="32"/>
  <c r="BM96" i="32" s="1"/>
  <c r="BG91" i="32"/>
  <c r="BH91" i="32" s="1"/>
  <c r="BF91" i="32"/>
  <c r="AV91" i="32"/>
  <c r="AN91" i="32"/>
  <c r="AN96" i="32" s="1"/>
  <c r="AM91" i="32"/>
  <c r="AL91" i="32"/>
  <c r="AD91" i="32"/>
  <c r="AO91" i="32" s="1"/>
  <c r="W91" i="32"/>
  <c r="AE91" i="32" s="1"/>
  <c r="V91" i="32"/>
  <c r="V96" i="32" s="1"/>
  <c r="CA90" i="32"/>
  <c r="BZ90" i="32"/>
  <c r="BY90" i="32"/>
  <c r="BX90" i="32"/>
  <c r="BW90" i="32"/>
  <c r="BV90" i="32"/>
  <c r="BE90" i="32"/>
  <c r="BD90" i="32"/>
  <c r="BC90" i="32"/>
  <c r="BB90" i="32"/>
  <c r="BA90" i="32"/>
  <c r="AZ90" i="32"/>
  <c r="AY90" i="32"/>
  <c r="AX90" i="32"/>
  <c r="AU90" i="32"/>
  <c r="AT90" i="32"/>
  <c r="AK90" i="32"/>
  <c r="AJ90" i="32"/>
  <c r="AI90" i="32"/>
  <c r="AH90" i="32"/>
  <c r="AG90" i="32"/>
  <c r="AC90" i="32"/>
  <c r="AB90" i="32"/>
  <c r="AA90" i="32"/>
  <c r="Z90" i="32"/>
  <c r="Y90" i="32"/>
  <c r="X90" i="32"/>
  <c r="BR89" i="32"/>
  <c r="BO89" i="32"/>
  <c r="BN89" i="32"/>
  <c r="BH89" i="32"/>
  <c r="BS89" i="32" s="1"/>
  <c r="BG89" i="32"/>
  <c r="BU89" i="32" s="1"/>
  <c r="BF89" i="32"/>
  <c r="BT89" i="32" s="1"/>
  <c r="AV89" i="32"/>
  <c r="AM89" i="32"/>
  <c r="AL89" i="32"/>
  <c r="AN89" i="32" s="1"/>
  <c r="BM89" i="32" s="1"/>
  <c r="AF89" i="32"/>
  <c r="BJ89" i="32" s="1"/>
  <c r="AE89" i="32"/>
  <c r="AP89" i="32" s="1"/>
  <c r="W89" i="32"/>
  <c r="V89" i="32"/>
  <c r="AD89" i="32" s="1"/>
  <c r="BT88" i="32"/>
  <c r="BS88" i="32"/>
  <c r="BH88" i="32"/>
  <c r="BG88" i="32"/>
  <c r="BU88" i="32" s="1"/>
  <c r="BF88" i="32"/>
  <c r="AV88" i="32"/>
  <c r="BR88" i="32" s="1"/>
  <c r="AN88" i="32"/>
  <c r="BM88" i="32" s="1"/>
  <c r="AM88" i="32"/>
  <c r="BO88" i="32" s="1"/>
  <c r="AL88" i="32"/>
  <c r="BN88" i="32" s="1"/>
  <c r="W88" i="32"/>
  <c r="AE88" i="32" s="1"/>
  <c r="V88" i="32"/>
  <c r="AD88" i="32" s="1"/>
  <c r="BU87" i="32"/>
  <c r="BR87" i="32"/>
  <c r="BO87" i="32"/>
  <c r="BN87" i="32"/>
  <c r="BH87" i="32"/>
  <c r="BS87" i="32" s="1"/>
  <c r="BG87" i="32"/>
  <c r="BF87" i="32"/>
  <c r="BT87" i="32" s="1"/>
  <c r="AV87" i="32"/>
  <c r="AM87" i="32"/>
  <c r="AL87" i="32"/>
  <c r="AN87" i="32" s="1"/>
  <c r="BM87" i="32" s="1"/>
  <c r="AE87" i="32"/>
  <c r="AD87" i="32"/>
  <c r="AO87" i="32" s="1"/>
  <c r="W87" i="32"/>
  <c r="V87" i="32"/>
  <c r="BR86" i="32"/>
  <c r="BG86" i="32"/>
  <c r="BU86" i="32" s="1"/>
  <c r="BF86" i="32"/>
  <c r="AV86" i="32"/>
  <c r="AV90" i="32" s="1"/>
  <c r="AM86" i="32"/>
  <c r="AL86" i="32"/>
  <c r="BN86" i="32" s="1"/>
  <c r="W86" i="32"/>
  <c r="AE86" i="32" s="1"/>
  <c r="V86" i="32"/>
  <c r="BN85" i="32"/>
  <c r="BN90" i="32" s="1"/>
  <c r="BM85" i="32"/>
  <c r="BG85" i="32"/>
  <c r="BF85" i="32"/>
  <c r="BH85" i="32" s="1"/>
  <c r="AV85" i="32"/>
  <c r="BR85" i="32" s="1"/>
  <c r="AP85" i="32"/>
  <c r="AN85" i="32"/>
  <c r="AM85" i="32"/>
  <c r="BO85" i="32" s="1"/>
  <c r="AL85" i="32"/>
  <c r="AL90" i="32" s="1"/>
  <c r="AE85" i="32"/>
  <c r="AD85" i="32"/>
  <c r="W85" i="32"/>
  <c r="W90" i="32" s="1"/>
  <c r="V85" i="32"/>
  <c r="CA84" i="32"/>
  <c r="BZ84" i="32"/>
  <c r="BY84" i="32"/>
  <c r="BX84" i="32"/>
  <c r="BW84" i="32"/>
  <c r="BV84" i="32"/>
  <c r="BE84" i="32"/>
  <c r="BD84" i="32"/>
  <c r="BC84" i="32"/>
  <c r="BB84" i="32"/>
  <c r="BA84" i="32"/>
  <c r="AZ84" i="32"/>
  <c r="AY84" i="32"/>
  <c r="AX84" i="32"/>
  <c r="AU84" i="32"/>
  <c r="AT84" i="32"/>
  <c r="AK84" i="32"/>
  <c r="AJ84" i="32"/>
  <c r="AI84" i="32"/>
  <c r="AH84" i="32"/>
  <c r="AG84" i="32"/>
  <c r="AC84" i="32"/>
  <c r="AB84" i="32"/>
  <c r="AA84" i="32"/>
  <c r="Z84" i="32"/>
  <c r="Y84" i="32"/>
  <c r="X84" i="32"/>
  <c r="BO83" i="32"/>
  <c r="BG83" i="32"/>
  <c r="BU83" i="32" s="1"/>
  <c r="BF83" i="32"/>
  <c r="AV83" i="32"/>
  <c r="BR83" i="32" s="1"/>
  <c r="AM83" i="32"/>
  <c r="AN83" i="32" s="1"/>
  <c r="BM83" i="32" s="1"/>
  <c r="AL83" i="32"/>
  <c r="BN83" i="32" s="1"/>
  <c r="AE83" i="32"/>
  <c r="AP83" i="32" s="1"/>
  <c r="W83" i="32"/>
  <c r="V83" i="32"/>
  <c r="AD83" i="32" s="1"/>
  <c r="BN82" i="32"/>
  <c r="BM82" i="32"/>
  <c r="BG82" i="32"/>
  <c r="BU82" i="32" s="1"/>
  <c r="BF82" i="32"/>
  <c r="BH82" i="32" s="1"/>
  <c r="BS82" i="32" s="1"/>
  <c r="AV82" i="32"/>
  <c r="BR82" i="32" s="1"/>
  <c r="AN82" i="32"/>
  <c r="AM82" i="32"/>
  <c r="BO82" i="32" s="1"/>
  <c r="AL82" i="32"/>
  <c r="AD82" i="32"/>
  <c r="W82" i="32"/>
  <c r="AE82" i="32" s="1"/>
  <c r="V82" i="32"/>
  <c r="BR81" i="32"/>
  <c r="BG81" i="32"/>
  <c r="BU81" i="32" s="1"/>
  <c r="BF81" i="32"/>
  <c r="AV81" i="32"/>
  <c r="AN81" i="32"/>
  <c r="BM81" i="32" s="1"/>
  <c r="AM81" i="32"/>
  <c r="BO81" i="32" s="1"/>
  <c r="AL81" i="32"/>
  <c r="BN81" i="32" s="1"/>
  <c r="AE81" i="32"/>
  <c r="AP81" i="32" s="1"/>
  <c r="AD81" i="32"/>
  <c r="W81" i="32"/>
  <c r="V81" i="32"/>
  <c r="BR80" i="32"/>
  <c r="BG80" i="32"/>
  <c r="BU80" i="32" s="1"/>
  <c r="BF80" i="32"/>
  <c r="BT80" i="32" s="1"/>
  <c r="AV80" i="32"/>
  <c r="AP80" i="32"/>
  <c r="AM80" i="32"/>
  <c r="BO80" i="32" s="1"/>
  <c r="AL80" i="32"/>
  <c r="BN80" i="32" s="1"/>
  <c r="AE80" i="32"/>
  <c r="BL80" i="32" s="1"/>
  <c r="AD80" i="32"/>
  <c r="BK80" i="32" s="1"/>
  <c r="W80" i="32"/>
  <c r="V80" i="32"/>
  <c r="BT79" i="32"/>
  <c r="BR79" i="32"/>
  <c r="BN79" i="32"/>
  <c r="BM79" i="32"/>
  <c r="BH79" i="32"/>
  <c r="BS79" i="32" s="1"/>
  <c r="BG79" i="32"/>
  <c r="BU79" i="32" s="1"/>
  <c r="BF79" i="32"/>
  <c r="AV79" i="32"/>
  <c r="AM79" i="32"/>
  <c r="BO79" i="32" s="1"/>
  <c r="AL79" i="32"/>
  <c r="AN79" i="32" s="1"/>
  <c r="AE79" i="32"/>
  <c r="BL79" i="32" s="1"/>
  <c r="W79" i="32"/>
  <c r="V79" i="32"/>
  <c r="AD79" i="32" s="1"/>
  <c r="BU78" i="32"/>
  <c r="BU84" i="32" s="1"/>
  <c r="BT78" i="32"/>
  <c r="BH78" i="32"/>
  <c r="BG78" i="32"/>
  <c r="BG84" i="32" s="1"/>
  <c r="BF78" i="32"/>
  <c r="AV78" i="32"/>
  <c r="AV84" i="32" s="1"/>
  <c r="AM78" i="32"/>
  <c r="AM84" i="32" s="1"/>
  <c r="AL78" i="32"/>
  <c r="W78" i="32"/>
  <c r="AE78" i="32" s="1"/>
  <c r="V78" i="32"/>
  <c r="CA77" i="32"/>
  <c r="BZ77" i="32"/>
  <c r="BY77" i="32"/>
  <c r="BX77" i="32"/>
  <c r="BW77" i="32"/>
  <c r="BV77" i="32"/>
  <c r="BE77" i="32"/>
  <c r="BD77" i="32"/>
  <c r="BC77" i="32"/>
  <c r="BB77" i="32"/>
  <c r="BA77" i="32"/>
  <c r="AZ77" i="32"/>
  <c r="AY77" i="32"/>
  <c r="AX77" i="32"/>
  <c r="AU77" i="32"/>
  <c r="AT77" i="32"/>
  <c r="AK77" i="32"/>
  <c r="AJ77" i="32"/>
  <c r="AI77" i="32"/>
  <c r="AH77" i="32"/>
  <c r="AG77" i="32"/>
  <c r="AC77" i="32"/>
  <c r="AB77" i="32"/>
  <c r="AA77" i="32"/>
  <c r="Z77" i="32"/>
  <c r="Y77" i="32"/>
  <c r="X77" i="32"/>
  <c r="BT76" i="32"/>
  <c r="BR76" i="32"/>
  <c r="BG76" i="32"/>
  <c r="BU76" i="32" s="1"/>
  <c r="BF76" i="32"/>
  <c r="AV76" i="32"/>
  <c r="AM76" i="32"/>
  <c r="BO76" i="32" s="1"/>
  <c r="AL76" i="32"/>
  <c r="AN76" i="32" s="1"/>
  <c r="BM76" i="32" s="1"/>
  <c r="AE76" i="32"/>
  <c r="BL76" i="32" s="1"/>
  <c r="W76" i="32"/>
  <c r="V76" i="32"/>
  <c r="AD76" i="32" s="1"/>
  <c r="AF76" i="32" s="1"/>
  <c r="BU75" i="32"/>
  <c r="BT75" i="32"/>
  <c r="BO75" i="32"/>
  <c r="BN75" i="32"/>
  <c r="BH75" i="32"/>
  <c r="BS75" i="32" s="1"/>
  <c r="BG75" i="32"/>
  <c r="BF75" i="32"/>
  <c r="AV75" i="32"/>
  <c r="BR75" i="32" s="1"/>
  <c r="AM75" i="32"/>
  <c r="AL75" i="32"/>
  <c r="AN75" i="32" s="1"/>
  <c r="BM75" i="32" s="1"/>
  <c r="W75" i="32"/>
  <c r="AE75" i="32" s="1"/>
  <c r="V75" i="32"/>
  <c r="AD75" i="32" s="1"/>
  <c r="BU74" i="32"/>
  <c r="BT74" i="32"/>
  <c r="BO74" i="32"/>
  <c r="BH74" i="32"/>
  <c r="BS74" i="32" s="1"/>
  <c r="BG74" i="32"/>
  <c r="BF74" i="32"/>
  <c r="AV74" i="32"/>
  <c r="BR74" i="32" s="1"/>
  <c r="AM74" i="32"/>
  <c r="AL74" i="32"/>
  <c r="AL77" i="32" s="1"/>
  <c r="W74" i="32"/>
  <c r="AE74" i="32" s="1"/>
  <c r="V74" i="32"/>
  <c r="AD74" i="32" s="1"/>
  <c r="BU73" i="32"/>
  <c r="BO73" i="32"/>
  <c r="BG73" i="32"/>
  <c r="BF73" i="32"/>
  <c r="BT73" i="32" s="1"/>
  <c r="AV73" i="32"/>
  <c r="BR73" i="32" s="1"/>
  <c r="AM73" i="32"/>
  <c r="AN73" i="32" s="1"/>
  <c r="BM73" i="32" s="1"/>
  <c r="AL73" i="32"/>
  <c r="BN73" i="32" s="1"/>
  <c r="W73" i="32"/>
  <c r="AE73" i="32" s="1"/>
  <c r="V73" i="32"/>
  <c r="AD73" i="32" s="1"/>
  <c r="BG72" i="32"/>
  <c r="BF72" i="32"/>
  <c r="AV72" i="32"/>
  <c r="AV77" i="32" s="1"/>
  <c r="AN72" i="32"/>
  <c r="AM72" i="32"/>
  <c r="AM77" i="32" s="1"/>
  <c r="AL72" i="32"/>
  <c r="BN72" i="32" s="1"/>
  <c r="AD72" i="32"/>
  <c r="AO72" i="32" s="1"/>
  <c r="W72" i="32"/>
  <c r="W77" i="32" s="1"/>
  <c r="V72" i="32"/>
  <c r="CA71" i="32"/>
  <c r="BZ71" i="32"/>
  <c r="BY71" i="32"/>
  <c r="BX71" i="32"/>
  <c r="BW71" i="32"/>
  <c r="BV71" i="32"/>
  <c r="BE71" i="32"/>
  <c r="BD71" i="32"/>
  <c r="BC71" i="32"/>
  <c r="BB71" i="32"/>
  <c r="BA71" i="32"/>
  <c r="AZ71" i="32"/>
  <c r="AY71" i="32"/>
  <c r="AX71" i="32"/>
  <c r="AU71" i="32"/>
  <c r="AT71" i="32"/>
  <c r="AK71" i="32"/>
  <c r="AJ71" i="32"/>
  <c r="AI71" i="32"/>
  <c r="AH71" i="32"/>
  <c r="AG71" i="32"/>
  <c r="AC71" i="32"/>
  <c r="AB71" i="32"/>
  <c r="AA71" i="32"/>
  <c r="Z71" i="32"/>
  <c r="Y71" i="32"/>
  <c r="X71" i="32"/>
  <c r="BU70" i="32"/>
  <c r="BG70" i="32"/>
  <c r="BF70" i="32"/>
  <c r="BT70" i="32" s="1"/>
  <c r="AV70" i="32"/>
  <c r="BR70" i="32" s="1"/>
  <c r="AM70" i="32"/>
  <c r="AN70" i="32" s="1"/>
  <c r="BM70" i="32" s="1"/>
  <c r="AL70" i="32"/>
  <c r="BN70" i="32" s="1"/>
  <c r="AD70" i="32"/>
  <c r="AF70" i="32" s="1"/>
  <c r="AR70" i="32" s="1"/>
  <c r="BP70" i="32" s="1"/>
  <c r="W70" i="32"/>
  <c r="AE70" i="32" s="1"/>
  <c r="V70" i="32"/>
  <c r="BG69" i="32"/>
  <c r="BU69" i="32" s="1"/>
  <c r="BF69" i="32"/>
  <c r="AV69" i="32"/>
  <c r="BR69" i="32" s="1"/>
  <c r="AN69" i="32"/>
  <c r="BM69" i="32" s="1"/>
  <c r="AM69" i="32"/>
  <c r="BO69" i="32" s="1"/>
  <c r="AL69" i="32"/>
  <c r="BN69" i="32" s="1"/>
  <c r="AE69" i="32"/>
  <c r="BL69" i="32" s="1"/>
  <c r="AD69" i="32"/>
  <c r="AO69" i="32" s="1"/>
  <c r="W69" i="32"/>
  <c r="V69" i="32"/>
  <c r="BR68" i="32"/>
  <c r="BG68" i="32"/>
  <c r="BU68" i="32" s="1"/>
  <c r="BF68" i="32"/>
  <c r="AV68" i="32"/>
  <c r="AP68" i="32"/>
  <c r="AO68" i="32"/>
  <c r="AQ68" i="32" s="1"/>
  <c r="AM68" i="32"/>
  <c r="BO68" i="32" s="1"/>
  <c r="AL68" i="32"/>
  <c r="BN68" i="32" s="1"/>
  <c r="AF68" i="32"/>
  <c r="AE68" i="32"/>
  <c r="BL68" i="32" s="1"/>
  <c r="AD68" i="32"/>
  <c r="BK68" i="32" s="1"/>
  <c r="W68" i="32"/>
  <c r="V68" i="32"/>
  <c r="BT67" i="32"/>
  <c r="BR67" i="32"/>
  <c r="BN67" i="32"/>
  <c r="BM67" i="32"/>
  <c r="BH67" i="32"/>
  <c r="BS67" i="32" s="1"/>
  <c r="BG67" i="32"/>
  <c r="BU67" i="32" s="1"/>
  <c r="BF67" i="32"/>
  <c r="AV67" i="32"/>
  <c r="AP67" i="32"/>
  <c r="AM67" i="32"/>
  <c r="BO67" i="32" s="1"/>
  <c r="AL67" i="32"/>
  <c r="AN67" i="32" s="1"/>
  <c r="AE67" i="32"/>
  <c r="BL67" i="32" s="1"/>
  <c r="W67" i="32"/>
  <c r="V67" i="32"/>
  <c r="AD67" i="32" s="1"/>
  <c r="BU66" i="32"/>
  <c r="BU71" i="32" s="1"/>
  <c r="BT66" i="32"/>
  <c r="BO66" i="32"/>
  <c r="BG66" i="32"/>
  <c r="BG71" i="32" s="1"/>
  <c r="BF66" i="32"/>
  <c r="AV66" i="32"/>
  <c r="AM66" i="32"/>
  <c r="AM71" i="32" s="1"/>
  <c r="AL66" i="32"/>
  <c r="BN66" i="32" s="1"/>
  <c r="BN71" i="32" s="1"/>
  <c r="W66" i="32"/>
  <c r="AE66" i="32" s="1"/>
  <c r="V66" i="32"/>
  <c r="AD66" i="32" s="1"/>
  <c r="CA65" i="32"/>
  <c r="BZ65" i="32"/>
  <c r="BY65" i="32"/>
  <c r="BX65" i="32"/>
  <c r="BW65" i="32"/>
  <c r="BV65" i="32"/>
  <c r="BE65" i="32"/>
  <c r="BD65" i="32"/>
  <c r="BC65" i="32"/>
  <c r="BB65" i="32"/>
  <c r="BA65" i="32"/>
  <c r="AZ65" i="32"/>
  <c r="AY65" i="32"/>
  <c r="AX65" i="32"/>
  <c r="AU65" i="32"/>
  <c r="AT65" i="32"/>
  <c r="AK65" i="32"/>
  <c r="AJ65" i="32"/>
  <c r="AI65" i="32"/>
  <c r="AH65" i="32"/>
  <c r="AG65" i="32"/>
  <c r="AC65" i="32"/>
  <c r="AB65" i="32"/>
  <c r="AA65" i="32"/>
  <c r="Z65" i="32"/>
  <c r="Y65" i="32"/>
  <c r="X65" i="32"/>
  <c r="BU64" i="32"/>
  <c r="BR64" i="32"/>
  <c r="BN64" i="32"/>
  <c r="BG64" i="32"/>
  <c r="BF64" i="32"/>
  <c r="BH64" i="32" s="1"/>
  <c r="BS64" i="32" s="1"/>
  <c r="AV64" i="32"/>
  <c r="AM64" i="32"/>
  <c r="BO64" i="32" s="1"/>
  <c r="AL64" i="32"/>
  <c r="AE64" i="32"/>
  <c r="AP64" i="32" s="1"/>
  <c r="W64" i="32"/>
  <c r="V64" i="32"/>
  <c r="AD64" i="32" s="1"/>
  <c r="BO63" i="32"/>
  <c r="BH63" i="32"/>
  <c r="BS63" i="32" s="1"/>
  <c r="BG63" i="32"/>
  <c r="BU63" i="32" s="1"/>
  <c r="BF63" i="32"/>
  <c r="BT63" i="32" s="1"/>
  <c r="AV63" i="32"/>
  <c r="BR63" i="32" s="1"/>
  <c r="AM63" i="32"/>
  <c r="AL63" i="32"/>
  <c r="AN63" i="32" s="1"/>
  <c r="BM63" i="32" s="1"/>
  <c r="AF63" i="32"/>
  <c r="BJ63" i="32" s="1"/>
  <c r="AE63" i="32"/>
  <c r="BL63" i="32" s="1"/>
  <c r="W63" i="32"/>
  <c r="V63" i="32"/>
  <c r="AD63" i="32" s="1"/>
  <c r="BT62" i="32"/>
  <c r="BN62" i="32"/>
  <c r="BG62" i="32"/>
  <c r="BH62" i="32" s="1"/>
  <c r="BS62" i="32" s="1"/>
  <c r="BF62" i="32"/>
  <c r="AV62" i="32"/>
  <c r="BR62" i="32" s="1"/>
  <c r="AN62" i="32"/>
  <c r="BM62" i="32" s="1"/>
  <c r="AM62" i="32"/>
  <c r="BO62" i="32" s="1"/>
  <c r="AL62" i="32"/>
  <c r="W62" i="32"/>
  <c r="AE62" i="32" s="1"/>
  <c r="V62" i="32"/>
  <c r="AD62" i="32" s="1"/>
  <c r="BU61" i="32"/>
  <c r="BO61" i="32"/>
  <c r="BN61" i="32"/>
  <c r="BH61" i="32"/>
  <c r="BS61" i="32" s="1"/>
  <c r="BG61" i="32"/>
  <c r="BF61" i="32"/>
  <c r="BT61" i="32" s="1"/>
  <c r="AV61" i="32"/>
  <c r="BR61" i="32" s="1"/>
  <c r="AM61" i="32"/>
  <c r="AN61" i="32" s="1"/>
  <c r="BM61" i="32" s="1"/>
  <c r="AL61" i="32"/>
  <c r="AE61" i="32"/>
  <c r="AP61" i="32" s="1"/>
  <c r="AD61" i="32"/>
  <c r="AO61" i="32" s="1"/>
  <c r="W61" i="32"/>
  <c r="V61" i="32"/>
  <c r="BU60" i="32"/>
  <c r="BG60" i="32"/>
  <c r="BF60" i="32"/>
  <c r="AV60" i="32"/>
  <c r="BR60" i="32" s="1"/>
  <c r="AM60" i="32"/>
  <c r="AM65" i="32" s="1"/>
  <c r="AL60" i="32"/>
  <c r="BN60" i="32" s="1"/>
  <c r="AE60" i="32"/>
  <c r="AP60" i="32" s="1"/>
  <c r="W60" i="32"/>
  <c r="V60" i="32"/>
  <c r="AD60" i="32" s="1"/>
  <c r="BN59" i="32"/>
  <c r="BG59" i="32"/>
  <c r="BF59" i="32"/>
  <c r="BF65" i="32" s="1"/>
  <c r="AV59" i="32"/>
  <c r="BR59" i="32" s="1"/>
  <c r="AM59" i="32"/>
  <c r="BO59" i="32" s="1"/>
  <c r="AL59" i="32"/>
  <c r="AL65" i="32" s="1"/>
  <c r="AE59" i="32"/>
  <c r="AE65" i="32" s="1"/>
  <c r="AD59" i="32"/>
  <c r="BK59" i="32" s="1"/>
  <c r="W59" i="32"/>
  <c r="V59" i="32"/>
  <c r="CA58" i="32"/>
  <c r="BZ58" i="32"/>
  <c r="BY58" i="32"/>
  <c r="BX58" i="32"/>
  <c r="BW58" i="32"/>
  <c r="BV58" i="32"/>
  <c r="BE58" i="32"/>
  <c r="BD58" i="32"/>
  <c r="BC58" i="32"/>
  <c r="BB58" i="32"/>
  <c r="BA58" i="32"/>
  <c r="AZ58" i="32"/>
  <c r="AY58" i="32"/>
  <c r="AX58" i="32"/>
  <c r="AU58" i="32"/>
  <c r="AT58" i="32"/>
  <c r="AK58" i="32"/>
  <c r="AJ58" i="32"/>
  <c r="AI58" i="32"/>
  <c r="AH58" i="32"/>
  <c r="AG58" i="32"/>
  <c r="AC58" i="32"/>
  <c r="AB58" i="32"/>
  <c r="AA58" i="32"/>
  <c r="Z58" i="32"/>
  <c r="Y58" i="32"/>
  <c r="X58" i="32"/>
  <c r="BU57" i="32"/>
  <c r="BG57" i="32"/>
  <c r="BF57" i="32"/>
  <c r="AV57" i="32"/>
  <c r="BR57" i="32" s="1"/>
  <c r="AN57" i="32"/>
  <c r="BM57" i="32" s="1"/>
  <c r="AM57" i="32"/>
  <c r="BO57" i="32" s="1"/>
  <c r="AL57" i="32"/>
  <c r="BN57" i="32" s="1"/>
  <c r="AD57" i="32"/>
  <c r="AO57" i="32" s="1"/>
  <c r="W57" i="32"/>
  <c r="AE57" i="32" s="1"/>
  <c r="V57" i="32"/>
  <c r="BM56" i="32"/>
  <c r="BG56" i="32"/>
  <c r="BU56" i="32" s="1"/>
  <c r="BF56" i="32"/>
  <c r="BH56" i="32" s="1"/>
  <c r="BS56" i="32" s="1"/>
  <c r="AV56" i="32"/>
  <c r="BR56" i="32" s="1"/>
  <c r="AN56" i="32"/>
  <c r="AM56" i="32"/>
  <c r="BO56" i="32" s="1"/>
  <c r="AL56" i="32"/>
  <c r="BN56" i="32" s="1"/>
  <c r="AD56" i="32"/>
  <c r="AF56" i="32" s="1"/>
  <c r="W56" i="32"/>
  <c r="AE56" i="32" s="1"/>
  <c r="V56" i="32"/>
  <c r="BR55" i="32"/>
  <c r="BG55" i="32"/>
  <c r="BU55" i="32" s="1"/>
  <c r="BF55" i="32"/>
  <c r="BT55" i="32" s="1"/>
  <c r="AV55" i="32"/>
  <c r="AM55" i="32"/>
  <c r="AP55" i="32" s="1"/>
  <c r="AL55" i="32"/>
  <c r="AE55" i="32"/>
  <c r="BL55" i="32" s="1"/>
  <c r="W55" i="32"/>
  <c r="V55" i="32"/>
  <c r="AD55" i="32" s="1"/>
  <c r="BR54" i="32"/>
  <c r="BO54" i="32"/>
  <c r="BN54" i="32"/>
  <c r="BH54" i="32"/>
  <c r="BS54" i="32" s="1"/>
  <c r="BG54" i="32"/>
  <c r="BU54" i="32" s="1"/>
  <c r="BF54" i="32"/>
  <c r="BT54" i="32" s="1"/>
  <c r="AV54" i="32"/>
  <c r="AM54" i="32"/>
  <c r="AL54" i="32"/>
  <c r="AN54" i="32" s="1"/>
  <c r="BM54" i="32" s="1"/>
  <c r="AE54" i="32"/>
  <c r="BL54" i="32" s="1"/>
  <c r="W54" i="32"/>
  <c r="V54" i="32"/>
  <c r="AD54" i="32" s="1"/>
  <c r="BT53" i="32"/>
  <c r="BG53" i="32"/>
  <c r="BU53" i="32" s="1"/>
  <c r="BU58" i="32" s="1"/>
  <c r="BF53" i="32"/>
  <c r="AV53" i="32"/>
  <c r="BR53" i="32" s="1"/>
  <c r="AM53" i="32"/>
  <c r="AM58" i="32" s="1"/>
  <c r="AL53" i="32"/>
  <c r="AL58" i="32" s="1"/>
  <c r="AD53" i="32"/>
  <c r="BK53" i="32" s="1"/>
  <c r="W53" i="32"/>
  <c r="AE53" i="32" s="1"/>
  <c r="AE58" i="32" s="1"/>
  <c r="V53" i="32"/>
  <c r="V58" i="32" s="1"/>
  <c r="CA52" i="32"/>
  <c r="BZ52" i="32"/>
  <c r="BY52" i="32"/>
  <c r="BX52" i="32"/>
  <c r="BW52" i="32"/>
  <c r="BV52" i="32"/>
  <c r="BE52" i="32"/>
  <c r="BD52" i="32"/>
  <c r="BC52" i="32"/>
  <c r="BB52" i="32"/>
  <c r="BA52" i="32"/>
  <c r="AZ52" i="32"/>
  <c r="AY52" i="32"/>
  <c r="AX52" i="32"/>
  <c r="AU52" i="32"/>
  <c r="AT52" i="32"/>
  <c r="AK52" i="32"/>
  <c r="AJ52" i="32"/>
  <c r="AI52" i="32"/>
  <c r="AH52" i="32"/>
  <c r="AG52" i="32"/>
  <c r="AC52" i="32"/>
  <c r="AB52" i="32"/>
  <c r="AA52" i="32"/>
  <c r="Z52" i="32"/>
  <c r="Y52" i="32"/>
  <c r="X52" i="32"/>
  <c r="BN51" i="32"/>
  <c r="BL51" i="32"/>
  <c r="BG51" i="32"/>
  <c r="BU51" i="32" s="1"/>
  <c r="BF51" i="32"/>
  <c r="BH51" i="32" s="1"/>
  <c r="BS51" i="32" s="1"/>
  <c r="AV51" i="32"/>
  <c r="BR51" i="32" s="1"/>
  <c r="AN51" i="32"/>
  <c r="BM51" i="32" s="1"/>
  <c r="AM51" i="32"/>
  <c r="BO51" i="32" s="1"/>
  <c r="AL51" i="32"/>
  <c r="AE51" i="32"/>
  <c r="AP51" i="32" s="1"/>
  <c r="W51" i="32"/>
  <c r="V51" i="32"/>
  <c r="AD51" i="32" s="1"/>
  <c r="BT50" i="32"/>
  <c r="BO50" i="32"/>
  <c r="BN50" i="32"/>
  <c r="BH50" i="32"/>
  <c r="BG50" i="32"/>
  <c r="BG304" i="32" s="1"/>
  <c r="BF50" i="32"/>
  <c r="AV50" i="32"/>
  <c r="AM50" i="32"/>
  <c r="AM304" i="32" s="1"/>
  <c r="AL50" i="32"/>
  <c r="AL304" i="32" s="1"/>
  <c r="AD50" i="32"/>
  <c r="AO50" i="32" s="1"/>
  <c r="W50" i="32"/>
  <c r="V50" i="32"/>
  <c r="V304" i="32" s="1"/>
  <c r="BU49" i="32"/>
  <c r="BN49" i="32"/>
  <c r="BJ49" i="32"/>
  <c r="BH49" i="32"/>
  <c r="BS49" i="32" s="1"/>
  <c r="BG49" i="32"/>
  <c r="BF49" i="32"/>
  <c r="BT49" i="32" s="1"/>
  <c r="AV49" i="32"/>
  <c r="BR49" i="32" s="1"/>
  <c r="AM49" i="32"/>
  <c r="BO49" i="32" s="1"/>
  <c r="AL49" i="32"/>
  <c r="AE49" i="32"/>
  <c r="BL49" i="32" s="1"/>
  <c r="AD49" i="32"/>
  <c r="AF49" i="32" s="1"/>
  <c r="AR49" i="32" s="1"/>
  <c r="BP49" i="32" s="1"/>
  <c r="W49" i="32"/>
  <c r="V49" i="32"/>
  <c r="BU48" i="32"/>
  <c r="BG48" i="32"/>
  <c r="BF48" i="32"/>
  <c r="AV48" i="32"/>
  <c r="BR48" i="32" s="1"/>
  <c r="AM48" i="32"/>
  <c r="BO48" i="32" s="1"/>
  <c r="AL48" i="32"/>
  <c r="BN48" i="32" s="1"/>
  <c r="AE48" i="32"/>
  <c r="AP48" i="32" s="1"/>
  <c r="AD48" i="32"/>
  <c r="BK48" i="32" s="1"/>
  <c r="W48" i="32"/>
  <c r="V48" i="32"/>
  <c r="BG47" i="32"/>
  <c r="BF47" i="32"/>
  <c r="BF52" i="32" s="1"/>
  <c r="AV47" i="32"/>
  <c r="AV298" i="32" s="1"/>
  <c r="AM47" i="32"/>
  <c r="AL47" i="32"/>
  <c r="AL298" i="32" s="1"/>
  <c r="AE47" i="32"/>
  <c r="BL47" i="32" s="1"/>
  <c r="AD47" i="32"/>
  <c r="BK47" i="32" s="1"/>
  <c r="W47" i="32"/>
  <c r="W298" i="32" s="1"/>
  <c r="V47" i="32"/>
  <c r="BR46" i="32"/>
  <c r="BO46" i="32"/>
  <c r="BN46" i="32"/>
  <c r="BG46" i="32"/>
  <c r="BG52" i="32" s="1"/>
  <c r="BF46" i="32"/>
  <c r="BT46" i="32" s="1"/>
  <c r="AV46" i="32"/>
  <c r="AM46" i="32"/>
  <c r="AM52" i="32" s="1"/>
  <c r="AL46" i="32"/>
  <c r="AN46" i="32" s="1"/>
  <c r="AE46" i="32"/>
  <c r="BL46" i="32" s="1"/>
  <c r="W46" i="32"/>
  <c r="W52" i="32" s="1"/>
  <c r="V46" i="32"/>
  <c r="V52" i="32" s="1"/>
  <c r="CA45" i="32"/>
  <c r="BZ45" i="32"/>
  <c r="BY45" i="32"/>
  <c r="BX45" i="32"/>
  <c r="BW45" i="32"/>
  <c r="BV45" i="32"/>
  <c r="BU45" i="32"/>
  <c r="BN45" i="32"/>
  <c r="BG45" i="32"/>
  <c r="BF45" i="32"/>
  <c r="BE45" i="32"/>
  <c r="BD45" i="32"/>
  <c r="BC45" i="32"/>
  <c r="BB45" i="32"/>
  <c r="BA45" i="32"/>
  <c r="AZ45" i="32"/>
  <c r="AY45" i="32"/>
  <c r="AX45" i="32"/>
  <c r="AU45" i="32"/>
  <c r="AT45" i="32"/>
  <c r="AL45" i="32"/>
  <c r="AK45" i="32"/>
  <c r="AJ45" i="32"/>
  <c r="AI45" i="32"/>
  <c r="AH45" i="32"/>
  <c r="AG45" i="32"/>
  <c r="AC45" i="32"/>
  <c r="AB45" i="32"/>
  <c r="AA45" i="32"/>
  <c r="Z45" i="32"/>
  <c r="Y45" i="32"/>
  <c r="X45" i="32"/>
  <c r="V45" i="32"/>
  <c r="BN44" i="32"/>
  <c r="BK44" i="32"/>
  <c r="BK45" i="32" s="1"/>
  <c r="BG44" i="32"/>
  <c r="BU44" i="32" s="1"/>
  <c r="BF44" i="32"/>
  <c r="BH44" i="32" s="1"/>
  <c r="AV44" i="32"/>
  <c r="AV45" i="32" s="1"/>
  <c r="AN44" i="32"/>
  <c r="AN45" i="32" s="1"/>
  <c r="AM44" i="32"/>
  <c r="AM45" i="32" s="1"/>
  <c r="AL44" i="32"/>
  <c r="AD44" i="32"/>
  <c r="W44" i="32"/>
  <c r="W45" i="32" s="1"/>
  <c r="V44" i="32"/>
  <c r="CA43" i="32"/>
  <c r="BZ43" i="32"/>
  <c r="BY43" i="32"/>
  <c r="BX43" i="32"/>
  <c r="BW43" i="32"/>
  <c r="BV43" i="32"/>
  <c r="BO43" i="32"/>
  <c r="BE43" i="32"/>
  <c r="BD43" i="32"/>
  <c r="BC43" i="32"/>
  <c r="BB43" i="32"/>
  <c r="BA43" i="32"/>
  <c r="AZ43" i="32"/>
  <c r="AY43" i="32"/>
  <c r="AX43" i="32"/>
  <c r="AV43" i="32"/>
  <c r="AU43" i="32"/>
  <c r="AT43" i="32"/>
  <c r="AK43" i="32"/>
  <c r="AJ43" i="32"/>
  <c r="AI43" i="32"/>
  <c r="AH43" i="32"/>
  <c r="AG43" i="32"/>
  <c r="AC43" i="32"/>
  <c r="AB43" i="32"/>
  <c r="AA43" i="32"/>
  <c r="Z43" i="32"/>
  <c r="Y43" i="32"/>
  <c r="X43" i="32"/>
  <c r="V43" i="32"/>
  <c r="BU42" i="32"/>
  <c r="BO42" i="32"/>
  <c r="BG42" i="32"/>
  <c r="BF42" i="32"/>
  <c r="AV42" i="32"/>
  <c r="BR42" i="32" s="1"/>
  <c r="AM42" i="32"/>
  <c r="AN42" i="32" s="1"/>
  <c r="BM42" i="32" s="1"/>
  <c r="AL42" i="32"/>
  <c r="BN42" i="32" s="1"/>
  <c r="AE42" i="32"/>
  <c r="AP42" i="32" s="1"/>
  <c r="AD42" i="32"/>
  <c r="BK42" i="32" s="1"/>
  <c r="W42" i="32"/>
  <c r="V42" i="32"/>
  <c r="BK41" i="32"/>
  <c r="BG41" i="32"/>
  <c r="BU41" i="32" s="1"/>
  <c r="BF41" i="32"/>
  <c r="BF43" i="32" s="1"/>
  <c r="AV41" i="32"/>
  <c r="BR41" i="32" s="1"/>
  <c r="AM41" i="32"/>
  <c r="BO41" i="32" s="1"/>
  <c r="AL41" i="32"/>
  <c r="BN41" i="32" s="1"/>
  <c r="AD41" i="32"/>
  <c r="AO41" i="32" s="1"/>
  <c r="W41" i="32"/>
  <c r="AE41" i="32" s="1"/>
  <c r="V41" i="32"/>
  <c r="BR40" i="32"/>
  <c r="BO40" i="32"/>
  <c r="BN40" i="32"/>
  <c r="BN43" i="32" s="1"/>
  <c r="BG40" i="32"/>
  <c r="BH40" i="32" s="1"/>
  <c r="BF40" i="32"/>
  <c r="BT40" i="32" s="1"/>
  <c r="AV40" i="32"/>
  <c r="AM40" i="32"/>
  <c r="AM43" i="32" s="1"/>
  <c r="AL40" i="32"/>
  <c r="AE40" i="32"/>
  <c r="W40" i="32"/>
  <c r="V40" i="32"/>
  <c r="AD40" i="32" s="1"/>
  <c r="CA39" i="32"/>
  <c r="BZ39" i="32"/>
  <c r="BY39" i="32"/>
  <c r="BX39" i="32"/>
  <c r="BW39" i="32"/>
  <c r="BV39" i="32"/>
  <c r="BE39" i="32"/>
  <c r="BD39" i="32"/>
  <c r="BC39" i="32"/>
  <c r="BB39" i="32"/>
  <c r="BA39" i="32"/>
  <c r="AZ39" i="32"/>
  <c r="AY39" i="32"/>
  <c r="AX39" i="32"/>
  <c r="AU39" i="32"/>
  <c r="AT39" i="32"/>
  <c r="AL39" i="32"/>
  <c r="AK39" i="32"/>
  <c r="AJ39" i="32"/>
  <c r="AI39" i="32"/>
  <c r="AH39" i="32"/>
  <c r="AG39" i="32"/>
  <c r="AC39" i="32"/>
  <c r="AB39" i="32"/>
  <c r="AA39" i="32"/>
  <c r="Z39" i="32"/>
  <c r="Y39" i="32"/>
  <c r="X39" i="32"/>
  <c r="BR38" i="32"/>
  <c r="BN38" i="32"/>
  <c r="BG38" i="32"/>
  <c r="BU38" i="32" s="1"/>
  <c r="BF38" i="32"/>
  <c r="BH38" i="32" s="1"/>
  <c r="BS38" i="32" s="1"/>
  <c r="AV38" i="32"/>
  <c r="AM38" i="32"/>
  <c r="AL38" i="32"/>
  <c r="W38" i="32"/>
  <c r="AE38" i="32" s="1"/>
  <c r="V38" i="32"/>
  <c r="AD38" i="32" s="1"/>
  <c r="BG37" i="32"/>
  <c r="BU37" i="32" s="1"/>
  <c r="BF37" i="32"/>
  <c r="BT37" i="32" s="1"/>
  <c r="AV37" i="32"/>
  <c r="AN37" i="32"/>
  <c r="BM37" i="32" s="1"/>
  <c r="AM37" i="32"/>
  <c r="BO37" i="32" s="1"/>
  <c r="AL37" i="32"/>
  <c r="BN37" i="32" s="1"/>
  <c r="AD37" i="32"/>
  <c r="W37" i="32"/>
  <c r="V37" i="32"/>
  <c r="BR36" i="32"/>
  <c r="BG36" i="32"/>
  <c r="BU36" i="32" s="1"/>
  <c r="BU39" i="32" s="1"/>
  <c r="BF36" i="32"/>
  <c r="BT36" i="32" s="1"/>
  <c r="AV36" i="32"/>
  <c r="AM36" i="32"/>
  <c r="AL36" i="32"/>
  <c r="BN36" i="32" s="1"/>
  <c r="BN39" i="32" s="1"/>
  <c r="AE36" i="32"/>
  <c r="BL36" i="32" s="1"/>
  <c r="AD36" i="32"/>
  <c r="AO36" i="32" s="1"/>
  <c r="W36" i="32"/>
  <c r="V36" i="32"/>
  <c r="CA35" i="32"/>
  <c r="BZ35" i="32"/>
  <c r="BY35" i="32"/>
  <c r="BX35" i="32"/>
  <c r="BW35" i="32"/>
  <c r="BV35" i="32"/>
  <c r="BE35" i="32"/>
  <c r="BD35" i="32"/>
  <c r="BC35" i="32"/>
  <c r="BB35" i="32"/>
  <c r="BA35" i="32"/>
  <c r="AZ35" i="32"/>
  <c r="AY35" i="32"/>
  <c r="AX35" i="32"/>
  <c r="AU35" i="32"/>
  <c r="AT35" i="32"/>
  <c r="AK35" i="32"/>
  <c r="AJ35" i="32"/>
  <c r="AI35" i="32"/>
  <c r="AH35" i="32"/>
  <c r="AG35" i="32"/>
  <c r="AC35" i="32"/>
  <c r="AB35" i="32"/>
  <c r="AA35" i="32"/>
  <c r="Z35" i="32"/>
  <c r="Y35" i="32"/>
  <c r="X35" i="32"/>
  <c r="V35" i="32"/>
  <c r="BG34" i="32"/>
  <c r="BU34" i="32" s="1"/>
  <c r="BF34" i="32"/>
  <c r="BT34" i="32" s="1"/>
  <c r="AV34" i="32"/>
  <c r="AN34" i="32"/>
  <c r="BM34" i="32" s="1"/>
  <c r="AM34" i="32"/>
  <c r="BO34" i="32" s="1"/>
  <c r="AL34" i="32"/>
  <c r="BN34" i="32" s="1"/>
  <c r="AD34" i="32"/>
  <c r="W34" i="32"/>
  <c r="V34" i="32"/>
  <c r="BR33" i="32"/>
  <c r="BK33" i="32"/>
  <c r="BG33" i="32"/>
  <c r="BU33" i="32" s="1"/>
  <c r="BF33" i="32"/>
  <c r="BT33" i="32" s="1"/>
  <c r="AV33" i="32"/>
  <c r="AO33" i="32"/>
  <c r="AM33" i="32"/>
  <c r="BO33" i="32" s="1"/>
  <c r="AL33" i="32"/>
  <c r="BN33" i="32" s="1"/>
  <c r="AE33" i="32"/>
  <c r="BL33" i="32" s="1"/>
  <c r="AD33" i="32"/>
  <c r="AF33" i="32" s="1"/>
  <c r="W33" i="32"/>
  <c r="V33" i="32"/>
  <c r="BR32" i="32"/>
  <c r="BL32" i="32"/>
  <c r="BG32" i="32"/>
  <c r="BU32" i="32" s="1"/>
  <c r="BF32" i="32"/>
  <c r="BF35" i="32" s="1"/>
  <c r="AV32" i="32"/>
  <c r="AP32" i="32"/>
  <c r="AM32" i="32"/>
  <c r="BO32" i="32" s="1"/>
  <c r="BO35" i="32" s="1"/>
  <c r="AL32" i="32"/>
  <c r="AL35" i="32" s="1"/>
  <c r="AE32" i="32"/>
  <c r="W32" i="32"/>
  <c r="V32" i="32"/>
  <c r="AD32" i="32" s="1"/>
  <c r="CA31" i="32"/>
  <c r="BZ31" i="32"/>
  <c r="BY31" i="32"/>
  <c r="BX31" i="32"/>
  <c r="BW31" i="32"/>
  <c r="BV31" i="32"/>
  <c r="BE31" i="32"/>
  <c r="BD31" i="32"/>
  <c r="BC31" i="32"/>
  <c r="BB31" i="32"/>
  <c r="BA31" i="32"/>
  <c r="AZ31" i="32"/>
  <c r="AY31" i="32"/>
  <c r="AX31" i="32"/>
  <c r="AV31" i="32"/>
  <c r="AU31" i="32"/>
  <c r="AT31" i="32"/>
  <c r="AK31" i="32"/>
  <c r="AJ31" i="32"/>
  <c r="AI31" i="32"/>
  <c r="AH31" i="32"/>
  <c r="AG31" i="32"/>
  <c r="AC31" i="32"/>
  <c r="AB31" i="32"/>
  <c r="AA31" i="32"/>
  <c r="Z31" i="32"/>
  <c r="Y31" i="32"/>
  <c r="X31" i="32"/>
  <c r="W31" i="32"/>
  <c r="BR30" i="32"/>
  <c r="BK30" i="32"/>
  <c r="BG30" i="32"/>
  <c r="BU30" i="32" s="1"/>
  <c r="BF30" i="32"/>
  <c r="AV30" i="32"/>
  <c r="AO30" i="32"/>
  <c r="AM30" i="32"/>
  <c r="BO30" i="32" s="1"/>
  <c r="AL30" i="32"/>
  <c r="BN30" i="32" s="1"/>
  <c r="AE30" i="32"/>
  <c r="BL30" i="32" s="1"/>
  <c r="AD30" i="32"/>
  <c r="W30" i="32"/>
  <c r="V30" i="32"/>
  <c r="BR29" i="32"/>
  <c r="BL29" i="32"/>
  <c r="BG29" i="32"/>
  <c r="BU29" i="32" s="1"/>
  <c r="BF29" i="32"/>
  <c r="AV29" i="32"/>
  <c r="AP29" i="32"/>
  <c r="AM29" i="32"/>
  <c r="BO29" i="32" s="1"/>
  <c r="AL29" i="32"/>
  <c r="AF29" i="32"/>
  <c r="AE29" i="32"/>
  <c r="W29" i="32"/>
  <c r="V29" i="32"/>
  <c r="AD29" i="32" s="1"/>
  <c r="BT28" i="32"/>
  <c r="BN28" i="32"/>
  <c r="BG28" i="32"/>
  <c r="BU28" i="32" s="1"/>
  <c r="BU31" i="32" s="1"/>
  <c r="BF28" i="32"/>
  <c r="AV28" i="32"/>
  <c r="BR28" i="32" s="1"/>
  <c r="BR31" i="32" s="1"/>
  <c r="AM28" i="32"/>
  <c r="AM31" i="32" s="1"/>
  <c r="AL28" i="32"/>
  <c r="W28" i="32"/>
  <c r="AE28" i="32" s="1"/>
  <c r="V28" i="32"/>
  <c r="CA27" i="32"/>
  <c r="BZ27" i="32"/>
  <c r="BY27" i="32"/>
  <c r="BX27" i="32"/>
  <c r="BW27" i="32"/>
  <c r="BV27" i="32"/>
  <c r="BE27" i="32"/>
  <c r="BD27" i="32"/>
  <c r="BC27" i="32"/>
  <c r="BB27" i="32"/>
  <c r="BA27" i="32"/>
  <c r="AZ27" i="32"/>
  <c r="AY27" i="32"/>
  <c r="AX27" i="32"/>
  <c r="AU27" i="32"/>
  <c r="AT27" i="32"/>
  <c r="AK27" i="32"/>
  <c r="AJ27" i="32"/>
  <c r="AI27" i="32"/>
  <c r="AH27" i="32"/>
  <c r="AG27" i="32"/>
  <c r="AC27" i="32"/>
  <c r="AB27" i="32"/>
  <c r="AA27" i="32"/>
  <c r="Z27" i="32"/>
  <c r="Y27" i="32"/>
  <c r="X27" i="32"/>
  <c r="BR26" i="32"/>
  <c r="BN26" i="32"/>
  <c r="BG26" i="32"/>
  <c r="BU26" i="32" s="1"/>
  <c r="BF26" i="32"/>
  <c r="BT26" i="32" s="1"/>
  <c r="AV26" i="32"/>
  <c r="AM26" i="32"/>
  <c r="BO26" i="32" s="1"/>
  <c r="AL26" i="32"/>
  <c r="AE26" i="32"/>
  <c r="BL26" i="32" s="1"/>
  <c r="W26" i="32"/>
  <c r="V26" i="32"/>
  <c r="AD26" i="32" s="1"/>
  <c r="BU25" i="32"/>
  <c r="BT25" i="32"/>
  <c r="BH25" i="32"/>
  <c r="BS25" i="32" s="1"/>
  <c r="BG25" i="32"/>
  <c r="BF25" i="32"/>
  <c r="AV25" i="32"/>
  <c r="BR25" i="32" s="1"/>
  <c r="AM25" i="32"/>
  <c r="BO25" i="32" s="1"/>
  <c r="AL25" i="32"/>
  <c r="AN25" i="32" s="1"/>
  <c r="BM25" i="32" s="1"/>
  <c r="W25" i="32"/>
  <c r="AE25" i="32" s="1"/>
  <c r="V25" i="32"/>
  <c r="AD25" i="32" s="1"/>
  <c r="AF25" i="32" s="1"/>
  <c r="BU24" i="32"/>
  <c r="BT24" i="32"/>
  <c r="BH24" i="32"/>
  <c r="BS24" i="32" s="1"/>
  <c r="BG24" i="32"/>
  <c r="BF24" i="32"/>
  <c r="AV24" i="32"/>
  <c r="BR24" i="32" s="1"/>
  <c r="AM24" i="32"/>
  <c r="BO24" i="32" s="1"/>
  <c r="AL24" i="32"/>
  <c r="BN24" i="32" s="1"/>
  <c r="W24" i="32"/>
  <c r="AE24" i="32" s="1"/>
  <c r="V24" i="32"/>
  <c r="AD24" i="32" s="1"/>
  <c r="BU23" i="32"/>
  <c r="BO23" i="32"/>
  <c r="BG23" i="32"/>
  <c r="BG27" i="32" s="1"/>
  <c r="BF23" i="32"/>
  <c r="AV23" i="32"/>
  <c r="BR23" i="32" s="1"/>
  <c r="BR27" i="32" s="1"/>
  <c r="AN23" i="32"/>
  <c r="AM23" i="32"/>
  <c r="AL23" i="32"/>
  <c r="BN23" i="32" s="1"/>
  <c r="AD23" i="32"/>
  <c r="W23" i="32"/>
  <c r="W27" i="32" s="1"/>
  <c r="V23" i="32"/>
  <c r="CA22" i="32"/>
  <c r="BZ22" i="32"/>
  <c r="BY22" i="32"/>
  <c r="BX22" i="32"/>
  <c r="BW22" i="32"/>
  <c r="BV22" i="32"/>
  <c r="BE22" i="32"/>
  <c r="BD22" i="32"/>
  <c r="BC22" i="32"/>
  <c r="BB22" i="32"/>
  <c r="BA22" i="32"/>
  <c r="AZ22" i="32"/>
  <c r="AY22" i="32"/>
  <c r="AX22" i="32"/>
  <c r="AU22" i="32"/>
  <c r="AT22" i="32"/>
  <c r="AK22" i="32"/>
  <c r="AJ22" i="32"/>
  <c r="AI22" i="32"/>
  <c r="AH22" i="32"/>
  <c r="AG22" i="32"/>
  <c r="AC22" i="32"/>
  <c r="AB22" i="32"/>
  <c r="AA22" i="32"/>
  <c r="Z22" i="32"/>
  <c r="Y22" i="32"/>
  <c r="X22" i="32"/>
  <c r="BU21" i="32"/>
  <c r="BN21" i="32"/>
  <c r="BH21" i="32"/>
  <c r="BS21" i="32" s="1"/>
  <c r="BG21" i="32"/>
  <c r="BF21" i="32"/>
  <c r="BT21" i="32" s="1"/>
  <c r="AV21" i="32"/>
  <c r="BR21" i="32" s="1"/>
  <c r="AP21" i="32"/>
  <c r="AM21" i="32"/>
  <c r="BO21" i="32" s="1"/>
  <c r="AL21" i="32"/>
  <c r="AN21" i="32" s="1"/>
  <c r="BM21" i="32" s="1"/>
  <c r="AE21" i="32"/>
  <c r="BL21" i="32" s="1"/>
  <c r="AD21" i="32"/>
  <c r="AF21" i="32" s="1"/>
  <c r="BJ21" i="32" s="1"/>
  <c r="W21" i="32"/>
  <c r="V21" i="32"/>
  <c r="BU20" i="32"/>
  <c r="BG20" i="32"/>
  <c r="BF20" i="32"/>
  <c r="AV20" i="32"/>
  <c r="AV22" i="32" s="1"/>
  <c r="AM20" i="32"/>
  <c r="BO20" i="32" s="1"/>
  <c r="AL20" i="32"/>
  <c r="BN20" i="32" s="1"/>
  <c r="W20" i="32"/>
  <c r="AE20" i="32" s="1"/>
  <c r="V20" i="32"/>
  <c r="AD20" i="32" s="1"/>
  <c r="BG19" i="32"/>
  <c r="BU19" i="32" s="1"/>
  <c r="BF19" i="32"/>
  <c r="BH19" i="32" s="1"/>
  <c r="BS19" i="32" s="1"/>
  <c r="AV19" i="32"/>
  <c r="BR19" i="32" s="1"/>
  <c r="AM19" i="32"/>
  <c r="BO19" i="32" s="1"/>
  <c r="AL19" i="32"/>
  <c r="AL22" i="32" s="1"/>
  <c r="AE19" i="32"/>
  <c r="AP19" i="32" s="1"/>
  <c r="AD19" i="32"/>
  <c r="BK19" i="32" s="1"/>
  <c r="W19" i="32"/>
  <c r="V19" i="32"/>
  <c r="BR18" i="32"/>
  <c r="BN18" i="32"/>
  <c r="BL18" i="32"/>
  <c r="BG18" i="32"/>
  <c r="BU18" i="32" s="1"/>
  <c r="BU22" i="32" s="1"/>
  <c r="BF18" i="32"/>
  <c r="BF22" i="32" s="1"/>
  <c r="AV18" i="32"/>
  <c r="AM18" i="32"/>
  <c r="BO18" i="32" s="1"/>
  <c r="BO22" i="32" s="1"/>
  <c r="AL18" i="32"/>
  <c r="AE18" i="32"/>
  <c r="AP18" i="32" s="1"/>
  <c r="W18" i="32"/>
  <c r="V18" i="32"/>
  <c r="AD18" i="32" s="1"/>
  <c r="CA17" i="32"/>
  <c r="BZ17" i="32"/>
  <c r="BY17" i="32"/>
  <c r="BX17" i="32"/>
  <c r="BW17" i="32"/>
  <c r="BV17" i="32"/>
  <c r="BE17" i="32"/>
  <c r="BD17" i="32"/>
  <c r="BC17" i="32"/>
  <c r="BB17" i="32"/>
  <c r="BA17" i="32"/>
  <c r="AZ17" i="32"/>
  <c r="AY17" i="32"/>
  <c r="AX17" i="32"/>
  <c r="AU17" i="32"/>
  <c r="AT17" i="32"/>
  <c r="AK17" i="32"/>
  <c r="AJ17" i="32"/>
  <c r="AI17" i="32"/>
  <c r="AH17" i="32"/>
  <c r="AG17" i="32"/>
  <c r="AC17" i="32"/>
  <c r="AB17" i="32"/>
  <c r="AA17" i="32"/>
  <c r="Z17" i="32"/>
  <c r="Y17" i="32"/>
  <c r="X17" i="32"/>
  <c r="BN16" i="32"/>
  <c r="BK16" i="32"/>
  <c r="BG16" i="32"/>
  <c r="BF16" i="32"/>
  <c r="AV16" i="32"/>
  <c r="AV303" i="32" s="1"/>
  <c r="AM16" i="32"/>
  <c r="AL16" i="32"/>
  <c r="AL303" i="32" s="1"/>
  <c r="AE16" i="32"/>
  <c r="AD16" i="32"/>
  <c r="W16" i="32"/>
  <c r="W303" i="32" s="1"/>
  <c r="V16" i="32"/>
  <c r="BR15" i="32"/>
  <c r="BO15" i="32"/>
  <c r="BN15" i="32"/>
  <c r="BH15" i="32"/>
  <c r="BS15" i="32" s="1"/>
  <c r="BG15" i="32"/>
  <c r="BU15" i="32" s="1"/>
  <c r="BF15" i="32"/>
  <c r="BT15" i="32" s="1"/>
  <c r="AV15" i="32"/>
  <c r="AM15" i="32"/>
  <c r="AL15" i="32"/>
  <c r="AN15" i="32" s="1"/>
  <c r="BM15" i="32" s="1"/>
  <c r="AF15" i="32"/>
  <c r="BJ15" i="32" s="1"/>
  <c r="AE15" i="32"/>
  <c r="AP15" i="32" s="1"/>
  <c r="AD15" i="32"/>
  <c r="BK15" i="32" s="1"/>
  <c r="W15" i="32"/>
  <c r="V15" i="32"/>
  <c r="BN14" i="32"/>
  <c r="BN17" i="32" s="1"/>
  <c r="BG14" i="32"/>
  <c r="BG297" i="32" s="1"/>
  <c r="BF14" i="32"/>
  <c r="BF297" i="32" s="1"/>
  <c r="AV14" i="32"/>
  <c r="AV297" i="32" s="1"/>
  <c r="AN14" i="32"/>
  <c r="AM14" i="32"/>
  <c r="BO14" i="32" s="1"/>
  <c r="AL14" i="32"/>
  <c r="W14" i="32"/>
  <c r="W297" i="32" s="1"/>
  <c r="V14" i="32"/>
  <c r="V17" i="32" s="1"/>
  <c r="CA13" i="32"/>
  <c r="CA293" i="32" s="1"/>
  <c r="BZ13" i="32"/>
  <c r="BZ293" i="32" s="1"/>
  <c r="BY13" i="32"/>
  <c r="BY293" i="32" s="1"/>
  <c r="BX13" i="32"/>
  <c r="BW13" i="32"/>
  <c r="BW293" i="32" s="1"/>
  <c r="BV13" i="32"/>
  <c r="BE13" i="32"/>
  <c r="BE293" i="32" s="1"/>
  <c r="BD13" i="32"/>
  <c r="BD293" i="32" s="1"/>
  <c r="BC13" i="32"/>
  <c r="BB13" i="32"/>
  <c r="BB293" i="32" s="1"/>
  <c r="BA13" i="32"/>
  <c r="BA293" i="32" s="1"/>
  <c r="AZ13" i="32"/>
  <c r="AY13" i="32"/>
  <c r="AY293" i="32" s="1"/>
  <c r="AX13" i="32"/>
  <c r="AX293" i="32" s="1"/>
  <c r="AV13" i="32"/>
  <c r="AU13" i="32"/>
  <c r="AU293" i="32" s="1"/>
  <c r="AT13" i="32"/>
  <c r="AM13" i="32"/>
  <c r="AL13" i="32"/>
  <c r="AK13" i="32"/>
  <c r="AK293" i="32" s="1"/>
  <c r="AJ13" i="32"/>
  <c r="AI13" i="32"/>
  <c r="AI293" i="32" s="1"/>
  <c r="AH13" i="32"/>
  <c r="AG13" i="32"/>
  <c r="AG293" i="32" s="1"/>
  <c r="V294" i="32" s="1"/>
  <c r="AC13" i="32"/>
  <c r="AC293" i="32" s="1"/>
  <c r="AB13" i="32"/>
  <c r="AA13" i="32"/>
  <c r="AA293" i="32" s="1"/>
  <c r="Z13" i="32"/>
  <c r="Z293" i="32" s="1"/>
  <c r="Y13" i="32"/>
  <c r="Y293" i="32" s="1"/>
  <c r="X13" i="32"/>
  <c r="W13" i="32"/>
  <c r="BR12" i="32"/>
  <c r="BO12" i="32"/>
  <c r="BO306" i="32" s="1"/>
  <c r="BN12" i="32"/>
  <c r="BN13" i="32" s="1"/>
  <c r="BH12" i="32"/>
  <c r="BH306" i="32" s="1"/>
  <c r="BG12" i="32"/>
  <c r="BG306" i="32" s="1"/>
  <c r="BF12" i="32"/>
  <c r="AV12" i="32"/>
  <c r="AV306" i="32" s="1"/>
  <c r="AM12" i="32"/>
  <c r="AM306" i="32" s="1"/>
  <c r="AL12" i="32"/>
  <c r="AE12" i="32"/>
  <c r="AE306" i="32" s="1"/>
  <c r="W12" i="32"/>
  <c r="W306" i="32" s="1"/>
  <c r="V12" i="32"/>
  <c r="BV131" i="31"/>
  <c r="BV130" i="31"/>
  <c r="CA87" i="31"/>
  <c r="BZ87" i="31"/>
  <c r="BY87" i="31"/>
  <c r="BX87" i="31"/>
  <c r="BW87" i="31"/>
  <c r="BV87" i="31"/>
  <c r="BE87" i="31"/>
  <c r="BD87" i="31"/>
  <c r="BC87" i="31"/>
  <c r="BB87" i="31"/>
  <c r="BA87" i="31"/>
  <c r="AZ87" i="31"/>
  <c r="AY87" i="31"/>
  <c r="AX87" i="31"/>
  <c r="AU87" i="31"/>
  <c r="AT87" i="31"/>
  <c r="AK87" i="31"/>
  <c r="AJ87" i="31"/>
  <c r="AI87" i="31"/>
  <c r="AH87" i="31"/>
  <c r="AG87" i="31"/>
  <c r="AC87" i="31"/>
  <c r="AB87" i="31"/>
  <c r="AA87" i="31"/>
  <c r="Z87" i="31"/>
  <c r="Y87" i="31"/>
  <c r="X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CA86" i="31"/>
  <c r="BZ86" i="31"/>
  <c r="BY86" i="31"/>
  <c r="BX86" i="31"/>
  <c r="BW86" i="31"/>
  <c r="BV86" i="31"/>
  <c r="BE86" i="31"/>
  <c r="BD86" i="31"/>
  <c r="BC86" i="31"/>
  <c r="BB86" i="31"/>
  <c r="BA86" i="31"/>
  <c r="AZ86" i="31"/>
  <c r="AY86" i="31"/>
  <c r="AX86" i="31"/>
  <c r="AU86" i="31"/>
  <c r="AT86" i="31"/>
  <c r="AK86" i="31"/>
  <c r="AJ86" i="31"/>
  <c r="AI86" i="31"/>
  <c r="AH86" i="31"/>
  <c r="AG86" i="31"/>
  <c r="AC86" i="31"/>
  <c r="AB86" i="31"/>
  <c r="AA86" i="31"/>
  <c r="Z86" i="31"/>
  <c r="Y86" i="31"/>
  <c r="X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CA85" i="31"/>
  <c r="BZ85" i="31"/>
  <c r="BY85" i="31"/>
  <c r="BX85" i="31"/>
  <c r="BW85" i="31"/>
  <c r="BV85" i="31"/>
  <c r="BE85" i="31"/>
  <c r="BD85" i="31"/>
  <c r="BC85" i="31"/>
  <c r="BB85" i="31"/>
  <c r="BA85" i="31"/>
  <c r="AZ85" i="31"/>
  <c r="AY85" i="31"/>
  <c r="AX85" i="31"/>
  <c r="AU85" i="31"/>
  <c r="AT85" i="31"/>
  <c r="AK85" i="31"/>
  <c r="AJ85" i="31"/>
  <c r="AI85" i="31"/>
  <c r="AH85" i="31"/>
  <c r="AG85" i="31"/>
  <c r="AC85" i="31"/>
  <c r="AB85" i="31"/>
  <c r="AA85" i="31"/>
  <c r="Z85" i="31"/>
  <c r="Y85" i="31"/>
  <c r="X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CA84" i="31"/>
  <c r="BZ84" i="31"/>
  <c r="BY84" i="31"/>
  <c r="BX84" i="31"/>
  <c r="BW84" i="31"/>
  <c r="BV84" i="31"/>
  <c r="BE84" i="31"/>
  <c r="BD84" i="31"/>
  <c r="BC84" i="31"/>
  <c r="BB84" i="31"/>
  <c r="BA84" i="31"/>
  <c r="AZ84" i="31"/>
  <c r="AY84" i="31"/>
  <c r="AX84" i="31"/>
  <c r="AU84" i="31"/>
  <c r="AT84" i="31"/>
  <c r="AK84" i="31"/>
  <c r="AJ84" i="31"/>
  <c r="AI84" i="31"/>
  <c r="AH84" i="31"/>
  <c r="AG84" i="31"/>
  <c r="AC84" i="31"/>
  <c r="AB84" i="31"/>
  <c r="AA84" i="31"/>
  <c r="Z84" i="31"/>
  <c r="Y84" i="31"/>
  <c r="X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CA81" i="31"/>
  <c r="BZ81" i="31"/>
  <c r="BY81" i="31"/>
  <c r="BX81" i="31"/>
  <c r="BW81" i="31"/>
  <c r="BV81" i="31"/>
  <c r="BE81" i="31"/>
  <c r="BD81" i="31"/>
  <c r="BC81" i="31"/>
  <c r="BB81" i="31"/>
  <c r="BA81" i="31"/>
  <c r="AZ81" i="31"/>
  <c r="AY81" i="31"/>
  <c r="AX81" i="31"/>
  <c r="AU81" i="31"/>
  <c r="AT81" i="31"/>
  <c r="AK81" i="31"/>
  <c r="AJ81" i="31"/>
  <c r="AI81" i="31"/>
  <c r="AH81" i="31"/>
  <c r="AG81" i="31"/>
  <c r="AC81" i="31"/>
  <c r="AB81" i="31"/>
  <c r="AA81" i="31"/>
  <c r="Z81" i="31"/>
  <c r="Y81" i="31"/>
  <c r="X81" i="31"/>
  <c r="U81" i="31"/>
  <c r="T81" i="31"/>
  <c r="S81" i="31"/>
  <c r="R81" i="31"/>
  <c r="Q81" i="31"/>
  <c r="Q77" i="31" s="1"/>
  <c r="P81" i="31"/>
  <c r="O81" i="31"/>
  <c r="N81" i="31"/>
  <c r="M81" i="31"/>
  <c r="L81" i="31"/>
  <c r="K81" i="31"/>
  <c r="J81" i="31"/>
  <c r="I81" i="31"/>
  <c r="CA80" i="31"/>
  <c r="BZ80" i="31"/>
  <c r="BZ77" i="31" s="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G77" i="31" s="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U77" i="31" s="1"/>
  <c r="T80" i="31"/>
  <c r="S80" i="31"/>
  <c r="R80" i="31"/>
  <c r="Q80" i="31"/>
  <c r="P80" i="31"/>
  <c r="O80" i="31"/>
  <c r="N80" i="31"/>
  <c r="M80" i="31"/>
  <c r="L80" i="31"/>
  <c r="K80" i="31"/>
  <c r="J80" i="31"/>
  <c r="I80" i="31"/>
  <c r="CA79" i="31"/>
  <c r="BZ79" i="31"/>
  <c r="BY79" i="31"/>
  <c r="BX79" i="31"/>
  <c r="BW79" i="31"/>
  <c r="BW77" i="31" s="1"/>
  <c r="BV79" i="31"/>
  <c r="BE79" i="31"/>
  <c r="BE77" i="31" s="1"/>
  <c r="BD79" i="31"/>
  <c r="BC79" i="31"/>
  <c r="BB79" i="31"/>
  <c r="BA79" i="31"/>
  <c r="BA77" i="31" s="1"/>
  <c r="AZ79" i="31"/>
  <c r="AY79" i="31"/>
  <c r="AY77" i="31" s="1"/>
  <c r="BG76" i="31" s="1"/>
  <c r="AX79" i="31"/>
  <c r="AU79" i="31"/>
  <c r="AT79" i="31"/>
  <c r="AK79" i="31"/>
  <c r="AJ79" i="31"/>
  <c r="AI79" i="31"/>
  <c r="AH79" i="31"/>
  <c r="AG79" i="31"/>
  <c r="AC79" i="31"/>
  <c r="AB79" i="31"/>
  <c r="AA79" i="31"/>
  <c r="AA77" i="31" s="1"/>
  <c r="Z79" i="31"/>
  <c r="Y79" i="31"/>
  <c r="X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CA78" i="31"/>
  <c r="BZ78" i="31"/>
  <c r="BY78" i="31"/>
  <c r="BX78" i="31"/>
  <c r="BW78" i="31"/>
  <c r="BV78" i="31"/>
  <c r="BE78" i="31"/>
  <c r="BD78" i="31"/>
  <c r="BC78" i="31"/>
  <c r="BB78" i="31"/>
  <c r="BB77" i="31" s="1"/>
  <c r="BA78" i="31"/>
  <c r="AZ78" i="31"/>
  <c r="AY78" i="31"/>
  <c r="AX78" i="31"/>
  <c r="AU78" i="31"/>
  <c r="AT78" i="31"/>
  <c r="AT77" i="31" s="1"/>
  <c r="AV76" i="31" s="1"/>
  <c r="AK78" i="31"/>
  <c r="AJ78" i="31"/>
  <c r="AJ77" i="31" s="1"/>
  <c r="AI78" i="31"/>
  <c r="AH78" i="31"/>
  <c r="AG78" i="31"/>
  <c r="AC78" i="31"/>
  <c r="AB78" i="31"/>
  <c r="AA78" i="31"/>
  <c r="Z78" i="31"/>
  <c r="Y78" i="31"/>
  <c r="X78" i="31"/>
  <c r="X77" i="31" s="1"/>
  <c r="U78" i="31"/>
  <c r="T78" i="31"/>
  <c r="T77" i="31" s="1"/>
  <c r="S76" i="31" s="1"/>
  <c r="S78" i="31"/>
  <c r="R78" i="31"/>
  <c r="R77" i="31" s="1"/>
  <c r="Q78" i="31"/>
  <c r="P78" i="31"/>
  <c r="O78" i="31"/>
  <c r="N78" i="31"/>
  <c r="N77" i="31" s="1"/>
  <c r="M78" i="31"/>
  <c r="L78" i="31"/>
  <c r="K78" i="31"/>
  <c r="J78" i="31"/>
  <c r="I78" i="31"/>
  <c r="CA77" i="31"/>
  <c r="BY77" i="31"/>
  <c r="BC77" i="31"/>
  <c r="AU77" i="31"/>
  <c r="AK77" i="31"/>
  <c r="AI77" i="31"/>
  <c r="AC77" i="31"/>
  <c r="Y77" i="31"/>
  <c r="S77" i="31"/>
  <c r="M77" i="31"/>
  <c r="L77" i="31"/>
  <c r="K77" i="31"/>
  <c r="V76" i="31"/>
  <c r="S75" i="31"/>
  <c r="U74" i="31"/>
  <c r="T74" i="31"/>
  <c r="S74" i="31"/>
  <c r="R74" i="31"/>
  <c r="Q74" i="31"/>
  <c r="P74" i="31"/>
  <c r="O74" i="31"/>
  <c r="M75" i="31" s="1"/>
  <c r="N74" i="31"/>
  <c r="M74" i="31"/>
  <c r="L74" i="31"/>
  <c r="K74" i="31"/>
  <c r="J74" i="31"/>
  <c r="I74" i="31"/>
  <c r="CA73" i="31"/>
  <c r="BZ73" i="31"/>
  <c r="BY73" i="31"/>
  <c r="BX73" i="31"/>
  <c r="BW73" i="31"/>
  <c r="BV73" i="31"/>
  <c r="BE73" i="31"/>
  <c r="BD73" i="31"/>
  <c r="BC73" i="31"/>
  <c r="BB73" i="31"/>
  <c r="BA73" i="31"/>
  <c r="AZ73" i="31"/>
  <c r="AY73" i="31"/>
  <c r="AX73" i="31"/>
  <c r="AU73" i="31"/>
  <c r="AT73" i="31"/>
  <c r="AM73" i="31"/>
  <c r="AK73" i="31"/>
  <c r="AJ73" i="31"/>
  <c r="AI73" i="31"/>
  <c r="AH73" i="31"/>
  <c r="AG73" i="31"/>
  <c r="AC73" i="31"/>
  <c r="AB73" i="31"/>
  <c r="AA73" i="31"/>
  <c r="Z73" i="31"/>
  <c r="Y73" i="31"/>
  <c r="X73" i="31"/>
  <c r="W73" i="31"/>
  <c r="BU72" i="31"/>
  <c r="BR72" i="31"/>
  <c r="BO72" i="31"/>
  <c r="BN72" i="31"/>
  <c r="BG72" i="31"/>
  <c r="BF72" i="31"/>
  <c r="AV72" i="31"/>
  <c r="AP72" i="31"/>
  <c r="AO72" i="31"/>
  <c r="AQ72" i="31" s="1"/>
  <c r="AN72" i="31"/>
  <c r="BM72" i="31" s="1"/>
  <c r="AM72" i="31"/>
  <c r="AL72" i="31"/>
  <c r="W72" i="31"/>
  <c r="AE72" i="31" s="1"/>
  <c r="BL72" i="31" s="1"/>
  <c r="V72" i="31"/>
  <c r="AD72" i="31" s="1"/>
  <c r="BO71" i="31"/>
  <c r="BL71" i="31"/>
  <c r="BG71" i="31"/>
  <c r="BF71" i="31"/>
  <c r="AV71" i="31"/>
  <c r="BR71" i="31" s="1"/>
  <c r="AN71" i="31"/>
  <c r="BM71" i="31" s="1"/>
  <c r="AM71" i="31"/>
  <c r="AL71" i="31"/>
  <c r="BN71" i="31" s="1"/>
  <c r="W71" i="31"/>
  <c r="AE71" i="31" s="1"/>
  <c r="AP71" i="31" s="1"/>
  <c r="V71" i="31"/>
  <c r="AD71" i="31" s="1"/>
  <c r="BR70" i="31"/>
  <c r="BN70" i="31"/>
  <c r="BH70" i="31"/>
  <c r="BS70" i="31" s="1"/>
  <c r="BG70" i="31"/>
  <c r="BU70" i="31" s="1"/>
  <c r="BF70" i="31"/>
  <c r="BT70" i="31" s="1"/>
  <c r="AV70" i="31"/>
  <c r="AN70" i="31"/>
  <c r="BM70" i="31" s="1"/>
  <c r="AM70" i="31"/>
  <c r="BO70" i="31" s="1"/>
  <c r="AL70" i="31"/>
  <c r="AD70" i="31"/>
  <c r="W70" i="31"/>
  <c r="AE70" i="31" s="1"/>
  <c r="V70" i="31"/>
  <c r="BR69" i="31"/>
  <c r="BO69" i="31"/>
  <c r="BK69" i="31"/>
  <c r="BG69" i="31"/>
  <c r="BU69" i="31" s="1"/>
  <c r="BF69" i="31"/>
  <c r="AV69" i="31"/>
  <c r="AM69" i="31"/>
  <c r="AL69" i="31"/>
  <c r="AF69" i="31"/>
  <c r="AD69" i="31"/>
  <c r="W69" i="31"/>
  <c r="AE69" i="31" s="1"/>
  <c r="V69" i="31"/>
  <c r="BU68" i="31"/>
  <c r="BT68" i="31"/>
  <c r="BR68" i="31"/>
  <c r="BR73" i="31" s="1"/>
  <c r="BO68" i="31"/>
  <c r="BO73" i="31" s="1"/>
  <c r="BH68" i="31"/>
  <c r="BG68" i="31"/>
  <c r="BF68" i="31"/>
  <c r="AV68" i="31"/>
  <c r="AV73" i="31" s="1"/>
  <c r="AP68" i="31"/>
  <c r="AN68" i="31"/>
  <c r="BM68" i="31" s="1"/>
  <c r="AM68" i="31"/>
  <c r="AL68" i="31"/>
  <c r="BN68" i="31" s="1"/>
  <c r="W68" i="31"/>
  <c r="AE68" i="31" s="1"/>
  <c r="V68" i="31"/>
  <c r="CA67" i="31"/>
  <c r="BZ67" i="31"/>
  <c r="BY67" i="31"/>
  <c r="BX67" i="31"/>
  <c r="BW67" i="31"/>
  <c r="BV67" i="31"/>
  <c r="BG67" i="31"/>
  <c r="BE67" i="31"/>
  <c r="BD67" i="31"/>
  <c r="BC67" i="31"/>
  <c r="BB67" i="31"/>
  <c r="BA67" i="31"/>
  <c r="AZ67" i="31"/>
  <c r="AY67" i="31"/>
  <c r="AX67" i="31"/>
  <c r="AU67" i="31"/>
  <c r="AT67" i="31"/>
  <c r="AK67" i="31"/>
  <c r="AJ67" i="31"/>
  <c r="AI67" i="31"/>
  <c r="AH67" i="31"/>
  <c r="AG67" i="31"/>
  <c r="AE67" i="31"/>
  <c r="AC67" i="31"/>
  <c r="AB67" i="31"/>
  <c r="AA67" i="31"/>
  <c r="Z67" i="31"/>
  <c r="Y67" i="31"/>
  <c r="X67" i="31"/>
  <c r="W67" i="31"/>
  <c r="BT66" i="31"/>
  <c r="BO66" i="31"/>
  <c r="BO67" i="31" s="1"/>
  <c r="BK66" i="31"/>
  <c r="BG66" i="31"/>
  <c r="BH66" i="31" s="1"/>
  <c r="BS66" i="31" s="1"/>
  <c r="BF66" i="31"/>
  <c r="AV66" i="31"/>
  <c r="BR66" i="31" s="1"/>
  <c r="AM66" i="31"/>
  <c r="AL66" i="31"/>
  <c r="W66" i="31"/>
  <c r="AE66" i="31" s="1"/>
  <c r="V66" i="31"/>
  <c r="AD66" i="31" s="1"/>
  <c r="BU65" i="31"/>
  <c r="BO65" i="31"/>
  <c r="BN65" i="31"/>
  <c r="BL65" i="31"/>
  <c r="BG65" i="31"/>
  <c r="BF65" i="31"/>
  <c r="AV65" i="31"/>
  <c r="AN65" i="31"/>
  <c r="AM65" i="31"/>
  <c r="AL65" i="31"/>
  <c r="AE65" i="31"/>
  <c r="AP65" i="31" s="1"/>
  <c r="W65" i="31"/>
  <c r="V65" i="31"/>
  <c r="CA64" i="31"/>
  <c r="BZ64" i="31"/>
  <c r="BY64" i="31"/>
  <c r="BX64" i="31"/>
  <c r="BW64" i="31"/>
  <c r="BV64" i="31"/>
  <c r="BE64" i="31"/>
  <c r="BD64" i="31"/>
  <c r="BC64" i="31"/>
  <c r="BB64" i="31"/>
  <c r="BA64" i="31"/>
  <c r="AZ64" i="31"/>
  <c r="AY64" i="31"/>
  <c r="AX64" i="31"/>
  <c r="AU64" i="31"/>
  <c r="AT64" i="31"/>
  <c r="AK64" i="31"/>
  <c r="AJ64" i="31"/>
  <c r="AI64" i="31"/>
  <c r="AH64" i="31"/>
  <c r="AG64" i="31"/>
  <c r="AC64" i="31"/>
  <c r="AB64" i="31"/>
  <c r="AA64" i="31"/>
  <c r="Z64" i="31"/>
  <c r="Y64" i="31"/>
  <c r="X64" i="31"/>
  <c r="BT63" i="31"/>
  <c r="BO63" i="31"/>
  <c r="BH63" i="31"/>
  <c r="BS63" i="31" s="1"/>
  <c r="BG63" i="31"/>
  <c r="BU63" i="31" s="1"/>
  <c r="BF63" i="31"/>
  <c r="AV63" i="31"/>
  <c r="BR63" i="31" s="1"/>
  <c r="AM63" i="31"/>
  <c r="AL63" i="31"/>
  <c r="AE63" i="31"/>
  <c r="BL63" i="31" s="1"/>
  <c r="AD63" i="31"/>
  <c r="W63" i="31"/>
  <c r="V63" i="31"/>
  <c r="BO62" i="31"/>
  <c r="BN62" i="31"/>
  <c r="BG62" i="31"/>
  <c r="BU62" i="31" s="1"/>
  <c r="BF62" i="31"/>
  <c r="AV62" i="31"/>
  <c r="BR62" i="31" s="1"/>
  <c r="AO62" i="31"/>
  <c r="AN62" i="31"/>
  <c r="BM62" i="31" s="1"/>
  <c r="AM62" i="31"/>
  <c r="AL62" i="31"/>
  <c r="AD62" i="31"/>
  <c r="W62" i="31"/>
  <c r="AE62" i="31" s="1"/>
  <c r="V62" i="31"/>
  <c r="BR61" i="31"/>
  <c r="BL61" i="31"/>
  <c r="BG61" i="31"/>
  <c r="BU61" i="31" s="1"/>
  <c r="BF61" i="31"/>
  <c r="AV61" i="31"/>
  <c r="AP61" i="31"/>
  <c r="AM61" i="31"/>
  <c r="BO61" i="31" s="1"/>
  <c r="AL61" i="31"/>
  <c r="AE61" i="31"/>
  <c r="AD61" i="31"/>
  <c r="AO61" i="31" s="1"/>
  <c r="AQ61" i="31" s="1"/>
  <c r="W61" i="31"/>
  <c r="V61" i="31"/>
  <c r="BT60" i="31"/>
  <c r="BR60" i="31"/>
  <c r="BO60" i="31"/>
  <c r="BH60" i="31"/>
  <c r="BS60" i="31" s="1"/>
  <c r="BG60" i="31"/>
  <c r="BU60" i="31" s="1"/>
  <c r="BF60" i="31"/>
  <c r="AV60" i="31"/>
  <c r="AP60" i="31"/>
  <c r="AM60" i="31"/>
  <c r="AL60" i="31"/>
  <c r="AE60" i="31"/>
  <c r="BL60" i="31" s="1"/>
  <c r="W60" i="31"/>
  <c r="V60" i="31"/>
  <c r="AD60" i="31" s="1"/>
  <c r="BT59" i="31"/>
  <c r="BN59" i="31"/>
  <c r="BJ59" i="31"/>
  <c r="BG59" i="31"/>
  <c r="BF59" i="31"/>
  <c r="AV59" i="31"/>
  <c r="BR59" i="31" s="1"/>
  <c r="AM59" i="31"/>
  <c r="AL59" i="31"/>
  <c r="AF59" i="31"/>
  <c r="AR59" i="31" s="1"/>
  <c r="BP59" i="31" s="1"/>
  <c r="W59" i="31"/>
  <c r="AE59" i="31" s="1"/>
  <c r="V59" i="31"/>
  <c r="AD59" i="31" s="1"/>
  <c r="BU58" i="31"/>
  <c r="BT58" i="31"/>
  <c r="BH58" i="31"/>
  <c r="BG58" i="31"/>
  <c r="BF58" i="31"/>
  <c r="AV58" i="31"/>
  <c r="AM58" i="31"/>
  <c r="AL58" i="31"/>
  <c r="W58" i="31"/>
  <c r="V58" i="31"/>
  <c r="AD58" i="31" s="1"/>
  <c r="BK58" i="31" s="1"/>
  <c r="CA57" i="31"/>
  <c r="BZ57" i="31"/>
  <c r="BY57" i="31"/>
  <c r="BX57" i="31"/>
  <c r="BW57" i="31"/>
  <c r="BV57" i="31"/>
  <c r="BE57" i="31"/>
  <c r="BD57" i="31"/>
  <c r="BC57" i="31"/>
  <c r="BB57" i="31"/>
  <c r="BA57" i="31"/>
  <c r="AZ57" i="31"/>
  <c r="AY57" i="31"/>
  <c r="AX57" i="31"/>
  <c r="AU57" i="31"/>
  <c r="AT57" i="31"/>
  <c r="AM57" i="31"/>
  <c r="AK57" i="31"/>
  <c r="AJ57" i="31"/>
  <c r="AI57" i="31"/>
  <c r="AH57" i="31"/>
  <c r="AG57" i="31"/>
  <c r="AC57" i="31"/>
  <c r="AB57" i="31"/>
  <c r="AA57" i="31"/>
  <c r="Z57" i="31"/>
  <c r="Y57" i="31"/>
  <c r="X57" i="31"/>
  <c r="BU56" i="31"/>
  <c r="BT56" i="31"/>
  <c r="BN56" i="31"/>
  <c r="BH56" i="31"/>
  <c r="BS56" i="31" s="1"/>
  <c r="BG56" i="31"/>
  <c r="BF56" i="31"/>
  <c r="AV56" i="31"/>
  <c r="BR56" i="31" s="1"/>
  <c r="AM56" i="31"/>
  <c r="BO56" i="31" s="1"/>
  <c r="AL56" i="31"/>
  <c r="W56" i="31"/>
  <c r="AE56" i="31" s="1"/>
  <c r="V56" i="31"/>
  <c r="AD56" i="31" s="1"/>
  <c r="BU55" i="31"/>
  <c r="BT55" i="31"/>
  <c r="BO55" i="31"/>
  <c r="BH55" i="31"/>
  <c r="BS55" i="31" s="1"/>
  <c r="BG55" i="31"/>
  <c r="BF55" i="31"/>
  <c r="AV55" i="31"/>
  <c r="BR55" i="31" s="1"/>
  <c r="AM55" i="31"/>
  <c r="AL55" i="31"/>
  <c r="AL57" i="31" s="1"/>
  <c r="W55" i="31"/>
  <c r="AE55" i="31" s="1"/>
  <c r="V55" i="31"/>
  <c r="AD55" i="31" s="1"/>
  <c r="AO55" i="31" s="1"/>
  <c r="BU54" i="31"/>
  <c r="BG54" i="31"/>
  <c r="BF54" i="31"/>
  <c r="AV54" i="31"/>
  <c r="BR54" i="31" s="1"/>
  <c r="AM54" i="31"/>
  <c r="BO54" i="31" s="1"/>
  <c r="BO57" i="31" s="1"/>
  <c r="AL54" i="31"/>
  <c r="BN54" i="31" s="1"/>
  <c r="W54" i="31"/>
  <c r="AE54" i="31" s="1"/>
  <c r="AP54" i="31" s="1"/>
  <c r="V54" i="31"/>
  <c r="AD54" i="31" s="1"/>
  <c r="AO54" i="31" s="1"/>
  <c r="BN53" i="31"/>
  <c r="BK53" i="31"/>
  <c r="BH53" i="31"/>
  <c r="BS53" i="31" s="1"/>
  <c r="BG53" i="31"/>
  <c r="BF53" i="31"/>
  <c r="BF57" i="31" s="1"/>
  <c r="AV53" i="31"/>
  <c r="AN53" i="31"/>
  <c r="AM53" i="31"/>
  <c r="BO53" i="31" s="1"/>
  <c r="AL53" i="31"/>
  <c r="AE53" i="31"/>
  <c r="AD53" i="31"/>
  <c r="W53" i="31"/>
  <c r="V53" i="31"/>
  <c r="CA52" i="31"/>
  <c r="BZ52" i="31"/>
  <c r="BY52" i="31"/>
  <c r="BX52" i="31"/>
  <c r="BW52" i="31"/>
  <c r="BV52" i="31"/>
  <c r="BE52" i="31"/>
  <c r="BD52" i="31"/>
  <c r="BC52" i="31"/>
  <c r="BB52" i="31"/>
  <c r="BA52" i="31"/>
  <c r="AZ52" i="31"/>
  <c r="AY52" i="31"/>
  <c r="AX52" i="31"/>
  <c r="AU52" i="31"/>
  <c r="AT52" i="31"/>
  <c r="AM52" i="31"/>
  <c r="AK52" i="31"/>
  <c r="AJ52" i="31"/>
  <c r="AI52" i="31"/>
  <c r="AH52" i="31"/>
  <c r="AG52" i="31"/>
  <c r="AE52" i="31"/>
  <c r="AC52" i="31"/>
  <c r="AB52" i="31"/>
  <c r="AA52" i="31"/>
  <c r="Z52" i="31"/>
  <c r="Y52" i="31"/>
  <c r="X52" i="31"/>
  <c r="V52" i="31"/>
  <c r="BR51" i="31"/>
  <c r="BK51" i="31"/>
  <c r="BG51" i="31"/>
  <c r="BU51" i="31" s="1"/>
  <c r="BF51" i="31"/>
  <c r="AV51" i="31"/>
  <c r="AP51" i="31"/>
  <c r="AM51" i="31"/>
  <c r="AN51" i="31" s="1"/>
  <c r="BM51" i="31" s="1"/>
  <c r="AL51" i="31"/>
  <c r="BN51" i="31" s="1"/>
  <c r="AE51" i="31"/>
  <c r="BL51" i="31" s="1"/>
  <c r="W51" i="31"/>
  <c r="V51" i="31"/>
  <c r="AD51" i="31" s="1"/>
  <c r="BT50" i="31"/>
  <c r="BN50" i="31"/>
  <c r="BM50" i="31"/>
  <c r="BG50" i="31"/>
  <c r="BF50" i="31"/>
  <c r="AV50" i="31"/>
  <c r="BR50" i="31" s="1"/>
  <c r="AM50" i="31"/>
  <c r="BO50" i="31" s="1"/>
  <c r="AL50" i="31"/>
  <c r="AN50" i="31" s="1"/>
  <c r="AE50" i="31"/>
  <c r="AD50" i="31"/>
  <c r="AO50" i="31" s="1"/>
  <c r="W50" i="31"/>
  <c r="V50" i="31"/>
  <c r="BO49" i="31"/>
  <c r="BL49" i="31"/>
  <c r="BH49" i="31"/>
  <c r="BS49" i="31" s="1"/>
  <c r="BG49" i="31"/>
  <c r="BU49" i="31" s="1"/>
  <c r="BF49" i="31"/>
  <c r="BT49" i="31" s="1"/>
  <c r="AV49" i="31"/>
  <c r="AV52" i="31" s="1"/>
  <c r="AP49" i="31"/>
  <c r="AM49" i="31"/>
  <c r="AL49" i="31"/>
  <c r="AN49" i="31" s="1"/>
  <c r="AE49" i="31"/>
  <c r="AD49" i="31"/>
  <c r="AF49" i="31" s="1"/>
  <c r="W49" i="31"/>
  <c r="W52" i="31" s="1"/>
  <c r="V49" i="31"/>
  <c r="CA48" i="31"/>
  <c r="BZ48" i="31"/>
  <c r="BY48" i="31"/>
  <c r="BX48" i="31"/>
  <c r="BW48" i="31"/>
  <c r="BV48" i="31"/>
  <c r="BE48" i="31"/>
  <c r="BD48" i="31"/>
  <c r="BC48" i="31"/>
  <c r="BB48" i="31"/>
  <c r="BA48" i="31"/>
  <c r="AZ48" i="31"/>
  <c r="AY48" i="31"/>
  <c r="AX48" i="31"/>
  <c r="AU48" i="31"/>
  <c r="AT48" i="31"/>
  <c r="AK48" i="31"/>
  <c r="AJ48" i="31"/>
  <c r="AI48" i="31"/>
  <c r="AH48" i="31"/>
  <c r="AG48" i="31"/>
  <c r="AC48" i="31"/>
  <c r="AB48" i="31"/>
  <c r="AA48" i="31"/>
  <c r="Z48" i="31"/>
  <c r="Y48" i="31"/>
  <c r="X48" i="31"/>
  <c r="W48" i="31"/>
  <c r="BO47" i="31"/>
  <c r="BJ47" i="31"/>
  <c r="BG47" i="31"/>
  <c r="BU47" i="31" s="1"/>
  <c r="BF47" i="31"/>
  <c r="BT47" i="31" s="1"/>
  <c r="AV47" i="31"/>
  <c r="BR47" i="31" s="1"/>
  <c r="AN47" i="31"/>
  <c r="BM47" i="31" s="1"/>
  <c r="AM47" i="31"/>
  <c r="AL47" i="31"/>
  <c r="BN47" i="31" s="1"/>
  <c r="AF47" i="31"/>
  <c r="AR47" i="31" s="1"/>
  <c r="BP47" i="31" s="1"/>
  <c r="AD47" i="31"/>
  <c r="AO47" i="31" s="1"/>
  <c r="W47" i="31"/>
  <c r="AE47" i="31" s="1"/>
  <c r="V47" i="31"/>
  <c r="BR46" i="31"/>
  <c r="BK46" i="31"/>
  <c r="BG46" i="31"/>
  <c r="BU46" i="31" s="1"/>
  <c r="BF46" i="31"/>
  <c r="BT46" i="31" s="1"/>
  <c r="AV46" i="31"/>
  <c r="AM46" i="31"/>
  <c r="BO46" i="31" s="1"/>
  <c r="AL46" i="31"/>
  <c r="BN46" i="31" s="1"/>
  <c r="AE46" i="31"/>
  <c r="AF46" i="31" s="1"/>
  <c r="AD46" i="31"/>
  <c r="AO46" i="31" s="1"/>
  <c r="W46" i="31"/>
  <c r="V46" i="31"/>
  <c r="BR45" i="31"/>
  <c r="BO45" i="31"/>
  <c r="BN45" i="31"/>
  <c r="BH45" i="31"/>
  <c r="BS45" i="31" s="1"/>
  <c r="BG45" i="31"/>
  <c r="BU45" i="31" s="1"/>
  <c r="BF45" i="31"/>
  <c r="BT45" i="31" s="1"/>
  <c r="AV45" i="31"/>
  <c r="AR45" i="31"/>
  <c r="BP45" i="31" s="1"/>
  <c r="AO45" i="31"/>
  <c r="AM45" i="31"/>
  <c r="AL45" i="31"/>
  <c r="AF45" i="31"/>
  <c r="AE45" i="31"/>
  <c r="AP45" i="31" s="1"/>
  <c r="AQ45" i="31" s="1"/>
  <c r="AD45" i="31"/>
  <c r="BK45" i="31" s="1"/>
  <c r="W45" i="31"/>
  <c r="V45" i="31"/>
  <c r="BG44" i="31"/>
  <c r="BF44" i="31"/>
  <c r="AV44" i="31"/>
  <c r="BR44" i="31" s="1"/>
  <c r="AN44" i="31"/>
  <c r="BM44" i="31" s="1"/>
  <c r="AM44" i="31"/>
  <c r="AM48" i="31" s="1"/>
  <c r="AL44" i="31"/>
  <c r="BN44" i="31" s="1"/>
  <c r="W44" i="31"/>
  <c r="W81" i="31" s="1"/>
  <c r="V44" i="31"/>
  <c r="CA43" i="31"/>
  <c r="BZ43" i="31"/>
  <c r="BY43" i="31"/>
  <c r="BX43" i="31"/>
  <c r="BW43" i="31"/>
  <c r="BV43" i="31"/>
  <c r="BE43" i="31"/>
  <c r="BD43" i="31"/>
  <c r="BC43" i="31"/>
  <c r="BB43" i="31"/>
  <c r="BA43" i="31"/>
  <c r="AZ43" i="31"/>
  <c r="AY43" i="31"/>
  <c r="AX43" i="31"/>
  <c r="AU43" i="31"/>
  <c r="AT43" i="31"/>
  <c r="AK43" i="31"/>
  <c r="AJ43" i="31"/>
  <c r="AI43" i="31"/>
  <c r="AH43" i="31"/>
  <c r="AG43" i="31"/>
  <c r="AC43" i="31"/>
  <c r="AB43" i="31"/>
  <c r="AA43" i="31"/>
  <c r="Z43" i="31"/>
  <c r="Y43" i="31"/>
  <c r="X43" i="31"/>
  <c r="W43" i="31"/>
  <c r="BU42" i="31"/>
  <c r="BR42" i="31"/>
  <c r="BN42" i="31"/>
  <c r="BG42" i="31"/>
  <c r="BG43" i="31" s="1"/>
  <c r="BF42" i="31"/>
  <c r="BT42" i="31" s="1"/>
  <c r="AV42" i="31"/>
  <c r="AM42" i="31"/>
  <c r="BO42" i="31" s="1"/>
  <c r="AL42" i="31"/>
  <c r="AE42" i="31"/>
  <c r="AD42" i="31"/>
  <c r="AO42" i="31" s="1"/>
  <c r="W42" i="31"/>
  <c r="V42" i="31"/>
  <c r="BS41" i="31"/>
  <c r="BL41" i="31"/>
  <c r="BH41" i="31"/>
  <c r="BG41" i="31"/>
  <c r="BU41" i="31" s="1"/>
  <c r="BU43" i="31" s="1"/>
  <c r="BF41" i="31"/>
  <c r="AV41" i="31"/>
  <c r="AM41" i="31"/>
  <c r="AL41" i="31"/>
  <c r="AL43" i="31" s="1"/>
  <c r="AE41" i="31"/>
  <c r="AE43" i="31" s="1"/>
  <c r="W41" i="31"/>
  <c r="V41" i="31"/>
  <c r="CA40" i="31"/>
  <c r="BZ40" i="31"/>
  <c r="BY40" i="31"/>
  <c r="BX40" i="31"/>
  <c r="BW40" i="31"/>
  <c r="BV40" i="31"/>
  <c r="BU40" i="31"/>
  <c r="BT40" i="31"/>
  <c r="BG40" i="31"/>
  <c r="BF40" i="31"/>
  <c r="BE40" i="31"/>
  <c r="BD40" i="31"/>
  <c r="BC40" i="31"/>
  <c r="BB40" i="31"/>
  <c r="BA40" i="31"/>
  <c r="AZ40" i="31"/>
  <c r="AY40" i="31"/>
  <c r="AX40" i="31"/>
  <c r="AU40" i="31"/>
  <c r="AT40" i="31"/>
  <c r="AK40" i="31"/>
  <c r="AJ40" i="31"/>
  <c r="AI40" i="31"/>
  <c r="AH40" i="31"/>
  <c r="AG40" i="31"/>
  <c r="AC40" i="31"/>
  <c r="AB40" i="31"/>
  <c r="AA40" i="31"/>
  <c r="Z40" i="31"/>
  <c r="Y40" i="31"/>
  <c r="X40" i="31"/>
  <c r="V40" i="31"/>
  <c r="BU39" i="31"/>
  <c r="BU86" i="31" s="1"/>
  <c r="BT39" i="31"/>
  <c r="BT86" i="31" s="1"/>
  <c r="BH39" i="31"/>
  <c r="BG39" i="31"/>
  <c r="BG86" i="31" s="1"/>
  <c r="BF39" i="31"/>
  <c r="BF86" i="31" s="1"/>
  <c r="AV39" i="31"/>
  <c r="AV86" i="31" s="1"/>
  <c r="AO39" i="31"/>
  <c r="AO40" i="31" s="1"/>
  <c r="AM39" i="31"/>
  <c r="AM86" i="31" s="1"/>
  <c r="AL39" i="31"/>
  <c r="BN39" i="31" s="1"/>
  <c r="AD39" i="31"/>
  <c r="BK39" i="31" s="1"/>
  <c r="W39" i="31"/>
  <c r="V39" i="31"/>
  <c r="V86" i="31" s="1"/>
  <c r="CA38" i="31"/>
  <c r="BZ38" i="31"/>
  <c r="BY38" i="31"/>
  <c r="BX38" i="31"/>
  <c r="BW38" i="31"/>
  <c r="BV38" i="31"/>
  <c r="BE38" i="31"/>
  <c r="BD38" i="31"/>
  <c r="BC38" i="31"/>
  <c r="BB38" i="31"/>
  <c r="BA38" i="31"/>
  <c r="AZ38" i="31"/>
  <c r="AY38" i="31"/>
  <c r="AX38" i="31"/>
  <c r="AU38" i="31"/>
  <c r="AT38" i="31"/>
  <c r="AK38" i="31"/>
  <c r="AJ38" i="31"/>
  <c r="AI38" i="31"/>
  <c r="AH38" i="31"/>
  <c r="AG38" i="31"/>
  <c r="AC38" i="31"/>
  <c r="AB38" i="31"/>
  <c r="AA38" i="31"/>
  <c r="Z38" i="31"/>
  <c r="Y38" i="31"/>
  <c r="X38" i="31"/>
  <c r="V38" i="31"/>
  <c r="BT37" i="31"/>
  <c r="BG37" i="31"/>
  <c r="BH37" i="31" s="1"/>
  <c r="BS37" i="31" s="1"/>
  <c r="BF37" i="31"/>
  <c r="AV37" i="31"/>
  <c r="BR37" i="31" s="1"/>
  <c r="AM37" i="31"/>
  <c r="AN37" i="31" s="1"/>
  <c r="BM37" i="31" s="1"/>
  <c r="AL37" i="31"/>
  <c r="BN37" i="31" s="1"/>
  <c r="W37" i="31"/>
  <c r="AE37" i="31" s="1"/>
  <c r="V37" i="31"/>
  <c r="AD37" i="31" s="1"/>
  <c r="AF37" i="31" s="1"/>
  <c r="BU36" i="31"/>
  <c r="BT36" i="31"/>
  <c r="BH36" i="31"/>
  <c r="BS36" i="31" s="1"/>
  <c r="BG36" i="31"/>
  <c r="BF36" i="31"/>
  <c r="AV36" i="31"/>
  <c r="BR36" i="31" s="1"/>
  <c r="AM36" i="31"/>
  <c r="BO36" i="31" s="1"/>
  <c r="AL36" i="31"/>
  <c r="AO36" i="31" s="1"/>
  <c r="AD36" i="31"/>
  <c r="W36" i="31"/>
  <c r="AE36" i="31" s="1"/>
  <c r="V36" i="31"/>
  <c r="BU35" i="31"/>
  <c r="BR35" i="31"/>
  <c r="BG35" i="31"/>
  <c r="BF35" i="31"/>
  <c r="AV35" i="31"/>
  <c r="AM35" i="31"/>
  <c r="AN35" i="31" s="1"/>
  <c r="BM35" i="31" s="1"/>
  <c r="AL35" i="31"/>
  <c r="BN35" i="31" s="1"/>
  <c r="AE35" i="31"/>
  <c r="BL35" i="31" s="1"/>
  <c r="AD35" i="31"/>
  <c r="AF35" i="31" s="1"/>
  <c r="W35" i="31"/>
  <c r="V35" i="31"/>
  <c r="BG34" i="31"/>
  <c r="BU34" i="31" s="1"/>
  <c r="BF34" i="31"/>
  <c r="AV34" i="31"/>
  <c r="BR34" i="31" s="1"/>
  <c r="BR38" i="31" s="1"/>
  <c r="AN34" i="31"/>
  <c r="BM34" i="31" s="1"/>
  <c r="AM34" i="31"/>
  <c r="BO34" i="31" s="1"/>
  <c r="AL34" i="31"/>
  <c r="BN34" i="31" s="1"/>
  <c r="AD34" i="31"/>
  <c r="BK34" i="31" s="1"/>
  <c r="W34" i="31"/>
  <c r="AE34" i="31" s="1"/>
  <c r="V34" i="31"/>
  <c r="BR33" i="31"/>
  <c r="BN33" i="31"/>
  <c r="BL33" i="31"/>
  <c r="BK33" i="31"/>
  <c r="BG33" i="31"/>
  <c r="BF33" i="31"/>
  <c r="BF38" i="31" s="1"/>
  <c r="AV33" i="31"/>
  <c r="AV38" i="31" s="1"/>
  <c r="AO33" i="31"/>
  <c r="AM33" i="31"/>
  <c r="BO33" i="31" s="1"/>
  <c r="AL33" i="31"/>
  <c r="AF33" i="31"/>
  <c r="AE33" i="31"/>
  <c r="AD33" i="31"/>
  <c r="W33" i="31"/>
  <c r="W38" i="31" s="1"/>
  <c r="V33" i="31"/>
  <c r="CA32" i="31"/>
  <c r="BZ32" i="31"/>
  <c r="BY32" i="31"/>
  <c r="BX32" i="31"/>
  <c r="BW32" i="31"/>
  <c r="BV32" i="31"/>
  <c r="BE32" i="31"/>
  <c r="BD32" i="31"/>
  <c r="BC32" i="31"/>
  <c r="BB32" i="31"/>
  <c r="BA32" i="31"/>
  <c r="AZ32" i="31"/>
  <c r="AY32" i="31"/>
  <c r="AX32" i="31"/>
  <c r="AU32" i="31"/>
  <c r="AT32" i="31"/>
  <c r="AK32" i="31"/>
  <c r="AJ32" i="31"/>
  <c r="AI32" i="31"/>
  <c r="AH32" i="31"/>
  <c r="AG32" i="31"/>
  <c r="AC32" i="31"/>
  <c r="AB32" i="31"/>
  <c r="AA32" i="31"/>
  <c r="Z32" i="31"/>
  <c r="Y32" i="31"/>
  <c r="X32" i="31"/>
  <c r="BK31" i="31"/>
  <c r="BG31" i="31"/>
  <c r="BU31" i="31" s="1"/>
  <c r="BF31" i="31"/>
  <c r="AV31" i="31"/>
  <c r="BR31" i="31" s="1"/>
  <c r="AN31" i="31"/>
  <c r="BM31" i="31" s="1"/>
  <c r="AM31" i="31"/>
  <c r="BO31" i="31" s="1"/>
  <c r="AL31" i="31"/>
  <c r="BN31" i="31" s="1"/>
  <c r="AD31" i="31"/>
  <c r="AO31" i="31" s="1"/>
  <c r="W31" i="31"/>
  <c r="AE31" i="31" s="1"/>
  <c r="V31" i="31"/>
  <c r="BR30" i="31"/>
  <c r="BN30" i="31"/>
  <c r="BG30" i="31"/>
  <c r="BF30" i="31"/>
  <c r="BF85" i="31" s="1"/>
  <c r="AV30" i="31"/>
  <c r="AM30" i="31"/>
  <c r="AL30" i="31"/>
  <c r="AE30" i="31"/>
  <c r="AP30" i="31" s="1"/>
  <c r="W30" i="31"/>
  <c r="V30" i="31"/>
  <c r="V85" i="31" s="1"/>
  <c r="BT29" i="31"/>
  <c r="BH29" i="31"/>
  <c r="BS29" i="31" s="1"/>
  <c r="BG29" i="31"/>
  <c r="BU29" i="31" s="1"/>
  <c r="BF29" i="31"/>
  <c r="AV29" i="31"/>
  <c r="BR29" i="31" s="1"/>
  <c r="AM29" i="31"/>
  <c r="BO29" i="31" s="1"/>
  <c r="AL29" i="31"/>
  <c r="AN29" i="31" s="1"/>
  <c r="BM29" i="31" s="1"/>
  <c r="AD29" i="31"/>
  <c r="AO29" i="31" s="1"/>
  <c r="W29" i="31"/>
  <c r="AE29" i="31" s="1"/>
  <c r="V29" i="31"/>
  <c r="BU28" i="31"/>
  <c r="BR28" i="31"/>
  <c r="BG28" i="31"/>
  <c r="BF28" i="31"/>
  <c r="BT28" i="31" s="1"/>
  <c r="AV28" i="31"/>
  <c r="AM28" i="31"/>
  <c r="BO28" i="31" s="1"/>
  <c r="AL28" i="31"/>
  <c r="AN28" i="31" s="1"/>
  <c r="BM28" i="31" s="1"/>
  <c r="AE28" i="31"/>
  <c r="BL28" i="31" s="1"/>
  <c r="W28" i="31"/>
  <c r="V28" i="31"/>
  <c r="AD28" i="31" s="1"/>
  <c r="BM27" i="31"/>
  <c r="BG27" i="31"/>
  <c r="BG32" i="31" s="1"/>
  <c r="BF27" i="31"/>
  <c r="BT27" i="31" s="1"/>
  <c r="AV27" i="31"/>
  <c r="BR27" i="31" s="1"/>
  <c r="AN27" i="31"/>
  <c r="AM27" i="31"/>
  <c r="BO27" i="31" s="1"/>
  <c r="AL27" i="31"/>
  <c r="BN27" i="31" s="1"/>
  <c r="W27" i="31"/>
  <c r="AE27" i="31" s="1"/>
  <c r="V27" i="31"/>
  <c r="V32" i="31" s="1"/>
  <c r="BT26" i="31"/>
  <c r="BH26" i="31"/>
  <c r="BG26" i="31"/>
  <c r="BU26" i="31" s="1"/>
  <c r="BF26" i="31"/>
  <c r="AV26" i="31"/>
  <c r="AV32" i="31" s="1"/>
  <c r="AM26" i="31"/>
  <c r="AL26" i="31"/>
  <c r="AN26" i="31" s="1"/>
  <c r="AE26" i="31"/>
  <c r="AE32" i="31" s="1"/>
  <c r="AD26" i="31"/>
  <c r="W26" i="31"/>
  <c r="V26" i="31"/>
  <c r="CA25" i="31"/>
  <c r="BZ25" i="31"/>
  <c r="BY25" i="31"/>
  <c r="BX25" i="31"/>
  <c r="BW25" i="31"/>
  <c r="BV25" i="31"/>
  <c r="BF25" i="31"/>
  <c r="BE25" i="31"/>
  <c r="BD25" i="31"/>
  <c r="BC25" i="31"/>
  <c r="BB25" i="31"/>
  <c r="BA25" i="31"/>
  <c r="AZ25" i="31"/>
  <c r="AY25" i="31"/>
  <c r="AX25" i="31"/>
  <c r="AU25" i="31"/>
  <c r="AT25" i="31"/>
  <c r="AK25" i="31"/>
  <c r="AJ25" i="31"/>
  <c r="AI25" i="31"/>
  <c r="AH25" i="31"/>
  <c r="AG25" i="31"/>
  <c r="AC25" i="31"/>
  <c r="AB25" i="31"/>
  <c r="AA25" i="31"/>
  <c r="Z25" i="31"/>
  <c r="Y25" i="31"/>
  <c r="X25" i="31"/>
  <c r="BM24" i="31"/>
  <c r="BM87" i="31" s="1"/>
  <c r="BG24" i="31"/>
  <c r="BG87" i="31" s="1"/>
  <c r="BF24" i="31"/>
  <c r="BF87" i="31" s="1"/>
  <c r="AV24" i="31"/>
  <c r="AV87" i="31" s="1"/>
  <c r="AN24" i="31"/>
  <c r="AN87" i="31" s="1"/>
  <c r="AM24" i="31"/>
  <c r="AM87" i="31" s="1"/>
  <c r="AL24" i="31"/>
  <c r="AL87" i="31" s="1"/>
  <c r="W24" i="31"/>
  <c r="W87" i="31" s="1"/>
  <c r="V24" i="31"/>
  <c r="V87" i="31" s="1"/>
  <c r="CA23" i="31"/>
  <c r="BZ23" i="31"/>
  <c r="BY23" i="31"/>
  <c r="BX23" i="31"/>
  <c r="BW23" i="31"/>
  <c r="BV23" i="31"/>
  <c r="BE23" i="31"/>
  <c r="BD23" i="31"/>
  <c r="BC23" i="31"/>
  <c r="BB23" i="31"/>
  <c r="BA23" i="31"/>
  <c r="AZ23" i="31"/>
  <c r="AY23" i="31"/>
  <c r="AX23" i="31"/>
  <c r="AV23" i="31"/>
  <c r="AU23" i="31"/>
  <c r="AT23" i="31"/>
  <c r="AK23" i="31"/>
  <c r="AJ23" i="31"/>
  <c r="AI23" i="31"/>
  <c r="AH23" i="31"/>
  <c r="AG23" i="31"/>
  <c r="AC23" i="31"/>
  <c r="AB23" i="31"/>
  <c r="AA23" i="31"/>
  <c r="Z23" i="31"/>
  <c r="Y23" i="31"/>
  <c r="X23" i="31"/>
  <c r="BU22" i="31"/>
  <c r="BR22" i="31"/>
  <c r="BG22" i="31"/>
  <c r="BF22" i="31"/>
  <c r="BT22" i="31" s="1"/>
  <c r="AV22" i="31"/>
  <c r="AM22" i="31"/>
  <c r="AM23" i="31" s="1"/>
  <c r="AL22" i="31"/>
  <c r="AN22" i="31" s="1"/>
  <c r="BM22" i="31" s="1"/>
  <c r="AE22" i="31"/>
  <c r="AP22" i="31" s="1"/>
  <c r="W22" i="31"/>
  <c r="V22" i="31"/>
  <c r="AD22" i="31" s="1"/>
  <c r="BM21" i="31"/>
  <c r="BG21" i="31"/>
  <c r="BU21" i="31" s="1"/>
  <c r="BF21" i="31"/>
  <c r="BT21" i="31" s="1"/>
  <c r="AV21" i="31"/>
  <c r="BR21" i="31" s="1"/>
  <c r="AN21" i="31"/>
  <c r="AM21" i="31"/>
  <c r="BO21" i="31" s="1"/>
  <c r="AL21" i="31"/>
  <c r="BN21" i="31" s="1"/>
  <c r="W21" i="31"/>
  <c r="AE21" i="31" s="1"/>
  <c r="V21" i="31"/>
  <c r="V23" i="31" s="1"/>
  <c r="BT20" i="31"/>
  <c r="BH20" i="31"/>
  <c r="BS20" i="31" s="1"/>
  <c r="BG20" i="31"/>
  <c r="BG23" i="31" s="1"/>
  <c r="BF20" i="31"/>
  <c r="BF23" i="31" s="1"/>
  <c r="AV20" i="31"/>
  <c r="BR20" i="31" s="1"/>
  <c r="BR23" i="31" s="1"/>
  <c r="AM20" i="31"/>
  <c r="BO20" i="31" s="1"/>
  <c r="AL20" i="31"/>
  <c r="BN20" i="31" s="1"/>
  <c r="AD20" i="31"/>
  <c r="W20" i="31"/>
  <c r="W23" i="31" s="1"/>
  <c r="V20" i="31"/>
  <c r="CA19" i="31"/>
  <c r="BZ19" i="31"/>
  <c r="BY19" i="31"/>
  <c r="BX19" i="31"/>
  <c r="BW19" i="31"/>
  <c r="BV19" i="31"/>
  <c r="BE19" i="31"/>
  <c r="BD19" i="31"/>
  <c r="BC19" i="31"/>
  <c r="BB19" i="31"/>
  <c r="BA19" i="31"/>
  <c r="AZ19" i="31"/>
  <c r="AY19" i="31"/>
  <c r="AX19" i="31"/>
  <c r="AU19" i="31"/>
  <c r="AT19" i="31"/>
  <c r="AK19" i="31"/>
  <c r="AJ19" i="31"/>
  <c r="AI19" i="31"/>
  <c r="AH19" i="31"/>
  <c r="AG19" i="31"/>
  <c r="AC19" i="31"/>
  <c r="AB19" i="31"/>
  <c r="AA19" i="31"/>
  <c r="Z19" i="31"/>
  <c r="Y19" i="31"/>
  <c r="X19" i="31"/>
  <c r="BM18" i="31"/>
  <c r="BG18" i="31"/>
  <c r="BU18" i="31" s="1"/>
  <c r="BF18" i="31"/>
  <c r="BT18" i="31" s="1"/>
  <c r="AV18" i="31"/>
  <c r="BR18" i="31" s="1"/>
  <c r="AN18" i="31"/>
  <c r="AM18" i="31"/>
  <c r="BO18" i="31" s="1"/>
  <c r="AL18" i="31"/>
  <c r="BN18" i="31" s="1"/>
  <c r="W18" i="31"/>
  <c r="AE18" i="31" s="1"/>
  <c r="V18" i="31"/>
  <c r="AD18" i="31" s="1"/>
  <c r="BT17" i="31"/>
  <c r="BH17" i="31"/>
  <c r="BS17" i="31" s="1"/>
  <c r="BG17" i="31"/>
  <c r="BU17" i="31" s="1"/>
  <c r="BF17" i="31"/>
  <c r="AV17" i="31"/>
  <c r="AV19" i="31" s="1"/>
  <c r="AM17" i="31"/>
  <c r="BO17" i="31" s="1"/>
  <c r="AL17" i="31"/>
  <c r="AN17" i="31" s="1"/>
  <c r="BM17" i="31" s="1"/>
  <c r="AD17" i="31"/>
  <c r="W17" i="31"/>
  <c r="W19" i="31" s="1"/>
  <c r="V17" i="31"/>
  <c r="BU16" i="31"/>
  <c r="BU19" i="31" s="1"/>
  <c r="BR16" i="31"/>
  <c r="BG16" i="31"/>
  <c r="BG19" i="31" s="1"/>
  <c r="BF16" i="31"/>
  <c r="BT16" i="31" s="1"/>
  <c r="BT19" i="31" s="1"/>
  <c r="AV16" i="31"/>
  <c r="AM16" i="31"/>
  <c r="BO16" i="31" s="1"/>
  <c r="BO19" i="31" s="1"/>
  <c r="AL16" i="31"/>
  <c r="BN16" i="31" s="1"/>
  <c r="AE16" i="31"/>
  <c r="BL16" i="31" s="1"/>
  <c r="W16" i="31"/>
  <c r="V16" i="31"/>
  <c r="V19" i="31" s="1"/>
  <c r="CA15" i="31"/>
  <c r="BZ15" i="31"/>
  <c r="BY15" i="31"/>
  <c r="BY74" i="31" s="1"/>
  <c r="BX15" i="31"/>
  <c r="BW15" i="31"/>
  <c r="BV15" i="31"/>
  <c r="BV74" i="31" s="1"/>
  <c r="BE15" i="31"/>
  <c r="BD15" i="31"/>
  <c r="BD74" i="31" s="1"/>
  <c r="BC15" i="31"/>
  <c r="BB15" i="31"/>
  <c r="BA15" i="31"/>
  <c r="AZ15" i="31"/>
  <c r="AZ74" i="31" s="1"/>
  <c r="AY15" i="31"/>
  <c r="AX15" i="31"/>
  <c r="AX74" i="31" s="1"/>
  <c r="AU15" i="31"/>
  <c r="AT15" i="31"/>
  <c r="AT74" i="31" s="1"/>
  <c r="AK15" i="31"/>
  <c r="AJ15" i="31"/>
  <c r="AI15" i="31"/>
  <c r="AI74" i="31" s="1"/>
  <c r="AH15" i="31"/>
  <c r="AH74" i="31" s="1"/>
  <c r="W75" i="31" s="1"/>
  <c r="AG15" i="31"/>
  <c r="AC15" i="31"/>
  <c r="AC74" i="31" s="1"/>
  <c r="AB15" i="31"/>
  <c r="AB74" i="31" s="1"/>
  <c r="AA15" i="31"/>
  <c r="Z15" i="31"/>
  <c r="Z74" i="31" s="1"/>
  <c r="Y15" i="31"/>
  <c r="Y74" i="31" s="1"/>
  <c r="X15" i="31"/>
  <c r="BT14" i="31"/>
  <c r="BH14" i="31"/>
  <c r="BG14" i="31"/>
  <c r="BU14" i="31" s="1"/>
  <c r="BF14" i="31"/>
  <c r="AV14" i="31"/>
  <c r="AV84" i="31" s="1"/>
  <c r="AM14" i="31"/>
  <c r="AL14" i="31"/>
  <c r="AL84" i="31" s="1"/>
  <c r="AD14" i="31"/>
  <c r="W14" i="31"/>
  <c r="W84" i="31" s="1"/>
  <c r="V14" i="31"/>
  <c r="BU13" i="31"/>
  <c r="BR13" i="31"/>
  <c r="BG13" i="31"/>
  <c r="BF13" i="31"/>
  <c r="BT13" i="31" s="1"/>
  <c r="AV13" i="31"/>
  <c r="AM13" i="31"/>
  <c r="BO13" i="31" s="1"/>
  <c r="AL13" i="31"/>
  <c r="BN13" i="31" s="1"/>
  <c r="AE13" i="31"/>
  <c r="BL13" i="31" s="1"/>
  <c r="W13" i="31"/>
  <c r="V13" i="31"/>
  <c r="V15" i="31" s="1"/>
  <c r="BG12" i="31"/>
  <c r="BF12" i="31"/>
  <c r="BF78" i="31" s="1"/>
  <c r="AV12" i="31"/>
  <c r="AV78" i="31" s="1"/>
  <c r="AN12" i="31"/>
  <c r="BM12" i="31" s="1"/>
  <c r="AM12" i="31"/>
  <c r="AM15" i="31" s="1"/>
  <c r="AL12" i="31"/>
  <c r="W12" i="31"/>
  <c r="W78" i="31" s="1"/>
  <c r="V12" i="31"/>
  <c r="AD12" i="31" s="1"/>
  <c r="CA113" i="30"/>
  <c r="BZ113" i="30"/>
  <c r="BY113" i="30"/>
  <c r="BX113" i="30"/>
  <c r="BW113" i="30"/>
  <c r="BV113" i="30"/>
  <c r="BE113" i="30"/>
  <c r="BD113" i="30"/>
  <c r="BC113" i="30"/>
  <c r="BB113" i="30"/>
  <c r="BA113" i="30"/>
  <c r="AZ113" i="30"/>
  <c r="AY113" i="30"/>
  <c r="AX113" i="30"/>
  <c r="AU113" i="30"/>
  <c r="AT113" i="30"/>
  <c r="AK113" i="30"/>
  <c r="AJ113" i="30"/>
  <c r="AI113" i="30"/>
  <c r="AH113" i="30"/>
  <c r="AG113" i="30"/>
  <c r="AC113" i="30"/>
  <c r="AB113" i="30"/>
  <c r="AA113" i="30"/>
  <c r="Z113" i="30"/>
  <c r="Y113" i="30"/>
  <c r="X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CA112" i="30"/>
  <c r="BZ112" i="30"/>
  <c r="BY112" i="30"/>
  <c r="BX112" i="30"/>
  <c r="BW112" i="30"/>
  <c r="BV112" i="30"/>
  <c r="BE112" i="30"/>
  <c r="BD112" i="30"/>
  <c r="BC112" i="30"/>
  <c r="BB112" i="30"/>
  <c r="BA112" i="30"/>
  <c r="AZ112" i="30"/>
  <c r="AY112" i="30"/>
  <c r="AX112" i="30"/>
  <c r="AU112" i="30"/>
  <c r="AT112" i="30"/>
  <c r="AK112" i="30"/>
  <c r="AJ112" i="30"/>
  <c r="AI112" i="30"/>
  <c r="AH112" i="30"/>
  <c r="AG112" i="30"/>
  <c r="AC112" i="30"/>
  <c r="AB112" i="30"/>
  <c r="AA112" i="30"/>
  <c r="Z112" i="30"/>
  <c r="Y112" i="30"/>
  <c r="X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CA111" i="30"/>
  <c r="BZ111" i="30"/>
  <c r="BY111" i="30"/>
  <c r="BX111" i="30"/>
  <c r="BW111" i="30"/>
  <c r="BV111" i="30"/>
  <c r="BE111" i="30"/>
  <c r="BD111" i="30"/>
  <c r="BC111" i="30"/>
  <c r="BB111" i="30"/>
  <c r="BA111" i="30"/>
  <c r="AZ111" i="30"/>
  <c r="AY111" i="30"/>
  <c r="AX111" i="30"/>
  <c r="AU111" i="30"/>
  <c r="AT111" i="30"/>
  <c r="AK111" i="30"/>
  <c r="AJ111" i="30"/>
  <c r="AI111" i="30"/>
  <c r="AH111" i="30"/>
  <c r="AG111" i="30"/>
  <c r="AC111" i="30"/>
  <c r="AB111" i="30"/>
  <c r="AA111" i="30"/>
  <c r="Z111" i="30"/>
  <c r="Y111" i="30"/>
  <c r="X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CA110" i="30"/>
  <c r="BZ110" i="30"/>
  <c r="BY110" i="30"/>
  <c r="BX110" i="30"/>
  <c r="BW110" i="30"/>
  <c r="BV110" i="30"/>
  <c r="BE110" i="30"/>
  <c r="BD110" i="30"/>
  <c r="BC110" i="30"/>
  <c r="BB110" i="30"/>
  <c r="BA110" i="30"/>
  <c r="AZ110" i="30"/>
  <c r="AY110" i="30"/>
  <c r="AX110" i="30"/>
  <c r="AU110" i="30"/>
  <c r="AT110" i="30"/>
  <c r="AK110" i="30"/>
  <c r="AJ110" i="30"/>
  <c r="AI110" i="30"/>
  <c r="AH110" i="30"/>
  <c r="AG110" i="30"/>
  <c r="AC110" i="30"/>
  <c r="AB110" i="30"/>
  <c r="AA110" i="30"/>
  <c r="Z110" i="30"/>
  <c r="Y110" i="30"/>
  <c r="X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P103" i="30" s="1"/>
  <c r="O108" i="30"/>
  <c r="N108" i="30"/>
  <c r="M108" i="30"/>
  <c r="L108" i="30"/>
  <c r="K108" i="30"/>
  <c r="J108" i="30"/>
  <c r="I108" i="30"/>
  <c r="CA107" i="30"/>
  <c r="BZ107" i="30"/>
  <c r="BY107" i="30"/>
  <c r="BX107" i="30"/>
  <c r="BW107" i="30"/>
  <c r="BV107" i="30"/>
  <c r="BE107" i="30"/>
  <c r="BD107" i="30"/>
  <c r="BC107" i="30"/>
  <c r="BB107" i="30"/>
  <c r="BA107" i="30"/>
  <c r="AZ107" i="30"/>
  <c r="AY107" i="30"/>
  <c r="AX107" i="30"/>
  <c r="AU107" i="30"/>
  <c r="AT107" i="30"/>
  <c r="AK107" i="30"/>
  <c r="AJ107" i="30"/>
  <c r="AI107" i="30"/>
  <c r="AH107" i="30"/>
  <c r="AG107" i="30"/>
  <c r="AC107" i="30"/>
  <c r="AB107" i="30"/>
  <c r="AA107" i="30"/>
  <c r="Z107" i="30"/>
  <c r="Y107" i="30"/>
  <c r="X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CA105" i="30"/>
  <c r="BZ105" i="30"/>
  <c r="BY105" i="30"/>
  <c r="BX105" i="30"/>
  <c r="BW105" i="30"/>
  <c r="BV105" i="30"/>
  <c r="BE105" i="30"/>
  <c r="BD105" i="30"/>
  <c r="BC105" i="30"/>
  <c r="BB105" i="30"/>
  <c r="BA105" i="30"/>
  <c r="AZ105" i="30"/>
  <c r="AY105" i="30"/>
  <c r="AX105" i="30"/>
  <c r="AU105" i="30"/>
  <c r="AT105" i="30"/>
  <c r="AK105" i="30"/>
  <c r="AK103" i="30" s="1"/>
  <c r="AJ105" i="30"/>
  <c r="AI105" i="30"/>
  <c r="AH105" i="30"/>
  <c r="AG105" i="30"/>
  <c r="AC105" i="30"/>
  <c r="AB105" i="30"/>
  <c r="AA105" i="30"/>
  <c r="Z105" i="30"/>
  <c r="Y105" i="30"/>
  <c r="X105" i="30"/>
  <c r="U105" i="30"/>
  <c r="U103" i="30" s="1"/>
  <c r="T105" i="30"/>
  <c r="S105" i="30"/>
  <c r="R105" i="30"/>
  <c r="Q105" i="30"/>
  <c r="P105" i="30"/>
  <c r="O105" i="30"/>
  <c r="O103" i="30" s="1"/>
  <c r="N105" i="30"/>
  <c r="M105" i="30"/>
  <c r="L105" i="30"/>
  <c r="K105" i="30"/>
  <c r="J105" i="30"/>
  <c r="I105" i="30"/>
  <c r="CA104" i="30"/>
  <c r="BZ104" i="30"/>
  <c r="BY104" i="30"/>
  <c r="BX104" i="30"/>
  <c r="BW104" i="30"/>
  <c r="BV104" i="30"/>
  <c r="BE104" i="30"/>
  <c r="BD104" i="30"/>
  <c r="BD103" i="30" s="1"/>
  <c r="BC104" i="30"/>
  <c r="BB104" i="30"/>
  <c r="BA104" i="30"/>
  <c r="BA103" i="30" s="1"/>
  <c r="AZ104" i="30"/>
  <c r="AY104" i="30"/>
  <c r="AX104" i="30"/>
  <c r="AX103" i="30" s="1"/>
  <c r="AU104" i="30"/>
  <c r="AT104" i="30"/>
  <c r="AK104" i="30"/>
  <c r="AJ104" i="30"/>
  <c r="AJ103" i="30" s="1"/>
  <c r="AI104" i="30"/>
  <c r="AH104" i="30"/>
  <c r="AG104" i="30"/>
  <c r="AC104" i="30"/>
  <c r="AC103" i="30" s="1"/>
  <c r="AB104" i="30"/>
  <c r="AA104" i="30"/>
  <c r="Z104" i="30"/>
  <c r="Z103" i="30" s="1"/>
  <c r="Y104" i="30"/>
  <c r="X104" i="30"/>
  <c r="U104" i="30"/>
  <c r="T104" i="30"/>
  <c r="T103" i="30" s="1"/>
  <c r="S104" i="30"/>
  <c r="R104" i="30"/>
  <c r="R103" i="30" s="1"/>
  <c r="Q104" i="30"/>
  <c r="P104" i="30"/>
  <c r="O104" i="30"/>
  <c r="N104" i="30"/>
  <c r="N103" i="30" s="1"/>
  <c r="M102" i="30" s="1"/>
  <c r="M104" i="30"/>
  <c r="L104" i="30"/>
  <c r="L103" i="30" s="1"/>
  <c r="K104" i="30"/>
  <c r="J104" i="30"/>
  <c r="I104" i="30"/>
  <c r="CA103" i="30"/>
  <c r="BY103" i="30"/>
  <c r="BX103" i="30"/>
  <c r="BC103" i="30"/>
  <c r="AZ103" i="30"/>
  <c r="AU103" i="30"/>
  <c r="AI103" i="30"/>
  <c r="AB103" i="30"/>
  <c r="Y103" i="30"/>
  <c r="S103" i="30"/>
  <c r="Q103" i="30"/>
  <c r="M103" i="30"/>
  <c r="K103" i="30"/>
  <c r="S102" i="30"/>
  <c r="S101" i="30"/>
  <c r="U100" i="30"/>
  <c r="T100" i="30"/>
  <c r="S100" i="30"/>
  <c r="R100" i="30"/>
  <c r="Q100" i="30"/>
  <c r="P100" i="30"/>
  <c r="O100" i="30"/>
  <c r="N100" i="30"/>
  <c r="M101" i="30" s="1"/>
  <c r="M100" i="30"/>
  <c r="L100" i="30"/>
  <c r="K100" i="30"/>
  <c r="J100" i="30"/>
  <c r="I100" i="30"/>
  <c r="CA99" i="30"/>
  <c r="BZ99" i="30"/>
  <c r="BY99" i="30"/>
  <c r="BX99" i="30"/>
  <c r="BW99" i="30"/>
  <c r="BV99" i="30"/>
  <c r="BE99" i="30"/>
  <c r="BD99" i="30"/>
  <c r="BC99" i="30"/>
  <c r="BB99" i="30"/>
  <c r="BA99" i="30"/>
  <c r="AZ99" i="30"/>
  <c r="AY99" i="30"/>
  <c r="AX99" i="30"/>
  <c r="AU99" i="30"/>
  <c r="AT99" i="30"/>
  <c r="AK99" i="30"/>
  <c r="AJ99" i="30"/>
  <c r="AI99" i="30"/>
  <c r="AH99" i="30"/>
  <c r="AG99" i="30"/>
  <c r="AC99" i="30"/>
  <c r="AB99" i="30"/>
  <c r="AA99" i="30"/>
  <c r="Z99" i="30"/>
  <c r="Y99" i="30"/>
  <c r="X99" i="30"/>
  <c r="BR98" i="30"/>
  <c r="BN98" i="30"/>
  <c r="BG98" i="30"/>
  <c r="BU98" i="30" s="1"/>
  <c r="BF98" i="30"/>
  <c r="BH98" i="30" s="1"/>
  <c r="BS98" i="30" s="1"/>
  <c r="AV98" i="30"/>
  <c r="AN98" i="30"/>
  <c r="BM98" i="30" s="1"/>
  <c r="AM98" i="30"/>
  <c r="BO98" i="30" s="1"/>
  <c r="AL98" i="30"/>
  <c r="AE98" i="30"/>
  <c r="AP98" i="30" s="1"/>
  <c r="W98" i="30"/>
  <c r="V98" i="30"/>
  <c r="AD98" i="30" s="1"/>
  <c r="BU97" i="30"/>
  <c r="BT97" i="30"/>
  <c r="BH97" i="30"/>
  <c r="BS97" i="30" s="1"/>
  <c r="BG97" i="30"/>
  <c r="BF97" i="30"/>
  <c r="AV97" i="30"/>
  <c r="BR97" i="30" s="1"/>
  <c r="AM97" i="30"/>
  <c r="BO97" i="30" s="1"/>
  <c r="AL97" i="30"/>
  <c r="AD97" i="30"/>
  <c r="BK97" i="30" s="1"/>
  <c r="W97" i="30"/>
  <c r="AE97" i="30" s="1"/>
  <c r="V97" i="30"/>
  <c r="BU96" i="30"/>
  <c r="BT96" i="30"/>
  <c r="BL96" i="30"/>
  <c r="BG96" i="30"/>
  <c r="BF96" i="30"/>
  <c r="BH96" i="30" s="1"/>
  <c r="BS96" i="30" s="1"/>
  <c r="AV96" i="30"/>
  <c r="BR96" i="30" s="1"/>
  <c r="AM96" i="30"/>
  <c r="BO96" i="30" s="1"/>
  <c r="AL96" i="30"/>
  <c r="W96" i="30"/>
  <c r="AE96" i="30" s="1"/>
  <c r="AP96" i="30" s="1"/>
  <c r="V96" i="30"/>
  <c r="AD96" i="30" s="1"/>
  <c r="BN95" i="30"/>
  <c r="BG95" i="30"/>
  <c r="BF95" i="30"/>
  <c r="BT95" i="30" s="1"/>
  <c r="AV95" i="30"/>
  <c r="BR95" i="30" s="1"/>
  <c r="AM95" i="30"/>
  <c r="BO95" i="30" s="1"/>
  <c r="AL95" i="30"/>
  <c r="AN95" i="30" s="1"/>
  <c r="BM95" i="30" s="1"/>
  <c r="AD95" i="30"/>
  <c r="W95" i="30"/>
  <c r="AE95" i="30" s="1"/>
  <c r="V95" i="30"/>
  <c r="BU94" i="30"/>
  <c r="BN94" i="30"/>
  <c r="BG94" i="30"/>
  <c r="BF94" i="30"/>
  <c r="BH94" i="30" s="1"/>
  <c r="BS94" i="30" s="1"/>
  <c r="AV94" i="30"/>
  <c r="BR94" i="30" s="1"/>
  <c r="AM94" i="30"/>
  <c r="AL94" i="30"/>
  <c r="AD94" i="30"/>
  <c r="AO94" i="30" s="1"/>
  <c r="W94" i="30"/>
  <c r="AE94" i="30" s="1"/>
  <c r="BL94" i="30" s="1"/>
  <c r="V94" i="30"/>
  <c r="BU93" i="30"/>
  <c r="BM93" i="30"/>
  <c r="BG93" i="30"/>
  <c r="BF93" i="30"/>
  <c r="AV93" i="30"/>
  <c r="AO93" i="30"/>
  <c r="AM93" i="30"/>
  <c r="AN93" i="30" s="1"/>
  <c r="AL93" i="30"/>
  <c r="AD93" i="30"/>
  <c r="W93" i="30"/>
  <c r="AE93" i="30" s="1"/>
  <c r="V93" i="30"/>
  <c r="CA92" i="30"/>
  <c r="BZ92" i="30"/>
  <c r="BY92" i="30"/>
  <c r="BX92" i="30"/>
  <c r="BW92" i="30"/>
  <c r="BV92" i="30"/>
  <c r="BE92" i="30"/>
  <c r="BD92" i="30"/>
  <c r="BC92" i="30"/>
  <c r="BB92" i="30"/>
  <c r="BA92" i="30"/>
  <c r="AZ92" i="30"/>
  <c r="AY92" i="30"/>
  <c r="AX92" i="30"/>
  <c r="AU92" i="30"/>
  <c r="AT92" i="30"/>
  <c r="AK92" i="30"/>
  <c r="AJ92" i="30"/>
  <c r="AI92" i="30"/>
  <c r="AH92" i="30"/>
  <c r="AG92" i="30"/>
  <c r="AC92" i="30"/>
  <c r="AB92" i="30"/>
  <c r="AA92" i="30"/>
  <c r="Z92" i="30"/>
  <c r="Y92" i="30"/>
  <c r="X92" i="30"/>
  <c r="BU91" i="30"/>
  <c r="BR91" i="30"/>
  <c r="BO91" i="30"/>
  <c r="BN91" i="30"/>
  <c r="BK91" i="30"/>
  <c r="BH91" i="30"/>
  <c r="BS91" i="30" s="1"/>
  <c r="BG91" i="30"/>
  <c r="BF91" i="30"/>
  <c r="BT91" i="30" s="1"/>
  <c r="AV91" i="30"/>
  <c r="AN91" i="30"/>
  <c r="BM91" i="30" s="1"/>
  <c r="AM91" i="30"/>
  <c r="AL91" i="30"/>
  <c r="AE91" i="30"/>
  <c r="W91" i="30"/>
  <c r="V91" i="30"/>
  <c r="AD91" i="30" s="1"/>
  <c r="BU90" i="30"/>
  <c r="BG90" i="30"/>
  <c r="BF90" i="30"/>
  <c r="AV90" i="30"/>
  <c r="BR90" i="30" s="1"/>
  <c r="AM90" i="30"/>
  <c r="AN90" i="30" s="1"/>
  <c r="BM90" i="30" s="1"/>
  <c r="AL90" i="30"/>
  <c r="BN90" i="30" s="1"/>
  <c r="AE90" i="30"/>
  <c r="W90" i="30"/>
  <c r="V90" i="30"/>
  <c r="AD90" i="30" s="1"/>
  <c r="BR89" i="30"/>
  <c r="BN89" i="30"/>
  <c r="BK89" i="30"/>
  <c r="BG89" i="30"/>
  <c r="BU89" i="30" s="1"/>
  <c r="BF89" i="30"/>
  <c r="BT89" i="30" s="1"/>
  <c r="AV89" i="30"/>
  <c r="AM89" i="30"/>
  <c r="BO89" i="30" s="1"/>
  <c r="AL89" i="30"/>
  <c r="AN89" i="30" s="1"/>
  <c r="BM89" i="30" s="1"/>
  <c r="AE89" i="30"/>
  <c r="BL89" i="30" s="1"/>
  <c r="AD89" i="30"/>
  <c r="W89" i="30"/>
  <c r="V89" i="30"/>
  <c r="BR88" i="30"/>
  <c r="BO88" i="30"/>
  <c r="BG88" i="30"/>
  <c r="BU88" i="30" s="1"/>
  <c r="BF88" i="30"/>
  <c r="BT88" i="30" s="1"/>
  <c r="AV88" i="30"/>
  <c r="AM88" i="30"/>
  <c r="AL88" i="30"/>
  <c r="AE88" i="30"/>
  <c r="AP88" i="30" s="1"/>
  <c r="W88" i="30"/>
  <c r="V88" i="30"/>
  <c r="AD88" i="30" s="1"/>
  <c r="BK88" i="30" s="1"/>
  <c r="BT87" i="30"/>
  <c r="BN87" i="30"/>
  <c r="BG87" i="30"/>
  <c r="BU87" i="30" s="1"/>
  <c r="BF87" i="30"/>
  <c r="BH87" i="30" s="1"/>
  <c r="BS87" i="30" s="1"/>
  <c r="AV87" i="30"/>
  <c r="BR87" i="30" s="1"/>
  <c r="AN87" i="30"/>
  <c r="BM87" i="30" s="1"/>
  <c r="AM87" i="30"/>
  <c r="AL87" i="30"/>
  <c r="W87" i="30"/>
  <c r="AE87" i="30" s="1"/>
  <c r="BL87" i="30" s="1"/>
  <c r="V87" i="30"/>
  <c r="BT86" i="30"/>
  <c r="BR86" i="30"/>
  <c r="BH86" i="30"/>
  <c r="BG86" i="30"/>
  <c r="BU86" i="30" s="1"/>
  <c r="BF86" i="30"/>
  <c r="BF92" i="30" s="1"/>
  <c r="AV86" i="30"/>
  <c r="AO86" i="30"/>
  <c r="AM86" i="30"/>
  <c r="BO86" i="30" s="1"/>
  <c r="AL86" i="30"/>
  <c r="BN86" i="30" s="1"/>
  <c r="AD86" i="30"/>
  <c r="W86" i="30"/>
  <c r="W92" i="30" s="1"/>
  <c r="V86" i="30"/>
  <c r="CA85" i="30"/>
  <c r="BZ85" i="30"/>
  <c r="BY85" i="30"/>
  <c r="BX85" i="30"/>
  <c r="BW85" i="30"/>
  <c r="BV85" i="30"/>
  <c r="BF85" i="30"/>
  <c r="BE85" i="30"/>
  <c r="BD85" i="30"/>
  <c r="BC85" i="30"/>
  <c r="BB85" i="30"/>
  <c r="BA85" i="30"/>
  <c r="AZ85" i="30"/>
  <c r="AY85" i="30"/>
  <c r="AX85" i="30"/>
  <c r="AU85" i="30"/>
  <c r="AT85" i="30"/>
  <c r="AK85" i="30"/>
  <c r="AJ85" i="30"/>
  <c r="AI85" i="30"/>
  <c r="AH85" i="30"/>
  <c r="AG85" i="30"/>
  <c r="AC85" i="30"/>
  <c r="AB85" i="30"/>
  <c r="AA85" i="30"/>
  <c r="Z85" i="30"/>
  <c r="Y85" i="30"/>
  <c r="X85" i="30"/>
  <c r="V85" i="30"/>
  <c r="BG84" i="30"/>
  <c r="BU84" i="30" s="1"/>
  <c r="BF84" i="30"/>
  <c r="BT84" i="30" s="1"/>
  <c r="AV84" i="30"/>
  <c r="BR84" i="30" s="1"/>
  <c r="AM84" i="30"/>
  <c r="AL84" i="30"/>
  <c r="BN84" i="30" s="1"/>
  <c r="AF84" i="30"/>
  <c r="W84" i="30"/>
  <c r="AE84" i="30" s="1"/>
  <c r="V84" i="30"/>
  <c r="AD84" i="30" s="1"/>
  <c r="BT83" i="30"/>
  <c r="BK83" i="30"/>
  <c r="BH83" i="30"/>
  <c r="BS83" i="30" s="1"/>
  <c r="BG83" i="30"/>
  <c r="BU83" i="30" s="1"/>
  <c r="BF83" i="30"/>
  <c r="AV83" i="30"/>
  <c r="BR83" i="30" s="1"/>
  <c r="BR85" i="30" s="1"/>
  <c r="AM83" i="30"/>
  <c r="BO83" i="30" s="1"/>
  <c r="AL83" i="30"/>
  <c r="AE83" i="30"/>
  <c r="BL83" i="30" s="1"/>
  <c r="AD83" i="30"/>
  <c r="W83" i="30"/>
  <c r="V83" i="30"/>
  <c r="BR82" i="30"/>
  <c r="BO82" i="30"/>
  <c r="BN82" i="30"/>
  <c r="BG82" i="30"/>
  <c r="BU82" i="30" s="1"/>
  <c r="BU85" i="30" s="1"/>
  <c r="BF82" i="30"/>
  <c r="BT82" i="30" s="1"/>
  <c r="BT85" i="30" s="1"/>
  <c r="AV82" i="30"/>
  <c r="AM82" i="30"/>
  <c r="AL82" i="30"/>
  <c r="W82" i="30"/>
  <c r="W85" i="30" s="1"/>
  <c r="V82" i="30"/>
  <c r="AD82" i="30" s="1"/>
  <c r="AO82" i="30" s="1"/>
  <c r="CA81" i="30"/>
  <c r="BZ81" i="30"/>
  <c r="BY81" i="30"/>
  <c r="BX81" i="30"/>
  <c r="BW81" i="30"/>
  <c r="BV81" i="30"/>
  <c r="BE81" i="30"/>
  <c r="BD81" i="30"/>
  <c r="BC81" i="30"/>
  <c r="BB81" i="30"/>
  <c r="BA81" i="30"/>
  <c r="AZ81" i="30"/>
  <c r="AY81" i="30"/>
  <c r="AX81" i="30"/>
  <c r="AU81" i="30"/>
  <c r="AT81" i="30"/>
  <c r="AK81" i="30"/>
  <c r="AJ81" i="30"/>
  <c r="AI81" i="30"/>
  <c r="AH81" i="30"/>
  <c r="AG81" i="30"/>
  <c r="AC81" i="30"/>
  <c r="AB81" i="30"/>
  <c r="AA81" i="30"/>
  <c r="Z81" i="30"/>
  <c r="Y81" i="30"/>
  <c r="X81" i="30"/>
  <c r="BU80" i="30"/>
  <c r="BR80" i="30"/>
  <c r="BG80" i="30"/>
  <c r="BF80" i="30"/>
  <c r="BT80" i="30" s="1"/>
  <c r="AV80" i="30"/>
  <c r="AM80" i="30"/>
  <c r="BO80" i="30" s="1"/>
  <c r="AL80" i="30"/>
  <c r="BN80" i="30" s="1"/>
  <c r="AE80" i="30"/>
  <c r="BL80" i="30" s="1"/>
  <c r="AD80" i="30"/>
  <c r="AF80" i="30" s="1"/>
  <c r="W80" i="30"/>
  <c r="V80" i="30"/>
  <c r="BR79" i="30"/>
  <c r="BM79" i="30"/>
  <c r="BG79" i="30"/>
  <c r="BU79" i="30" s="1"/>
  <c r="BF79" i="30"/>
  <c r="AV79" i="30"/>
  <c r="AN79" i="30"/>
  <c r="AM79" i="30"/>
  <c r="BO79" i="30" s="1"/>
  <c r="AL79" i="30"/>
  <c r="BN79" i="30" s="1"/>
  <c r="AE79" i="30"/>
  <c r="AF79" i="30" s="1"/>
  <c r="W79" i="30"/>
  <c r="V79" i="30"/>
  <c r="AD79" i="30" s="1"/>
  <c r="BT78" i="30"/>
  <c r="BG78" i="30"/>
  <c r="BF78" i="30"/>
  <c r="AV78" i="30"/>
  <c r="BR78" i="30" s="1"/>
  <c r="AO78" i="30"/>
  <c r="AM78" i="30"/>
  <c r="BO78" i="30" s="1"/>
  <c r="AL78" i="30"/>
  <c r="AN78" i="30" s="1"/>
  <c r="BM78" i="30" s="1"/>
  <c r="AD78" i="30"/>
  <c r="BK78" i="30" s="1"/>
  <c r="W78" i="30"/>
  <c r="AE78" i="30" s="1"/>
  <c r="V78" i="30"/>
  <c r="BU77" i="30"/>
  <c r="BT77" i="30"/>
  <c r="BR77" i="30"/>
  <c r="BN77" i="30"/>
  <c r="BH77" i="30"/>
  <c r="BS77" i="30" s="1"/>
  <c r="BG77" i="30"/>
  <c r="BF77" i="30"/>
  <c r="AV77" i="30"/>
  <c r="AM77" i="30"/>
  <c r="BO77" i="30" s="1"/>
  <c r="AL77" i="30"/>
  <c r="AE77" i="30"/>
  <c r="AP77" i="30" s="1"/>
  <c r="W77" i="30"/>
  <c r="V77" i="30"/>
  <c r="AD77" i="30" s="1"/>
  <c r="BU76" i="30"/>
  <c r="BO76" i="30"/>
  <c r="BM76" i="30"/>
  <c r="BG76" i="30"/>
  <c r="BF76" i="30"/>
  <c r="AV76" i="30"/>
  <c r="AN76" i="30"/>
  <c r="AM76" i="30"/>
  <c r="AM81" i="30" s="1"/>
  <c r="AL76" i="30"/>
  <c r="BN76" i="30" s="1"/>
  <c r="W76" i="30"/>
  <c r="V76" i="30"/>
  <c r="CA75" i="30"/>
  <c r="BZ75" i="30"/>
  <c r="BY75" i="30"/>
  <c r="BX75" i="30"/>
  <c r="BW75" i="30"/>
  <c r="BV75" i="30"/>
  <c r="BE75" i="30"/>
  <c r="BD75" i="30"/>
  <c r="BC75" i="30"/>
  <c r="BB75" i="30"/>
  <c r="BA75" i="30"/>
  <c r="AZ75" i="30"/>
  <c r="AY75" i="30"/>
  <c r="AX75" i="30"/>
  <c r="AV75" i="30"/>
  <c r="AU75" i="30"/>
  <c r="AT75" i="30"/>
  <c r="AM75" i="30"/>
  <c r="AL75" i="30"/>
  <c r="AK75" i="30"/>
  <c r="AJ75" i="30"/>
  <c r="AI75" i="30"/>
  <c r="AH75" i="30"/>
  <c r="AG75" i="30"/>
  <c r="AC75" i="30"/>
  <c r="AB75" i="30"/>
  <c r="AA75" i="30"/>
  <c r="Z75" i="30"/>
  <c r="Y75" i="30"/>
  <c r="X75" i="30"/>
  <c r="BU74" i="30"/>
  <c r="BR74" i="30"/>
  <c r="BO74" i="30"/>
  <c r="BN74" i="30"/>
  <c r="BG74" i="30"/>
  <c r="BF74" i="30"/>
  <c r="AV74" i="30"/>
  <c r="AM74" i="30"/>
  <c r="AL74" i="30"/>
  <c r="AN74" i="30" s="1"/>
  <c r="BM74" i="30" s="1"/>
  <c r="AE74" i="30"/>
  <c r="W74" i="30"/>
  <c r="V74" i="30"/>
  <c r="AD74" i="30" s="1"/>
  <c r="BU73" i="30"/>
  <c r="BO73" i="30"/>
  <c r="BM73" i="30"/>
  <c r="BG73" i="30"/>
  <c r="BF73" i="30"/>
  <c r="BT73" i="30" s="1"/>
  <c r="AV73" i="30"/>
  <c r="BR73" i="30" s="1"/>
  <c r="AN73" i="30"/>
  <c r="AM73" i="30"/>
  <c r="AL73" i="30"/>
  <c r="BN73" i="30" s="1"/>
  <c r="W73" i="30"/>
  <c r="AE73" i="30" s="1"/>
  <c r="V73" i="30"/>
  <c r="BT72" i="30"/>
  <c r="BN72" i="30"/>
  <c r="BN75" i="30" s="1"/>
  <c r="BH72" i="30"/>
  <c r="BS72" i="30" s="1"/>
  <c r="BG72" i="30"/>
  <c r="BG75" i="30" s="1"/>
  <c r="BF72" i="30"/>
  <c r="AV72" i="30"/>
  <c r="BR72" i="30" s="1"/>
  <c r="AM72" i="30"/>
  <c r="BO72" i="30" s="1"/>
  <c r="BO75" i="30" s="1"/>
  <c r="AL72" i="30"/>
  <c r="AN72" i="30" s="1"/>
  <c r="AD72" i="30"/>
  <c r="AO72" i="30" s="1"/>
  <c r="W72" i="30"/>
  <c r="V72" i="30"/>
  <c r="CA71" i="30"/>
  <c r="BZ71" i="30"/>
  <c r="BY71" i="30"/>
  <c r="BX71" i="30"/>
  <c r="BW71" i="30"/>
  <c r="BV71" i="30"/>
  <c r="BE71" i="30"/>
  <c r="BD71" i="30"/>
  <c r="BC71" i="30"/>
  <c r="BB71" i="30"/>
  <c r="BA71" i="30"/>
  <c r="AZ71" i="30"/>
  <c r="AY71" i="30"/>
  <c r="AX71" i="30"/>
  <c r="AU71" i="30"/>
  <c r="AT71" i="30"/>
  <c r="AK71" i="30"/>
  <c r="AJ71" i="30"/>
  <c r="AI71" i="30"/>
  <c r="AH71" i="30"/>
  <c r="AG71" i="30"/>
  <c r="AC71" i="30"/>
  <c r="AB71" i="30"/>
  <c r="AA71" i="30"/>
  <c r="Z71" i="30"/>
  <c r="Y71" i="30"/>
  <c r="X71" i="30"/>
  <c r="BU70" i="30"/>
  <c r="BO70" i="30"/>
  <c r="BK70" i="30"/>
  <c r="BG70" i="30"/>
  <c r="BF70" i="30"/>
  <c r="BT70" i="30" s="1"/>
  <c r="AV70" i="30"/>
  <c r="BR70" i="30" s="1"/>
  <c r="AO70" i="30"/>
  <c r="AN70" i="30"/>
  <c r="BM70" i="30" s="1"/>
  <c r="AM70" i="30"/>
  <c r="AL70" i="30"/>
  <c r="BN70" i="30" s="1"/>
  <c r="W70" i="30"/>
  <c r="AE70" i="30" s="1"/>
  <c r="V70" i="30"/>
  <c r="AD70" i="30" s="1"/>
  <c r="BR69" i="30"/>
  <c r="BN69" i="30"/>
  <c r="BL69" i="30"/>
  <c r="BK69" i="30"/>
  <c r="BG69" i="30"/>
  <c r="BU69" i="30" s="1"/>
  <c r="BF69" i="30"/>
  <c r="AV69" i="30"/>
  <c r="AN69" i="30"/>
  <c r="BM69" i="30" s="1"/>
  <c r="AM69" i="30"/>
  <c r="BO69" i="30" s="1"/>
  <c r="AL69" i="30"/>
  <c r="AE69" i="30"/>
  <c r="AP69" i="30" s="1"/>
  <c r="AD69" i="30"/>
  <c r="AO69" i="30" s="1"/>
  <c r="AQ69" i="30" s="1"/>
  <c r="W69" i="30"/>
  <c r="V69" i="30"/>
  <c r="BU68" i="30"/>
  <c r="BR68" i="30"/>
  <c r="BL68" i="30"/>
  <c r="BG68" i="30"/>
  <c r="BF68" i="30"/>
  <c r="AV68" i="30"/>
  <c r="AM68" i="30"/>
  <c r="BO68" i="30" s="1"/>
  <c r="AL68" i="30"/>
  <c r="BN68" i="30" s="1"/>
  <c r="AE68" i="30"/>
  <c r="AP68" i="30" s="1"/>
  <c r="W68" i="30"/>
  <c r="V68" i="30"/>
  <c r="BT67" i="30"/>
  <c r="BL67" i="30"/>
  <c r="BH67" i="30"/>
  <c r="BS67" i="30" s="1"/>
  <c r="BG67" i="30"/>
  <c r="BU67" i="30" s="1"/>
  <c r="BF67" i="30"/>
  <c r="AV67" i="30"/>
  <c r="BR67" i="30" s="1"/>
  <c r="AR67" i="30"/>
  <c r="BP67" i="30" s="1"/>
  <c r="AP67" i="30"/>
  <c r="AM67" i="30"/>
  <c r="BO67" i="30" s="1"/>
  <c r="AL67" i="30"/>
  <c r="AF67" i="30"/>
  <c r="W67" i="30"/>
  <c r="AE67" i="30" s="1"/>
  <c r="V67" i="30"/>
  <c r="AD67" i="30" s="1"/>
  <c r="BT66" i="30"/>
  <c r="BO66" i="30"/>
  <c r="BO71" i="30" s="1"/>
  <c r="BK66" i="30"/>
  <c r="BG66" i="30"/>
  <c r="BF66" i="30"/>
  <c r="AV66" i="30"/>
  <c r="AV71" i="30" s="1"/>
  <c r="AM66" i="30"/>
  <c r="AL66" i="30"/>
  <c r="AD66" i="30"/>
  <c r="AO66" i="30" s="1"/>
  <c r="W66" i="30"/>
  <c r="AE66" i="30" s="1"/>
  <c r="AE71" i="30" s="1"/>
  <c r="V66" i="30"/>
  <c r="CA65" i="30"/>
  <c r="BZ65" i="30"/>
  <c r="BY65" i="30"/>
  <c r="BX65" i="30"/>
  <c r="BW65" i="30"/>
  <c r="BV65" i="30"/>
  <c r="BE65" i="30"/>
  <c r="BD65" i="30"/>
  <c r="BC65" i="30"/>
  <c r="BB65" i="30"/>
  <c r="BA65" i="30"/>
  <c r="AZ65" i="30"/>
  <c r="AY65" i="30"/>
  <c r="AX65" i="30"/>
  <c r="AV65" i="30"/>
  <c r="AU65" i="30"/>
  <c r="AT65" i="30"/>
  <c r="AK65" i="30"/>
  <c r="AJ65" i="30"/>
  <c r="AI65" i="30"/>
  <c r="AH65" i="30"/>
  <c r="AG65" i="30"/>
  <c r="AC65" i="30"/>
  <c r="AB65" i="30"/>
  <c r="AA65" i="30"/>
  <c r="Z65" i="30"/>
  <c r="Y65" i="30"/>
  <c r="X65" i="30"/>
  <c r="BT64" i="30"/>
  <c r="BR64" i="30"/>
  <c r="BL64" i="30"/>
  <c r="BG64" i="30"/>
  <c r="BU64" i="30" s="1"/>
  <c r="BF64" i="30"/>
  <c r="BH64" i="30" s="1"/>
  <c r="BS64" i="30" s="1"/>
  <c r="AV64" i="30"/>
  <c r="AN64" i="30"/>
  <c r="BM64" i="30" s="1"/>
  <c r="AM64" i="30"/>
  <c r="BO64" i="30" s="1"/>
  <c r="AL64" i="30"/>
  <c r="BN64" i="30" s="1"/>
  <c r="W64" i="30"/>
  <c r="AE64" i="30" s="1"/>
  <c r="V64" i="30"/>
  <c r="AD64" i="30" s="1"/>
  <c r="BT63" i="30"/>
  <c r="BO63" i="30"/>
  <c r="BM63" i="30"/>
  <c r="BH63" i="30"/>
  <c r="BS63" i="30" s="1"/>
  <c r="BG63" i="30"/>
  <c r="BU63" i="30" s="1"/>
  <c r="BF63" i="30"/>
  <c r="AV63" i="30"/>
  <c r="BR63" i="30" s="1"/>
  <c r="AO63" i="30"/>
  <c r="AM63" i="30"/>
  <c r="AL63" i="30"/>
  <c r="AN63" i="30" s="1"/>
  <c r="AD63" i="30"/>
  <c r="BK63" i="30" s="1"/>
  <c r="W63" i="30"/>
  <c r="AE63" i="30" s="1"/>
  <c r="V63" i="30"/>
  <c r="BU62" i="30"/>
  <c r="BR62" i="30"/>
  <c r="BR65" i="30" s="1"/>
  <c r="BG62" i="30"/>
  <c r="BF62" i="30"/>
  <c r="AV62" i="30"/>
  <c r="AM62" i="30"/>
  <c r="AL62" i="30"/>
  <c r="AN62" i="30" s="1"/>
  <c r="W62" i="30"/>
  <c r="V62" i="30"/>
  <c r="CA61" i="30"/>
  <c r="BZ61" i="30"/>
  <c r="BY61" i="30"/>
  <c r="BX61" i="30"/>
  <c r="BW61" i="30"/>
  <c r="BV61" i="30"/>
  <c r="BF61" i="30"/>
  <c r="BE61" i="30"/>
  <c r="BD61" i="30"/>
  <c r="BC61" i="30"/>
  <c r="BB61" i="30"/>
  <c r="BA61" i="30"/>
  <c r="AZ61" i="30"/>
  <c r="AY61" i="30"/>
  <c r="AX61" i="30"/>
  <c r="AU61" i="30"/>
  <c r="AT61" i="30"/>
  <c r="AK61" i="30"/>
  <c r="AJ61" i="30"/>
  <c r="AI61" i="30"/>
  <c r="AH61" i="30"/>
  <c r="AG61" i="30"/>
  <c r="AC61" i="30"/>
  <c r="AB61" i="30"/>
  <c r="AA61" i="30"/>
  <c r="Z61" i="30"/>
  <c r="Y61" i="30"/>
  <c r="X61" i="30"/>
  <c r="BT60" i="30"/>
  <c r="BN60" i="30"/>
  <c r="BG60" i="30"/>
  <c r="BH60" i="30" s="1"/>
  <c r="BS60" i="30" s="1"/>
  <c r="BF60" i="30"/>
  <c r="AV60" i="30"/>
  <c r="BR60" i="30" s="1"/>
  <c r="AM60" i="30"/>
  <c r="BO60" i="30" s="1"/>
  <c r="AL60" i="30"/>
  <c r="W60" i="30"/>
  <c r="AE60" i="30" s="1"/>
  <c r="V60" i="30"/>
  <c r="AD60" i="30" s="1"/>
  <c r="AO60" i="30" s="1"/>
  <c r="BU59" i="30"/>
  <c r="BO59" i="30"/>
  <c r="BH59" i="30"/>
  <c r="BS59" i="30" s="1"/>
  <c r="BG59" i="30"/>
  <c r="BF59" i="30"/>
  <c r="BT59" i="30" s="1"/>
  <c r="AV59" i="30"/>
  <c r="BR59" i="30" s="1"/>
  <c r="AP59" i="30"/>
  <c r="AM59" i="30"/>
  <c r="AL59" i="30"/>
  <c r="AN59" i="30" s="1"/>
  <c r="BM59" i="30" s="1"/>
  <c r="AE59" i="30"/>
  <c r="BL59" i="30" s="1"/>
  <c r="AD59" i="30"/>
  <c r="W59" i="30"/>
  <c r="V59" i="30"/>
  <c r="BU58" i="30"/>
  <c r="BL58" i="30"/>
  <c r="BG58" i="30"/>
  <c r="BF58" i="30"/>
  <c r="AV58" i="30"/>
  <c r="BR58" i="30" s="1"/>
  <c r="AM58" i="30"/>
  <c r="AL58" i="30"/>
  <c r="BN58" i="30" s="1"/>
  <c r="W58" i="30"/>
  <c r="AE58" i="30" s="1"/>
  <c r="V58" i="30"/>
  <c r="AD58" i="30" s="1"/>
  <c r="BT57" i="30"/>
  <c r="BH57" i="30"/>
  <c r="BS57" i="30" s="1"/>
  <c r="BG57" i="30"/>
  <c r="BU57" i="30" s="1"/>
  <c r="BF57" i="30"/>
  <c r="AV57" i="30"/>
  <c r="BR57" i="30" s="1"/>
  <c r="AM57" i="30"/>
  <c r="BO57" i="30" s="1"/>
  <c r="AL57" i="30"/>
  <c r="AL61" i="30" s="1"/>
  <c r="AD57" i="30"/>
  <c r="W57" i="30"/>
  <c r="AE57" i="30" s="1"/>
  <c r="V57" i="30"/>
  <c r="BU56" i="30"/>
  <c r="BR56" i="30"/>
  <c r="BG56" i="30"/>
  <c r="BF56" i="30"/>
  <c r="AV56" i="30"/>
  <c r="AO56" i="30"/>
  <c r="AM56" i="30"/>
  <c r="BO56" i="30" s="1"/>
  <c r="AL56" i="30"/>
  <c r="BN56" i="30" s="1"/>
  <c r="W56" i="30"/>
  <c r="AE56" i="30" s="1"/>
  <c r="V56" i="30"/>
  <c r="AD56" i="30" s="1"/>
  <c r="BG55" i="30"/>
  <c r="BU55" i="30" s="1"/>
  <c r="BF55" i="30"/>
  <c r="AV55" i="30"/>
  <c r="BR55" i="30" s="1"/>
  <c r="AM55" i="30"/>
  <c r="AL55" i="30"/>
  <c r="BN55" i="30" s="1"/>
  <c r="W55" i="30"/>
  <c r="V55" i="30"/>
  <c r="CA54" i="30"/>
  <c r="BZ54" i="30"/>
  <c r="BY54" i="30"/>
  <c r="BX54" i="30"/>
  <c r="BW54" i="30"/>
  <c r="BV54" i="30"/>
  <c r="BE54" i="30"/>
  <c r="BD54" i="30"/>
  <c r="BC54" i="30"/>
  <c r="BB54" i="30"/>
  <c r="BA54" i="30"/>
  <c r="AZ54" i="30"/>
  <c r="AY54" i="30"/>
  <c r="AX54" i="30"/>
  <c r="AU54" i="30"/>
  <c r="AT54" i="30"/>
  <c r="AM54" i="30"/>
  <c r="AK54" i="30"/>
  <c r="AJ54" i="30"/>
  <c r="AI54" i="30"/>
  <c r="AH54" i="30"/>
  <c r="AG54" i="30"/>
  <c r="AC54" i="30"/>
  <c r="AB54" i="30"/>
  <c r="AA54" i="30"/>
  <c r="Z54" i="30"/>
  <c r="Y54" i="30"/>
  <c r="X54" i="30"/>
  <c r="BU53" i="30"/>
  <c r="BT53" i="30"/>
  <c r="BO53" i="30"/>
  <c r="BN53" i="30"/>
  <c r="BL53" i="30"/>
  <c r="BG53" i="30"/>
  <c r="BF53" i="30"/>
  <c r="BH53" i="30" s="1"/>
  <c r="BS53" i="30" s="1"/>
  <c r="AV53" i="30"/>
  <c r="BR53" i="30" s="1"/>
  <c r="AM53" i="30"/>
  <c r="AN53" i="30" s="1"/>
  <c r="BM53" i="30" s="1"/>
  <c r="AL53" i="30"/>
  <c r="W53" i="30"/>
  <c r="AE53" i="30" s="1"/>
  <c r="AP53" i="30" s="1"/>
  <c r="V53" i="30"/>
  <c r="AD53" i="30" s="1"/>
  <c r="AO53" i="30" s="1"/>
  <c r="AQ53" i="30" s="1"/>
  <c r="BU52" i="30"/>
  <c r="BG52" i="30"/>
  <c r="BF52" i="30"/>
  <c r="AV52" i="30"/>
  <c r="BR52" i="30" s="1"/>
  <c r="AM52" i="30"/>
  <c r="BO52" i="30" s="1"/>
  <c r="AL52" i="30"/>
  <c r="BN52" i="30" s="1"/>
  <c r="AF52" i="30"/>
  <c r="AE52" i="30"/>
  <c r="AP52" i="30" s="1"/>
  <c r="W52" i="30"/>
  <c r="V52" i="30"/>
  <c r="AD52" i="30" s="1"/>
  <c r="BN51" i="30"/>
  <c r="BL51" i="30"/>
  <c r="BK51" i="30"/>
  <c r="BG51" i="30"/>
  <c r="BU51" i="30" s="1"/>
  <c r="BF51" i="30"/>
  <c r="BH51" i="30" s="1"/>
  <c r="BS51" i="30" s="1"/>
  <c r="AV51" i="30"/>
  <c r="BR51" i="30" s="1"/>
  <c r="AN51" i="30"/>
  <c r="BM51" i="30" s="1"/>
  <c r="AM51" i="30"/>
  <c r="BO51" i="30" s="1"/>
  <c r="AL51" i="30"/>
  <c r="AD51" i="30"/>
  <c r="AF51" i="30" s="1"/>
  <c r="W51" i="30"/>
  <c r="AE51" i="30" s="1"/>
  <c r="AP51" i="30" s="1"/>
  <c r="V51" i="30"/>
  <c r="BR50" i="30"/>
  <c r="BO50" i="30"/>
  <c r="BL50" i="30"/>
  <c r="BG50" i="30"/>
  <c r="BH50" i="30" s="1"/>
  <c r="BS50" i="30" s="1"/>
  <c r="BF50" i="30"/>
  <c r="BT50" i="30" s="1"/>
  <c r="AV50" i="30"/>
  <c r="AM50" i="30"/>
  <c r="AL50" i="30"/>
  <c r="AE50" i="30"/>
  <c r="AP50" i="30" s="1"/>
  <c r="W50" i="30"/>
  <c r="V50" i="30"/>
  <c r="AD50" i="30" s="1"/>
  <c r="BU49" i="30"/>
  <c r="BN49" i="30"/>
  <c r="BG49" i="30"/>
  <c r="BG54" i="30" s="1"/>
  <c r="BF49" i="30"/>
  <c r="AV49" i="30"/>
  <c r="BR49" i="30" s="1"/>
  <c r="BR54" i="30" s="1"/>
  <c r="AM49" i="30"/>
  <c r="AN49" i="30" s="1"/>
  <c r="AL49" i="30"/>
  <c r="W49" i="30"/>
  <c r="V49" i="30"/>
  <c r="AD49" i="30" s="1"/>
  <c r="CA48" i="30"/>
  <c r="BZ48" i="30"/>
  <c r="BY48" i="30"/>
  <c r="BX48" i="30"/>
  <c r="BW48" i="30"/>
  <c r="BV48" i="30"/>
  <c r="BG48" i="30"/>
  <c r="BE48" i="30"/>
  <c r="BD48" i="30"/>
  <c r="BC48" i="30"/>
  <c r="BB48" i="30"/>
  <c r="BA48" i="30"/>
  <c r="AZ48" i="30"/>
  <c r="AY48" i="30"/>
  <c r="AX48" i="30"/>
  <c r="AU48" i="30"/>
  <c r="AT48" i="30"/>
  <c r="AK48" i="30"/>
  <c r="AJ48" i="30"/>
  <c r="AI48" i="30"/>
  <c r="AH48" i="30"/>
  <c r="AG48" i="30"/>
  <c r="AC48" i="30"/>
  <c r="AB48" i="30"/>
  <c r="AA48" i="30"/>
  <c r="Z48" i="30"/>
  <c r="Y48" i="30"/>
  <c r="X48" i="30"/>
  <c r="W48" i="30"/>
  <c r="BR47" i="30"/>
  <c r="BO47" i="30"/>
  <c r="BN47" i="30"/>
  <c r="BH47" i="30"/>
  <c r="BS47" i="30" s="1"/>
  <c r="BG47" i="30"/>
  <c r="BU47" i="30" s="1"/>
  <c r="BF47" i="30"/>
  <c r="BT47" i="30" s="1"/>
  <c r="AV47" i="30"/>
  <c r="AM47" i="30"/>
  <c r="AP47" i="30" s="1"/>
  <c r="AL47" i="30"/>
  <c r="AE47" i="30"/>
  <c r="BL47" i="30" s="1"/>
  <c r="W47" i="30"/>
  <c r="V47" i="30"/>
  <c r="AD47" i="30" s="1"/>
  <c r="BR46" i="30"/>
  <c r="BO46" i="30"/>
  <c r="BG46" i="30"/>
  <c r="BU46" i="30" s="1"/>
  <c r="BF46" i="30"/>
  <c r="BH46" i="30" s="1"/>
  <c r="BS46" i="30" s="1"/>
  <c r="AV46" i="30"/>
  <c r="AN46" i="30"/>
  <c r="BM46" i="30" s="1"/>
  <c r="AM46" i="30"/>
  <c r="AL46" i="30"/>
  <c r="BN46" i="30" s="1"/>
  <c r="BN48" i="30" s="1"/>
  <c r="AE46" i="30"/>
  <c r="W46" i="30"/>
  <c r="V46" i="30"/>
  <c r="AD46" i="30" s="1"/>
  <c r="BT45" i="30"/>
  <c r="BO45" i="30"/>
  <c r="BO48" i="30" s="1"/>
  <c r="BN45" i="30"/>
  <c r="BJ45" i="30"/>
  <c r="BH45" i="30"/>
  <c r="BG45" i="30"/>
  <c r="BU45" i="30" s="1"/>
  <c r="BU48" i="30" s="1"/>
  <c r="BF45" i="30"/>
  <c r="AV45" i="30"/>
  <c r="BR45" i="30" s="1"/>
  <c r="BR48" i="30" s="1"/>
  <c r="AR45" i="30"/>
  <c r="AO45" i="30"/>
  <c r="AM45" i="30"/>
  <c r="AM48" i="30" s="1"/>
  <c r="AL45" i="30"/>
  <c r="AL48" i="30" s="1"/>
  <c r="AF45" i="30"/>
  <c r="AD45" i="30"/>
  <c r="BK45" i="30" s="1"/>
  <c r="W45" i="30"/>
  <c r="AE45" i="30" s="1"/>
  <c r="V45" i="30"/>
  <c r="CA44" i="30"/>
  <c r="BZ44" i="30"/>
  <c r="BY44" i="30"/>
  <c r="BX44" i="30"/>
  <c r="BW44" i="30"/>
  <c r="BV44" i="30"/>
  <c r="BE44" i="30"/>
  <c r="BD44" i="30"/>
  <c r="BC44" i="30"/>
  <c r="BB44" i="30"/>
  <c r="BA44" i="30"/>
  <c r="AZ44" i="30"/>
  <c r="AY44" i="30"/>
  <c r="AX44" i="30"/>
  <c r="AU44" i="30"/>
  <c r="AT44" i="30"/>
  <c r="AK44" i="30"/>
  <c r="AJ44" i="30"/>
  <c r="AI44" i="30"/>
  <c r="AH44" i="30"/>
  <c r="AG44" i="30"/>
  <c r="AC44" i="30"/>
  <c r="AB44" i="30"/>
  <c r="AA44" i="30"/>
  <c r="Z44" i="30"/>
  <c r="Y44" i="30"/>
  <c r="X44" i="30"/>
  <c r="BT43" i="30"/>
  <c r="BN43" i="30"/>
  <c r="BH43" i="30"/>
  <c r="BS43" i="30" s="1"/>
  <c r="BG43" i="30"/>
  <c r="BU43" i="30" s="1"/>
  <c r="BF43" i="30"/>
  <c r="AV43" i="30"/>
  <c r="BR43" i="30" s="1"/>
  <c r="AN43" i="30"/>
  <c r="BM43" i="30" s="1"/>
  <c r="AM43" i="30"/>
  <c r="BO43" i="30" s="1"/>
  <c r="AL43" i="30"/>
  <c r="W43" i="30"/>
  <c r="AE43" i="30" s="1"/>
  <c r="V43" i="30"/>
  <c r="AD43" i="30" s="1"/>
  <c r="BT42" i="30"/>
  <c r="BG42" i="30"/>
  <c r="BH42" i="30" s="1"/>
  <c r="BS42" i="30" s="1"/>
  <c r="BF42" i="30"/>
  <c r="AV42" i="30"/>
  <c r="BR42" i="30" s="1"/>
  <c r="AM42" i="30"/>
  <c r="BO42" i="30" s="1"/>
  <c r="AL42" i="30"/>
  <c r="BN42" i="30" s="1"/>
  <c r="W42" i="30"/>
  <c r="AE42" i="30" s="1"/>
  <c r="V42" i="30"/>
  <c r="AD42" i="30" s="1"/>
  <c r="BU41" i="30"/>
  <c r="BR41" i="30"/>
  <c r="BR44" i="30" s="1"/>
  <c r="BN41" i="30"/>
  <c r="BG41" i="30"/>
  <c r="BF41" i="30"/>
  <c r="BT41" i="30" s="1"/>
  <c r="AV41" i="30"/>
  <c r="AM41" i="30"/>
  <c r="BO41" i="30" s="1"/>
  <c r="AL41" i="30"/>
  <c r="AN41" i="30" s="1"/>
  <c r="BM41" i="30" s="1"/>
  <c r="AE41" i="30"/>
  <c r="BL41" i="30" s="1"/>
  <c r="W41" i="30"/>
  <c r="V41" i="30"/>
  <c r="AD41" i="30" s="1"/>
  <c r="BO40" i="30"/>
  <c r="BM40" i="30"/>
  <c r="BG40" i="30"/>
  <c r="BU40" i="30" s="1"/>
  <c r="BF40" i="30"/>
  <c r="BT40" i="30" s="1"/>
  <c r="AV40" i="30"/>
  <c r="BR40" i="30" s="1"/>
  <c r="AM40" i="30"/>
  <c r="AN40" i="30" s="1"/>
  <c r="AL40" i="30"/>
  <c r="BN40" i="30" s="1"/>
  <c r="W40" i="30"/>
  <c r="AE40" i="30" s="1"/>
  <c r="V40" i="30"/>
  <c r="AD40" i="30" s="1"/>
  <c r="BR39" i="30"/>
  <c r="BG39" i="30"/>
  <c r="BU39" i="30" s="1"/>
  <c r="BF39" i="30"/>
  <c r="BT39" i="30" s="1"/>
  <c r="AV39" i="30"/>
  <c r="AM39" i="30"/>
  <c r="BO39" i="30" s="1"/>
  <c r="AL39" i="30"/>
  <c r="AN39" i="30" s="1"/>
  <c r="BM39" i="30" s="1"/>
  <c r="AD39" i="30"/>
  <c r="BK39" i="30" s="1"/>
  <c r="W39" i="30"/>
  <c r="AE39" i="30" s="1"/>
  <c r="V39" i="30"/>
  <c r="BU38" i="30"/>
  <c r="BR38" i="30"/>
  <c r="BO38" i="30"/>
  <c r="BG38" i="30"/>
  <c r="BF38" i="30"/>
  <c r="BT38" i="30" s="1"/>
  <c r="AV38" i="30"/>
  <c r="AM38" i="30"/>
  <c r="AL38" i="30"/>
  <c r="AN38" i="30" s="1"/>
  <c r="BM38" i="30" s="1"/>
  <c r="AE38" i="30"/>
  <c r="AD38" i="30"/>
  <c r="AO38" i="30" s="1"/>
  <c r="W38" i="30"/>
  <c r="V38" i="30"/>
  <c r="V44" i="30" s="1"/>
  <c r="CA37" i="30"/>
  <c r="BZ37" i="30"/>
  <c r="BY37" i="30"/>
  <c r="BX37" i="30"/>
  <c r="BW37" i="30"/>
  <c r="BV37" i="30"/>
  <c r="BE37" i="30"/>
  <c r="BD37" i="30"/>
  <c r="BC37" i="30"/>
  <c r="BB37" i="30"/>
  <c r="BA37" i="30"/>
  <c r="AZ37" i="30"/>
  <c r="AY37" i="30"/>
  <c r="AX37" i="30"/>
  <c r="AU37" i="30"/>
  <c r="AT37" i="30"/>
  <c r="AK37" i="30"/>
  <c r="AJ37" i="30"/>
  <c r="AI37" i="30"/>
  <c r="AH37" i="30"/>
  <c r="AG37" i="30"/>
  <c r="AC37" i="30"/>
  <c r="AB37" i="30"/>
  <c r="AA37" i="30"/>
  <c r="Z37" i="30"/>
  <c r="Y37" i="30"/>
  <c r="X37" i="30"/>
  <c r="V37" i="30"/>
  <c r="BR36" i="30"/>
  <c r="BG36" i="30"/>
  <c r="BU36" i="30" s="1"/>
  <c r="BF36" i="30"/>
  <c r="BT36" i="30" s="1"/>
  <c r="AV36" i="30"/>
  <c r="AM36" i="30"/>
  <c r="BO36" i="30" s="1"/>
  <c r="AL36" i="30"/>
  <c r="AN36" i="30" s="1"/>
  <c r="BM36" i="30" s="1"/>
  <c r="AD36" i="30"/>
  <c r="BK36" i="30" s="1"/>
  <c r="W36" i="30"/>
  <c r="AE36" i="30" s="1"/>
  <c r="V36" i="30"/>
  <c r="BU35" i="30"/>
  <c r="BR35" i="30"/>
  <c r="BO35" i="30"/>
  <c r="BG35" i="30"/>
  <c r="BF35" i="30"/>
  <c r="BT35" i="30" s="1"/>
  <c r="AV35" i="30"/>
  <c r="AM35" i="30"/>
  <c r="AL35" i="30"/>
  <c r="AN35" i="30" s="1"/>
  <c r="BM35" i="30" s="1"/>
  <c r="AE35" i="30"/>
  <c r="BL35" i="30" s="1"/>
  <c r="AD35" i="30"/>
  <c r="AF35" i="30" s="1"/>
  <c r="W35" i="30"/>
  <c r="V35" i="30"/>
  <c r="BT34" i="30"/>
  <c r="BR34" i="30"/>
  <c r="BN34" i="30"/>
  <c r="BG34" i="30"/>
  <c r="BU34" i="30" s="1"/>
  <c r="BF34" i="30"/>
  <c r="AV34" i="30"/>
  <c r="AN34" i="30"/>
  <c r="BM34" i="30" s="1"/>
  <c r="AM34" i="30"/>
  <c r="BO34" i="30" s="1"/>
  <c r="AL34" i="30"/>
  <c r="W34" i="30"/>
  <c r="AE34" i="30" s="1"/>
  <c r="V34" i="30"/>
  <c r="AD34" i="30" s="1"/>
  <c r="BT33" i="30"/>
  <c r="BO33" i="30"/>
  <c r="BN33" i="30"/>
  <c r="BG33" i="30"/>
  <c r="BH33" i="30" s="1"/>
  <c r="BS33" i="30" s="1"/>
  <c r="BF33" i="30"/>
  <c r="AV33" i="30"/>
  <c r="BR33" i="30" s="1"/>
  <c r="AM33" i="30"/>
  <c r="AL33" i="30"/>
  <c r="W33" i="30"/>
  <c r="AE33" i="30" s="1"/>
  <c r="V33" i="30"/>
  <c r="AD33" i="30" s="1"/>
  <c r="BU32" i="30"/>
  <c r="BR32" i="30"/>
  <c r="BG32" i="30"/>
  <c r="BF32" i="30"/>
  <c r="BF107" i="30" s="1"/>
  <c r="AV32" i="30"/>
  <c r="AV107" i="30" s="1"/>
  <c r="AM32" i="30"/>
  <c r="AM107" i="30" s="1"/>
  <c r="AL32" i="30"/>
  <c r="AL107" i="30" s="1"/>
  <c r="W32" i="30"/>
  <c r="W107" i="30" s="1"/>
  <c r="V32" i="30"/>
  <c r="BT31" i="30"/>
  <c r="BG31" i="30"/>
  <c r="BF31" i="30"/>
  <c r="AV31" i="30"/>
  <c r="BR31" i="30" s="1"/>
  <c r="BR37" i="30" s="1"/>
  <c r="AM31" i="30"/>
  <c r="AL31" i="30"/>
  <c r="BN31" i="30" s="1"/>
  <c r="W31" i="30"/>
  <c r="V31" i="30"/>
  <c r="AD31" i="30" s="1"/>
  <c r="CA30" i="30"/>
  <c r="BZ30" i="30"/>
  <c r="BY30" i="30"/>
  <c r="BX30" i="30"/>
  <c r="BW30" i="30"/>
  <c r="BV30" i="30"/>
  <c r="BE30" i="30"/>
  <c r="BD30" i="30"/>
  <c r="BC30" i="30"/>
  <c r="BB30" i="30"/>
  <c r="BA30" i="30"/>
  <c r="AZ30" i="30"/>
  <c r="AY30" i="30"/>
  <c r="AX30" i="30"/>
  <c r="AV30" i="30"/>
  <c r="AU30" i="30"/>
  <c r="AT30" i="30"/>
  <c r="AL30" i="30"/>
  <c r="AK30" i="30"/>
  <c r="AJ30" i="30"/>
  <c r="AI30" i="30"/>
  <c r="AH30" i="30"/>
  <c r="AG30" i="30"/>
  <c r="AC30" i="30"/>
  <c r="AB30" i="30"/>
  <c r="AA30" i="30"/>
  <c r="Z30" i="30"/>
  <c r="Y30" i="30"/>
  <c r="X30" i="30"/>
  <c r="V30" i="30"/>
  <c r="BU29" i="30"/>
  <c r="BR29" i="30"/>
  <c r="BR112" i="30" s="1"/>
  <c r="BN29" i="30"/>
  <c r="BN112" i="30" s="1"/>
  <c r="BG29" i="30"/>
  <c r="BG112" i="30" s="1"/>
  <c r="BF29" i="30"/>
  <c r="BF112" i="30" s="1"/>
  <c r="AV29" i="30"/>
  <c r="AV112" i="30" s="1"/>
  <c r="AM29" i="30"/>
  <c r="AM112" i="30" s="1"/>
  <c r="AL29" i="30"/>
  <c r="AL112" i="30" s="1"/>
  <c r="W29" i="30"/>
  <c r="V29" i="30"/>
  <c r="CA28" i="30"/>
  <c r="BZ28" i="30"/>
  <c r="BY28" i="30"/>
  <c r="BX28" i="30"/>
  <c r="BW28" i="30"/>
  <c r="BV28" i="30"/>
  <c r="BE28" i="30"/>
  <c r="BD28" i="30"/>
  <c r="BC28" i="30"/>
  <c r="BB28" i="30"/>
  <c r="BA28" i="30"/>
  <c r="AZ28" i="30"/>
  <c r="AY28" i="30"/>
  <c r="AX28" i="30"/>
  <c r="AU28" i="30"/>
  <c r="AT28" i="30"/>
  <c r="AK28" i="30"/>
  <c r="AJ28" i="30"/>
  <c r="AI28" i="30"/>
  <c r="AH28" i="30"/>
  <c r="AG28" i="30"/>
  <c r="AC28" i="30"/>
  <c r="AB28" i="30"/>
  <c r="AA28" i="30"/>
  <c r="Z28" i="30"/>
  <c r="Y28" i="30"/>
  <c r="X28" i="30"/>
  <c r="W28" i="30"/>
  <c r="BT27" i="30"/>
  <c r="BR27" i="30"/>
  <c r="BO27" i="30"/>
  <c r="BK27" i="30"/>
  <c r="BG27" i="30"/>
  <c r="BH27" i="30" s="1"/>
  <c r="BS27" i="30" s="1"/>
  <c r="BF27" i="30"/>
  <c r="AV27" i="30"/>
  <c r="AM27" i="30"/>
  <c r="AL27" i="30"/>
  <c r="AN27" i="30" s="1"/>
  <c r="BM27" i="30" s="1"/>
  <c r="AE27" i="30"/>
  <c r="BL27" i="30" s="1"/>
  <c r="AD27" i="30"/>
  <c r="AF27" i="30" s="1"/>
  <c r="W27" i="30"/>
  <c r="V27" i="30"/>
  <c r="BU26" i="30"/>
  <c r="BT26" i="30"/>
  <c r="BL26" i="30"/>
  <c r="BH26" i="30"/>
  <c r="BS26" i="30" s="1"/>
  <c r="BG26" i="30"/>
  <c r="BF26" i="30"/>
  <c r="AV26" i="30"/>
  <c r="BR26" i="30" s="1"/>
  <c r="AM26" i="30"/>
  <c r="BO26" i="30" s="1"/>
  <c r="AL26" i="30"/>
  <c r="BN26" i="30" s="1"/>
  <c r="AE26" i="30"/>
  <c r="AF26" i="30" s="1"/>
  <c r="W26" i="30"/>
  <c r="V26" i="30"/>
  <c r="AD26" i="30" s="1"/>
  <c r="BT25" i="30"/>
  <c r="BN25" i="30"/>
  <c r="BG25" i="30"/>
  <c r="BU25" i="30" s="1"/>
  <c r="BF25" i="30"/>
  <c r="AV25" i="30"/>
  <c r="BR25" i="30" s="1"/>
  <c r="AM25" i="30"/>
  <c r="BO25" i="30" s="1"/>
  <c r="AL25" i="30"/>
  <c r="AN25" i="30" s="1"/>
  <c r="BM25" i="30" s="1"/>
  <c r="AD25" i="30"/>
  <c r="AO25" i="30" s="1"/>
  <c r="W25" i="30"/>
  <c r="AE25" i="30" s="1"/>
  <c r="V25" i="30"/>
  <c r="BU24" i="30"/>
  <c r="BN24" i="30"/>
  <c r="BG24" i="30"/>
  <c r="BF24" i="30"/>
  <c r="BF28" i="30" s="1"/>
  <c r="AV24" i="30"/>
  <c r="AV28" i="30" s="1"/>
  <c r="AM24" i="30"/>
  <c r="AM28" i="30" s="1"/>
  <c r="AL24" i="30"/>
  <c r="AL28" i="30" s="1"/>
  <c r="AD24" i="30"/>
  <c r="AO24" i="30" s="1"/>
  <c r="W24" i="30"/>
  <c r="AE24" i="30" s="1"/>
  <c r="V24" i="30"/>
  <c r="CA23" i="30"/>
  <c r="BZ23" i="30"/>
  <c r="BY23" i="30"/>
  <c r="BX23" i="30"/>
  <c r="BW23" i="30"/>
  <c r="BV23" i="30"/>
  <c r="BE23" i="30"/>
  <c r="BD23" i="30"/>
  <c r="BC23" i="30"/>
  <c r="BB23" i="30"/>
  <c r="BA23" i="30"/>
  <c r="AZ23" i="30"/>
  <c r="AY23" i="30"/>
  <c r="AX23" i="30"/>
  <c r="AU23" i="30"/>
  <c r="AT23" i="30"/>
  <c r="AK23" i="30"/>
  <c r="AJ23" i="30"/>
  <c r="AI23" i="30"/>
  <c r="AH23" i="30"/>
  <c r="AG23" i="30"/>
  <c r="AC23" i="30"/>
  <c r="AB23" i="30"/>
  <c r="AA23" i="30"/>
  <c r="Z23" i="30"/>
  <c r="Y23" i="30"/>
  <c r="X23" i="30"/>
  <c r="BT22" i="30"/>
  <c r="BS22" i="30"/>
  <c r="BO22" i="30"/>
  <c r="BN22" i="30"/>
  <c r="BH22" i="30"/>
  <c r="BG22" i="30"/>
  <c r="BU22" i="30" s="1"/>
  <c r="BF22" i="30"/>
  <c r="AV22" i="30"/>
  <c r="BR22" i="30" s="1"/>
  <c r="AN22" i="30"/>
  <c r="BM22" i="30" s="1"/>
  <c r="AM22" i="30"/>
  <c r="AL22" i="30"/>
  <c r="W22" i="30"/>
  <c r="AE22" i="30" s="1"/>
  <c r="V22" i="30"/>
  <c r="AD22" i="30" s="1"/>
  <c r="BT21" i="30"/>
  <c r="BH21" i="30"/>
  <c r="BS21" i="30" s="1"/>
  <c r="BG21" i="30"/>
  <c r="BU21" i="30" s="1"/>
  <c r="BF21" i="30"/>
  <c r="AV21" i="30"/>
  <c r="BR21" i="30" s="1"/>
  <c r="AM21" i="30"/>
  <c r="BO21" i="30" s="1"/>
  <c r="AL21" i="30"/>
  <c r="AN21" i="30" s="1"/>
  <c r="BM21" i="30" s="1"/>
  <c r="AD21" i="30"/>
  <c r="W21" i="30"/>
  <c r="AE21" i="30" s="1"/>
  <c r="V21" i="30"/>
  <c r="BU20" i="30"/>
  <c r="BR20" i="30"/>
  <c r="BG20" i="30"/>
  <c r="BF20" i="30"/>
  <c r="BF111" i="30" s="1"/>
  <c r="AV20" i="30"/>
  <c r="AM20" i="30"/>
  <c r="AL20" i="30"/>
  <c r="AE20" i="30"/>
  <c r="W20" i="30"/>
  <c r="V20" i="30"/>
  <c r="V111" i="30" s="1"/>
  <c r="BM19" i="30"/>
  <c r="BG19" i="30"/>
  <c r="BU19" i="30" s="1"/>
  <c r="BF19" i="30"/>
  <c r="BT19" i="30" s="1"/>
  <c r="AV19" i="30"/>
  <c r="BR19" i="30" s="1"/>
  <c r="AN19" i="30"/>
  <c r="AM19" i="30"/>
  <c r="BO19" i="30" s="1"/>
  <c r="AL19" i="30"/>
  <c r="BN19" i="30" s="1"/>
  <c r="W19" i="30"/>
  <c r="AE19" i="30" s="1"/>
  <c r="V19" i="30"/>
  <c r="AD19" i="30" s="1"/>
  <c r="BT18" i="30"/>
  <c r="BH18" i="30"/>
  <c r="BG18" i="30"/>
  <c r="BG23" i="30" s="1"/>
  <c r="BF18" i="30"/>
  <c r="BF105" i="30" s="1"/>
  <c r="AV18" i="30"/>
  <c r="AM18" i="30"/>
  <c r="AL18" i="30"/>
  <c r="AL105" i="30" s="1"/>
  <c r="AD18" i="30"/>
  <c r="W18" i="30"/>
  <c r="V18" i="30"/>
  <c r="CA17" i="30"/>
  <c r="BZ17" i="30"/>
  <c r="BY17" i="30"/>
  <c r="BX17" i="30"/>
  <c r="BW17" i="30"/>
  <c r="BV17" i="30"/>
  <c r="BF17" i="30"/>
  <c r="BE17" i="30"/>
  <c r="BD17" i="30"/>
  <c r="BC17" i="30"/>
  <c r="BB17" i="30"/>
  <c r="BA17" i="30"/>
  <c r="AZ17" i="30"/>
  <c r="AY17" i="30"/>
  <c r="AX17" i="30"/>
  <c r="AU17" i="30"/>
  <c r="AT17" i="30"/>
  <c r="AK17" i="30"/>
  <c r="AJ17" i="30"/>
  <c r="AI17" i="30"/>
  <c r="AH17" i="30"/>
  <c r="AG17" i="30"/>
  <c r="AC17" i="30"/>
  <c r="AB17" i="30"/>
  <c r="AA17" i="30"/>
  <c r="Z17" i="30"/>
  <c r="Y17" i="30"/>
  <c r="X17" i="30"/>
  <c r="V17" i="30"/>
  <c r="BM16" i="30"/>
  <c r="BM113" i="30" s="1"/>
  <c r="BG16" i="30"/>
  <c r="BG113" i="30" s="1"/>
  <c r="BF16" i="30"/>
  <c r="BF113" i="30" s="1"/>
  <c r="AV16" i="30"/>
  <c r="AV113" i="30" s="1"/>
  <c r="AN16" i="30"/>
  <c r="AN113" i="30" s="1"/>
  <c r="AM16" i="30"/>
  <c r="AM113" i="30" s="1"/>
  <c r="AL16" i="30"/>
  <c r="AL113" i="30" s="1"/>
  <c r="W16" i="30"/>
  <c r="W113" i="30" s="1"/>
  <c r="V16" i="30"/>
  <c r="V113" i="30" s="1"/>
  <c r="CA15" i="30"/>
  <c r="BZ15" i="30"/>
  <c r="BZ100" i="30" s="1"/>
  <c r="BY15" i="30"/>
  <c r="BX15" i="30"/>
  <c r="BW15" i="30"/>
  <c r="BV15" i="30"/>
  <c r="BV100" i="30" s="1"/>
  <c r="BE15" i="30"/>
  <c r="BD15" i="30"/>
  <c r="BD100" i="30" s="1"/>
  <c r="BC15" i="30"/>
  <c r="BB15" i="30"/>
  <c r="BB100" i="30" s="1"/>
  <c r="BA15" i="30"/>
  <c r="AZ15" i="30"/>
  <c r="AY15" i="30"/>
  <c r="AX15" i="30"/>
  <c r="AX100" i="30" s="1"/>
  <c r="AV15" i="30"/>
  <c r="AU15" i="30"/>
  <c r="AT15" i="30"/>
  <c r="AK15" i="30"/>
  <c r="AJ15" i="30"/>
  <c r="AJ100" i="30" s="1"/>
  <c r="AI15" i="30"/>
  <c r="AH15" i="30"/>
  <c r="AG15" i="30"/>
  <c r="AC15" i="30"/>
  <c r="AB15" i="30"/>
  <c r="AA15" i="30"/>
  <c r="AA100" i="30" s="1"/>
  <c r="Z15" i="30"/>
  <c r="Y15" i="30"/>
  <c r="X15" i="30"/>
  <c r="X100" i="30" s="1"/>
  <c r="BU14" i="30"/>
  <c r="BR14" i="30"/>
  <c r="BR110" i="30" s="1"/>
  <c r="BG14" i="30"/>
  <c r="BF14" i="30"/>
  <c r="BF110" i="30" s="1"/>
  <c r="AV14" i="30"/>
  <c r="AV110" i="30" s="1"/>
  <c r="AM14" i="30"/>
  <c r="AM110" i="30" s="1"/>
  <c r="AL14" i="30"/>
  <c r="AL110" i="30" s="1"/>
  <c r="AE14" i="30"/>
  <c r="W14" i="30"/>
  <c r="W110" i="30" s="1"/>
  <c r="V14" i="30"/>
  <c r="V110" i="30" s="1"/>
  <c r="BM13" i="30"/>
  <c r="BG13" i="30"/>
  <c r="BU13" i="30" s="1"/>
  <c r="BF13" i="30"/>
  <c r="BT13" i="30" s="1"/>
  <c r="AV13" i="30"/>
  <c r="BR13" i="30" s="1"/>
  <c r="AN13" i="30"/>
  <c r="AM13" i="30"/>
  <c r="BO13" i="30" s="1"/>
  <c r="AL13" i="30"/>
  <c r="BN13" i="30" s="1"/>
  <c r="W13" i="30"/>
  <c r="AE13" i="30" s="1"/>
  <c r="V13" i="30"/>
  <c r="V15" i="30" s="1"/>
  <c r="BT12" i="30"/>
  <c r="BH12" i="30"/>
  <c r="BG12" i="30"/>
  <c r="BU12" i="30" s="1"/>
  <c r="BF12" i="30"/>
  <c r="BF104" i="30" s="1"/>
  <c r="AV12" i="30"/>
  <c r="AM12" i="30"/>
  <c r="AL12" i="30"/>
  <c r="AL104" i="30" s="1"/>
  <c r="AD12" i="30"/>
  <c r="W12" i="30"/>
  <c r="V12" i="30"/>
  <c r="CA205" i="29"/>
  <c r="BZ205" i="29"/>
  <c r="BY205" i="29"/>
  <c r="BX205" i="29"/>
  <c r="BW205" i="29"/>
  <c r="BV205" i="29"/>
  <c r="BE205" i="29"/>
  <c r="BD205" i="29"/>
  <c r="BC205" i="29"/>
  <c r="BB205" i="29"/>
  <c r="BA205" i="29"/>
  <c r="AZ205" i="29"/>
  <c r="AY205" i="29"/>
  <c r="AX205" i="29"/>
  <c r="AU205" i="29"/>
  <c r="AT205" i="29"/>
  <c r="AK205" i="29"/>
  <c r="AJ205" i="29"/>
  <c r="AI205" i="29"/>
  <c r="AH205" i="29"/>
  <c r="AG205" i="29"/>
  <c r="AC205" i="29"/>
  <c r="AB205" i="29"/>
  <c r="AA205" i="29"/>
  <c r="Z205" i="29"/>
  <c r="Y205" i="29"/>
  <c r="X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CA204" i="29"/>
  <c r="BZ204" i="29"/>
  <c r="BY204" i="29"/>
  <c r="BX204" i="29"/>
  <c r="BW204" i="29"/>
  <c r="BV204" i="29"/>
  <c r="BE204" i="29"/>
  <c r="BD204" i="29"/>
  <c r="BC204" i="29"/>
  <c r="BB204" i="29"/>
  <c r="BA204" i="29"/>
  <c r="AZ204" i="29"/>
  <c r="AY204" i="29"/>
  <c r="AX204" i="29"/>
  <c r="AU204" i="29"/>
  <c r="AT204" i="29"/>
  <c r="AK204" i="29"/>
  <c r="AJ204" i="29"/>
  <c r="AI204" i="29"/>
  <c r="AH204" i="29"/>
  <c r="AG204" i="29"/>
  <c r="AC204" i="29"/>
  <c r="AB204" i="29"/>
  <c r="AA204" i="29"/>
  <c r="Z204" i="29"/>
  <c r="Y204" i="29"/>
  <c r="X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CA203" i="29"/>
  <c r="BZ203" i="29"/>
  <c r="BY203" i="29"/>
  <c r="BX203" i="29"/>
  <c r="BW203" i="29"/>
  <c r="BE203" i="29"/>
  <c r="BD203" i="29"/>
  <c r="BC203" i="29"/>
  <c r="BB203" i="29"/>
  <c r="BA203" i="29"/>
  <c r="AZ203" i="29"/>
  <c r="AY203" i="29"/>
  <c r="AX203" i="29"/>
  <c r="AU203" i="29"/>
  <c r="AT203" i="29"/>
  <c r="AK203" i="29"/>
  <c r="AJ203" i="29"/>
  <c r="AI203" i="29"/>
  <c r="AH203" i="29"/>
  <c r="AG203" i="29"/>
  <c r="AC203" i="29"/>
  <c r="AB203" i="29"/>
  <c r="AA203" i="29"/>
  <c r="Z203" i="29"/>
  <c r="Y203" i="29"/>
  <c r="X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CA202" i="29"/>
  <c r="BZ202" i="29"/>
  <c r="BY202" i="29"/>
  <c r="BX202" i="29"/>
  <c r="BW202" i="29"/>
  <c r="BV202" i="29"/>
  <c r="BE202" i="29"/>
  <c r="BD202" i="29"/>
  <c r="BC202" i="29"/>
  <c r="BB202" i="29"/>
  <c r="BA202" i="29"/>
  <c r="AZ202" i="29"/>
  <c r="AY202" i="29"/>
  <c r="AX202" i="29"/>
  <c r="AU202" i="29"/>
  <c r="AT202" i="29"/>
  <c r="AK202" i="29"/>
  <c r="AJ202" i="29"/>
  <c r="AI202" i="29"/>
  <c r="AH202" i="29"/>
  <c r="AG202" i="29"/>
  <c r="AC202" i="29"/>
  <c r="AB202" i="29"/>
  <c r="AA202" i="29"/>
  <c r="Z202" i="29"/>
  <c r="Y202" i="29"/>
  <c r="Y195" i="29" s="1"/>
  <c r="X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CA201" i="29"/>
  <c r="BZ201" i="29"/>
  <c r="BY201" i="29"/>
  <c r="BX201" i="29"/>
  <c r="BW201" i="29"/>
  <c r="BV201" i="29"/>
  <c r="BU201" i="29"/>
  <c r="BT201" i="29"/>
  <c r="BS201" i="29"/>
  <c r="BR201" i="29"/>
  <c r="BQ201" i="29"/>
  <c r="BP201" i="29"/>
  <c r="BO201" i="29"/>
  <c r="BN201" i="29"/>
  <c r="BM201" i="29"/>
  <c r="BL201" i="29"/>
  <c r="BK201" i="29"/>
  <c r="BJ201" i="29"/>
  <c r="BI201" i="29"/>
  <c r="BH201" i="29"/>
  <c r="BG201" i="29"/>
  <c r="BF201" i="29"/>
  <c r="BE201" i="29"/>
  <c r="BD201" i="29"/>
  <c r="BC201" i="29"/>
  <c r="BB201" i="29"/>
  <c r="BA201" i="29"/>
  <c r="AZ201" i="29"/>
  <c r="AY201" i="29"/>
  <c r="AX201" i="29"/>
  <c r="AW201" i="29"/>
  <c r="AV201" i="29"/>
  <c r="AU201" i="29"/>
  <c r="AT201" i="29"/>
  <c r="AS201" i="29"/>
  <c r="AR201" i="29"/>
  <c r="AQ201" i="29"/>
  <c r="AP201" i="29"/>
  <c r="AO201" i="29"/>
  <c r="AN201" i="29"/>
  <c r="AM201" i="29"/>
  <c r="AL201" i="29"/>
  <c r="AK201" i="29"/>
  <c r="AJ201" i="29"/>
  <c r="AI201" i="29"/>
  <c r="AH201" i="29"/>
  <c r="AG201" i="29"/>
  <c r="AF201" i="29"/>
  <c r="AE201" i="29"/>
  <c r="AD201" i="29"/>
  <c r="AC201" i="29"/>
  <c r="AB201" i="29"/>
  <c r="AA201" i="29"/>
  <c r="Z201" i="29"/>
  <c r="Y201" i="29"/>
  <c r="X201" i="29"/>
  <c r="W201" i="29"/>
  <c r="V201" i="29"/>
  <c r="U201" i="29"/>
  <c r="T201" i="29"/>
  <c r="S201" i="29"/>
  <c r="R201" i="29"/>
  <c r="Q201" i="29"/>
  <c r="P201" i="29"/>
  <c r="O201" i="29"/>
  <c r="N201" i="29"/>
  <c r="M201" i="29"/>
  <c r="L201" i="29"/>
  <c r="K201" i="29"/>
  <c r="J201" i="29"/>
  <c r="I201" i="29"/>
  <c r="CA200" i="29"/>
  <c r="BZ200" i="29"/>
  <c r="BY200" i="29"/>
  <c r="BY195" i="29" s="1"/>
  <c r="BX200" i="29"/>
  <c r="BW200" i="29"/>
  <c r="BV200" i="29"/>
  <c r="BU200" i="29"/>
  <c r="BT200" i="29"/>
  <c r="BS200" i="29"/>
  <c r="BR200" i="29"/>
  <c r="BQ200" i="29"/>
  <c r="BP200" i="29"/>
  <c r="BO200" i="29"/>
  <c r="BN200" i="29"/>
  <c r="BM200" i="29"/>
  <c r="BL200" i="29"/>
  <c r="BK200" i="29"/>
  <c r="BJ200" i="29"/>
  <c r="BI200" i="29"/>
  <c r="BH200" i="29"/>
  <c r="BG200" i="29"/>
  <c r="BF200" i="29"/>
  <c r="BE200" i="29"/>
  <c r="BD200" i="29"/>
  <c r="BC200" i="29"/>
  <c r="BB200" i="29"/>
  <c r="BA200" i="29"/>
  <c r="BA195" i="29" s="1"/>
  <c r="AZ200" i="29"/>
  <c r="AY200" i="29"/>
  <c r="AX200" i="29"/>
  <c r="AW200" i="29"/>
  <c r="AV200" i="29"/>
  <c r="AU200" i="29"/>
  <c r="AU195" i="29" s="1"/>
  <c r="AT200" i="29"/>
  <c r="AS200" i="29"/>
  <c r="AR200" i="29"/>
  <c r="AQ200" i="29"/>
  <c r="AP200" i="29"/>
  <c r="AO200" i="29"/>
  <c r="AN200" i="29"/>
  <c r="AM200" i="29"/>
  <c r="AL200" i="29"/>
  <c r="AK200" i="29"/>
  <c r="AJ200" i="29"/>
  <c r="AI200" i="29"/>
  <c r="AH200" i="29"/>
  <c r="AG200" i="29"/>
  <c r="AF200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CA199" i="29"/>
  <c r="BZ199" i="29"/>
  <c r="BY199" i="29"/>
  <c r="BX199" i="29"/>
  <c r="BW199" i="29"/>
  <c r="BV199" i="29"/>
  <c r="BE199" i="29"/>
  <c r="BD199" i="29"/>
  <c r="BC199" i="29"/>
  <c r="BB199" i="29"/>
  <c r="BA199" i="29"/>
  <c r="AZ199" i="29"/>
  <c r="AY199" i="29"/>
  <c r="AX199" i="29"/>
  <c r="AU199" i="29"/>
  <c r="AT199" i="29"/>
  <c r="AK199" i="29"/>
  <c r="AJ199" i="29"/>
  <c r="AI199" i="29"/>
  <c r="AH199" i="29"/>
  <c r="AG199" i="29"/>
  <c r="AC199" i="29"/>
  <c r="AB199" i="29"/>
  <c r="AA199" i="29"/>
  <c r="Z199" i="29"/>
  <c r="Y199" i="29"/>
  <c r="X199" i="29"/>
  <c r="U199" i="29"/>
  <c r="T199" i="29"/>
  <c r="S199" i="29"/>
  <c r="R199" i="29"/>
  <c r="Q199" i="29"/>
  <c r="P199" i="29"/>
  <c r="O199" i="29"/>
  <c r="N199" i="29"/>
  <c r="M199" i="29"/>
  <c r="L199" i="29"/>
  <c r="K199" i="29"/>
  <c r="J199" i="29"/>
  <c r="I199" i="29"/>
  <c r="CA198" i="29"/>
  <c r="BZ198" i="29"/>
  <c r="BY198" i="29"/>
  <c r="BX198" i="29"/>
  <c r="BW198" i="29"/>
  <c r="BV198" i="29"/>
  <c r="BU198" i="29"/>
  <c r="BT198" i="29"/>
  <c r="BS198" i="29"/>
  <c r="BR198" i="29"/>
  <c r="BQ198" i="29"/>
  <c r="BP198" i="29"/>
  <c r="BO198" i="29"/>
  <c r="BN198" i="29"/>
  <c r="BM198" i="29"/>
  <c r="BL198" i="29"/>
  <c r="BK198" i="29"/>
  <c r="BJ198" i="29"/>
  <c r="BI198" i="29"/>
  <c r="BH198" i="29"/>
  <c r="BG198" i="29"/>
  <c r="BF198" i="29"/>
  <c r="BE198" i="29"/>
  <c r="BD198" i="29"/>
  <c r="BC198" i="29"/>
  <c r="BB198" i="29"/>
  <c r="BA198" i="29"/>
  <c r="AZ198" i="29"/>
  <c r="AY198" i="29"/>
  <c r="AX198" i="29"/>
  <c r="AW198" i="29"/>
  <c r="AV198" i="29"/>
  <c r="AU198" i="29"/>
  <c r="AT198" i="29"/>
  <c r="AS198" i="29"/>
  <c r="AR198" i="29"/>
  <c r="AQ198" i="29"/>
  <c r="AP198" i="29"/>
  <c r="AO198" i="29"/>
  <c r="AN198" i="29"/>
  <c r="AM198" i="29"/>
  <c r="AL198" i="29"/>
  <c r="AK198" i="29"/>
  <c r="AJ198" i="29"/>
  <c r="AI198" i="29"/>
  <c r="AI195" i="29" s="1"/>
  <c r="AH198" i="29"/>
  <c r="AG198" i="29"/>
  <c r="AF198" i="29"/>
  <c r="AE198" i="29"/>
  <c r="AD198" i="29"/>
  <c r="AC198" i="29"/>
  <c r="AB198" i="29"/>
  <c r="AA198" i="29"/>
  <c r="Z198" i="29"/>
  <c r="Y198" i="29"/>
  <c r="X198" i="29"/>
  <c r="W198" i="29"/>
  <c r="V198" i="29"/>
  <c r="U198" i="29"/>
  <c r="T198" i="29"/>
  <c r="S198" i="29"/>
  <c r="R198" i="29"/>
  <c r="Q198" i="29"/>
  <c r="P198" i="29"/>
  <c r="O198" i="29"/>
  <c r="N198" i="29"/>
  <c r="M198" i="29"/>
  <c r="L198" i="29"/>
  <c r="K198" i="29"/>
  <c r="J198" i="29"/>
  <c r="I198" i="29"/>
  <c r="CA197" i="29"/>
  <c r="BZ197" i="29"/>
  <c r="BY197" i="29"/>
  <c r="BX197" i="29"/>
  <c r="BW197" i="29"/>
  <c r="BV197" i="29"/>
  <c r="BE197" i="29"/>
  <c r="BD197" i="29"/>
  <c r="BC197" i="29"/>
  <c r="BB197" i="29"/>
  <c r="BA197" i="29"/>
  <c r="AZ197" i="29"/>
  <c r="AZ195" i="29" s="1"/>
  <c r="AY197" i="29"/>
  <c r="AX197" i="29"/>
  <c r="AU197" i="29"/>
  <c r="AT197" i="29"/>
  <c r="AT195" i="29" s="1"/>
  <c r="AK197" i="29"/>
  <c r="AJ197" i="29"/>
  <c r="AI197" i="29"/>
  <c r="AH197" i="29"/>
  <c r="AH195" i="29" s="1"/>
  <c r="W194" i="29" s="1"/>
  <c r="AG197" i="29"/>
  <c r="AC197" i="29"/>
  <c r="AB197" i="29"/>
  <c r="AB195" i="29" s="1"/>
  <c r="AA197" i="29"/>
  <c r="Z197" i="29"/>
  <c r="Z195" i="29" s="1"/>
  <c r="Y197" i="29"/>
  <c r="X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CA196" i="29"/>
  <c r="BZ196" i="29"/>
  <c r="BY196" i="29"/>
  <c r="BX196" i="29"/>
  <c r="BW196" i="29"/>
  <c r="BV196" i="29"/>
  <c r="BE196" i="29"/>
  <c r="BE195" i="29" s="1"/>
  <c r="BD196" i="29"/>
  <c r="BC196" i="29"/>
  <c r="BC195" i="29" s="1"/>
  <c r="BB196" i="29"/>
  <c r="BA196" i="29"/>
  <c r="AZ196" i="29"/>
  <c r="AY196" i="29"/>
  <c r="AY195" i="29" s="1"/>
  <c r="AX196" i="29"/>
  <c r="AU196" i="29"/>
  <c r="AT196" i="29"/>
  <c r="AK196" i="29"/>
  <c r="AK195" i="29" s="1"/>
  <c r="AJ196" i="29"/>
  <c r="AI196" i="29"/>
  <c r="AH196" i="29"/>
  <c r="AG196" i="29"/>
  <c r="AG195" i="29" s="1"/>
  <c r="V194" i="29" s="1"/>
  <c r="AC196" i="29"/>
  <c r="AB196" i="29"/>
  <c r="AA196" i="29"/>
  <c r="Z196" i="29"/>
  <c r="Y196" i="29"/>
  <c r="X196" i="29"/>
  <c r="U196" i="29"/>
  <c r="U195" i="29" s="1"/>
  <c r="T196" i="29"/>
  <c r="S196" i="29"/>
  <c r="R196" i="29"/>
  <c r="Q196" i="29"/>
  <c r="P196" i="29"/>
  <c r="O196" i="29"/>
  <c r="O195" i="29" s="1"/>
  <c r="N196" i="29"/>
  <c r="N195" i="29" s="1"/>
  <c r="M194" i="29" s="1"/>
  <c r="M196" i="29"/>
  <c r="M195" i="29" s="1"/>
  <c r="L196" i="29"/>
  <c r="K196" i="29"/>
  <c r="J196" i="29"/>
  <c r="I196" i="29"/>
  <c r="I195" i="29" s="1"/>
  <c r="CA195" i="29"/>
  <c r="BZ195" i="29"/>
  <c r="BD195" i="29"/>
  <c r="BB195" i="29"/>
  <c r="AX195" i="29"/>
  <c r="AJ195" i="29"/>
  <c r="X195" i="29"/>
  <c r="T195" i="29"/>
  <c r="S194" i="29" s="1"/>
  <c r="S195" i="29"/>
  <c r="R195" i="29"/>
  <c r="L195" i="29"/>
  <c r="S193" i="29"/>
  <c r="M193" i="29"/>
  <c r="I193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CA191" i="29"/>
  <c r="BZ191" i="29"/>
  <c r="BY191" i="29"/>
  <c r="BX191" i="29"/>
  <c r="BW191" i="29"/>
  <c r="BV191" i="29"/>
  <c r="BE191" i="29"/>
  <c r="BD191" i="29"/>
  <c r="BC191" i="29"/>
  <c r="BB191" i="29"/>
  <c r="BA191" i="29"/>
  <c r="AZ191" i="29"/>
  <c r="AY191" i="29"/>
  <c r="AX191" i="29"/>
  <c r="AU191" i="29"/>
  <c r="AT191" i="29"/>
  <c r="AK191" i="29"/>
  <c r="AJ191" i="29"/>
  <c r="AI191" i="29"/>
  <c r="AH191" i="29"/>
  <c r="AG191" i="29"/>
  <c r="AC191" i="29"/>
  <c r="AB191" i="29"/>
  <c r="AA191" i="29"/>
  <c r="Z191" i="29"/>
  <c r="Y191" i="29"/>
  <c r="X191" i="29"/>
  <c r="BR190" i="29"/>
  <c r="BG190" i="29"/>
  <c r="BU190" i="29" s="1"/>
  <c r="BF190" i="29"/>
  <c r="AV190" i="29"/>
  <c r="AM190" i="29"/>
  <c r="AL190" i="29"/>
  <c r="BN190" i="29" s="1"/>
  <c r="AE190" i="29"/>
  <c r="W190" i="29"/>
  <c r="V190" i="29"/>
  <c r="AD190" i="29" s="1"/>
  <c r="BR189" i="29"/>
  <c r="BN189" i="29"/>
  <c r="BM189" i="29"/>
  <c r="BG189" i="29"/>
  <c r="BU189" i="29" s="1"/>
  <c r="BF189" i="29"/>
  <c r="AV189" i="29"/>
  <c r="AN189" i="29"/>
  <c r="AM189" i="29"/>
  <c r="BO189" i="29" s="1"/>
  <c r="AL189" i="29"/>
  <c r="AD189" i="29"/>
  <c r="W189" i="29"/>
  <c r="AE189" i="29" s="1"/>
  <c r="BL189" i="29" s="1"/>
  <c r="V189" i="29"/>
  <c r="BU188" i="29"/>
  <c r="BR188" i="29"/>
  <c r="BN188" i="29"/>
  <c r="BL188" i="29"/>
  <c r="BH188" i="29"/>
  <c r="BS188" i="29" s="1"/>
  <c r="BG188" i="29"/>
  <c r="BF188" i="29"/>
  <c r="BT188" i="29" s="1"/>
  <c r="AV188" i="29"/>
  <c r="AM188" i="29"/>
  <c r="BO188" i="29" s="1"/>
  <c r="AL188" i="29"/>
  <c r="AE188" i="29"/>
  <c r="AP188" i="29" s="1"/>
  <c r="W188" i="29"/>
  <c r="V188" i="29"/>
  <c r="AD188" i="29" s="1"/>
  <c r="AO188" i="29" s="1"/>
  <c r="AQ188" i="29" s="1"/>
  <c r="BU187" i="29"/>
  <c r="BO187" i="29"/>
  <c r="BN187" i="29"/>
  <c r="BM187" i="29"/>
  <c r="BH187" i="29"/>
  <c r="BS187" i="29" s="1"/>
  <c r="BG187" i="29"/>
  <c r="BF187" i="29"/>
  <c r="BT187" i="29" s="1"/>
  <c r="AV187" i="29"/>
  <c r="BR187" i="29" s="1"/>
  <c r="AP187" i="29"/>
  <c r="AM187" i="29"/>
  <c r="AL187" i="29"/>
  <c r="AN187" i="29" s="1"/>
  <c r="AF187" i="29"/>
  <c r="AE187" i="29"/>
  <c r="BL187" i="29" s="1"/>
  <c r="AD187" i="29"/>
  <c r="BK187" i="29" s="1"/>
  <c r="W187" i="29"/>
  <c r="V187" i="29"/>
  <c r="BG186" i="29"/>
  <c r="BU186" i="29" s="1"/>
  <c r="BF186" i="29"/>
  <c r="AV186" i="29"/>
  <c r="AN186" i="29"/>
  <c r="BM186" i="29" s="1"/>
  <c r="AM186" i="29"/>
  <c r="AL186" i="29"/>
  <c r="BN186" i="29" s="1"/>
  <c r="AF186" i="29"/>
  <c r="W186" i="29"/>
  <c r="AE186" i="29" s="1"/>
  <c r="V186" i="29"/>
  <c r="AD186" i="29" s="1"/>
  <c r="BT185" i="29"/>
  <c r="BO185" i="29"/>
  <c r="BN185" i="29"/>
  <c r="BG185" i="29"/>
  <c r="BF185" i="29"/>
  <c r="AV185" i="29"/>
  <c r="BR185" i="29" s="1"/>
  <c r="AN185" i="29"/>
  <c r="AM185" i="29"/>
  <c r="AL185" i="29"/>
  <c r="W185" i="29"/>
  <c r="V185" i="29"/>
  <c r="CA184" i="29"/>
  <c r="BZ184" i="29"/>
  <c r="BY184" i="29"/>
  <c r="BX184" i="29"/>
  <c r="BW184" i="29"/>
  <c r="BV184" i="29"/>
  <c r="BE184" i="29"/>
  <c r="BD184" i="29"/>
  <c r="BC184" i="29"/>
  <c r="BB184" i="29"/>
  <c r="BA184" i="29"/>
  <c r="AZ184" i="29"/>
  <c r="AY184" i="29"/>
  <c r="AX184" i="29"/>
  <c r="AV184" i="29"/>
  <c r="AU184" i="29"/>
  <c r="AT184" i="29"/>
  <c r="AK184" i="29"/>
  <c r="AJ184" i="29"/>
  <c r="AI184" i="29"/>
  <c r="AH184" i="29"/>
  <c r="AG184" i="29"/>
  <c r="AE184" i="29"/>
  <c r="AC184" i="29"/>
  <c r="AB184" i="29"/>
  <c r="AA184" i="29"/>
  <c r="Z184" i="29"/>
  <c r="Y184" i="29"/>
  <c r="X184" i="29"/>
  <c r="BU183" i="29"/>
  <c r="BR183" i="29"/>
  <c r="BO183" i="29"/>
  <c r="BG183" i="29"/>
  <c r="BH183" i="29" s="1"/>
  <c r="BS183" i="29" s="1"/>
  <c r="BF183" i="29"/>
  <c r="BT183" i="29" s="1"/>
  <c r="AV183" i="29"/>
  <c r="AM183" i="29"/>
  <c r="AL183" i="29"/>
  <c r="AN183" i="29" s="1"/>
  <c r="BM183" i="29" s="1"/>
  <c r="AE183" i="29"/>
  <c r="W183" i="29"/>
  <c r="V183" i="29"/>
  <c r="AD183" i="29" s="1"/>
  <c r="BT182" i="29"/>
  <c r="BK182" i="29"/>
  <c r="BG182" i="29"/>
  <c r="BH182" i="29" s="1"/>
  <c r="BS182" i="29" s="1"/>
  <c r="BF182" i="29"/>
  <c r="AV182" i="29"/>
  <c r="BR182" i="29" s="1"/>
  <c r="AM182" i="29"/>
  <c r="BO182" i="29" s="1"/>
  <c r="AL182" i="29"/>
  <c r="BN182" i="29" s="1"/>
  <c r="W182" i="29"/>
  <c r="AE182" i="29" s="1"/>
  <c r="V182" i="29"/>
  <c r="AD182" i="29" s="1"/>
  <c r="BU181" i="29"/>
  <c r="BO181" i="29"/>
  <c r="BN181" i="29"/>
  <c r="BL181" i="29"/>
  <c r="BG181" i="29"/>
  <c r="BF181" i="29"/>
  <c r="BT181" i="29" s="1"/>
  <c r="AV181" i="29"/>
  <c r="BR181" i="29" s="1"/>
  <c r="AO181" i="29"/>
  <c r="AQ181" i="29" s="1"/>
  <c r="AM181" i="29"/>
  <c r="AL181" i="29"/>
  <c r="AN181" i="29" s="1"/>
  <c r="BM181" i="29" s="1"/>
  <c r="AE181" i="29"/>
  <c r="AP181" i="29" s="1"/>
  <c r="AD181" i="29"/>
  <c r="W181" i="29"/>
  <c r="V181" i="29"/>
  <c r="BU180" i="29"/>
  <c r="BR180" i="29"/>
  <c r="BG180" i="29"/>
  <c r="BF180" i="29"/>
  <c r="AV180" i="29"/>
  <c r="AM180" i="29"/>
  <c r="BO180" i="29" s="1"/>
  <c r="AL180" i="29"/>
  <c r="BN180" i="29" s="1"/>
  <c r="W180" i="29"/>
  <c r="AE180" i="29" s="1"/>
  <c r="AP180" i="29" s="1"/>
  <c r="V180" i="29"/>
  <c r="BL179" i="29"/>
  <c r="BG179" i="29"/>
  <c r="BF179" i="29"/>
  <c r="AV179" i="29"/>
  <c r="BR179" i="29" s="1"/>
  <c r="AR179" i="29"/>
  <c r="AP179" i="29"/>
  <c r="AO179" i="29"/>
  <c r="AM179" i="29"/>
  <c r="BO179" i="29" s="1"/>
  <c r="AL179" i="29"/>
  <c r="AF179" i="29"/>
  <c r="AE179" i="29"/>
  <c r="AD179" i="29"/>
  <c r="BK179" i="29" s="1"/>
  <c r="W179" i="29"/>
  <c r="V179" i="29"/>
  <c r="CA178" i="29"/>
  <c r="BZ178" i="29"/>
  <c r="BY178" i="29"/>
  <c r="BX178" i="29"/>
  <c r="BW178" i="29"/>
  <c r="BV178" i="29"/>
  <c r="BU178" i="29"/>
  <c r="BG178" i="29"/>
  <c r="BE178" i="29"/>
  <c r="BD178" i="29"/>
  <c r="BC178" i="29"/>
  <c r="BB178" i="29"/>
  <c r="BA178" i="29"/>
  <c r="AZ178" i="29"/>
  <c r="AY178" i="29"/>
  <c r="AX178" i="29"/>
  <c r="AU178" i="29"/>
  <c r="AT178" i="29"/>
  <c r="AK178" i="29"/>
  <c r="AJ178" i="29"/>
  <c r="AI178" i="29"/>
  <c r="AH178" i="29"/>
  <c r="AG178" i="29"/>
  <c r="AD178" i="29"/>
  <c r="AC178" i="29"/>
  <c r="AB178" i="29"/>
  <c r="AA178" i="29"/>
  <c r="Z178" i="29"/>
  <c r="Y178" i="29"/>
  <c r="X178" i="29"/>
  <c r="V178" i="29"/>
  <c r="BK177" i="29"/>
  <c r="BG177" i="29"/>
  <c r="BU177" i="29" s="1"/>
  <c r="BF177" i="29"/>
  <c r="AV177" i="29"/>
  <c r="AN177" i="29"/>
  <c r="BM177" i="29" s="1"/>
  <c r="AM177" i="29"/>
  <c r="BO177" i="29" s="1"/>
  <c r="AL177" i="29"/>
  <c r="BN177" i="29" s="1"/>
  <c r="AD177" i="29"/>
  <c r="AO177" i="29" s="1"/>
  <c r="W177" i="29"/>
  <c r="V177" i="29"/>
  <c r="BT176" i="29"/>
  <c r="BR176" i="29"/>
  <c r="BN176" i="29"/>
  <c r="BN178" i="29" s="1"/>
  <c r="BL176" i="29"/>
  <c r="BK176" i="29"/>
  <c r="BG176" i="29"/>
  <c r="BU176" i="29" s="1"/>
  <c r="BF176" i="29"/>
  <c r="AV176" i="29"/>
  <c r="AP176" i="29"/>
  <c r="AO176" i="29"/>
  <c r="AM176" i="29"/>
  <c r="AM178" i="29" s="1"/>
  <c r="AL176" i="29"/>
  <c r="AF176" i="29"/>
  <c r="AR176" i="29" s="1"/>
  <c r="AE176" i="29"/>
  <c r="AD176" i="29"/>
  <c r="W176" i="29"/>
  <c r="V176" i="29"/>
  <c r="CA175" i="29"/>
  <c r="BZ175" i="29"/>
  <c r="BY175" i="29"/>
  <c r="BX175" i="29"/>
  <c r="BW175" i="29"/>
  <c r="BV175" i="29"/>
  <c r="BG175" i="29"/>
  <c r="BE175" i="29"/>
  <c r="BD175" i="29"/>
  <c r="BC175" i="29"/>
  <c r="BB175" i="29"/>
  <c r="BA175" i="29"/>
  <c r="AZ175" i="29"/>
  <c r="AY175" i="29"/>
  <c r="AX175" i="29"/>
  <c r="AU175" i="29"/>
  <c r="AT175" i="29"/>
  <c r="AK175" i="29"/>
  <c r="AJ175" i="29"/>
  <c r="AI175" i="29"/>
  <c r="AH175" i="29"/>
  <c r="AG175" i="29"/>
  <c r="AD175" i="29"/>
  <c r="AC175" i="29"/>
  <c r="AB175" i="29"/>
  <c r="AA175" i="29"/>
  <c r="Z175" i="29"/>
  <c r="Y175" i="29"/>
  <c r="X175" i="29"/>
  <c r="BN174" i="29"/>
  <c r="BM174" i="29"/>
  <c r="BL174" i="29"/>
  <c r="BG174" i="29"/>
  <c r="BU174" i="29" s="1"/>
  <c r="BF174" i="29"/>
  <c r="BT174" i="29" s="1"/>
  <c r="AV174" i="29"/>
  <c r="BR174" i="29" s="1"/>
  <c r="AN174" i="29"/>
  <c r="AM174" i="29"/>
  <c r="BO174" i="29" s="1"/>
  <c r="AL174" i="29"/>
  <c r="AF174" i="29"/>
  <c r="AD174" i="29"/>
  <c r="W174" i="29"/>
  <c r="AE174" i="29" s="1"/>
  <c r="AP174" i="29" s="1"/>
  <c r="V174" i="29"/>
  <c r="BR173" i="29"/>
  <c r="BL173" i="29"/>
  <c r="BG173" i="29"/>
  <c r="BU173" i="29" s="1"/>
  <c r="BF173" i="29"/>
  <c r="AV173" i="29"/>
  <c r="AP173" i="29"/>
  <c r="AM173" i="29"/>
  <c r="BO173" i="29" s="1"/>
  <c r="AL173" i="29"/>
  <c r="AE173" i="29"/>
  <c r="AD173" i="29"/>
  <c r="W173" i="29"/>
  <c r="V173" i="29"/>
  <c r="V175" i="29" s="1"/>
  <c r="BR172" i="29"/>
  <c r="BO172" i="29"/>
  <c r="BO175" i="29" s="1"/>
  <c r="BH172" i="29"/>
  <c r="BS172" i="29" s="1"/>
  <c r="BG172" i="29"/>
  <c r="BU172" i="29" s="1"/>
  <c r="BF172" i="29"/>
  <c r="BT172" i="29" s="1"/>
  <c r="AV172" i="29"/>
  <c r="AM172" i="29"/>
  <c r="AL172" i="29"/>
  <c r="AN172" i="29" s="1"/>
  <c r="BM172" i="29" s="1"/>
  <c r="W172" i="29"/>
  <c r="AE172" i="29" s="1"/>
  <c r="V172" i="29"/>
  <c r="AD172" i="29" s="1"/>
  <c r="BT171" i="29"/>
  <c r="BG171" i="29"/>
  <c r="BH171" i="29" s="1"/>
  <c r="BS171" i="29" s="1"/>
  <c r="BF171" i="29"/>
  <c r="AV171" i="29"/>
  <c r="BR171" i="29" s="1"/>
  <c r="AO171" i="29"/>
  <c r="AM171" i="29"/>
  <c r="BO171" i="29" s="1"/>
  <c r="AL171" i="29"/>
  <c r="W171" i="29"/>
  <c r="AE171" i="29" s="1"/>
  <c r="V171" i="29"/>
  <c r="AD171" i="29" s="1"/>
  <c r="BU170" i="29"/>
  <c r="BT170" i="29"/>
  <c r="BO170" i="29"/>
  <c r="BN170" i="29"/>
  <c r="BG170" i="29"/>
  <c r="BF170" i="29"/>
  <c r="AV170" i="29"/>
  <c r="AO170" i="29"/>
  <c r="AM170" i="29"/>
  <c r="AL170" i="29"/>
  <c r="AD170" i="29"/>
  <c r="W170" i="29"/>
  <c r="V170" i="29"/>
  <c r="BU169" i="29"/>
  <c r="BG169" i="29"/>
  <c r="BF169" i="29"/>
  <c r="AV169" i="29"/>
  <c r="BR169" i="29" s="1"/>
  <c r="AN169" i="29"/>
  <c r="AM169" i="29"/>
  <c r="BO169" i="29" s="1"/>
  <c r="AL169" i="29"/>
  <c r="BN169" i="29" s="1"/>
  <c r="W169" i="29"/>
  <c r="V169" i="29"/>
  <c r="AD169" i="29" s="1"/>
  <c r="CA168" i="29"/>
  <c r="BZ168" i="29"/>
  <c r="BY168" i="29"/>
  <c r="BX168" i="29"/>
  <c r="BW168" i="29"/>
  <c r="BV168" i="29"/>
  <c r="BF168" i="29"/>
  <c r="BE168" i="29"/>
  <c r="BD168" i="29"/>
  <c r="BC168" i="29"/>
  <c r="BB168" i="29"/>
  <c r="BA168" i="29"/>
  <c r="AZ168" i="29"/>
  <c r="AY168" i="29"/>
  <c r="AX168" i="29"/>
  <c r="AU168" i="29"/>
  <c r="AT168" i="29"/>
  <c r="AK168" i="29"/>
  <c r="AJ168" i="29"/>
  <c r="AI168" i="29"/>
  <c r="AH168" i="29"/>
  <c r="AG168" i="29"/>
  <c r="AC168" i="29"/>
  <c r="AB168" i="29"/>
  <c r="AA168" i="29"/>
  <c r="Z168" i="29"/>
  <c r="Y168" i="29"/>
  <c r="X168" i="29"/>
  <c r="BU167" i="29"/>
  <c r="BR167" i="29"/>
  <c r="BN167" i="29"/>
  <c r="BG167" i="29"/>
  <c r="BF167" i="29"/>
  <c r="BT167" i="29" s="1"/>
  <c r="AV167" i="29"/>
  <c r="AP167" i="29"/>
  <c r="AM167" i="29"/>
  <c r="AL167" i="29"/>
  <c r="W167" i="29"/>
  <c r="AE167" i="29" s="1"/>
  <c r="BL167" i="29" s="1"/>
  <c r="V167" i="29"/>
  <c r="AD167" i="29" s="1"/>
  <c r="BO166" i="29"/>
  <c r="BM166" i="29"/>
  <c r="BG166" i="29"/>
  <c r="BF166" i="29"/>
  <c r="AV166" i="29"/>
  <c r="BR166" i="29" s="1"/>
  <c r="AM166" i="29"/>
  <c r="AN166" i="29" s="1"/>
  <c r="AL166" i="29"/>
  <c r="BN166" i="29" s="1"/>
  <c r="AE166" i="29"/>
  <c r="AD166" i="29"/>
  <c r="W166" i="29"/>
  <c r="V166" i="29"/>
  <c r="BT165" i="29"/>
  <c r="BK165" i="29"/>
  <c r="BG165" i="29"/>
  <c r="BU165" i="29" s="1"/>
  <c r="BF165" i="29"/>
  <c r="BH165" i="29" s="1"/>
  <c r="BS165" i="29" s="1"/>
  <c r="AV165" i="29"/>
  <c r="AO165" i="29"/>
  <c r="AM165" i="29"/>
  <c r="BO165" i="29" s="1"/>
  <c r="AL165" i="29"/>
  <c r="AD165" i="29"/>
  <c r="W165" i="29"/>
  <c r="W168" i="29" s="1"/>
  <c r="V165" i="29"/>
  <c r="CA164" i="29"/>
  <c r="BZ164" i="29"/>
  <c r="BY164" i="29"/>
  <c r="BX164" i="29"/>
  <c r="BW164" i="29"/>
  <c r="BV164" i="29"/>
  <c r="BE164" i="29"/>
  <c r="BD164" i="29"/>
  <c r="BC164" i="29"/>
  <c r="BB164" i="29"/>
  <c r="BA164" i="29"/>
  <c r="AZ164" i="29"/>
  <c r="AY164" i="29"/>
  <c r="AX164" i="29"/>
  <c r="AU164" i="29"/>
  <c r="AT164" i="29"/>
  <c r="AK164" i="29"/>
  <c r="AJ164" i="29"/>
  <c r="AI164" i="29"/>
  <c r="AH164" i="29"/>
  <c r="AG164" i="29"/>
  <c r="AC164" i="29"/>
  <c r="AB164" i="29"/>
  <c r="AA164" i="29"/>
  <c r="Z164" i="29"/>
  <c r="Y164" i="29"/>
  <c r="X164" i="29"/>
  <c r="BU163" i="29"/>
  <c r="BO163" i="29"/>
  <c r="BG163" i="29"/>
  <c r="BF163" i="29"/>
  <c r="AV163" i="29"/>
  <c r="BR163" i="29" s="1"/>
  <c r="AO163" i="29"/>
  <c r="AN163" i="29"/>
  <c r="BM163" i="29" s="1"/>
  <c r="AM163" i="29"/>
  <c r="AL163" i="29"/>
  <c r="BN163" i="29" s="1"/>
  <c r="AD163" i="29"/>
  <c r="W163" i="29"/>
  <c r="AE163" i="29" s="1"/>
  <c r="V163" i="29"/>
  <c r="BS162" i="29"/>
  <c r="BP162" i="29"/>
  <c r="BL162" i="29"/>
  <c r="BK162" i="29"/>
  <c r="BJ162" i="29"/>
  <c r="BH162" i="29"/>
  <c r="BG162" i="29"/>
  <c r="BU162" i="29" s="1"/>
  <c r="BF162" i="29"/>
  <c r="BT162" i="29" s="1"/>
  <c r="AV162" i="29"/>
  <c r="AR162" i="29"/>
  <c r="AM162" i="29"/>
  <c r="BO162" i="29" s="1"/>
  <c r="AL162" i="29"/>
  <c r="AF162" i="29"/>
  <c r="AS162" i="29" s="1"/>
  <c r="BQ162" i="29" s="1"/>
  <c r="AD162" i="29"/>
  <c r="AO162" i="29" s="1"/>
  <c r="AQ162" i="29" s="1"/>
  <c r="AW162" i="29" s="1"/>
  <c r="BI162" i="29" s="1"/>
  <c r="W162" i="29"/>
  <c r="AE162" i="29" s="1"/>
  <c r="AP162" i="29" s="1"/>
  <c r="V162" i="29"/>
  <c r="BT161" i="29"/>
  <c r="BR161" i="29"/>
  <c r="BO161" i="29"/>
  <c r="BG161" i="29"/>
  <c r="BF161" i="29"/>
  <c r="AV161" i="29"/>
  <c r="AP161" i="29"/>
  <c r="AM161" i="29"/>
  <c r="AL161" i="29"/>
  <c r="AN161" i="29" s="1"/>
  <c r="BM161" i="29" s="1"/>
  <c r="AE161" i="29"/>
  <c r="BL161" i="29" s="1"/>
  <c r="AD161" i="29"/>
  <c r="W161" i="29"/>
  <c r="V161" i="29"/>
  <c r="BU160" i="29"/>
  <c r="BN160" i="29"/>
  <c r="BG160" i="29"/>
  <c r="BG164" i="29" s="1"/>
  <c r="BF160" i="29"/>
  <c r="AV160" i="29"/>
  <c r="BR160" i="29" s="1"/>
  <c r="AN160" i="29"/>
  <c r="BM160" i="29" s="1"/>
  <c r="AM160" i="29"/>
  <c r="AL160" i="29"/>
  <c r="W160" i="29"/>
  <c r="V160" i="29"/>
  <c r="CA159" i="29"/>
  <c r="BZ159" i="29"/>
  <c r="BY159" i="29"/>
  <c r="BX159" i="29"/>
  <c r="BW159" i="29"/>
  <c r="BV159" i="29"/>
  <c r="BH159" i="29"/>
  <c r="BG159" i="29"/>
  <c r="BE159" i="29"/>
  <c r="BD159" i="29"/>
  <c r="BC159" i="29"/>
  <c r="BB159" i="29"/>
  <c r="BA159" i="29"/>
  <c r="AZ159" i="29"/>
  <c r="AY159" i="29"/>
  <c r="AX159" i="29"/>
  <c r="AU159" i="29"/>
  <c r="AT159" i="29"/>
  <c r="AK159" i="29"/>
  <c r="AJ159" i="29"/>
  <c r="AI159" i="29"/>
  <c r="AH159" i="29"/>
  <c r="AG159" i="29"/>
  <c r="AC159" i="29"/>
  <c r="AB159" i="29"/>
  <c r="AA159" i="29"/>
  <c r="Z159" i="29"/>
  <c r="Y159" i="29"/>
  <c r="X159" i="29"/>
  <c r="W159" i="29"/>
  <c r="BU158" i="29"/>
  <c r="BT158" i="29"/>
  <c r="BR158" i="29"/>
  <c r="BO158" i="29"/>
  <c r="BN158" i="29"/>
  <c r="BM158" i="29"/>
  <c r="BH158" i="29"/>
  <c r="BS158" i="29" s="1"/>
  <c r="BG158" i="29"/>
  <c r="BF158" i="29"/>
  <c r="AV158" i="29"/>
  <c r="AO158" i="29"/>
  <c r="AM158" i="29"/>
  <c r="AL158" i="29"/>
  <c r="AN158" i="29" s="1"/>
  <c r="AE158" i="29"/>
  <c r="BL158" i="29" s="1"/>
  <c r="AD158" i="29"/>
  <c r="BK158" i="29" s="1"/>
  <c r="W158" i="29"/>
  <c r="V158" i="29"/>
  <c r="BT157" i="29"/>
  <c r="BT159" i="29" s="1"/>
  <c r="BS157" i="29"/>
  <c r="BG157" i="29"/>
  <c r="BU157" i="29" s="1"/>
  <c r="BF157" i="29"/>
  <c r="BH157" i="29" s="1"/>
  <c r="AV157" i="29"/>
  <c r="BR157" i="29" s="1"/>
  <c r="AN157" i="29"/>
  <c r="BM157" i="29" s="1"/>
  <c r="AM157" i="29"/>
  <c r="BO157" i="29" s="1"/>
  <c r="AL157" i="29"/>
  <c r="BN157" i="29" s="1"/>
  <c r="AF157" i="29"/>
  <c r="W157" i="29"/>
  <c r="AE157" i="29" s="1"/>
  <c r="AP157" i="29" s="1"/>
  <c r="V157" i="29"/>
  <c r="AD157" i="29" s="1"/>
  <c r="BU156" i="29"/>
  <c r="BU159" i="29" s="1"/>
  <c r="BT156" i="29"/>
  <c r="BH156" i="29"/>
  <c r="BS156" i="29" s="1"/>
  <c r="BG156" i="29"/>
  <c r="BF156" i="29"/>
  <c r="AV156" i="29"/>
  <c r="AM156" i="29"/>
  <c r="AL156" i="29"/>
  <c r="BN156" i="29" s="1"/>
  <c r="BN159" i="29" s="1"/>
  <c r="W156" i="29"/>
  <c r="AE156" i="29" s="1"/>
  <c r="V156" i="29"/>
  <c r="CA155" i="29"/>
  <c r="BZ155" i="29"/>
  <c r="BY155" i="29"/>
  <c r="BX155" i="29"/>
  <c r="BW155" i="29"/>
  <c r="BV155" i="29"/>
  <c r="BE155" i="29"/>
  <c r="BD155" i="29"/>
  <c r="BC155" i="29"/>
  <c r="BB155" i="29"/>
  <c r="BA155" i="29"/>
  <c r="AZ155" i="29"/>
  <c r="AY155" i="29"/>
  <c r="AX155" i="29"/>
  <c r="AU155" i="29"/>
  <c r="AT155" i="29"/>
  <c r="AK155" i="29"/>
  <c r="AJ155" i="29"/>
  <c r="AI155" i="29"/>
  <c r="AH155" i="29"/>
  <c r="AG155" i="29"/>
  <c r="AC155" i="29"/>
  <c r="AB155" i="29"/>
  <c r="AA155" i="29"/>
  <c r="Z155" i="29"/>
  <c r="Y155" i="29"/>
  <c r="X155" i="29"/>
  <c r="BU154" i="29"/>
  <c r="BT154" i="29"/>
  <c r="BN154" i="29"/>
  <c r="BH154" i="29"/>
  <c r="BS154" i="29" s="1"/>
  <c r="BG154" i="29"/>
  <c r="BF154" i="29"/>
  <c r="AV154" i="29"/>
  <c r="BR154" i="29" s="1"/>
  <c r="AM154" i="29"/>
  <c r="BO154" i="29" s="1"/>
  <c r="AL154" i="29"/>
  <c r="AN154" i="29" s="1"/>
  <c r="BM154" i="29" s="1"/>
  <c r="W154" i="29"/>
  <c r="AE154" i="29" s="1"/>
  <c r="V154" i="29"/>
  <c r="AD154" i="29" s="1"/>
  <c r="BU153" i="29"/>
  <c r="BT153" i="29"/>
  <c r="BO153" i="29"/>
  <c r="BH153" i="29"/>
  <c r="BS153" i="29" s="1"/>
  <c r="BG153" i="29"/>
  <c r="BF153" i="29"/>
  <c r="AV153" i="29"/>
  <c r="BR153" i="29" s="1"/>
  <c r="AM153" i="29"/>
  <c r="AL153" i="29"/>
  <c r="W153" i="29"/>
  <c r="AE153" i="29" s="1"/>
  <c r="V153" i="29"/>
  <c r="AD153" i="29" s="1"/>
  <c r="BU152" i="29"/>
  <c r="BK152" i="29"/>
  <c r="BG152" i="29"/>
  <c r="BF152" i="29"/>
  <c r="AV152" i="29"/>
  <c r="BR152" i="29" s="1"/>
  <c r="AM152" i="29"/>
  <c r="AL152" i="29"/>
  <c r="BN152" i="29" s="1"/>
  <c r="W152" i="29"/>
  <c r="AE152" i="29" s="1"/>
  <c r="BL152" i="29" s="1"/>
  <c r="V152" i="29"/>
  <c r="AD152" i="29" s="1"/>
  <c r="BL151" i="29"/>
  <c r="BK151" i="29"/>
  <c r="BG151" i="29"/>
  <c r="BU151" i="29" s="1"/>
  <c r="BF151" i="29"/>
  <c r="AV151" i="29"/>
  <c r="BR151" i="29" s="1"/>
  <c r="AP151" i="29"/>
  <c r="AN151" i="29"/>
  <c r="BM151" i="29" s="1"/>
  <c r="AM151" i="29"/>
  <c r="BO151" i="29" s="1"/>
  <c r="AL151" i="29"/>
  <c r="BN151" i="29" s="1"/>
  <c r="AD151" i="29"/>
  <c r="AO151" i="29" s="1"/>
  <c r="W151" i="29"/>
  <c r="AE151" i="29" s="1"/>
  <c r="AF151" i="29" s="1"/>
  <c r="V151" i="29"/>
  <c r="BR150" i="29"/>
  <c r="BN150" i="29"/>
  <c r="BL150" i="29"/>
  <c r="BH150" i="29"/>
  <c r="BS150" i="29" s="1"/>
  <c r="BG150" i="29"/>
  <c r="BU150" i="29" s="1"/>
  <c r="BF150" i="29"/>
  <c r="BT150" i="29" s="1"/>
  <c r="AV150" i="29"/>
  <c r="AM150" i="29"/>
  <c r="BO150" i="29" s="1"/>
  <c r="AL150" i="29"/>
  <c r="AF150" i="29"/>
  <c r="AR150" i="29" s="1"/>
  <c r="BP150" i="29" s="1"/>
  <c r="AE150" i="29"/>
  <c r="W150" i="29"/>
  <c r="V150" i="29"/>
  <c r="AD150" i="29" s="1"/>
  <c r="BK150" i="29" s="1"/>
  <c r="BU149" i="29"/>
  <c r="BU155" i="29" s="1"/>
  <c r="BT149" i="29"/>
  <c r="BO149" i="29"/>
  <c r="BN149" i="29"/>
  <c r="BL149" i="29"/>
  <c r="BG149" i="29"/>
  <c r="BG155" i="29" s="1"/>
  <c r="BF149" i="29"/>
  <c r="AV149" i="29"/>
  <c r="AN149" i="29"/>
  <c r="AM149" i="29"/>
  <c r="AL149" i="29"/>
  <c r="AE149" i="29"/>
  <c r="AP149" i="29" s="1"/>
  <c r="W149" i="29"/>
  <c r="V149" i="29"/>
  <c r="CA148" i="29"/>
  <c r="BZ148" i="29"/>
  <c r="BY148" i="29"/>
  <c r="BX148" i="29"/>
  <c r="BW148" i="29"/>
  <c r="BV148" i="29"/>
  <c r="BE148" i="29"/>
  <c r="BD148" i="29"/>
  <c r="BC148" i="29"/>
  <c r="BB148" i="29"/>
  <c r="BA148" i="29"/>
  <c r="AZ148" i="29"/>
  <c r="AY148" i="29"/>
  <c r="AX148" i="29"/>
  <c r="AV148" i="29"/>
  <c r="AU148" i="29"/>
  <c r="AT148" i="29"/>
  <c r="AK148" i="29"/>
  <c r="AJ148" i="29"/>
  <c r="AI148" i="29"/>
  <c r="AH148" i="29"/>
  <c r="AG148" i="29"/>
  <c r="AC148" i="29"/>
  <c r="AB148" i="29"/>
  <c r="AA148" i="29"/>
  <c r="Z148" i="29"/>
  <c r="Y148" i="29"/>
  <c r="X148" i="29"/>
  <c r="W148" i="29"/>
  <c r="BU147" i="29"/>
  <c r="BR147" i="29"/>
  <c r="BN147" i="29"/>
  <c r="BK147" i="29"/>
  <c r="BG147" i="29"/>
  <c r="BF147" i="29"/>
  <c r="BH147" i="29" s="1"/>
  <c r="BS147" i="29" s="1"/>
  <c r="AV147" i="29"/>
  <c r="AM147" i="29"/>
  <c r="BO147" i="29" s="1"/>
  <c r="AL147" i="29"/>
  <c r="AE147" i="29"/>
  <c r="W147" i="29"/>
  <c r="V147" i="29"/>
  <c r="AD147" i="29" s="1"/>
  <c r="BU146" i="29"/>
  <c r="BT146" i="29"/>
  <c r="BR146" i="29"/>
  <c r="BN146" i="29"/>
  <c r="BL146" i="29"/>
  <c r="BG146" i="29"/>
  <c r="BF146" i="29"/>
  <c r="BH146" i="29" s="1"/>
  <c r="BS146" i="29" s="1"/>
  <c r="AV146" i="29"/>
  <c r="AM146" i="29"/>
  <c r="BO146" i="29" s="1"/>
  <c r="AL146" i="29"/>
  <c r="W146" i="29"/>
  <c r="AE146" i="29" s="1"/>
  <c r="V146" i="29"/>
  <c r="AD146" i="29" s="1"/>
  <c r="BT145" i="29"/>
  <c r="BH145" i="29"/>
  <c r="BS145" i="29" s="1"/>
  <c r="BG145" i="29"/>
  <c r="BU145" i="29" s="1"/>
  <c r="BF145" i="29"/>
  <c r="AV145" i="29"/>
  <c r="BR145" i="29" s="1"/>
  <c r="AM145" i="29"/>
  <c r="BO145" i="29" s="1"/>
  <c r="AL145" i="29"/>
  <c r="W145" i="29"/>
  <c r="AE145" i="29" s="1"/>
  <c r="V145" i="29"/>
  <c r="AD145" i="29" s="1"/>
  <c r="BU144" i="29"/>
  <c r="BR144" i="29"/>
  <c r="BO144" i="29"/>
  <c r="BL144" i="29"/>
  <c r="BG144" i="29"/>
  <c r="BF144" i="29"/>
  <c r="AV144" i="29"/>
  <c r="AP144" i="29"/>
  <c r="AM144" i="29"/>
  <c r="AL144" i="29"/>
  <c r="AD144" i="29"/>
  <c r="W144" i="29"/>
  <c r="AE144" i="29" s="1"/>
  <c r="V144" i="29"/>
  <c r="BO143" i="29"/>
  <c r="BG143" i="29"/>
  <c r="BU143" i="29" s="1"/>
  <c r="BF143" i="29"/>
  <c r="AV143" i="29"/>
  <c r="BR143" i="29" s="1"/>
  <c r="AN143" i="29"/>
  <c r="BM143" i="29" s="1"/>
  <c r="AM143" i="29"/>
  <c r="AL143" i="29"/>
  <c r="BN143" i="29" s="1"/>
  <c r="W143" i="29"/>
  <c r="AE143" i="29" s="1"/>
  <c r="AP143" i="29" s="1"/>
  <c r="V143" i="29"/>
  <c r="AD143" i="29" s="1"/>
  <c r="BT142" i="29"/>
  <c r="BG142" i="29"/>
  <c r="BF142" i="29"/>
  <c r="AV142" i="29"/>
  <c r="BR142" i="29" s="1"/>
  <c r="AN142" i="29"/>
  <c r="BM142" i="29" s="1"/>
  <c r="AM142" i="29"/>
  <c r="BO142" i="29" s="1"/>
  <c r="AL142" i="29"/>
  <c r="BN142" i="29" s="1"/>
  <c r="W142" i="29"/>
  <c r="AE142" i="29" s="1"/>
  <c r="V142" i="29"/>
  <c r="AD142" i="29" s="1"/>
  <c r="BU141" i="29"/>
  <c r="BT141" i="29"/>
  <c r="BH141" i="29"/>
  <c r="BG141" i="29"/>
  <c r="BF141" i="29"/>
  <c r="AV141" i="29"/>
  <c r="BR141" i="29" s="1"/>
  <c r="AM141" i="29"/>
  <c r="AL141" i="29"/>
  <c r="W141" i="29"/>
  <c r="AE141" i="29" s="1"/>
  <c r="V141" i="29"/>
  <c r="CA140" i="29"/>
  <c r="BZ140" i="29"/>
  <c r="BY140" i="29"/>
  <c r="BX140" i="29"/>
  <c r="BW140" i="29"/>
  <c r="BV140" i="29"/>
  <c r="BF140" i="29"/>
  <c r="BE140" i="29"/>
  <c r="BD140" i="29"/>
  <c r="BC140" i="29"/>
  <c r="BB140" i="29"/>
  <c r="BA140" i="29"/>
  <c r="AZ140" i="29"/>
  <c r="AY140" i="29"/>
  <c r="AX140" i="29"/>
  <c r="AU140" i="29"/>
  <c r="AT140" i="29"/>
  <c r="AK140" i="29"/>
  <c r="AJ140" i="29"/>
  <c r="AI140" i="29"/>
  <c r="AH140" i="29"/>
  <c r="AG140" i="29"/>
  <c r="AE140" i="29"/>
  <c r="AC140" i="29"/>
  <c r="AB140" i="29"/>
  <c r="AA140" i="29"/>
  <c r="Z140" i="29"/>
  <c r="Y140" i="29"/>
  <c r="X140" i="29"/>
  <c r="V140" i="29"/>
  <c r="BT139" i="29"/>
  <c r="BG139" i="29"/>
  <c r="BF139" i="29"/>
  <c r="BF204" i="29" s="1"/>
  <c r="AV139" i="29"/>
  <c r="AM139" i="29"/>
  <c r="AM204" i="29" s="1"/>
  <c r="AL139" i="29"/>
  <c r="AE139" i="29"/>
  <c r="AP139" i="29" s="1"/>
  <c r="W139" i="29"/>
  <c r="V139" i="29"/>
  <c r="V204" i="29" s="1"/>
  <c r="CA138" i="29"/>
  <c r="BZ138" i="29"/>
  <c r="BY138" i="29"/>
  <c r="BX138" i="29"/>
  <c r="BW138" i="29"/>
  <c r="BV138" i="29"/>
  <c r="BE138" i="29"/>
  <c r="BD138" i="29"/>
  <c r="BC138" i="29"/>
  <c r="BB138" i="29"/>
  <c r="BA138" i="29"/>
  <c r="AZ138" i="29"/>
  <c r="AY138" i="29"/>
  <c r="AX138" i="29"/>
  <c r="AV138" i="29"/>
  <c r="AU138" i="29"/>
  <c r="AT138" i="29"/>
  <c r="AK138" i="29"/>
  <c r="AJ138" i="29"/>
  <c r="AI138" i="29"/>
  <c r="AH138" i="29"/>
  <c r="AG138" i="29"/>
  <c r="AC138" i="29"/>
  <c r="AB138" i="29"/>
  <c r="AA138" i="29"/>
  <c r="Z138" i="29"/>
  <c r="Y138" i="29"/>
  <c r="X138" i="29"/>
  <c r="BR137" i="29"/>
  <c r="BK137" i="29"/>
  <c r="BG137" i="29"/>
  <c r="BU137" i="29" s="1"/>
  <c r="BF137" i="29"/>
  <c r="AV137" i="29"/>
  <c r="AM137" i="29"/>
  <c r="BO137" i="29" s="1"/>
  <c r="AL137" i="29"/>
  <c r="AE137" i="29"/>
  <c r="W137" i="29"/>
  <c r="V137" i="29"/>
  <c r="AD137" i="29" s="1"/>
  <c r="BS136" i="29"/>
  <c r="BR136" i="29"/>
  <c r="BH136" i="29"/>
  <c r="BG136" i="29"/>
  <c r="BU136" i="29" s="1"/>
  <c r="BF136" i="29"/>
  <c r="BT136" i="29" s="1"/>
  <c r="AV136" i="29"/>
  <c r="AM136" i="29"/>
  <c r="BO136" i="29" s="1"/>
  <c r="AL136" i="29"/>
  <c r="AN136" i="29" s="1"/>
  <c r="BM136" i="29" s="1"/>
  <c r="AE136" i="29"/>
  <c r="W136" i="29"/>
  <c r="V136" i="29"/>
  <c r="AD136" i="29" s="1"/>
  <c r="BT135" i="29"/>
  <c r="BO135" i="29"/>
  <c r="BK135" i="29"/>
  <c r="BG135" i="29"/>
  <c r="BF135" i="29"/>
  <c r="AV135" i="29"/>
  <c r="BR135" i="29" s="1"/>
  <c r="AM135" i="29"/>
  <c r="AL135" i="29"/>
  <c r="AD135" i="29"/>
  <c r="W135" i="29"/>
  <c r="AE135" i="29" s="1"/>
  <c r="V135" i="29"/>
  <c r="BU134" i="29"/>
  <c r="BT134" i="29"/>
  <c r="BO134" i="29"/>
  <c r="BN134" i="29"/>
  <c r="BH134" i="29"/>
  <c r="BS134" i="29" s="1"/>
  <c r="BG134" i="29"/>
  <c r="BF134" i="29"/>
  <c r="AV134" i="29"/>
  <c r="BR134" i="29" s="1"/>
  <c r="AP134" i="29"/>
  <c r="AN134" i="29"/>
  <c r="BM134" i="29" s="1"/>
  <c r="AM134" i="29"/>
  <c r="AL134" i="29"/>
  <c r="AE134" i="29"/>
  <c r="BL134" i="29" s="1"/>
  <c r="W134" i="29"/>
  <c r="V134" i="29"/>
  <c r="AD134" i="29" s="1"/>
  <c r="BU133" i="29"/>
  <c r="BK133" i="29"/>
  <c r="BG133" i="29"/>
  <c r="BF133" i="29"/>
  <c r="AV133" i="29"/>
  <c r="BR133" i="29" s="1"/>
  <c r="AO133" i="29"/>
  <c r="AM133" i="29"/>
  <c r="AL133" i="29"/>
  <c r="BN133" i="29" s="1"/>
  <c r="AD133" i="29"/>
  <c r="AD138" i="29" s="1"/>
  <c r="W133" i="29"/>
  <c r="V133" i="29"/>
  <c r="CA132" i="29"/>
  <c r="BZ132" i="29"/>
  <c r="BY132" i="29"/>
  <c r="BX132" i="29"/>
  <c r="BW132" i="29"/>
  <c r="BE132" i="29"/>
  <c r="BD132" i="29"/>
  <c r="BC132" i="29"/>
  <c r="BB132" i="29"/>
  <c r="BA132" i="29"/>
  <c r="AZ132" i="29"/>
  <c r="AY132" i="29"/>
  <c r="AX132" i="29"/>
  <c r="AU132" i="29"/>
  <c r="AT132" i="29"/>
  <c r="AM132" i="29"/>
  <c r="AL132" i="29"/>
  <c r="AK132" i="29"/>
  <c r="AJ132" i="29"/>
  <c r="AI132" i="29"/>
  <c r="AH132" i="29"/>
  <c r="AG132" i="29"/>
  <c r="AC132" i="29"/>
  <c r="AB132" i="29"/>
  <c r="AA132" i="29"/>
  <c r="Z132" i="29"/>
  <c r="Y132" i="29"/>
  <c r="X132" i="29"/>
  <c r="BV131" i="29"/>
  <c r="BV203" i="29" s="1"/>
  <c r="BU131" i="29"/>
  <c r="BO131" i="29"/>
  <c r="BG131" i="29"/>
  <c r="BF131" i="29"/>
  <c r="BT131" i="29" s="1"/>
  <c r="AV131" i="29"/>
  <c r="AN131" i="29"/>
  <c r="BM131" i="29" s="1"/>
  <c r="AM131" i="29"/>
  <c r="AL131" i="29"/>
  <c r="BN131" i="29" s="1"/>
  <c r="W131" i="29"/>
  <c r="AE131" i="29" s="1"/>
  <c r="V131" i="29"/>
  <c r="BT130" i="29"/>
  <c r="BR130" i="29"/>
  <c r="BH130" i="29"/>
  <c r="BS130" i="29" s="1"/>
  <c r="BG130" i="29"/>
  <c r="BU130" i="29" s="1"/>
  <c r="BF130" i="29"/>
  <c r="AV130" i="29"/>
  <c r="AP130" i="29"/>
  <c r="AM130" i="29"/>
  <c r="BO130" i="29" s="1"/>
  <c r="AL130" i="29"/>
  <c r="BN130" i="29" s="1"/>
  <c r="AE130" i="29"/>
  <c r="BL130" i="29" s="1"/>
  <c r="AD130" i="29"/>
  <c r="W130" i="29"/>
  <c r="V130" i="29"/>
  <c r="BR129" i="29"/>
  <c r="BO129" i="29"/>
  <c r="BL129" i="29"/>
  <c r="BG129" i="29"/>
  <c r="BU129" i="29" s="1"/>
  <c r="BF129" i="29"/>
  <c r="AV129" i="29"/>
  <c r="AM129" i="29"/>
  <c r="AL129" i="29"/>
  <c r="AN129" i="29" s="1"/>
  <c r="BM129" i="29" s="1"/>
  <c r="AE129" i="29"/>
  <c r="AP129" i="29" s="1"/>
  <c r="AD129" i="29"/>
  <c r="W129" i="29"/>
  <c r="V129" i="29"/>
  <c r="BT128" i="29"/>
  <c r="BR128" i="29"/>
  <c r="BN128" i="29"/>
  <c r="BH128" i="29"/>
  <c r="BS128" i="29" s="1"/>
  <c r="BG128" i="29"/>
  <c r="BU128" i="29" s="1"/>
  <c r="BF128" i="29"/>
  <c r="BF132" i="29" s="1"/>
  <c r="AV128" i="29"/>
  <c r="AN128" i="29"/>
  <c r="BM128" i="29" s="1"/>
  <c r="AM128" i="29"/>
  <c r="BO128" i="29" s="1"/>
  <c r="AL128" i="29"/>
  <c r="AF128" i="29"/>
  <c r="W128" i="29"/>
  <c r="AE128" i="29" s="1"/>
  <c r="BL128" i="29" s="1"/>
  <c r="V128" i="29"/>
  <c r="AD128" i="29" s="1"/>
  <c r="BT127" i="29"/>
  <c r="BO127" i="29"/>
  <c r="BN127" i="29"/>
  <c r="BG127" i="29"/>
  <c r="BF127" i="29"/>
  <c r="AV127" i="29"/>
  <c r="BR127" i="29" s="1"/>
  <c r="AM127" i="29"/>
  <c r="AL127" i="29"/>
  <c r="AF127" i="29"/>
  <c r="W127" i="29"/>
  <c r="AE127" i="29" s="1"/>
  <c r="V127" i="29"/>
  <c r="AD127" i="29" s="1"/>
  <c r="CA126" i="29"/>
  <c r="BZ126" i="29"/>
  <c r="BY126" i="29"/>
  <c r="BX126" i="29"/>
  <c r="BW126" i="29"/>
  <c r="BV126" i="29"/>
  <c r="BE126" i="29"/>
  <c r="BD126" i="29"/>
  <c r="BC126" i="29"/>
  <c r="BB126" i="29"/>
  <c r="BA126" i="29"/>
  <c r="AZ126" i="29"/>
  <c r="AY126" i="29"/>
  <c r="AX126" i="29"/>
  <c r="AU126" i="29"/>
  <c r="AT126" i="29"/>
  <c r="AK126" i="29"/>
  <c r="AJ126" i="29"/>
  <c r="AI126" i="29"/>
  <c r="AH126" i="29"/>
  <c r="AG126" i="29"/>
  <c r="AC126" i="29"/>
  <c r="AB126" i="29"/>
  <c r="AA126" i="29"/>
  <c r="Z126" i="29"/>
  <c r="Y126" i="29"/>
  <c r="X126" i="29"/>
  <c r="BG125" i="29"/>
  <c r="BU125" i="29" s="1"/>
  <c r="BF125" i="29"/>
  <c r="BH125" i="29" s="1"/>
  <c r="BS125" i="29" s="1"/>
  <c r="AV125" i="29"/>
  <c r="BR125" i="29" s="1"/>
  <c r="AM125" i="29"/>
  <c r="BO125" i="29" s="1"/>
  <c r="AL125" i="29"/>
  <c r="AN125" i="29" s="1"/>
  <c r="BM125" i="29" s="1"/>
  <c r="W125" i="29"/>
  <c r="AE125" i="29" s="1"/>
  <c r="V125" i="29"/>
  <c r="AD125" i="29" s="1"/>
  <c r="BU124" i="29"/>
  <c r="BT124" i="29"/>
  <c r="BO124" i="29"/>
  <c r="BN124" i="29"/>
  <c r="BM124" i="29"/>
  <c r="BG124" i="29"/>
  <c r="BH124" i="29" s="1"/>
  <c r="BS124" i="29" s="1"/>
  <c r="BF124" i="29"/>
  <c r="AV124" i="29"/>
  <c r="BR124" i="29" s="1"/>
  <c r="AO124" i="29"/>
  <c r="AM124" i="29"/>
  <c r="AL124" i="29"/>
  <c r="AN124" i="29" s="1"/>
  <c r="AD124" i="29"/>
  <c r="W124" i="29"/>
  <c r="AE124" i="29" s="1"/>
  <c r="V124" i="29"/>
  <c r="BU123" i="29"/>
  <c r="BT123" i="29"/>
  <c r="BL123" i="29"/>
  <c r="BG123" i="29"/>
  <c r="BF123" i="29"/>
  <c r="BH123" i="29" s="1"/>
  <c r="BS123" i="29" s="1"/>
  <c r="AV123" i="29"/>
  <c r="AM123" i="29"/>
  <c r="BO123" i="29" s="1"/>
  <c r="AL123" i="29"/>
  <c r="W123" i="29"/>
  <c r="AE123" i="29" s="1"/>
  <c r="V123" i="29"/>
  <c r="AD123" i="29" s="1"/>
  <c r="BU122" i="29"/>
  <c r="BG122" i="29"/>
  <c r="BF122" i="29"/>
  <c r="AV122" i="29"/>
  <c r="BR122" i="29" s="1"/>
  <c r="AO122" i="29"/>
  <c r="AN122" i="29"/>
  <c r="BM122" i="29" s="1"/>
  <c r="AM122" i="29"/>
  <c r="BO122" i="29" s="1"/>
  <c r="BO126" i="29" s="1"/>
  <c r="AL122" i="29"/>
  <c r="BN122" i="29" s="1"/>
  <c r="AD122" i="29"/>
  <c r="BK122" i="29" s="1"/>
  <c r="W122" i="29"/>
  <c r="AE122" i="29" s="1"/>
  <c r="V122" i="29"/>
  <c r="BH121" i="29"/>
  <c r="BG121" i="29"/>
  <c r="BF121" i="29"/>
  <c r="BT121" i="29" s="1"/>
  <c r="AV121" i="29"/>
  <c r="BR121" i="29" s="1"/>
  <c r="AN121" i="29"/>
  <c r="BM121" i="29" s="1"/>
  <c r="AM121" i="29"/>
  <c r="BO121" i="29" s="1"/>
  <c r="AL121" i="29"/>
  <c r="BN121" i="29" s="1"/>
  <c r="W121" i="29"/>
  <c r="V121" i="29"/>
  <c r="V126" i="29" s="1"/>
  <c r="CA120" i="29"/>
  <c r="BZ120" i="29"/>
  <c r="BY120" i="29"/>
  <c r="BX120" i="29"/>
  <c r="BW120" i="29"/>
  <c r="BV120" i="29"/>
  <c r="BE120" i="29"/>
  <c r="BD120" i="29"/>
  <c r="BC120" i="29"/>
  <c r="BB120" i="29"/>
  <c r="BA120" i="29"/>
  <c r="AZ120" i="29"/>
  <c r="AY120" i="29"/>
  <c r="AX120" i="29"/>
  <c r="AU120" i="29"/>
  <c r="AT120" i="29"/>
  <c r="AK120" i="29"/>
  <c r="AJ120" i="29"/>
  <c r="AI120" i="29"/>
  <c r="AH120" i="29"/>
  <c r="AG120" i="29"/>
  <c r="AC120" i="29"/>
  <c r="AB120" i="29"/>
  <c r="AA120" i="29"/>
  <c r="Z120" i="29"/>
  <c r="Y120" i="29"/>
  <c r="X120" i="29"/>
  <c r="BU119" i="29"/>
  <c r="BR119" i="29"/>
  <c r="BO119" i="29"/>
  <c r="BG119" i="29"/>
  <c r="BF119" i="29"/>
  <c r="AV119" i="29"/>
  <c r="AP119" i="29"/>
  <c r="AM119" i="29"/>
  <c r="AL119" i="29"/>
  <c r="AE119" i="29"/>
  <c r="BL119" i="29" s="1"/>
  <c r="W119" i="29"/>
  <c r="V119" i="29"/>
  <c r="AD119" i="29" s="1"/>
  <c r="BT118" i="29"/>
  <c r="BH118" i="29"/>
  <c r="BS118" i="29" s="1"/>
  <c r="BG118" i="29"/>
  <c r="BU118" i="29" s="1"/>
  <c r="BF118" i="29"/>
  <c r="AV118" i="29"/>
  <c r="BR118" i="29" s="1"/>
  <c r="AM118" i="29"/>
  <c r="BO118" i="29" s="1"/>
  <c r="AL118" i="29"/>
  <c r="AF118" i="29"/>
  <c r="W118" i="29"/>
  <c r="AE118" i="29" s="1"/>
  <c r="V118" i="29"/>
  <c r="AD118" i="29" s="1"/>
  <c r="BU117" i="29"/>
  <c r="BT117" i="29"/>
  <c r="BO117" i="29"/>
  <c r="BH117" i="29"/>
  <c r="BS117" i="29" s="1"/>
  <c r="BG117" i="29"/>
  <c r="BF117" i="29"/>
  <c r="AV117" i="29"/>
  <c r="BR117" i="29" s="1"/>
  <c r="AO117" i="29"/>
  <c r="AM117" i="29"/>
  <c r="AL117" i="29"/>
  <c r="AD117" i="29"/>
  <c r="AF117" i="29" s="1"/>
  <c r="W117" i="29"/>
  <c r="AE117" i="29" s="1"/>
  <c r="V117" i="29"/>
  <c r="BU116" i="29"/>
  <c r="BG116" i="29"/>
  <c r="BF116" i="29"/>
  <c r="AV116" i="29"/>
  <c r="BR116" i="29" s="1"/>
  <c r="AM116" i="29"/>
  <c r="AN116" i="29" s="1"/>
  <c r="BM116" i="29" s="1"/>
  <c r="AL116" i="29"/>
  <c r="BN116" i="29" s="1"/>
  <c r="AE116" i="29"/>
  <c r="W116" i="29"/>
  <c r="V116" i="29"/>
  <c r="AD116" i="29" s="1"/>
  <c r="BM115" i="29"/>
  <c r="BG115" i="29"/>
  <c r="BF115" i="29"/>
  <c r="BF120" i="29" s="1"/>
  <c r="AV115" i="29"/>
  <c r="AN115" i="29"/>
  <c r="AM115" i="29"/>
  <c r="BO115" i="29" s="1"/>
  <c r="AL115" i="29"/>
  <c r="BN115" i="29" s="1"/>
  <c r="AD115" i="29"/>
  <c r="W115" i="29"/>
  <c r="V115" i="29"/>
  <c r="CA114" i="29"/>
  <c r="BZ114" i="29"/>
  <c r="BY114" i="29"/>
  <c r="BX114" i="29"/>
  <c r="BW114" i="29"/>
  <c r="BV114" i="29"/>
  <c r="BE114" i="29"/>
  <c r="BD114" i="29"/>
  <c r="BC114" i="29"/>
  <c r="BB114" i="29"/>
  <c r="BA114" i="29"/>
  <c r="AZ114" i="29"/>
  <c r="AY114" i="29"/>
  <c r="AX114" i="29"/>
  <c r="AU114" i="29"/>
  <c r="AT114" i="29"/>
  <c r="AK114" i="29"/>
  <c r="AJ114" i="29"/>
  <c r="AI114" i="29"/>
  <c r="AH114" i="29"/>
  <c r="AG114" i="29"/>
  <c r="AC114" i="29"/>
  <c r="AB114" i="29"/>
  <c r="AA114" i="29"/>
  <c r="Z114" i="29"/>
  <c r="Y114" i="29"/>
  <c r="X114" i="29"/>
  <c r="BU113" i="29"/>
  <c r="BR113" i="29"/>
  <c r="BG113" i="29"/>
  <c r="BF113" i="29"/>
  <c r="AV113" i="29"/>
  <c r="AP113" i="29"/>
  <c r="AN113" i="29"/>
  <c r="BM113" i="29" s="1"/>
  <c r="AM113" i="29"/>
  <c r="BO113" i="29" s="1"/>
  <c r="AL113" i="29"/>
  <c r="BN113" i="29" s="1"/>
  <c r="AE113" i="29"/>
  <c r="BL113" i="29" s="1"/>
  <c r="W113" i="29"/>
  <c r="V113" i="29"/>
  <c r="AD113" i="29" s="1"/>
  <c r="BT112" i="29"/>
  <c r="BG112" i="29"/>
  <c r="BF112" i="29"/>
  <c r="AV112" i="29"/>
  <c r="BR112" i="29" s="1"/>
  <c r="AN112" i="29"/>
  <c r="BM112" i="29" s="1"/>
  <c r="AM112" i="29"/>
  <c r="BO112" i="29" s="1"/>
  <c r="AL112" i="29"/>
  <c r="BN112" i="29" s="1"/>
  <c r="AD112" i="29"/>
  <c r="BK112" i="29" s="1"/>
  <c r="W112" i="29"/>
  <c r="AE112" i="29" s="1"/>
  <c r="V112" i="29"/>
  <c r="BU111" i="29"/>
  <c r="BR111" i="29"/>
  <c r="BN111" i="29"/>
  <c r="BG111" i="29"/>
  <c r="BF111" i="29"/>
  <c r="AV111" i="29"/>
  <c r="AM111" i="29"/>
  <c r="BO111" i="29" s="1"/>
  <c r="AL111" i="29"/>
  <c r="AN111" i="29" s="1"/>
  <c r="BM111" i="29" s="1"/>
  <c r="AE111" i="29"/>
  <c r="BL111" i="29" s="1"/>
  <c r="AD111" i="29"/>
  <c r="W111" i="29"/>
  <c r="V111" i="29"/>
  <c r="BU110" i="29"/>
  <c r="BR110" i="29"/>
  <c r="BG110" i="29"/>
  <c r="BF110" i="29"/>
  <c r="AV110" i="29"/>
  <c r="AP110" i="29"/>
  <c r="AM110" i="29"/>
  <c r="BO110" i="29" s="1"/>
  <c r="AL110" i="29"/>
  <c r="BN110" i="29" s="1"/>
  <c r="AE110" i="29"/>
  <c r="BL110" i="29" s="1"/>
  <c r="W110" i="29"/>
  <c r="V110" i="29"/>
  <c r="BT109" i="29"/>
  <c r="BH109" i="29"/>
  <c r="BS109" i="29" s="1"/>
  <c r="BG109" i="29"/>
  <c r="BF109" i="29"/>
  <c r="AV109" i="29"/>
  <c r="BR109" i="29" s="1"/>
  <c r="BR114" i="29" s="1"/>
  <c r="AN109" i="29"/>
  <c r="AM109" i="29"/>
  <c r="BO109" i="29" s="1"/>
  <c r="AL109" i="29"/>
  <c r="AD109" i="29"/>
  <c r="BK109" i="29" s="1"/>
  <c r="W109" i="29"/>
  <c r="V109" i="29"/>
  <c r="CA108" i="29"/>
  <c r="BZ108" i="29"/>
  <c r="BY108" i="29"/>
  <c r="BX108" i="29"/>
  <c r="BW108" i="29"/>
  <c r="BV108" i="29"/>
  <c r="BE108" i="29"/>
  <c r="BD108" i="29"/>
  <c r="BC108" i="29"/>
  <c r="BB108" i="29"/>
  <c r="BA108" i="29"/>
  <c r="AZ108" i="29"/>
  <c r="AY108" i="29"/>
  <c r="AX108" i="29"/>
  <c r="AU108" i="29"/>
  <c r="AT108" i="29"/>
  <c r="AK108" i="29"/>
  <c r="AJ108" i="29"/>
  <c r="AI108" i="29"/>
  <c r="AH108" i="29"/>
  <c r="AG108" i="29"/>
  <c r="AC108" i="29"/>
  <c r="AB108" i="29"/>
  <c r="AA108" i="29"/>
  <c r="Z108" i="29"/>
  <c r="Y108" i="29"/>
  <c r="X108" i="29"/>
  <c r="BU107" i="29"/>
  <c r="BR107" i="29"/>
  <c r="BO107" i="29"/>
  <c r="BM107" i="29"/>
  <c r="BG107" i="29"/>
  <c r="BF107" i="29"/>
  <c r="AV107" i="29"/>
  <c r="AP107" i="29"/>
  <c r="AM107" i="29"/>
  <c r="AN107" i="29" s="1"/>
  <c r="AL107" i="29"/>
  <c r="BN107" i="29" s="1"/>
  <c r="AE107" i="29"/>
  <c r="BL107" i="29" s="1"/>
  <c r="W107" i="29"/>
  <c r="V107" i="29"/>
  <c r="AD107" i="29" s="1"/>
  <c r="BT106" i="29"/>
  <c r="BN106" i="29"/>
  <c r="BH106" i="29"/>
  <c r="BS106" i="29" s="1"/>
  <c r="BG106" i="29"/>
  <c r="BU106" i="29" s="1"/>
  <c r="BF106" i="29"/>
  <c r="AV106" i="29"/>
  <c r="BR106" i="29" s="1"/>
  <c r="AM106" i="29"/>
  <c r="BO106" i="29" s="1"/>
  <c r="AL106" i="29"/>
  <c r="AN106" i="29" s="1"/>
  <c r="BM106" i="29" s="1"/>
  <c r="AF106" i="29"/>
  <c r="AD106" i="29"/>
  <c r="BK106" i="29" s="1"/>
  <c r="W106" i="29"/>
  <c r="AE106" i="29" s="1"/>
  <c r="V106" i="29"/>
  <c r="BU105" i="29"/>
  <c r="BT105" i="29"/>
  <c r="BR105" i="29"/>
  <c r="BO105" i="29"/>
  <c r="BH105" i="29"/>
  <c r="BS105" i="29" s="1"/>
  <c r="BG105" i="29"/>
  <c r="BF105" i="29"/>
  <c r="AV105" i="29"/>
  <c r="AM105" i="29"/>
  <c r="AM108" i="29" s="1"/>
  <c r="AL105" i="29"/>
  <c r="AE105" i="29"/>
  <c r="BL105" i="29" s="1"/>
  <c r="AD105" i="29"/>
  <c r="W105" i="29"/>
  <c r="V105" i="29"/>
  <c r="BU104" i="29"/>
  <c r="BO104" i="29"/>
  <c r="BG104" i="29"/>
  <c r="BF104" i="29"/>
  <c r="AV104" i="29"/>
  <c r="BR104" i="29" s="1"/>
  <c r="AN104" i="29"/>
  <c r="BM104" i="29" s="1"/>
  <c r="AM104" i="29"/>
  <c r="AL104" i="29"/>
  <c r="BN104" i="29" s="1"/>
  <c r="W104" i="29"/>
  <c r="AE104" i="29" s="1"/>
  <c r="V104" i="29"/>
  <c r="AD104" i="29" s="1"/>
  <c r="BT103" i="29"/>
  <c r="BM103" i="29"/>
  <c r="BG103" i="29"/>
  <c r="BF103" i="29"/>
  <c r="BF108" i="29" s="1"/>
  <c r="AV103" i="29"/>
  <c r="AO103" i="29"/>
  <c r="AN103" i="29"/>
  <c r="AM103" i="29"/>
  <c r="BO103" i="29" s="1"/>
  <c r="AL103" i="29"/>
  <c r="BN103" i="29" s="1"/>
  <c r="AD103" i="29"/>
  <c r="W103" i="29"/>
  <c r="V103" i="29"/>
  <c r="CA102" i="29"/>
  <c r="BZ102" i="29"/>
  <c r="BY102" i="29"/>
  <c r="BX102" i="29"/>
  <c r="BW102" i="29"/>
  <c r="BV102" i="29"/>
  <c r="BF102" i="29"/>
  <c r="BE102" i="29"/>
  <c r="BD102" i="29"/>
  <c r="BC102" i="29"/>
  <c r="BB102" i="29"/>
  <c r="BA102" i="29"/>
  <c r="AZ102" i="29"/>
  <c r="AY102" i="29"/>
  <c r="AX102" i="29"/>
  <c r="AU102" i="29"/>
  <c r="AT102" i="29"/>
  <c r="AM102" i="29"/>
  <c r="AK102" i="29"/>
  <c r="AJ102" i="29"/>
  <c r="AI102" i="29"/>
  <c r="AH102" i="29"/>
  <c r="AG102" i="29"/>
  <c r="AC102" i="29"/>
  <c r="AB102" i="29"/>
  <c r="AA102" i="29"/>
  <c r="Z102" i="29"/>
  <c r="Y102" i="29"/>
  <c r="X102" i="29"/>
  <c r="BU101" i="29"/>
  <c r="BR101" i="29"/>
  <c r="BG101" i="29"/>
  <c r="BF101" i="29"/>
  <c r="AV101" i="29"/>
  <c r="AM101" i="29"/>
  <c r="AL101" i="29"/>
  <c r="BN101" i="29" s="1"/>
  <c r="W101" i="29"/>
  <c r="AE101" i="29" s="1"/>
  <c r="AP101" i="29" s="1"/>
  <c r="V101" i="29"/>
  <c r="AD101" i="29" s="1"/>
  <c r="BT100" i="29"/>
  <c r="BO100" i="29"/>
  <c r="BG100" i="29"/>
  <c r="BF100" i="29"/>
  <c r="AV100" i="29"/>
  <c r="BR100" i="29" s="1"/>
  <c r="AN100" i="29"/>
  <c r="BM100" i="29" s="1"/>
  <c r="AM100" i="29"/>
  <c r="AL100" i="29"/>
  <c r="BN100" i="29" s="1"/>
  <c r="AD100" i="29"/>
  <c r="W100" i="29"/>
  <c r="AE100" i="29" s="1"/>
  <c r="V100" i="29"/>
  <c r="BU99" i="29"/>
  <c r="BR99" i="29"/>
  <c r="BN99" i="29"/>
  <c r="BH99" i="29"/>
  <c r="BS99" i="29" s="1"/>
  <c r="BG99" i="29"/>
  <c r="BF99" i="29"/>
  <c r="BT99" i="29" s="1"/>
  <c r="AV99" i="29"/>
  <c r="AO99" i="29"/>
  <c r="AN99" i="29"/>
  <c r="BM99" i="29" s="1"/>
  <c r="AM99" i="29"/>
  <c r="BO99" i="29" s="1"/>
  <c r="AL99" i="29"/>
  <c r="AE99" i="29"/>
  <c r="AD99" i="29"/>
  <c r="W99" i="29"/>
  <c r="V99" i="29"/>
  <c r="BR98" i="29"/>
  <c r="BO98" i="29"/>
  <c r="BM98" i="29"/>
  <c r="BG98" i="29"/>
  <c r="BU98" i="29" s="1"/>
  <c r="BF98" i="29"/>
  <c r="AV98" i="29"/>
  <c r="AM98" i="29"/>
  <c r="AN98" i="29" s="1"/>
  <c r="AL98" i="29"/>
  <c r="BN98" i="29" s="1"/>
  <c r="AE98" i="29"/>
  <c r="W98" i="29"/>
  <c r="V98" i="29"/>
  <c r="V102" i="29" s="1"/>
  <c r="BG97" i="29"/>
  <c r="BF97" i="29"/>
  <c r="BT97" i="29" s="1"/>
  <c r="AV97" i="29"/>
  <c r="AM97" i="29"/>
  <c r="BO97" i="29" s="1"/>
  <c r="AL97" i="29"/>
  <c r="AD97" i="29"/>
  <c r="BK97" i="29" s="1"/>
  <c r="W97" i="29"/>
  <c r="V97" i="29"/>
  <c r="CA96" i="29"/>
  <c r="BZ96" i="29"/>
  <c r="BY96" i="29"/>
  <c r="BX96" i="29"/>
  <c r="BW96" i="29"/>
  <c r="BV96" i="29"/>
  <c r="BE96" i="29"/>
  <c r="BD96" i="29"/>
  <c r="BC96" i="29"/>
  <c r="BB96" i="29"/>
  <c r="BA96" i="29"/>
  <c r="AZ96" i="29"/>
  <c r="AY96" i="29"/>
  <c r="AX96" i="29"/>
  <c r="AU96" i="29"/>
  <c r="AT96" i="29"/>
  <c r="AK96" i="29"/>
  <c r="AJ96" i="29"/>
  <c r="AI96" i="29"/>
  <c r="AH96" i="29"/>
  <c r="AG96" i="29"/>
  <c r="AC96" i="29"/>
  <c r="AB96" i="29"/>
  <c r="AA96" i="29"/>
  <c r="Z96" i="29"/>
  <c r="Y96" i="29"/>
  <c r="X96" i="29"/>
  <c r="BR95" i="29"/>
  <c r="BO95" i="29"/>
  <c r="BM95" i="29"/>
  <c r="BL95" i="29"/>
  <c r="BG95" i="29"/>
  <c r="BU95" i="29" s="1"/>
  <c r="BF95" i="29"/>
  <c r="AV95" i="29"/>
  <c r="AP95" i="29"/>
  <c r="AM95" i="29"/>
  <c r="AN95" i="29" s="1"/>
  <c r="AL95" i="29"/>
  <c r="BN95" i="29" s="1"/>
  <c r="AF95" i="29"/>
  <c r="AE95" i="29"/>
  <c r="AD95" i="29"/>
  <c r="W95" i="29"/>
  <c r="V95" i="29"/>
  <c r="BT94" i="29"/>
  <c r="BN94" i="29"/>
  <c r="BM94" i="29"/>
  <c r="BG94" i="29"/>
  <c r="BU94" i="29" s="1"/>
  <c r="BF94" i="29"/>
  <c r="AV94" i="29"/>
  <c r="BR94" i="29" s="1"/>
  <c r="AR94" i="29"/>
  <c r="BP94" i="29" s="1"/>
  <c r="AN94" i="29"/>
  <c r="AM94" i="29"/>
  <c r="BO94" i="29" s="1"/>
  <c r="AL94" i="29"/>
  <c r="AF94" i="29"/>
  <c r="AE94" i="29"/>
  <c r="AD94" i="29"/>
  <c r="BK94" i="29" s="1"/>
  <c r="W94" i="29"/>
  <c r="V94" i="29"/>
  <c r="BT93" i="29"/>
  <c r="BS93" i="29"/>
  <c r="BR93" i="29"/>
  <c r="BO93" i="29"/>
  <c r="BK93" i="29"/>
  <c r="BG93" i="29"/>
  <c r="BH93" i="29" s="1"/>
  <c r="BF93" i="29"/>
  <c r="AV93" i="29"/>
  <c r="AM93" i="29"/>
  <c r="AL93" i="29"/>
  <c r="AE93" i="29"/>
  <c r="BL93" i="29" s="1"/>
  <c r="AD93" i="29"/>
  <c r="W93" i="29"/>
  <c r="V93" i="29"/>
  <c r="BU92" i="29"/>
  <c r="BL92" i="29"/>
  <c r="BG92" i="29"/>
  <c r="BF92" i="29"/>
  <c r="AV92" i="29"/>
  <c r="BR92" i="29" s="1"/>
  <c r="AM92" i="29"/>
  <c r="BO92" i="29" s="1"/>
  <c r="AL92" i="29"/>
  <c r="W92" i="29"/>
  <c r="AE92" i="29" s="1"/>
  <c r="V92" i="29"/>
  <c r="AD92" i="29" s="1"/>
  <c r="BU91" i="29"/>
  <c r="BT91" i="29"/>
  <c r="BG91" i="29"/>
  <c r="BF91" i="29"/>
  <c r="AV91" i="29"/>
  <c r="AM91" i="29"/>
  <c r="AL91" i="29"/>
  <c r="BN91" i="29" s="1"/>
  <c r="W91" i="29"/>
  <c r="V91" i="29"/>
  <c r="CA90" i="29"/>
  <c r="BZ90" i="29"/>
  <c r="BY90" i="29"/>
  <c r="BX90" i="29"/>
  <c r="BW90" i="29"/>
  <c r="BV90" i="29"/>
  <c r="BE90" i="29"/>
  <c r="BD90" i="29"/>
  <c r="BC90" i="29"/>
  <c r="BB90" i="29"/>
  <c r="BA90" i="29"/>
  <c r="AZ90" i="29"/>
  <c r="AY90" i="29"/>
  <c r="AX90" i="29"/>
  <c r="AU90" i="29"/>
  <c r="AT90" i="29"/>
  <c r="AK90" i="29"/>
  <c r="AJ90" i="29"/>
  <c r="AI90" i="29"/>
  <c r="AH90" i="29"/>
  <c r="AG90" i="29"/>
  <c r="AC90" i="29"/>
  <c r="AB90" i="29"/>
  <c r="AA90" i="29"/>
  <c r="Z90" i="29"/>
  <c r="Y90" i="29"/>
  <c r="X90" i="29"/>
  <c r="BU89" i="29"/>
  <c r="BT89" i="29"/>
  <c r="BL89" i="29"/>
  <c r="BH89" i="29"/>
  <c r="BS89" i="29" s="1"/>
  <c r="BG89" i="29"/>
  <c r="BF89" i="29"/>
  <c r="AV89" i="29"/>
  <c r="BR89" i="29" s="1"/>
  <c r="AM89" i="29"/>
  <c r="BO89" i="29" s="1"/>
  <c r="AL89" i="29"/>
  <c r="AE89" i="29"/>
  <c r="W89" i="29"/>
  <c r="V89" i="29"/>
  <c r="AD89" i="29" s="1"/>
  <c r="BO88" i="29"/>
  <c r="BG88" i="29"/>
  <c r="BF88" i="29"/>
  <c r="AV88" i="29"/>
  <c r="AM88" i="29"/>
  <c r="AL88" i="29"/>
  <c r="AE88" i="29"/>
  <c r="W88" i="29"/>
  <c r="V88" i="29"/>
  <c r="BO87" i="29"/>
  <c r="BN87" i="29"/>
  <c r="BL87" i="29"/>
  <c r="BH87" i="29"/>
  <c r="BS87" i="29" s="1"/>
  <c r="BG87" i="29"/>
  <c r="BU87" i="29" s="1"/>
  <c r="BF87" i="29"/>
  <c r="BT87" i="29" s="1"/>
  <c r="AV87" i="29"/>
  <c r="BR87" i="29" s="1"/>
  <c r="AM87" i="29"/>
  <c r="AN87" i="29" s="1"/>
  <c r="BM87" i="29" s="1"/>
  <c r="AL87" i="29"/>
  <c r="AE87" i="29"/>
  <c r="W87" i="29"/>
  <c r="V87" i="29"/>
  <c r="AD87" i="29" s="1"/>
  <c r="BT86" i="29"/>
  <c r="BN86" i="29"/>
  <c r="BG86" i="29"/>
  <c r="BH86" i="29" s="1"/>
  <c r="BS86" i="29" s="1"/>
  <c r="BF86" i="29"/>
  <c r="AV86" i="29"/>
  <c r="BR86" i="29" s="1"/>
  <c r="AM86" i="29"/>
  <c r="BO86" i="29" s="1"/>
  <c r="AL86" i="29"/>
  <c r="W86" i="29"/>
  <c r="AE86" i="29" s="1"/>
  <c r="V86" i="29"/>
  <c r="BU85" i="29"/>
  <c r="BN85" i="29"/>
  <c r="BH85" i="29"/>
  <c r="BG85" i="29"/>
  <c r="BF85" i="29"/>
  <c r="AV85" i="29"/>
  <c r="AP85" i="29"/>
  <c r="AM85" i="29"/>
  <c r="AL85" i="29"/>
  <c r="AE85" i="29"/>
  <c r="AD85" i="29"/>
  <c r="W85" i="29"/>
  <c r="V85" i="29"/>
  <c r="CA84" i="29"/>
  <c r="BZ84" i="29"/>
  <c r="BY84" i="29"/>
  <c r="BX84" i="29"/>
  <c r="BW84" i="29"/>
  <c r="BV84" i="29"/>
  <c r="BF84" i="29"/>
  <c r="BE84" i="29"/>
  <c r="BD84" i="29"/>
  <c r="BC84" i="29"/>
  <c r="BB84" i="29"/>
  <c r="BA84" i="29"/>
  <c r="AZ84" i="29"/>
  <c r="AY84" i="29"/>
  <c r="AX84" i="29"/>
  <c r="AU84" i="29"/>
  <c r="AT84" i="29"/>
  <c r="AK84" i="29"/>
  <c r="AJ84" i="29"/>
  <c r="AI84" i="29"/>
  <c r="AH84" i="29"/>
  <c r="AG84" i="29"/>
  <c r="AC84" i="29"/>
  <c r="AB84" i="29"/>
  <c r="AA84" i="29"/>
  <c r="Z84" i="29"/>
  <c r="Y84" i="29"/>
  <c r="X84" i="29"/>
  <c r="W84" i="29"/>
  <c r="V84" i="29"/>
  <c r="BT83" i="29"/>
  <c r="BO83" i="29"/>
  <c r="BH83" i="29"/>
  <c r="BS83" i="29" s="1"/>
  <c r="BG83" i="29"/>
  <c r="BU83" i="29" s="1"/>
  <c r="BF83" i="29"/>
  <c r="AV83" i="29"/>
  <c r="BR83" i="29" s="1"/>
  <c r="AM83" i="29"/>
  <c r="AL83" i="29"/>
  <c r="BN83" i="29" s="1"/>
  <c r="W83" i="29"/>
  <c r="AE83" i="29" s="1"/>
  <c r="V83" i="29"/>
  <c r="AD83" i="29" s="1"/>
  <c r="AO83" i="29" s="1"/>
  <c r="BU82" i="29"/>
  <c r="BT82" i="29"/>
  <c r="BR82" i="29"/>
  <c r="BO82" i="29"/>
  <c r="BK82" i="29"/>
  <c r="BG82" i="29"/>
  <c r="BF82" i="29"/>
  <c r="BH82" i="29" s="1"/>
  <c r="BS82" i="29" s="1"/>
  <c r="AV82" i="29"/>
  <c r="AN82" i="29"/>
  <c r="BM82" i="29" s="1"/>
  <c r="AM82" i="29"/>
  <c r="AL82" i="29"/>
  <c r="BN82" i="29" s="1"/>
  <c r="AE82" i="29"/>
  <c r="AP82" i="29" s="1"/>
  <c r="W82" i="29"/>
  <c r="V82" i="29"/>
  <c r="AD82" i="29" s="1"/>
  <c r="BR81" i="29"/>
  <c r="BK81" i="29"/>
  <c r="BG81" i="29"/>
  <c r="BU81" i="29" s="1"/>
  <c r="BF81" i="29"/>
  <c r="AV81" i="29"/>
  <c r="AM81" i="29"/>
  <c r="AL81" i="29"/>
  <c r="BN81" i="29" s="1"/>
  <c r="AE81" i="29"/>
  <c r="BL81" i="29" s="1"/>
  <c r="W81" i="29"/>
  <c r="V81" i="29"/>
  <c r="AD81" i="29" s="1"/>
  <c r="BN80" i="29"/>
  <c r="BK80" i="29"/>
  <c r="BG80" i="29"/>
  <c r="BF80" i="29"/>
  <c r="BT80" i="29" s="1"/>
  <c r="AV80" i="29"/>
  <c r="AV84" i="29" s="1"/>
  <c r="AN80" i="29"/>
  <c r="AM80" i="29"/>
  <c r="BO80" i="29" s="1"/>
  <c r="AL80" i="29"/>
  <c r="AD80" i="29"/>
  <c r="W80" i="29"/>
  <c r="AE80" i="29" s="1"/>
  <c r="V80" i="29"/>
  <c r="CA79" i="29"/>
  <c r="BZ79" i="29"/>
  <c r="BY79" i="29"/>
  <c r="BX79" i="29"/>
  <c r="BW79" i="29"/>
  <c r="BV79" i="29"/>
  <c r="BE79" i="29"/>
  <c r="BD79" i="29"/>
  <c r="BC79" i="29"/>
  <c r="BB79" i="29"/>
  <c r="BA79" i="29"/>
  <c r="AZ79" i="29"/>
  <c r="AY79" i="29"/>
  <c r="AX79" i="29"/>
  <c r="AU79" i="29"/>
  <c r="AT79" i="29"/>
  <c r="AK79" i="29"/>
  <c r="AJ79" i="29"/>
  <c r="AI79" i="29"/>
  <c r="AH79" i="29"/>
  <c r="AG79" i="29"/>
  <c r="AC79" i="29"/>
  <c r="AB79" i="29"/>
  <c r="AA79" i="29"/>
  <c r="Z79" i="29"/>
  <c r="Y79" i="29"/>
  <c r="X79" i="29"/>
  <c r="BO78" i="29"/>
  <c r="BM78" i="29"/>
  <c r="BG78" i="29"/>
  <c r="BU78" i="29" s="1"/>
  <c r="BF78" i="29"/>
  <c r="AV78" i="29"/>
  <c r="BR78" i="29" s="1"/>
  <c r="AM78" i="29"/>
  <c r="AN78" i="29" s="1"/>
  <c r="AL78" i="29"/>
  <c r="BN78" i="29" s="1"/>
  <c r="AE78" i="29"/>
  <c r="BL78" i="29" s="1"/>
  <c r="AD78" i="29"/>
  <c r="W78" i="29"/>
  <c r="V78" i="29"/>
  <c r="BT77" i="29"/>
  <c r="BK77" i="29"/>
  <c r="BG77" i="29"/>
  <c r="BU77" i="29" s="1"/>
  <c r="BF77" i="29"/>
  <c r="AV77" i="29"/>
  <c r="AO77" i="29"/>
  <c r="AQ77" i="29" s="1"/>
  <c r="AM77" i="29"/>
  <c r="BO77" i="29" s="1"/>
  <c r="AL77" i="29"/>
  <c r="AE77" i="29"/>
  <c r="AP77" i="29" s="1"/>
  <c r="AD77" i="29"/>
  <c r="AF77" i="29" s="1"/>
  <c r="AR77" i="29" s="1"/>
  <c r="BP77" i="29" s="1"/>
  <c r="W77" i="29"/>
  <c r="W79" i="29" s="1"/>
  <c r="V77" i="29"/>
  <c r="BR76" i="29"/>
  <c r="BN76" i="29"/>
  <c r="BH76" i="29"/>
  <c r="BS76" i="29" s="1"/>
  <c r="BG76" i="29"/>
  <c r="BF76" i="29"/>
  <c r="BT76" i="29" s="1"/>
  <c r="AV76" i="29"/>
  <c r="AM76" i="29"/>
  <c r="AL76" i="29"/>
  <c r="AE76" i="29"/>
  <c r="W76" i="29"/>
  <c r="V76" i="29"/>
  <c r="CA75" i="29"/>
  <c r="BZ75" i="29"/>
  <c r="BY75" i="29"/>
  <c r="BX75" i="29"/>
  <c r="BW75" i="29"/>
  <c r="BV75" i="29"/>
  <c r="BF75" i="29"/>
  <c r="BE75" i="29"/>
  <c r="BD75" i="29"/>
  <c r="BC75" i="29"/>
  <c r="BB75" i="29"/>
  <c r="BA75" i="29"/>
  <c r="AZ75" i="29"/>
  <c r="AY75" i="29"/>
  <c r="AX75" i="29"/>
  <c r="AV75" i="29"/>
  <c r="AU75" i="29"/>
  <c r="AT75" i="29"/>
  <c r="AK75" i="29"/>
  <c r="AJ75" i="29"/>
  <c r="AI75" i="29"/>
  <c r="AH75" i="29"/>
  <c r="AG75" i="29"/>
  <c r="AC75" i="29"/>
  <c r="AB75" i="29"/>
  <c r="AA75" i="29"/>
  <c r="Z75" i="29"/>
  <c r="Y75" i="29"/>
  <c r="X75" i="29"/>
  <c r="BR74" i="29"/>
  <c r="BN74" i="29"/>
  <c r="BK74" i="29"/>
  <c r="BG74" i="29"/>
  <c r="BF74" i="29"/>
  <c r="BT74" i="29" s="1"/>
  <c r="AV74" i="29"/>
  <c r="AN74" i="29"/>
  <c r="BM74" i="29" s="1"/>
  <c r="AM74" i="29"/>
  <c r="BO74" i="29" s="1"/>
  <c r="BO75" i="29" s="1"/>
  <c r="AL74" i="29"/>
  <c r="AE74" i="29"/>
  <c r="AD74" i="29"/>
  <c r="AO74" i="29" s="1"/>
  <c r="W74" i="29"/>
  <c r="V74" i="29"/>
  <c r="BR73" i="29"/>
  <c r="BO73" i="29"/>
  <c r="BL73" i="29"/>
  <c r="BH73" i="29"/>
  <c r="BS73" i="29" s="1"/>
  <c r="BG73" i="29"/>
  <c r="BU73" i="29" s="1"/>
  <c r="BF73" i="29"/>
  <c r="BT73" i="29" s="1"/>
  <c r="AV73" i="29"/>
  <c r="AR73" i="29"/>
  <c r="BP73" i="29" s="1"/>
  <c r="AP73" i="29"/>
  <c r="AO73" i="29"/>
  <c r="AQ73" i="29" s="1"/>
  <c r="AM73" i="29"/>
  <c r="AL73" i="29"/>
  <c r="AF73" i="29"/>
  <c r="BJ73" i="29" s="1"/>
  <c r="AE73" i="29"/>
  <c r="AD73" i="29"/>
  <c r="BK73" i="29" s="1"/>
  <c r="W73" i="29"/>
  <c r="V73" i="29"/>
  <c r="BR72" i="29"/>
  <c r="BR75" i="29" s="1"/>
  <c r="BO72" i="29"/>
  <c r="BN72" i="29"/>
  <c r="BM72" i="29"/>
  <c r="BG72" i="29"/>
  <c r="BF72" i="29"/>
  <c r="AV72" i="29"/>
  <c r="AN72" i="29"/>
  <c r="AM72" i="29"/>
  <c r="AL72" i="29"/>
  <c r="W72" i="29"/>
  <c r="V72" i="29"/>
  <c r="AD72" i="29" s="1"/>
  <c r="CA71" i="29"/>
  <c r="BZ71" i="29"/>
  <c r="BY71" i="29"/>
  <c r="BX71" i="29"/>
  <c r="BW71" i="29"/>
  <c r="BV71" i="29"/>
  <c r="BE71" i="29"/>
  <c r="BD71" i="29"/>
  <c r="BC71" i="29"/>
  <c r="BB71" i="29"/>
  <c r="BA71" i="29"/>
  <c r="AZ71" i="29"/>
  <c r="AY71" i="29"/>
  <c r="AX71" i="29"/>
  <c r="AU71" i="29"/>
  <c r="AT71" i="29"/>
  <c r="AL71" i="29"/>
  <c r="AK71" i="29"/>
  <c r="AJ71" i="29"/>
  <c r="AI71" i="29"/>
  <c r="AH71" i="29"/>
  <c r="AG71" i="29"/>
  <c r="AC71" i="29"/>
  <c r="AB71" i="29"/>
  <c r="AA71" i="29"/>
  <c r="Z71" i="29"/>
  <c r="Y71" i="29"/>
  <c r="X71" i="29"/>
  <c r="W71" i="29"/>
  <c r="BR70" i="29"/>
  <c r="BN70" i="29"/>
  <c r="BH70" i="29"/>
  <c r="BS70" i="29" s="1"/>
  <c r="BG70" i="29"/>
  <c r="BU70" i="29" s="1"/>
  <c r="BF70" i="29"/>
  <c r="BT70" i="29" s="1"/>
  <c r="AV70" i="29"/>
  <c r="AM70" i="29"/>
  <c r="BO70" i="29" s="1"/>
  <c r="AL70" i="29"/>
  <c r="AE70" i="29"/>
  <c r="W70" i="29"/>
  <c r="V70" i="29"/>
  <c r="AD70" i="29" s="1"/>
  <c r="AO70" i="29" s="1"/>
  <c r="BO69" i="29"/>
  <c r="BN69" i="29"/>
  <c r="BM69" i="29"/>
  <c r="BG69" i="29"/>
  <c r="BU69" i="29" s="1"/>
  <c r="BF69" i="29"/>
  <c r="BH69" i="29" s="1"/>
  <c r="BS69" i="29" s="1"/>
  <c r="AV69" i="29"/>
  <c r="BR69" i="29" s="1"/>
  <c r="AN69" i="29"/>
  <c r="AM69" i="29"/>
  <c r="AL69" i="29"/>
  <c r="AE69" i="29"/>
  <c r="AP69" i="29" s="1"/>
  <c r="W69" i="29"/>
  <c r="V69" i="29"/>
  <c r="AD69" i="29" s="1"/>
  <c r="BT68" i="29"/>
  <c r="BO68" i="29"/>
  <c r="BO71" i="29" s="1"/>
  <c r="BN68" i="29"/>
  <c r="BH68" i="29"/>
  <c r="BS68" i="29" s="1"/>
  <c r="BG68" i="29"/>
  <c r="BG71" i="29" s="1"/>
  <c r="BF68" i="29"/>
  <c r="AV68" i="29"/>
  <c r="BR68" i="29" s="1"/>
  <c r="BR71" i="29" s="1"/>
  <c r="AM68" i="29"/>
  <c r="AL68" i="29"/>
  <c r="AD68" i="29"/>
  <c r="W68" i="29"/>
  <c r="AE68" i="29" s="1"/>
  <c r="V68" i="29"/>
  <c r="CA67" i="29"/>
  <c r="BZ67" i="29"/>
  <c r="BY67" i="29"/>
  <c r="BX67" i="29"/>
  <c r="BW67" i="29"/>
  <c r="BV67" i="29"/>
  <c r="BU67" i="29"/>
  <c r="BE67" i="29"/>
  <c r="BD67" i="29"/>
  <c r="BC67" i="29"/>
  <c r="BB67" i="29"/>
  <c r="BA67" i="29"/>
  <c r="AZ67" i="29"/>
  <c r="AY67" i="29"/>
  <c r="AX67" i="29"/>
  <c r="AU67" i="29"/>
  <c r="AT67" i="29"/>
  <c r="AM67" i="29"/>
  <c r="AK67" i="29"/>
  <c r="AJ67" i="29"/>
  <c r="AI67" i="29"/>
  <c r="AH67" i="29"/>
  <c r="AG67" i="29"/>
  <c r="AC67" i="29"/>
  <c r="AB67" i="29"/>
  <c r="AA67" i="29"/>
  <c r="Z67" i="29"/>
  <c r="Y67" i="29"/>
  <c r="X67" i="29"/>
  <c r="BR66" i="29"/>
  <c r="BR67" i="29" s="1"/>
  <c r="BG66" i="29"/>
  <c r="BU66" i="29" s="1"/>
  <c r="BF66" i="29"/>
  <c r="AV66" i="29"/>
  <c r="AM66" i="29"/>
  <c r="BO66" i="29" s="1"/>
  <c r="AL66" i="29"/>
  <c r="BN66" i="29" s="1"/>
  <c r="AF66" i="29"/>
  <c r="W66" i="29"/>
  <c r="AE66" i="29" s="1"/>
  <c r="V66" i="29"/>
  <c r="AD66" i="29" s="1"/>
  <c r="BT65" i="29"/>
  <c r="BS65" i="29"/>
  <c r="BO65" i="29"/>
  <c r="BM65" i="29"/>
  <c r="BK65" i="29"/>
  <c r="BH65" i="29"/>
  <c r="BG65" i="29"/>
  <c r="BU65" i="29" s="1"/>
  <c r="BF65" i="29"/>
  <c r="AV65" i="29"/>
  <c r="BR65" i="29" s="1"/>
  <c r="AN65" i="29"/>
  <c r="AM65" i="29"/>
  <c r="AL65" i="29"/>
  <c r="BN65" i="29" s="1"/>
  <c r="W65" i="29"/>
  <c r="AE65" i="29" s="1"/>
  <c r="V65" i="29"/>
  <c r="AD65" i="29" s="1"/>
  <c r="AO65" i="29" s="1"/>
  <c r="BU64" i="29"/>
  <c r="BR64" i="29"/>
  <c r="BO64" i="29"/>
  <c r="BO67" i="29" s="1"/>
  <c r="BH64" i="29"/>
  <c r="BG64" i="29"/>
  <c r="BF64" i="29"/>
  <c r="BT64" i="29" s="1"/>
  <c r="AV64" i="29"/>
  <c r="AV67" i="29" s="1"/>
  <c r="AM64" i="29"/>
  <c r="AL64" i="29"/>
  <c r="AE64" i="29"/>
  <c r="W64" i="29"/>
  <c r="V64" i="29"/>
  <c r="CA63" i="29"/>
  <c r="BZ63" i="29"/>
  <c r="BY63" i="29"/>
  <c r="BX63" i="29"/>
  <c r="BW63" i="29"/>
  <c r="BV63" i="29"/>
  <c r="BG63" i="29"/>
  <c r="BE63" i="29"/>
  <c r="BD63" i="29"/>
  <c r="BC63" i="29"/>
  <c r="BB63" i="29"/>
  <c r="BA63" i="29"/>
  <c r="AZ63" i="29"/>
  <c r="AY63" i="29"/>
  <c r="AX63" i="29"/>
  <c r="AU63" i="29"/>
  <c r="AT63" i="29"/>
  <c r="AK63" i="29"/>
  <c r="AJ63" i="29"/>
  <c r="AI63" i="29"/>
  <c r="AH63" i="29"/>
  <c r="AG63" i="29"/>
  <c r="AC63" i="29"/>
  <c r="AB63" i="29"/>
  <c r="AA63" i="29"/>
  <c r="Z63" i="29"/>
  <c r="Y63" i="29"/>
  <c r="X63" i="29"/>
  <c r="BT62" i="29"/>
  <c r="BG62" i="29"/>
  <c r="BH62" i="29" s="1"/>
  <c r="BS62" i="29" s="1"/>
  <c r="BF62" i="29"/>
  <c r="AV62" i="29"/>
  <c r="BR62" i="29" s="1"/>
  <c r="AS62" i="29"/>
  <c r="BQ62" i="29" s="1"/>
  <c r="AM62" i="29"/>
  <c r="AL62" i="29"/>
  <c r="AD62" i="29"/>
  <c r="AF62" i="29" s="1"/>
  <c r="W62" i="29"/>
  <c r="AE62" i="29" s="1"/>
  <c r="V62" i="29"/>
  <c r="BU61" i="29"/>
  <c r="BT61" i="29"/>
  <c r="BG61" i="29"/>
  <c r="BF61" i="29"/>
  <c r="BH61" i="29" s="1"/>
  <c r="BS61" i="29" s="1"/>
  <c r="AV61" i="29"/>
  <c r="BR61" i="29" s="1"/>
  <c r="AM61" i="29"/>
  <c r="BO61" i="29" s="1"/>
  <c r="AL61" i="29"/>
  <c r="AN61" i="29" s="1"/>
  <c r="BM61" i="29" s="1"/>
  <c r="AD61" i="29"/>
  <c r="W61" i="29"/>
  <c r="AE61" i="29" s="1"/>
  <c r="V61" i="29"/>
  <c r="BU60" i="29"/>
  <c r="BG60" i="29"/>
  <c r="BF60" i="29"/>
  <c r="AV60" i="29"/>
  <c r="AM60" i="29"/>
  <c r="BO60" i="29" s="1"/>
  <c r="AL60" i="29"/>
  <c r="AD60" i="29"/>
  <c r="BK60" i="29" s="1"/>
  <c r="W60" i="29"/>
  <c r="AE60" i="29" s="1"/>
  <c r="BL60" i="29" s="1"/>
  <c r="V60" i="29"/>
  <c r="V63" i="29" s="1"/>
  <c r="CA59" i="29"/>
  <c r="BZ59" i="29"/>
  <c r="BY59" i="29"/>
  <c r="BX59" i="29"/>
  <c r="BW59" i="29"/>
  <c r="BV59" i="29"/>
  <c r="BE59" i="29"/>
  <c r="BD59" i="29"/>
  <c r="BC59" i="29"/>
  <c r="BB59" i="29"/>
  <c r="BA59" i="29"/>
  <c r="AZ59" i="29"/>
  <c r="AY59" i="29"/>
  <c r="AX59" i="29"/>
  <c r="AU59" i="29"/>
  <c r="AT59" i="29"/>
  <c r="AK59" i="29"/>
  <c r="AJ59" i="29"/>
  <c r="AI59" i="29"/>
  <c r="AH59" i="29"/>
  <c r="AG59" i="29"/>
  <c r="AC59" i="29"/>
  <c r="AB59" i="29"/>
  <c r="AA59" i="29"/>
  <c r="Z59" i="29"/>
  <c r="Y59" i="29"/>
  <c r="X59" i="29"/>
  <c r="BR58" i="29"/>
  <c r="BL58" i="29"/>
  <c r="BG58" i="29"/>
  <c r="BU58" i="29" s="1"/>
  <c r="BF58" i="29"/>
  <c r="AV58" i="29"/>
  <c r="AM58" i="29"/>
  <c r="AL58" i="29"/>
  <c r="BN58" i="29" s="1"/>
  <c r="AE58" i="29"/>
  <c r="W58" i="29"/>
  <c r="V58" i="29"/>
  <c r="BT57" i="29"/>
  <c r="BH57" i="29"/>
  <c r="BS57" i="29" s="1"/>
  <c r="BG57" i="29"/>
  <c r="BF57" i="29"/>
  <c r="AV57" i="29"/>
  <c r="BR57" i="29" s="1"/>
  <c r="BR59" i="29" s="1"/>
  <c r="AM57" i="29"/>
  <c r="BO57" i="29" s="1"/>
  <c r="AL57" i="29"/>
  <c r="AD57" i="29"/>
  <c r="BK57" i="29" s="1"/>
  <c r="W57" i="29"/>
  <c r="V57" i="29"/>
  <c r="CA56" i="29"/>
  <c r="BZ56" i="29"/>
  <c r="BY56" i="29"/>
  <c r="BX56" i="29"/>
  <c r="BW56" i="29"/>
  <c r="BV56" i="29"/>
  <c r="BE56" i="29"/>
  <c r="BD56" i="29"/>
  <c r="BC56" i="29"/>
  <c r="BB56" i="29"/>
  <c r="BA56" i="29"/>
  <c r="AZ56" i="29"/>
  <c r="AY56" i="29"/>
  <c r="AX56" i="29"/>
  <c r="AV56" i="29"/>
  <c r="AU56" i="29"/>
  <c r="AT56" i="29"/>
  <c r="AK56" i="29"/>
  <c r="AJ56" i="29"/>
  <c r="AI56" i="29"/>
  <c r="AH56" i="29"/>
  <c r="AG56" i="29"/>
  <c r="AC56" i="29"/>
  <c r="AB56" i="29"/>
  <c r="AA56" i="29"/>
  <c r="Z56" i="29"/>
  <c r="Y56" i="29"/>
  <c r="X56" i="29"/>
  <c r="BU55" i="29"/>
  <c r="BR55" i="29"/>
  <c r="BO55" i="29"/>
  <c r="BM55" i="29"/>
  <c r="BG55" i="29"/>
  <c r="BF55" i="29"/>
  <c r="AV55" i="29"/>
  <c r="AM55" i="29"/>
  <c r="AN55" i="29" s="1"/>
  <c r="AL55" i="29"/>
  <c r="BN55" i="29" s="1"/>
  <c r="AE55" i="29"/>
  <c r="BL55" i="29" s="1"/>
  <c r="W55" i="29"/>
  <c r="V55" i="29"/>
  <c r="AD55" i="29" s="1"/>
  <c r="BT54" i="29"/>
  <c r="BN54" i="29"/>
  <c r="BG54" i="29"/>
  <c r="BF54" i="29"/>
  <c r="AV54" i="29"/>
  <c r="BR54" i="29" s="1"/>
  <c r="AM54" i="29"/>
  <c r="BO54" i="29" s="1"/>
  <c r="AL54" i="29"/>
  <c r="AN54" i="29" s="1"/>
  <c r="BM54" i="29" s="1"/>
  <c r="AF54" i="29"/>
  <c r="AD54" i="29"/>
  <c r="BK54" i="29" s="1"/>
  <c r="W54" i="29"/>
  <c r="AE54" i="29" s="1"/>
  <c r="V54" i="29"/>
  <c r="BU53" i="29"/>
  <c r="BT53" i="29"/>
  <c r="BR53" i="29"/>
  <c r="BH53" i="29"/>
  <c r="BS53" i="29" s="1"/>
  <c r="BG53" i="29"/>
  <c r="BF53" i="29"/>
  <c r="AV53" i="29"/>
  <c r="AM53" i="29"/>
  <c r="BO53" i="29" s="1"/>
  <c r="BO56" i="29" s="1"/>
  <c r="AL53" i="29"/>
  <c r="AE53" i="29"/>
  <c r="BL53" i="29" s="1"/>
  <c r="AD53" i="29"/>
  <c r="BK53" i="29" s="1"/>
  <c r="W53" i="29"/>
  <c r="W56" i="29" s="1"/>
  <c r="V53" i="29"/>
  <c r="CA52" i="29"/>
  <c r="BZ52" i="29"/>
  <c r="BY52" i="29"/>
  <c r="BX52" i="29"/>
  <c r="BW52" i="29"/>
  <c r="BV52" i="29"/>
  <c r="BE52" i="29"/>
  <c r="BD52" i="29"/>
  <c r="BC52" i="29"/>
  <c r="BB52" i="29"/>
  <c r="BA52" i="29"/>
  <c r="AZ52" i="29"/>
  <c r="AY52" i="29"/>
  <c r="AX52" i="29"/>
  <c r="AU52" i="29"/>
  <c r="AT52" i="29"/>
  <c r="AK52" i="29"/>
  <c r="AJ52" i="29"/>
  <c r="AI52" i="29"/>
  <c r="AH52" i="29"/>
  <c r="AG52" i="29"/>
  <c r="AC52" i="29"/>
  <c r="AB52" i="29"/>
  <c r="AA52" i="29"/>
  <c r="Z52" i="29"/>
  <c r="Y52" i="29"/>
  <c r="X52" i="29"/>
  <c r="V52" i="29"/>
  <c r="BT51" i="29"/>
  <c r="BG51" i="29"/>
  <c r="BF51" i="29"/>
  <c r="AV51" i="29"/>
  <c r="BR51" i="29" s="1"/>
  <c r="AM51" i="29"/>
  <c r="BO51" i="29" s="1"/>
  <c r="AL51" i="29"/>
  <c r="AN51" i="29" s="1"/>
  <c r="BM51" i="29" s="1"/>
  <c r="AD51" i="29"/>
  <c r="BK51" i="29" s="1"/>
  <c r="W51" i="29"/>
  <c r="AE51" i="29" s="1"/>
  <c r="V51" i="29"/>
  <c r="BU50" i="29"/>
  <c r="BT50" i="29"/>
  <c r="BR50" i="29"/>
  <c r="BH50" i="29"/>
  <c r="BS50" i="29" s="1"/>
  <c r="BG50" i="29"/>
  <c r="BF50" i="29"/>
  <c r="AV50" i="29"/>
  <c r="AM50" i="29"/>
  <c r="BO50" i="29" s="1"/>
  <c r="AL50" i="29"/>
  <c r="AE50" i="29"/>
  <c r="BL50" i="29" s="1"/>
  <c r="AD50" i="29"/>
  <c r="BK50" i="29" s="1"/>
  <c r="W50" i="29"/>
  <c r="V50" i="29"/>
  <c r="BU49" i="29"/>
  <c r="BR49" i="29"/>
  <c r="BR52" i="29" s="1"/>
  <c r="BO49" i="29"/>
  <c r="BG49" i="29"/>
  <c r="BG52" i="29" s="1"/>
  <c r="BF49" i="29"/>
  <c r="AV49" i="29"/>
  <c r="AN49" i="29"/>
  <c r="BM49" i="29" s="1"/>
  <c r="AM49" i="29"/>
  <c r="AL49" i="29"/>
  <c r="BN49" i="29" s="1"/>
  <c r="AE49" i="29"/>
  <c r="BL49" i="29" s="1"/>
  <c r="W49" i="29"/>
  <c r="V49" i="29"/>
  <c r="AD49" i="29" s="1"/>
  <c r="CA48" i="29"/>
  <c r="BZ48" i="29"/>
  <c r="BY48" i="29"/>
  <c r="BX48" i="29"/>
  <c r="BW48" i="29"/>
  <c r="BV48" i="29"/>
  <c r="BE48" i="29"/>
  <c r="BD48" i="29"/>
  <c r="BC48" i="29"/>
  <c r="BB48" i="29"/>
  <c r="BA48" i="29"/>
  <c r="AZ48" i="29"/>
  <c r="AY48" i="29"/>
  <c r="AX48" i="29"/>
  <c r="AU48" i="29"/>
  <c r="AT48" i="29"/>
  <c r="AK48" i="29"/>
  <c r="AJ48" i="29"/>
  <c r="AI48" i="29"/>
  <c r="AH48" i="29"/>
  <c r="AG48" i="29"/>
  <c r="AC48" i="29"/>
  <c r="AB48" i="29"/>
  <c r="AA48" i="29"/>
  <c r="Z48" i="29"/>
  <c r="Y48" i="29"/>
  <c r="X48" i="29"/>
  <c r="BU47" i="29"/>
  <c r="BT47" i="29"/>
  <c r="BR47" i="29"/>
  <c r="BN47" i="29"/>
  <c r="BH47" i="29"/>
  <c r="BS47" i="29" s="1"/>
  <c r="BG47" i="29"/>
  <c r="BF47" i="29"/>
  <c r="AV47" i="29"/>
  <c r="AM47" i="29"/>
  <c r="BO47" i="29" s="1"/>
  <c r="AL47" i="29"/>
  <c r="AE47" i="29"/>
  <c r="BL47" i="29" s="1"/>
  <c r="AD47" i="29"/>
  <c r="W47" i="29"/>
  <c r="V47" i="29"/>
  <c r="BU46" i="29"/>
  <c r="BO46" i="29"/>
  <c r="BG46" i="29"/>
  <c r="BF46" i="29"/>
  <c r="AV46" i="29"/>
  <c r="BR46" i="29" s="1"/>
  <c r="AN46" i="29"/>
  <c r="BM46" i="29" s="1"/>
  <c r="AM46" i="29"/>
  <c r="AM48" i="29" s="1"/>
  <c r="AL46" i="29"/>
  <c r="BN46" i="29" s="1"/>
  <c r="W46" i="29"/>
  <c r="W48" i="29" s="1"/>
  <c r="V46" i="29"/>
  <c r="AD46" i="29" s="1"/>
  <c r="BT45" i="29"/>
  <c r="BM45" i="29"/>
  <c r="BG45" i="29"/>
  <c r="BF45" i="29"/>
  <c r="BF48" i="29" s="1"/>
  <c r="AV45" i="29"/>
  <c r="AN45" i="29"/>
  <c r="AM45" i="29"/>
  <c r="BO45" i="29" s="1"/>
  <c r="AL45" i="29"/>
  <c r="BN45" i="29" s="1"/>
  <c r="AD45" i="29"/>
  <c r="AD48" i="29" s="1"/>
  <c r="W45" i="29"/>
  <c r="AE45" i="29" s="1"/>
  <c r="V45" i="29"/>
  <c r="V48" i="29" s="1"/>
  <c r="CA44" i="29"/>
  <c r="BZ44" i="29"/>
  <c r="BY44" i="29"/>
  <c r="BX44" i="29"/>
  <c r="BW44" i="29"/>
  <c r="BV44" i="29"/>
  <c r="BE44" i="29"/>
  <c r="BD44" i="29"/>
  <c r="BC44" i="29"/>
  <c r="BB44" i="29"/>
  <c r="BA44" i="29"/>
  <c r="AZ44" i="29"/>
  <c r="AY44" i="29"/>
  <c r="AX44" i="29"/>
  <c r="AV44" i="29"/>
  <c r="AU44" i="29"/>
  <c r="AT44" i="29"/>
  <c r="AK44" i="29"/>
  <c r="AJ44" i="29"/>
  <c r="AI44" i="29"/>
  <c r="AH44" i="29"/>
  <c r="AG44" i="29"/>
  <c r="AD44" i="29"/>
  <c r="AC44" i="29"/>
  <c r="AB44" i="29"/>
  <c r="AA44" i="29"/>
  <c r="Z44" i="29"/>
  <c r="Y44" i="29"/>
  <c r="X44" i="29"/>
  <c r="V44" i="29"/>
  <c r="BU43" i="29"/>
  <c r="BR43" i="29"/>
  <c r="BL43" i="29"/>
  <c r="BG43" i="29"/>
  <c r="BF43" i="29"/>
  <c r="AV43" i="29"/>
  <c r="AM43" i="29"/>
  <c r="AN43" i="29" s="1"/>
  <c r="BM43" i="29" s="1"/>
  <c r="AL43" i="29"/>
  <c r="BN43" i="29" s="1"/>
  <c r="AE43" i="29"/>
  <c r="W43" i="29"/>
  <c r="V43" i="29"/>
  <c r="AD43" i="29" s="1"/>
  <c r="BT42" i="29"/>
  <c r="BM42" i="29"/>
  <c r="BG42" i="29"/>
  <c r="BF42" i="29"/>
  <c r="AV42" i="29"/>
  <c r="BR42" i="29" s="1"/>
  <c r="BR44" i="29" s="1"/>
  <c r="AN42" i="29"/>
  <c r="AM42" i="29"/>
  <c r="BO42" i="29" s="1"/>
  <c r="AL42" i="29"/>
  <c r="BN42" i="29" s="1"/>
  <c r="AD42" i="29"/>
  <c r="AO42" i="29" s="1"/>
  <c r="W42" i="29"/>
  <c r="AE42" i="29" s="1"/>
  <c r="V42" i="29"/>
  <c r="BU41" i="29"/>
  <c r="BT41" i="29"/>
  <c r="BR41" i="29"/>
  <c r="BH41" i="29"/>
  <c r="BG41" i="29"/>
  <c r="BG44" i="29" s="1"/>
  <c r="BF41" i="29"/>
  <c r="AV41" i="29"/>
  <c r="AO41" i="29"/>
  <c r="AM41" i="29"/>
  <c r="BO41" i="29" s="1"/>
  <c r="AL41" i="29"/>
  <c r="AE41" i="29"/>
  <c r="AE44" i="29" s="1"/>
  <c r="AD41" i="29"/>
  <c r="BK41" i="29" s="1"/>
  <c r="W41" i="29"/>
  <c r="V41" i="29"/>
  <c r="CA40" i="29"/>
  <c r="BZ40" i="29"/>
  <c r="BY40" i="29"/>
  <c r="BX40" i="29"/>
  <c r="BW40" i="29"/>
  <c r="BV40" i="29"/>
  <c r="BF40" i="29"/>
  <c r="BE40" i="29"/>
  <c r="BD40" i="29"/>
  <c r="BC40" i="29"/>
  <c r="BB40" i="29"/>
  <c r="BA40" i="29"/>
  <c r="AZ40" i="29"/>
  <c r="AY40" i="29"/>
  <c r="AX40" i="29"/>
  <c r="AU40" i="29"/>
  <c r="AT40" i="29"/>
  <c r="AK40" i="29"/>
  <c r="AJ40" i="29"/>
  <c r="AI40" i="29"/>
  <c r="AH40" i="29"/>
  <c r="AG40" i="29"/>
  <c r="AC40" i="29"/>
  <c r="AB40" i="29"/>
  <c r="AA40" i="29"/>
  <c r="Z40" i="29"/>
  <c r="Y40" i="29"/>
  <c r="X40" i="29"/>
  <c r="W40" i="29"/>
  <c r="BT39" i="29"/>
  <c r="BG39" i="29"/>
  <c r="BF39" i="29"/>
  <c r="AV39" i="29"/>
  <c r="BR39" i="29" s="1"/>
  <c r="AM39" i="29"/>
  <c r="BO39" i="29" s="1"/>
  <c r="AL39" i="29"/>
  <c r="BN39" i="29" s="1"/>
  <c r="AD39" i="29"/>
  <c r="BK39" i="29" s="1"/>
  <c r="W39" i="29"/>
  <c r="AE39" i="29" s="1"/>
  <c r="V39" i="29"/>
  <c r="BU38" i="29"/>
  <c r="BT38" i="29"/>
  <c r="BR38" i="29"/>
  <c r="BN38" i="29"/>
  <c r="BG38" i="29"/>
  <c r="BF38" i="29"/>
  <c r="BH38" i="29" s="1"/>
  <c r="BS38" i="29" s="1"/>
  <c r="AV38" i="29"/>
  <c r="AM38" i="29"/>
  <c r="BO38" i="29" s="1"/>
  <c r="AL38" i="29"/>
  <c r="AE38" i="29"/>
  <c r="AP38" i="29" s="1"/>
  <c r="AD38" i="29"/>
  <c r="AF38" i="29" s="1"/>
  <c r="BJ38" i="29" s="1"/>
  <c r="W38" i="29"/>
  <c r="V38" i="29"/>
  <c r="BR37" i="29"/>
  <c r="BR40" i="29" s="1"/>
  <c r="BL37" i="29"/>
  <c r="BG37" i="29"/>
  <c r="BG40" i="29" s="1"/>
  <c r="BF37" i="29"/>
  <c r="AV37" i="29"/>
  <c r="AN37" i="29"/>
  <c r="BM37" i="29" s="1"/>
  <c r="AM37" i="29"/>
  <c r="AL37" i="29"/>
  <c r="BN37" i="29" s="1"/>
  <c r="AE37" i="29"/>
  <c r="AP37" i="29" s="1"/>
  <c r="W37" i="29"/>
  <c r="V37" i="29"/>
  <c r="AD37" i="29" s="1"/>
  <c r="CA36" i="29"/>
  <c r="BZ36" i="29"/>
  <c r="BY36" i="29"/>
  <c r="BX36" i="29"/>
  <c r="BW36" i="29"/>
  <c r="BV36" i="29"/>
  <c r="BE36" i="29"/>
  <c r="BD36" i="29"/>
  <c r="BC36" i="29"/>
  <c r="BB36" i="29"/>
  <c r="BA36" i="29"/>
  <c r="AZ36" i="29"/>
  <c r="AY36" i="29"/>
  <c r="AX36" i="29"/>
  <c r="AU36" i="29"/>
  <c r="AT36" i="29"/>
  <c r="AK36" i="29"/>
  <c r="AJ36" i="29"/>
  <c r="AI36" i="29"/>
  <c r="AH36" i="29"/>
  <c r="AG36" i="29"/>
  <c r="AC36" i="29"/>
  <c r="AB36" i="29"/>
  <c r="AA36" i="29"/>
  <c r="Z36" i="29"/>
  <c r="Y36" i="29"/>
  <c r="X36" i="29"/>
  <c r="W36" i="29"/>
  <c r="BU35" i="29"/>
  <c r="BR35" i="29"/>
  <c r="BN35" i="29"/>
  <c r="BL35" i="29"/>
  <c r="BH35" i="29"/>
  <c r="BS35" i="29" s="1"/>
  <c r="BG35" i="29"/>
  <c r="BF35" i="29"/>
  <c r="BT35" i="29" s="1"/>
  <c r="AV35" i="29"/>
  <c r="AM35" i="29"/>
  <c r="AP35" i="29" s="1"/>
  <c r="AL35" i="29"/>
  <c r="AE35" i="29"/>
  <c r="AD35" i="29"/>
  <c r="AO35" i="29" s="1"/>
  <c r="AQ35" i="29" s="1"/>
  <c r="W35" i="29"/>
  <c r="V35" i="29"/>
  <c r="BR34" i="29"/>
  <c r="BG34" i="29"/>
  <c r="BG36" i="29" s="1"/>
  <c r="BF34" i="29"/>
  <c r="AV34" i="29"/>
  <c r="AM34" i="29"/>
  <c r="BO34" i="29" s="1"/>
  <c r="AL34" i="29"/>
  <c r="BN34" i="29" s="1"/>
  <c r="AF34" i="29"/>
  <c r="AS34" i="29" s="1"/>
  <c r="BQ34" i="29" s="1"/>
  <c r="W34" i="29"/>
  <c r="AE34" i="29" s="1"/>
  <c r="BL34" i="29" s="1"/>
  <c r="V34" i="29"/>
  <c r="AD34" i="29" s="1"/>
  <c r="BT33" i="29"/>
  <c r="BN33" i="29"/>
  <c r="BN36" i="29" s="1"/>
  <c r="BH33" i="29"/>
  <c r="BS33" i="29" s="1"/>
  <c r="BG33" i="29"/>
  <c r="BU33" i="29" s="1"/>
  <c r="BF33" i="29"/>
  <c r="BF36" i="29" s="1"/>
  <c r="AV33" i="29"/>
  <c r="AM33" i="29"/>
  <c r="BO33" i="29" s="1"/>
  <c r="AL33" i="29"/>
  <c r="AN33" i="29" s="1"/>
  <c r="AD33" i="29"/>
  <c r="AO33" i="29" s="1"/>
  <c r="W33" i="29"/>
  <c r="AE33" i="29" s="1"/>
  <c r="V33" i="29"/>
  <c r="CA32" i="29"/>
  <c r="BZ32" i="29"/>
  <c r="BY32" i="29"/>
  <c r="BX32" i="29"/>
  <c r="BW32" i="29"/>
  <c r="BV32" i="29"/>
  <c r="BE32" i="29"/>
  <c r="BD32" i="29"/>
  <c r="BC32" i="29"/>
  <c r="BB32" i="29"/>
  <c r="BA32" i="29"/>
  <c r="AZ32" i="29"/>
  <c r="AY32" i="29"/>
  <c r="AX32" i="29"/>
  <c r="AV32" i="29"/>
  <c r="AU32" i="29"/>
  <c r="AT32" i="29"/>
  <c r="AM32" i="29"/>
  <c r="AK32" i="29"/>
  <c r="AJ32" i="29"/>
  <c r="AI32" i="29"/>
  <c r="AH32" i="29"/>
  <c r="AG32" i="29"/>
  <c r="AC32" i="29"/>
  <c r="AB32" i="29"/>
  <c r="AA32" i="29"/>
  <c r="Z32" i="29"/>
  <c r="Y32" i="29"/>
  <c r="X32" i="29"/>
  <c r="V32" i="29"/>
  <c r="BU31" i="29"/>
  <c r="BM31" i="29"/>
  <c r="BG31" i="29"/>
  <c r="BF31" i="29"/>
  <c r="AV31" i="29"/>
  <c r="BR31" i="29" s="1"/>
  <c r="BR32" i="29" s="1"/>
  <c r="AN31" i="29"/>
  <c r="AM31" i="29"/>
  <c r="BO31" i="29" s="1"/>
  <c r="AL31" i="29"/>
  <c r="BN31" i="29" s="1"/>
  <c r="W31" i="29"/>
  <c r="AE31" i="29" s="1"/>
  <c r="V31" i="29"/>
  <c r="AD31" i="29" s="1"/>
  <c r="BT30" i="29"/>
  <c r="BN30" i="29"/>
  <c r="BN32" i="29" s="1"/>
  <c r="BH30" i="29"/>
  <c r="BS30" i="29" s="1"/>
  <c r="BG30" i="29"/>
  <c r="BF30" i="29"/>
  <c r="AV30" i="29"/>
  <c r="BR30" i="29" s="1"/>
  <c r="AN30" i="29"/>
  <c r="BM30" i="29" s="1"/>
  <c r="BM32" i="29" s="1"/>
  <c r="AM30" i="29"/>
  <c r="BO30" i="29" s="1"/>
  <c r="BO32" i="29" s="1"/>
  <c r="AL30" i="29"/>
  <c r="AL32" i="29" s="1"/>
  <c r="AD30" i="29"/>
  <c r="AO30" i="29" s="1"/>
  <c r="W30" i="29"/>
  <c r="V30" i="29"/>
  <c r="CA29" i="29"/>
  <c r="BZ29" i="29"/>
  <c r="BY29" i="29"/>
  <c r="BX29" i="29"/>
  <c r="BW29" i="29"/>
  <c r="BV29" i="29"/>
  <c r="BU29" i="29"/>
  <c r="BF29" i="29"/>
  <c r="BE29" i="29"/>
  <c r="BD29" i="29"/>
  <c r="BC29" i="29"/>
  <c r="BB29" i="29"/>
  <c r="BA29" i="29"/>
  <c r="AZ29" i="29"/>
  <c r="AY29" i="29"/>
  <c r="AX29" i="29"/>
  <c r="AU29" i="29"/>
  <c r="AT29" i="29"/>
  <c r="AM29" i="29"/>
  <c r="AK29" i="29"/>
  <c r="AJ29" i="29"/>
  <c r="AI29" i="29"/>
  <c r="AH29" i="29"/>
  <c r="AG29" i="29"/>
  <c r="AC29" i="29"/>
  <c r="AB29" i="29"/>
  <c r="AA29" i="29"/>
  <c r="Z29" i="29"/>
  <c r="Y29" i="29"/>
  <c r="X29" i="29"/>
  <c r="BU28" i="29"/>
  <c r="BO28" i="29"/>
  <c r="BM28" i="29"/>
  <c r="BG28" i="29"/>
  <c r="BF28" i="29"/>
  <c r="AV28" i="29"/>
  <c r="BR28" i="29" s="1"/>
  <c r="AN28" i="29"/>
  <c r="AM28" i="29"/>
  <c r="AL28" i="29"/>
  <c r="BN28" i="29" s="1"/>
  <c r="W28" i="29"/>
  <c r="AE28" i="29" s="1"/>
  <c r="BL28" i="29" s="1"/>
  <c r="V28" i="29"/>
  <c r="AD28" i="29" s="1"/>
  <c r="BT27" i="29"/>
  <c r="BH27" i="29"/>
  <c r="BS27" i="29" s="1"/>
  <c r="BG27" i="29"/>
  <c r="BU27" i="29" s="1"/>
  <c r="BF27" i="29"/>
  <c r="AV27" i="29"/>
  <c r="BR27" i="29" s="1"/>
  <c r="AM27" i="29"/>
  <c r="BO27" i="29" s="1"/>
  <c r="AL27" i="29"/>
  <c r="AN27" i="29" s="1"/>
  <c r="BM27" i="29" s="1"/>
  <c r="AD27" i="29"/>
  <c r="W27" i="29"/>
  <c r="AE27" i="29" s="1"/>
  <c r="V27" i="29"/>
  <c r="BU26" i="29"/>
  <c r="BT26" i="29"/>
  <c r="BR26" i="29"/>
  <c r="BR29" i="29" s="1"/>
  <c r="BN26" i="29"/>
  <c r="BG26" i="29"/>
  <c r="BF26" i="29"/>
  <c r="BH26" i="29" s="1"/>
  <c r="AV26" i="29"/>
  <c r="AM26" i="29"/>
  <c r="BO26" i="29" s="1"/>
  <c r="BO29" i="29" s="1"/>
  <c r="AL26" i="29"/>
  <c r="AE26" i="29"/>
  <c r="AP26" i="29" s="1"/>
  <c r="AD26" i="29"/>
  <c r="AF26" i="29" s="1"/>
  <c r="W26" i="29"/>
  <c r="V26" i="29"/>
  <c r="V29" i="29" s="1"/>
  <c r="CA25" i="29"/>
  <c r="BZ25" i="29"/>
  <c r="BY25" i="29"/>
  <c r="BX25" i="29"/>
  <c r="BW25" i="29"/>
  <c r="BV25" i="29"/>
  <c r="BR25" i="29"/>
  <c r="BG25" i="29"/>
  <c r="BE25" i="29"/>
  <c r="BD25" i="29"/>
  <c r="BC25" i="29"/>
  <c r="BB25" i="29"/>
  <c r="BA25" i="29"/>
  <c r="AZ25" i="29"/>
  <c r="AY25" i="29"/>
  <c r="AX25" i="29"/>
  <c r="AU25" i="29"/>
  <c r="AT25" i="29"/>
  <c r="AL25" i="29"/>
  <c r="AK25" i="29"/>
  <c r="AJ25" i="29"/>
  <c r="AI25" i="29"/>
  <c r="AH25" i="29"/>
  <c r="AG25" i="29"/>
  <c r="AC25" i="29"/>
  <c r="AB25" i="29"/>
  <c r="AA25" i="29"/>
  <c r="Z25" i="29"/>
  <c r="Y25" i="29"/>
  <c r="X25" i="29"/>
  <c r="BT24" i="29"/>
  <c r="BS24" i="29"/>
  <c r="BH24" i="29"/>
  <c r="BG24" i="29"/>
  <c r="BU24" i="29" s="1"/>
  <c r="BF24" i="29"/>
  <c r="AV24" i="29"/>
  <c r="BR24" i="29" s="1"/>
  <c r="AM24" i="29"/>
  <c r="BO24" i="29" s="1"/>
  <c r="AL24" i="29"/>
  <c r="AD24" i="29"/>
  <c r="AO24" i="29" s="1"/>
  <c r="W24" i="29"/>
  <c r="AE24" i="29" s="1"/>
  <c r="V24" i="29"/>
  <c r="BU23" i="29"/>
  <c r="BT23" i="29"/>
  <c r="BR23" i="29"/>
  <c r="BK23" i="29"/>
  <c r="BH23" i="29"/>
  <c r="BS23" i="29" s="1"/>
  <c r="BG23" i="29"/>
  <c r="BF23" i="29"/>
  <c r="AV23" i="29"/>
  <c r="AM23" i="29"/>
  <c r="BO23" i="29" s="1"/>
  <c r="AL23" i="29"/>
  <c r="AE23" i="29"/>
  <c r="BL23" i="29" s="1"/>
  <c r="AD23" i="29"/>
  <c r="W23" i="29"/>
  <c r="V23" i="29"/>
  <c r="BU22" i="29"/>
  <c r="BU25" i="29" s="1"/>
  <c r="BR22" i="29"/>
  <c r="BG22" i="29"/>
  <c r="BF22" i="29"/>
  <c r="AV22" i="29"/>
  <c r="AN22" i="29"/>
  <c r="BM22" i="29" s="1"/>
  <c r="AM22" i="29"/>
  <c r="BO22" i="29" s="1"/>
  <c r="BO25" i="29" s="1"/>
  <c r="AL22" i="29"/>
  <c r="BN22" i="29" s="1"/>
  <c r="AE22" i="29"/>
  <c r="AP22" i="29" s="1"/>
  <c r="W22" i="29"/>
  <c r="V22" i="29"/>
  <c r="AD22" i="29" s="1"/>
  <c r="CA21" i="29"/>
  <c r="BZ21" i="29"/>
  <c r="BY21" i="29"/>
  <c r="BX21" i="29"/>
  <c r="BW21" i="29"/>
  <c r="BV21" i="29"/>
  <c r="BE21" i="29"/>
  <c r="BD21" i="29"/>
  <c r="BC21" i="29"/>
  <c r="BB21" i="29"/>
  <c r="BA21" i="29"/>
  <c r="AZ21" i="29"/>
  <c r="AY21" i="29"/>
  <c r="AX21" i="29"/>
  <c r="AU21" i="29"/>
  <c r="AT21" i="29"/>
  <c r="AK21" i="29"/>
  <c r="AJ21" i="29"/>
  <c r="AI21" i="29"/>
  <c r="AH21" i="29"/>
  <c r="AG21" i="29"/>
  <c r="AC21" i="29"/>
  <c r="AB21" i="29"/>
  <c r="AA21" i="29"/>
  <c r="Z21" i="29"/>
  <c r="Y21" i="29"/>
  <c r="X21" i="29"/>
  <c r="BU20" i="29"/>
  <c r="BT20" i="29"/>
  <c r="BR20" i="29"/>
  <c r="BL20" i="29"/>
  <c r="BG20" i="29"/>
  <c r="BF20" i="29"/>
  <c r="BH20" i="29" s="1"/>
  <c r="BS20" i="29" s="1"/>
  <c r="AV20" i="29"/>
  <c r="AM20" i="29"/>
  <c r="AP20" i="29" s="1"/>
  <c r="AL20" i="29"/>
  <c r="AE20" i="29"/>
  <c r="AD20" i="29"/>
  <c r="AF20" i="29" s="1"/>
  <c r="W20" i="29"/>
  <c r="V20" i="29"/>
  <c r="BU19" i="29"/>
  <c r="BO19" i="29"/>
  <c r="BL19" i="29"/>
  <c r="BG19" i="29"/>
  <c r="BF19" i="29"/>
  <c r="AV19" i="29"/>
  <c r="BR19" i="29" s="1"/>
  <c r="AN19" i="29"/>
  <c r="BM19" i="29" s="1"/>
  <c r="AM19" i="29"/>
  <c r="AL19" i="29"/>
  <c r="BN19" i="29" s="1"/>
  <c r="AF19" i="29"/>
  <c r="AR19" i="29" s="1"/>
  <c r="BP19" i="29" s="1"/>
  <c r="AE19" i="29"/>
  <c r="AP19" i="29" s="1"/>
  <c r="W19" i="29"/>
  <c r="V19" i="29"/>
  <c r="AD19" i="29" s="1"/>
  <c r="BT18" i="29"/>
  <c r="BK18" i="29"/>
  <c r="BG18" i="29"/>
  <c r="BU18" i="29" s="1"/>
  <c r="BU21" i="29" s="1"/>
  <c r="BF18" i="29"/>
  <c r="AV18" i="29"/>
  <c r="BR18" i="29" s="1"/>
  <c r="AO18" i="29"/>
  <c r="AM18" i="29"/>
  <c r="BO18" i="29" s="1"/>
  <c r="AL18" i="29"/>
  <c r="AD18" i="29"/>
  <c r="W18" i="29"/>
  <c r="AE18" i="29" s="1"/>
  <c r="V18" i="29"/>
  <c r="CA17" i="29"/>
  <c r="BZ17" i="29"/>
  <c r="BY17" i="29"/>
  <c r="BX17" i="29"/>
  <c r="BW17" i="29"/>
  <c r="BV17" i="29"/>
  <c r="BE17" i="29"/>
  <c r="BD17" i="29"/>
  <c r="BC17" i="29"/>
  <c r="BB17" i="29"/>
  <c r="BA17" i="29"/>
  <c r="AZ17" i="29"/>
  <c r="AY17" i="29"/>
  <c r="AX17" i="29"/>
  <c r="AU17" i="29"/>
  <c r="AT17" i="29"/>
  <c r="AK17" i="29"/>
  <c r="AJ17" i="29"/>
  <c r="AI17" i="29"/>
  <c r="AH17" i="29"/>
  <c r="AG17" i="29"/>
  <c r="AC17" i="29"/>
  <c r="AB17" i="29"/>
  <c r="AA17" i="29"/>
  <c r="Z17" i="29"/>
  <c r="Y17" i="29"/>
  <c r="X17" i="29"/>
  <c r="BK16" i="29"/>
  <c r="BG16" i="29"/>
  <c r="BF16" i="29"/>
  <c r="AV16" i="29"/>
  <c r="AV202" i="29" s="1"/>
  <c r="AM16" i="29"/>
  <c r="AL16" i="29"/>
  <c r="AL202" i="29" s="1"/>
  <c r="AE16" i="29"/>
  <c r="BL16" i="29" s="1"/>
  <c r="AD16" i="29"/>
  <c r="W16" i="29"/>
  <c r="V16" i="29"/>
  <c r="BR15" i="29"/>
  <c r="BO15" i="29"/>
  <c r="BN15" i="29"/>
  <c r="BG15" i="29"/>
  <c r="BU15" i="29" s="1"/>
  <c r="BF15" i="29"/>
  <c r="BT15" i="29" s="1"/>
  <c r="AV15" i="29"/>
  <c r="AM15" i="29"/>
  <c r="AL15" i="29"/>
  <c r="AE15" i="29"/>
  <c r="AP15" i="29" s="1"/>
  <c r="W15" i="29"/>
  <c r="V15" i="29"/>
  <c r="AD15" i="29" s="1"/>
  <c r="BN14" i="29"/>
  <c r="BL14" i="29"/>
  <c r="BG14" i="29"/>
  <c r="BF14" i="29"/>
  <c r="AV14" i="29"/>
  <c r="AV196" i="29" s="1"/>
  <c r="AM14" i="29"/>
  <c r="AN14" i="29" s="1"/>
  <c r="AL14" i="29"/>
  <c r="AL17" i="29" s="1"/>
  <c r="AE14" i="29"/>
  <c r="AP14" i="29" s="1"/>
  <c r="W14" i="29"/>
  <c r="V14" i="29"/>
  <c r="CA13" i="29"/>
  <c r="CA192" i="29" s="1"/>
  <c r="BZ13" i="29"/>
  <c r="BY13" i="29"/>
  <c r="BX13" i="29"/>
  <c r="BW13" i="29"/>
  <c r="BV13" i="29"/>
  <c r="BN13" i="29"/>
  <c r="BG13" i="29"/>
  <c r="BE13" i="29"/>
  <c r="BD13" i="29"/>
  <c r="BC13" i="29"/>
  <c r="BB13" i="29"/>
  <c r="BA13" i="29"/>
  <c r="AZ13" i="29"/>
  <c r="AY13" i="29"/>
  <c r="AX13" i="29"/>
  <c r="AV13" i="29"/>
  <c r="AU13" i="29"/>
  <c r="AU192" i="29" s="1"/>
  <c r="AT13" i="29"/>
  <c r="AM13" i="29"/>
  <c r="AK13" i="29"/>
  <c r="AJ13" i="29"/>
  <c r="AI13" i="29"/>
  <c r="AH13" i="29"/>
  <c r="AG13" i="29"/>
  <c r="AG192" i="29" s="1"/>
  <c r="V193" i="29" s="1"/>
  <c r="AC13" i="29"/>
  <c r="AB13" i="29"/>
  <c r="AA13" i="29"/>
  <c r="AA192" i="29" s="1"/>
  <c r="Z13" i="29"/>
  <c r="Y13" i="29"/>
  <c r="X13" i="29"/>
  <c r="W13" i="29"/>
  <c r="BR12" i="29"/>
  <c r="BN12" i="29"/>
  <c r="BN205" i="29" s="1"/>
  <c r="BG12" i="29"/>
  <c r="BG205" i="29" s="1"/>
  <c r="BF12" i="29"/>
  <c r="AV12" i="29"/>
  <c r="AV205" i="29" s="1"/>
  <c r="AP12" i="29"/>
  <c r="AP205" i="29" s="1"/>
  <c r="AM12" i="29"/>
  <c r="AM205" i="29" s="1"/>
  <c r="AL12" i="29"/>
  <c r="AE12" i="29"/>
  <c r="AE205" i="29" s="1"/>
  <c r="AD12" i="29"/>
  <c r="AD205" i="29" s="1"/>
  <c r="W12" i="29"/>
  <c r="W205" i="29" s="1"/>
  <c r="V12" i="29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AW19" i="47"/>
  <c r="AY19" i="47"/>
  <c r="BB19" i="47"/>
  <c r="BC19" i="47"/>
  <c r="BD19" i="47"/>
  <c r="BE19" i="47"/>
  <c r="BF19" i="47"/>
  <c r="BG19" i="47"/>
  <c r="BH19" i="47"/>
  <c r="BI19" i="47"/>
  <c r="BJ19" i="47"/>
  <c r="BK19" i="47"/>
  <c r="BM19" i="47"/>
  <c r="BO19" i="47"/>
  <c r="BP19" i="47"/>
  <c r="BQ19" i="47"/>
  <c r="BR19" i="47"/>
  <c r="BS19" i="47"/>
  <c r="BT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V20" i="47"/>
  <c r="AW20" i="47"/>
  <c r="AX20" i="47"/>
  <c r="AY20" i="47"/>
  <c r="BB20" i="47"/>
  <c r="BC20" i="47"/>
  <c r="BD20" i="47"/>
  <c r="BE20" i="47"/>
  <c r="BF20" i="47"/>
  <c r="BG20" i="47"/>
  <c r="BH20" i="47"/>
  <c r="BI20" i="47"/>
  <c r="BJ20" i="47"/>
  <c r="BK20" i="47"/>
  <c r="BM20" i="47"/>
  <c r="BO20" i="47"/>
  <c r="BP20" i="47"/>
  <c r="BQ20" i="47"/>
  <c r="BR20" i="47"/>
  <c r="BS20" i="47"/>
  <c r="BT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R21" i="47"/>
  <c r="S21" i="47"/>
  <c r="T21" i="47"/>
  <c r="U21" i="47"/>
  <c r="W21" i="47"/>
  <c r="Z21" i="47"/>
  <c r="AA21" i="47"/>
  <c r="AB21" i="47"/>
  <c r="AC21" i="47"/>
  <c r="AD21" i="47"/>
  <c r="AE21" i="47"/>
  <c r="AF21" i="47"/>
  <c r="AG21" i="47"/>
  <c r="AH21" i="47"/>
  <c r="AM21" i="47"/>
  <c r="AN21" i="47"/>
  <c r="AO21" i="47"/>
  <c r="AQ21" i="47"/>
  <c r="AR21" i="47"/>
  <c r="AS21" i="47"/>
  <c r="AT21" i="47"/>
  <c r="AU21" i="47"/>
  <c r="AV21" i="47"/>
  <c r="AW21" i="47"/>
  <c r="AX21" i="47"/>
  <c r="AY21" i="47"/>
  <c r="BD21" i="47"/>
  <c r="BF21" i="47"/>
  <c r="BG21" i="47"/>
  <c r="BH21" i="47"/>
  <c r="BK21" i="47"/>
  <c r="BM21" i="47"/>
  <c r="BO21" i="47"/>
  <c r="BP21" i="47"/>
  <c r="BQ21" i="47"/>
  <c r="BR21" i="47"/>
  <c r="BS21" i="47"/>
  <c r="BT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AW22" i="47"/>
  <c r="AX22" i="47"/>
  <c r="AY22" i="47"/>
  <c r="BB22" i="47"/>
  <c r="BC22" i="47"/>
  <c r="BD22" i="47"/>
  <c r="BE22" i="47"/>
  <c r="BF22" i="47"/>
  <c r="BG22" i="47"/>
  <c r="BH22" i="47"/>
  <c r="BI22" i="47"/>
  <c r="BJ22" i="47"/>
  <c r="BK22" i="47"/>
  <c r="BM22" i="47"/>
  <c r="BO22" i="47"/>
  <c r="BP22" i="47"/>
  <c r="BQ22" i="47"/>
  <c r="BR22" i="47"/>
  <c r="BS22" i="47"/>
  <c r="BT22" i="47"/>
  <c r="B22" i="47"/>
  <c r="B21" i="47"/>
  <c r="B20" i="47"/>
  <c r="B19" i="47"/>
  <c r="CA212" i="42"/>
  <c r="BZ212" i="42"/>
  <c r="BY212" i="42"/>
  <c r="BX212" i="42"/>
  <c r="BW212" i="42"/>
  <c r="BV212" i="42"/>
  <c r="BE212" i="42"/>
  <c r="BD212" i="42"/>
  <c r="BC212" i="42"/>
  <c r="BB212" i="42"/>
  <c r="BA212" i="42"/>
  <c r="AZ212" i="42"/>
  <c r="AY212" i="42"/>
  <c r="AX212" i="42"/>
  <c r="AU212" i="42"/>
  <c r="AT212" i="42"/>
  <c r="AK212" i="42"/>
  <c r="AJ212" i="42"/>
  <c r="AI212" i="42"/>
  <c r="AH212" i="42"/>
  <c r="AG212" i="42"/>
  <c r="AC212" i="42"/>
  <c r="AB212" i="42"/>
  <c r="AA212" i="42"/>
  <c r="Z212" i="42"/>
  <c r="Y212" i="42"/>
  <c r="X212" i="42"/>
  <c r="U212" i="42"/>
  <c r="T212" i="42"/>
  <c r="S212" i="42"/>
  <c r="R212" i="42"/>
  <c r="Q212" i="42"/>
  <c r="P212" i="42"/>
  <c r="O212" i="42"/>
  <c r="N212" i="42"/>
  <c r="M212" i="42"/>
  <c r="L212" i="42"/>
  <c r="K212" i="42"/>
  <c r="J212" i="42"/>
  <c r="I212" i="42"/>
  <c r="CA211" i="42"/>
  <c r="BZ211" i="42"/>
  <c r="BY211" i="42"/>
  <c r="BX211" i="42"/>
  <c r="BW211" i="42"/>
  <c r="BV211" i="42"/>
  <c r="BE211" i="42"/>
  <c r="BD211" i="42"/>
  <c r="BC211" i="42"/>
  <c r="BB211" i="42"/>
  <c r="BA211" i="42"/>
  <c r="AZ211" i="42"/>
  <c r="AY211" i="42"/>
  <c r="AX211" i="42"/>
  <c r="AU211" i="42"/>
  <c r="AT211" i="42"/>
  <c r="AK211" i="42"/>
  <c r="AJ211" i="42"/>
  <c r="AI211" i="42"/>
  <c r="AH211" i="42"/>
  <c r="AG211" i="42"/>
  <c r="AC211" i="42"/>
  <c r="AB211" i="42"/>
  <c r="AA211" i="42"/>
  <c r="Z211" i="42"/>
  <c r="Y211" i="42"/>
  <c r="X211" i="42"/>
  <c r="U211" i="42"/>
  <c r="T211" i="42"/>
  <c r="S211" i="42"/>
  <c r="R211" i="42"/>
  <c r="Q211" i="42"/>
  <c r="P211" i="42"/>
  <c r="O211" i="42"/>
  <c r="N211" i="42"/>
  <c r="M211" i="42"/>
  <c r="L211" i="42"/>
  <c r="K211" i="42"/>
  <c r="J211" i="42"/>
  <c r="I211" i="42"/>
  <c r="CA210" i="42"/>
  <c r="BZ210" i="42"/>
  <c r="BY210" i="42"/>
  <c r="BX210" i="42"/>
  <c r="BW210" i="42"/>
  <c r="BV210" i="42"/>
  <c r="BE210" i="42"/>
  <c r="BD210" i="42"/>
  <c r="BC210" i="42"/>
  <c r="BB210" i="42"/>
  <c r="BA210" i="42"/>
  <c r="AZ210" i="42"/>
  <c r="AY210" i="42"/>
  <c r="AX210" i="42"/>
  <c r="AU210" i="42"/>
  <c r="AT210" i="42"/>
  <c r="AK210" i="42"/>
  <c r="AJ210" i="42"/>
  <c r="AI210" i="42"/>
  <c r="AH210" i="42"/>
  <c r="AG210" i="42"/>
  <c r="AC210" i="42"/>
  <c r="AB210" i="42"/>
  <c r="Z210" i="42"/>
  <c r="Y210" i="42"/>
  <c r="X210" i="42"/>
  <c r="U210" i="42"/>
  <c r="T210" i="42"/>
  <c r="S210" i="42"/>
  <c r="R210" i="42"/>
  <c r="Q210" i="42"/>
  <c r="P210" i="42"/>
  <c r="O210" i="42"/>
  <c r="N210" i="42"/>
  <c r="M210" i="42"/>
  <c r="L210" i="42"/>
  <c r="K210" i="42"/>
  <c r="J210" i="42"/>
  <c r="I210" i="42"/>
  <c r="CA209" i="42"/>
  <c r="BZ209" i="42"/>
  <c r="BY209" i="42"/>
  <c r="BX209" i="42"/>
  <c r="BW209" i="42"/>
  <c r="BV209" i="42"/>
  <c r="BD209" i="42"/>
  <c r="BC209" i="42"/>
  <c r="BB209" i="42"/>
  <c r="BA209" i="42"/>
  <c r="AZ209" i="42"/>
  <c r="AY209" i="42"/>
  <c r="AX209" i="42"/>
  <c r="AT209" i="42"/>
  <c r="AK209" i="42"/>
  <c r="AJ209" i="42"/>
  <c r="AI209" i="42"/>
  <c r="AH209" i="42"/>
  <c r="AG209" i="42"/>
  <c r="AC209" i="42"/>
  <c r="AB209" i="42"/>
  <c r="Z209" i="42"/>
  <c r="Y209" i="42"/>
  <c r="X209" i="42"/>
  <c r="U209" i="42"/>
  <c r="T209" i="42"/>
  <c r="S209" i="42"/>
  <c r="R209" i="42"/>
  <c r="Q209" i="42"/>
  <c r="P209" i="42"/>
  <c r="O209" i="42"/>
  <c r="N209" i="42"/>
  <c r="M209" i="42"/>
  <c r="L209" i="42"/>
  <c r="K209" i="42"/>
  <c r="J209" i="42"/>
  <c r="I209" i="42"/>
  <c r="CA208" i="42"/>
  <c r="BZ208" i="42"/>
  <c r="BY208" i="42"/>
  <c r="BX208" i="42"/>
  <c r="BW208" i="42"/>
  <c r="BV208" i="42"/>
  <c r="BU208" i="42"/>
  <c r="BT208" i="42"/>
  <c r="BS208" i="42"/>
  <c r="BR208" i="42"/>
  <c r="BQ208" i="42"/>
  <c r="BP208" i="42"/>
  <c r="BO208" i="42"/>
  <c r="BN208" i="42"/>
  <c r="BM208" i="42"/>
  <c r="BL208" i="42"/>
  <c r="BK208" i="42"/>
  <c r="BJ208" i="42"/>
  <c r="BI208" i="42"/>
  <c r="BH208" i="42"/>
  <c r="BG208" i="42"/>
  <c r="BF208" i="42"/>
  <c r="BE208" i="42"/>
  <c r="BD208" i="42"/>
  <c r="BC208" i="42"/>
  <c r="BB208" i="42"/>
  <c r="BA208" i="42"/>
  <c r="AZ208" i="42"/>
  <c r="AZ202" i="42" s="1"/>
  <c r="AY208" i="42"/>
  <c r="AX208" i="42"/>
  <c r="AW208" i="42"/>
  <c r="AV208" i="42"/>
  <c r="AU208" i="42"/>
  <c r="AT208" i="42"/>
  <c r="AT202" i="42" s="1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H202" i="42" s="1"/>
  <c r="W201" i="42" s="1"/>
  <c r="AG208" i="42"/>
  <c r="AF208" i="42"/>
  <c r="AE208" i="42"/>
  <c r="AD208" i="42"/>
  <c r="AC208" i="42"/>
  <c r="AB208" i="42"/>
  <c r="AB202" i="42" s="1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P202" i="42" s="1"/>
  <c r="O208" i="42"/>
  <c r="N208" i="42"/>
  <c r="M208" i="42"/>
  <c r="L208" i="42"/>
  <c r="K208" i="42"/>
  <c r="J208" i="42"/>
  <c r="J202" i="42" s="1"/>
  <c r="I201" i="42" s="1"/>
  <c r="I208" i="42"/>
  <c r="CA207" i="42"/>
  <c r="BZ207" i="42"/>
  <c r="BY207" i="42"/>
  <c r="BX207" i="42"/>
  <c r="BW207" i="42"/>
  <c r="BW202" i="42" s="1"/>
  <c r="BV201" i="42" s="1"/>
  <c r="BV207" i="42"/>
  <c r="BU207" i="42"/>
  <c r="BT207" i="42"/>
  <c r="BS207" i="42"/>
  <c r="BR207" i="42"/>
  <c r="BQ207" i="42"/>
  <c r="BP207" i="42"/>
  <c r="BO207" i="42"/>
  <c r="BN207" i="42"/>
  <c r="BM207" i="42"/>
  <c r="BL207" i="42"/>
  <c r="BK207" i="42"/>
  <c r="BJ207" i="42"/>
  <c r="BI207" i="42"/>
  <c r="BH207" i="42"/>
  <c r="BG207" i="42"/>
  <c r="BF207" i="42"/>
  <c r="BE207" i="42"/>
  <c r="BD207" i="42"/>
  <c r="BC207" i="42"/>
  <c r="BB207" i="42"/>
  <c r="BA207" i="42"/>
  <c r="AZ207" i="42"/>
  <c r="AY207" i="42"/>
  <c r="AY202" i="42" s="1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G202" i="42" s="1"/>
  <c r="V201" i="42" s="1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U202" i="42" s="1"/>
  <c r="T207" i="42"/>
  <c r="S207" i="42"/>
  <c r="R207" i="42"/>
  <c r="Q207" i="42"/>
  <c r="P207" i="42"/>
  <c r="O207" i="42"/>
  <c r="O202" i="42" s="1"/>
  <c r="M201" i="42" s="1"/>
  <c r="N207" i="42"/>
  <c r="M207" i="42"/>
  <c r="L207" i="42"/>
  <c r="K207" i="42"/>
  <c r="J207" i="42"/>
  <c r="I207" i="42"/>
  <c r="I202" i="42" s="1"/>
  <c r="CA206" i="42"/>
  <c r="BZ206" i="42"/>
  <c r="BY206" i="42"/>
  <c r="BX206" i="42"/>
  <c r="BW206" i="42"/>
  <c r="BV206" i="42"/>
  <c r="BV202" i="42" s="1"/>
  <c r="BE206" i="42"/>
  <c r="BD206" i="42"/>
  <c r="BD202" i="42" s="1"/>
  <c r="BC206" i="42"/>
  <c r="BB206" i="42"/>
  <c r="BA206" i="42"/>
  <c r="AZ206" i="42"/>
  <c r="AY206" i="42"/>
  <c r="AX206" i="42"/>
  <c r="AX202" i="42" s="1"/>
  <c r="AU206" i="42"/>
  <c r="AT206" i="42"/>
  <c r="AK206" i="42"/>
  <c r="AJ206" i="42"/>
  <c r="AI206" i="42"/>
  <c r="AH206" i="42"/>
  <c r="AG206" i="42"/>
  <c r="AC206" i="42"/>
  <c r="AB206" i="42"/>
  <c r="AA206" i="42"/>
  <c r="Z206" i="42"/>
  <c r="Z202" i="42" s="1"/>
  <c r="Y206" i="42"/>
  <c r="X206" i="42"/>
  <c r="U206" i="42"/>
  <c r="T206" i="42"/>
  <c r="S206" i="42"/>
  <c r="R206" i="42"/>
  <c r="Q206" i="42"/>
  <c r="P206" i="42"/>
  <c r="O206" i="42"/>
  <c r="N206" i="42"/>
  <c r="N202" i="42" s="1"/>
  <c r="M206" i="42"/>
  <c r="L206" i="42"/>
  <c r="K206" i="42"/>
  <c r="J206" i="42"/>
  <c r="I206" i="42"/>
  <c r="CA205" i="42"/>
  <c r="CA202" i="42" s="1"/>
  <c r="BZ205" i="42"/>
  <c r="BY205" i="42"/>
  <c r="BX205" i="42"/>
  <c r="BW205" i="42"/>
  <c r="BV205" i="42"/>
  <c r="BE205" i="42"/>
  <c r="BD205" i="42"/>
  <c r="BC205" i="42"/>
  <c r="BC202" i="42" s="1"/>
  <c r="BB205" i="42"/>
  <c r="BA205" i="42"/>
  <c r="AZ205" i="42"/>
  <c r="AY205" i="42"/>
  <c r="AX205" i="42"/>
  <c r="AU205" i="42"/>
  <c r="AT205" i="42"/>
  <c r="AK205" i="42"/>
  <c r="AJ205" i="42"/>
  <c r="AI205" i="42"/>
  <c r="AH205" i="42"/>
  <c r="AG205" i="42"/>
  <c r="AC205" i="42"/>
  <c r="AB205" i="42"/>
  <c r="AA205" i="42"/>
  <c r="Z205" i="42"/>
  <c r="Y205" i="42"/>
  <c r="X205" i="42"/>
  <c r="U205" i="42"/>
  <c r="T205" i="42"/>
  <c r="S205" i="42"/>
  <c r="S202" i="42" s="1"/>
  <c r="R205" i="42"/>
  <c r="Q205" i="42"/>
  <c r="P205" i="42"/>
  <c r="O205" i="42"/>
  <c r="N205" i="42"/>
  <c r="M205" i="42"/>
  <c r="L205" i="42"/>
  <c r="K205" i="42"/>
  <c r="J205" i="42"/>
  <c r="I205" i="42"/>
  <c r="CA204" i="42"/>
  <c r="BZ204" i="42"/>
  <c r="BZ202" i="42" s="1"/>
  <c r="BY204" i="42"/>
  <c r="BX204" i="42"/>
  <c r="BW204" i="42"/>
  <c r="BV204" i="42"/>
  <c r="BE204" i="42"/>
  <c r="BD204" i="42"/>
  <c r="BC204" i="42"/>
  <c r="BB204" i="42"/>
  <c r="BA204" i="42"/>
  <c r="AZ204" i="42"/>
  <c r="AY204" i="42"/>
  <c r="AX204" i="42"/>
  <c r="AU204" i="42"/>
  <c r="AT204" i="42"/>
  <c r="AK204" i="42"/>
  <c r="AJ204" i="42"/>
  <c r="AJ202" i="42" s="1"/>
  <c r="AI204" i="42"/>
  <c r="AH204" i="42"/>
  <c r="AG204" i="42"/>
  <c r="AC204" i="42"/>
  <c r="AB204" i="42"/>
  <c r="AA204" i="42"/>
  <c r="Z204" i="42"/>
  <c r="Y204" i="42"/>
  <c r="X204" i="42"/>
  <c r="X202" i="42" s="1"/>
  <c r="U204" i="42"/>
  <c r="T204" i="42"/>
  <c r="S204" i="42"/>
  <c r="R204" i="42"/>
  <c r="R202" i="42" s="1"/>
  <c r="Q204" i="42"/>
  <c r="P204" i="42"/>
  <c r="O204" i="42"/>
  <c r="N204" i="42"/>
  <c r="M204" i="42"/>
  <c r="L204" i="42"/>
  <c r="L202" i="42" s="1"/>
  <c r="K204" i="42"/>
  <c r="J204" i="42"/>
  <c r="I204" i="42"/>
  <c r="CA203" i="42"/>
  <c r="BZ203" i="42"/>
  <c r="BY203" i="42"/>
  <c r="BY202" i="42" s="1"/>
  <c r="BX203" i="42"/>
  <c r="BW203" i="42"/>
  <c r="BV203" i="42"/>
  <c r="BE203" i="42"/>
  <c r="BD203" i="42"/>
  <c r="BC203" i="42"/>
  <c r="BB203" i="42"/>
  <c r="BA203" i="42"/>
  <c r="BA202" i="42" s="1"/>
  <c r="AZ203" i="42"/>
  <c r="AY203" i="42"/>
  <c r="AX203" i="42"/>
  <c r="AU203" i="42"/>
  <c r="AT203" i="42"/>
  <c r="AK203" i="42"/>
  <c r="AJ203" i="42"/>
  <c r="AI203" i="42"/>
  <c r="AI202" i="42" s="1"/>
  <c r="AH203" i="42"/>
  <c r="AG203" i="42"/>
  <c r="AC203" i="42"/>
  <c r="AC202" i="42" s="1"/>
  <c r="AB203" i="42"/>
  <c r="AA203" i="42"/>
  <c r="Z203" i="42"/>
  <c r="Y203" i="42"/>
  <c r="X203" i="42"/>
  <c r="U203" i="42"/>
  <c r="T203" i="42"/>
  <c r="S203" i="42"/>
  <c r="R203" i="42"/>
  <c r="Q203" i="42"/>
  <c r="Q202" i="42" s="1"/>
  <c r="P203" i="42"/>
  <c r="O203" i="42"/>
  <c r="N203" i="42"/>
  <c r="M203" i="42"/>
  <c r="L203" i="42"/>
  <c r="K203" i="42"/>
  <c r="K202" i="42" s="1"/>
  <c r="J201" i="42" s="1"/>
  <c r="J203" i="42"/>
  <c r="I203" i="42"/>
  <c r="BX202" i="42"/>
  <c r="AK202" i="42"/>
  <c r="Y202" i="42"/>
  <c r="T202" i="42"/>
  <c r="M202" i="42"/>
  <c r="J200" i="42"/>
  <c r="U199" i="42"/>
  <c r="T199" i="42"/>
  <c r="S199" i="42"/>
  <c r="R199" i="42"/>
  <c r="Q199" i="42"/>
  <c r="P199" i="42"/>
  <c r="O199" i="42"/>
  <c r="N199" i="42"/>
  <c r="M199" i="42"/>
  <c r="L199" i="42"/>
  <c r="K199" i="42"/>
  <c r="J199" i="42"/>
  <c r="I200" i="42" s="1"/>
  <c r="I199" i="42"/>
  <c r="CA198" i="42"/>
  <c r="BZ198" i="42"/>
  <c r="BY198" i="42"/>
  <c r="BX198" i="42"/>
  <c r="BW198" i="42"/>
  <c r="BV198" i="42"/>
  <c r="BD198" i="42"/>
  <c r="BC198" i="42"/>
  <c r="BA198" i="42"/>
  <c r="AZ198" i="42"/>
  <c r="AY198" i="42"/>
  <c r="AX198" i="42"/>
  <c r="AT198" i="42"/>
  <c r="AK198" i="42"/>
  <c r="AJ198" i="42"/>
  <c r="AI198" i="42"/>
  <c r="AH198" i="42"/>
  <c r="AG198" i="42"/>
  <c r="AC198" i="42"/>
  <c r="AB198" i="42"/>
  <c r="Z198" i="42"/>
  <c r="Y198" i="42"/>
  <c r="X198" i="42"/>
  <c r="BT197" i="42"/>
  <c r="BR197" i="42"/>
  <c r="BO197" i="42"/>
  <c r="BL197" i="42"/>
  <c r="BG197" i="42"/>
  <c r="BU197" i="42" s="1"/>
  <c r="BF197" i="42"/>
  <c r="AV197" i="42"/>
  <c r="AP197" i="42"/>
  <c r="AM197" i="42"/>
  <c r="AL197" i="42"/>
  <c r="AE197" i="42"/>
  <c r="AA197" i="42"/>
  <c r="AA210" i="42" s="1"/>
  <c r="W197" i="42"/>
  <c r="V197" i="42"/>
  <c r="AD197" i="42" s="1"/>
  <c r="BT196" i="42"/>
  <c r="BN196" i="42"/>
  <c r="BG196" i="42"/>
  <c r="BF196" i="42"/>
  <c r="AV196" i="42"/>
  <c r="BR196" i="42" s="1"/>
  <c r="AN196" i="42"/>
  <c r="BM196" i="42" s="1"/>
  <c r="AM196" i="42"/>
  <c r="BO196" i="42" s="1"/>
  <c r="AL196" i="42"/>
  <c r="W196" i="42"/>
  <c r="AE196" i="42" s="1"/>
  <c r="V196" i="42"/>
  <c r="AD196" i="42" s="1"/>
  <c r="BO195" i="42"/>
  <c r="BN195" i="42"/>
  <c r="BF195" i="42"/>
  <c r="AV195" i="42"/>
  <c r="BR195" i="42" s="1"/>
  <c r="AU195" i="42"/>
  <c r="AU198" i="42" s="1"/>
  <c r="AN195" i="42"/>
  <c r="BM195" i="42" s="1"/>
  <c r="AM195" i="42"/>
  <c r="AL195" i="42"/>
  <c r="AA195" i="42"/>
  <c r="W195" i="42"/>
  <c r="V195" i="42"/>
  <c r="AD195" i="42" s="1"/>
  <c r="BG194" i="42"/>
  <c r="BU194" i="42" s="1"/>
  <c r="BF194" i="42"/>
  <c r="AV194" i="42"/>
  <c r="BR194" i="42" s="1"/>
  <c r="AN194" i="42"/>
  <c r="BM194" i="42" s="1"/>
  <c r="AM194" i="42"/>
  <c r="BO194" i="42" s="1"/>
  <c r="AL194" i="42"/>
  <c r="BN194" i="42" s="1"/>
  <c r="AE194" i="42"/>
  <c r="W194" i="42"/>
  <c r="V194" i="42"/>
  <c r="AD194" i="42" s="1"/>
  <c r="BT193" i="42"/>
  <c r="BK193" i="42"/>
  <c r="BG193" i="42"/>
  <c r="BF193" i="42"/>
  <c r="AV193" i="42"/>
  <c r="BR193" i="42" s="1"/>
  <c r="AM193" i="42"/>
  <c r="BO193" i="42" s="1"/>
  <c r="AL193" i="42"/>
  <c r="AD193" i="42"/>
  <c r="W193" i="42"/>
  <c r="AE193" i="42" s="1"/>
  <c r="V193" i="42"/>
  <c r="BT192" i="42"/>
  <c r="BR192" i="42"/>
  <c r="BL192" i="42"/>
  <c r="BK192" i="42"/>
  <c r="BG192" i="42"/>
  <c r="BH192" i="42" s="1"/>
  <c r="BS192" i="42" s="1"/>
  <c r="BF192" i="42"/>
  <c r="AV192" i="42"/>
  <c r="AM192" i="42"/>
  <c r="AL192" i="42"/>
  <c r="AE192" i="42"/>
  <c r="AD192" i="42"/>
  <c r="AO192" i="42" s="1"/>
  <c r="W192" i="42"/>
  <c r="V192" i="42"/>
  <c r="CA191" i="42"/>
  <c r="BZ191" i="42"/>
  <c r="BY191" i="42"/>
  <c r="BX191" i="42"/>
  <c r="BW191" i="42"/>
  <c r="BV191" i="42"/>
  <c r="BR191" i="42"/>
  <c r="BD191" i="42"/>
  <c r="BC191" i="42"/>
  <c r="BA191" i="42"/>
  <c r="AZ191" i="42"/>
  <c r="AY191" i="42"/>
  <c r="AX191" i="42"/>
  <c r="AU191" i="42"/>
  <c r="AT191" i="42"/>
  <c r="AK191" i="42"/>
  <c r="AJ191" i="42"/>
  <c r="AI191" i="42"/>
  <c r="AH191" i="42"/>
  <c r="AG191" i="42"/>
  <c r="AC191" i="42"/>
  <c r="AB191" i="42"/>
  <c r="AA191" i="42"/>
  <c r="Z191" i="42"/>
  <c r="Y191" i="42"/>
  <c r="X191" i="42"/>
  <c r="W191" i="42"/>
  <c r="BT190" i="42"/>
  <c r="BH190" i="42"/>
  <c r="BS190" i="42" s="1"/>
  <c r="BG190" i="42"/>
  <c r="BU190" i="42" s="1"/>
  <c r="BF190" i="42"/>
  <c r="AV190" i="42"/>
  <c r="BR190" i="42" s="1"/>
  <c r="AM190" i="42"/>
  <c r="BO190" i="42" s="1"/>
  <c r="AL190" i="42"/>
  <c r="BN190" i="42" s="1"/>
  <c r="AD190" i="42"/>
  <c r="W190" i="42"/>
  <c r="AE190" i="42" s="1"/>
  <c r="V190" i="42"/>
  <c r="BT189" i="42"/>
  <c r="BR189" i="42"/>
  <c r="BO189" i="42"/>
  <c r="BN189" i="42"/>
  <c r="BG189" i="42"/>
  <c r="BU189" i="42" s="1"/>
  <c r="BF189" i="42"/>
  <c r="BH189" i="42" s="1"/>
  <c r="BS189" i="42" s="1"/>
  <c r="AV189" i="42"/>
  <c r="AM189" i="42"/>
  <c r="AL189" i="42"/>
  <c r="AN189" i="42" s="1"/>
  <c r="BM189" i="42" s="1"/>
  <c r="AE189" i="42"/>
  <c r="W189" i="42"/>
  <c r="V189" i="42"/>
  <c r="AD189" i="42" s="1"/>
  <c r="BG188" i="42"/>
  <c r="BU188" i="42" s="1"/>
  <c r="BF188" i="42"/>
  <c r="AV188" i="42"/>
  <c r="BR188" i="42" s="1"/>
  <c r="AP188" i="42"/>
  <c r="AN188" i="42"/>
  <c r="BM188" i="42" s="1"/>
  <c r="AM188" i="42"/>
  <c r="BO188" i="42" s="1"/>
  <c r="AL188" i="42"/>
  <c r="BN188" i="42" s="1"/>
  <c r="AE188" i="42"/>
  <c r="BL188" i="42" s="1"/>
  <c r="W188" i="42"/>
  <c r="V188" i="42"/>
  <c r="AD188" i="42" s="1"/>
  <c r="BT187" i="42"/>
  <c r="BN187" i="42"/>
  <c r="BK187" i="42"/>
  <c r="BG187" i="42"/>
  <c r="BF187" i="42"/>
  <c r="AV187" i="42"/>
  <c r="BR187" i="42" s="1"/>
  <c r="AO187" i="42"/>
  <c r="AN187" i="42"/>
  <c r="BM187" i="42" s="1"/>
  <c r="AM187" i="42"/>
  <c r="BO187" i="42" s="1"/>
  <c r="AL187" i="42"/>
  <c r="AD187" i="42"/>
  <c r="W187" i="42"/>
  <c r="AE187" i="42" s="1"/>
  <c r="AF187" i="42" s="1"/>
  <c r="V187" i="42"/>
  <c r="BR186" i="42"/>
  <c r="BN186" i="42"/>
  <c r="BG186" i="42"/>
  <c r="BU186" i="42" s="1"/>
  <c r="BF186" i="42"/>
  <c r="AV186" i="42"/>
  <c r="AM186" i="42"/>
  <c r="AL186" i="42"/>
  <c r="AE186" i="42"/>
  <c r="W186" i="42"/>
  <c r="V186" i="42"/>
  <c r="CA185" i="42"/>
  <c r="BZ185" i="42"/>
  <c r="BY185" i="42"/>
  <c r="BX185" i="42"/>
  <c r="BW185" i="42"/>
  <c r="BV185" i="42"/>
  <c r="BD185" i="42"/>
  <c r="BC185" i="42"/>
  <c r="BA185" i="42"/>
  <c r="AZ185" i="42"/>
  <c r="AY185" i="42"/>
  <c r="AX185" i="42"/>
  <c r="AU185" i="42"/>
  <c r="AT185" i="42"/>
  <c r="AK185" i="42"/>
  <c r="AJ185" i="42"/>
  <c r="AI185" i="42"/>
  <c r="AH185" i="42"/>
  <c r="AG185" i="42"/>
  <c r="AC185" i="42"/>
  <c r="AB185" i="42"/>
  <c r="AA185" i="42"/>
  <c r="Z185" i="42"/>
  <c r="Y185" i="42"/>
  <c r="X185" i="42"/>
  <c r="W185" i="42"/>
  <c r="BT184" i="42"/>
  <c r="BN184" i="42"/>
  <c r="BG184" i="42"/>
  <c r="BU184" i="42" s="1"/>
  <c r="BF184" i="42"/>
  <c r="AV184" i="42"/>
  <c r="BR184" i="42" s="1"/>
  <c r="AM184" i="42"/>
  <c r="BO184" i="42" s="1"/>
  <c r="AL184" i="42"/>
  <c r="AN184" i="42" s="1"/>
  <c r="BM184" i="42" s="1"/>
  <c r="AE184" i="42"/>
  <c r="W184" i="42"/>
  <c r="V184" i="42"/>
  <c r="AD184" i="42" s="1"/>
  <c r="BT183" i="42"/>
  <c r="BO183" i="42"/>
  <c r="BG183" i="42"/>
  <c r="BH183" i="42" s="1"/>
  <c r="BS183" i="42" s="1"/>
  <c r="BF183" i="42"/>
  <c r="AV183" i="42"/>
  <c r="BR183" i="42" s="1"/>
  <c r="AN183" i="42"/>
  <c r="BM183" i="42" s="1"/>
  <c r="AM183" i="42"/>
  <c r="AL183" i="42"/>
  <c r="BN183" i="42" s="1"/>
  <c r="W183" i="42"/>
  <c r="AE183" i="42" s="1"/>
  <c r="V183" i="42"/>
  <c r="AD183" i="42" s="1"/>
  <c r="BN182" i="42"/>
  <c r="BG182" i="42"/>
  <c r="BU182" i="42" s="1"/>
  <c r="BF182" i="42"/>
  <c r="AV182" i="42"/>
  <c r="BR182" i="42" s="1"/>
  <c r="AP182" i="42"/>
  <c r="AN182" i="42"/>
  <c r="BM182" i="42" s="1"/>
  <c r="AM182" i="42"/>
  <c r="BO182" i="42" s="1"/>
  <c r="AL182" i="42"/>
  <c r="AE182" i="42"/>
  <c r="BL182" i="42" s="1"/>
  <c r="AD182" i="42"/>
  <c r="W182" i="42"/>
  <c r="V182" i="42"/>
  <c r="BU181" i="42"/>
  <c r="BM181" i="42"/>
  <c r="BG181" i="42"/>
  <c r="BF181" i="42"/>
  <c r="AV181" i="42"/>
  <c r="BR181" i="42" s="1"/>
  <c r="AO181" i="42"/>
  <c r="AM181" i="42"/>
  <c r="AN181" i="42" s="1"/>
  <c r="AL181" i="42"/>
  <c r="BN181" i="42" s="1"/>
  <c r="AD181" i="42"/>
  <c r="BK181" i="42" s="1"/>
  <c r="W181" i="42"/>
  <c r="AE181" i="42" s="1"/>
  <c r="V181" i="42"/>
  <c r="V185" i="42" s="1"/>
  <c r="BG180" i="42"/>
  <c r="BF180" i="42"/>
  <c r="AV180" i="42"/>
  <c r="AM180" i="42"/>
  <c r="AL180" i="42"/>
  <c r="AD180" i="42"/>
  <c r="BK180" i="42" s="1"/>
  <c r="W180" i="42"/>
  <c r="AE180" i="42" s="1"/>
  <c r="V180" i="42"/>
  <c r="CA179" i="42"/>
  <c r="BZ179" i="42"/>
  <c r="BY179" i="42"/>
  <c r="BX179" i="42"/>
  <c r="BW179" i="42"/>
  <c r="BV179" i="42"/>
  <c r="BD179" i="42"/>
  <c r="BC179" i="42"/>
  <c r="BA179" i="42"/>
  <c r="AZ179" i="42"/>
  <c r="AY179" i="42"/>
  <c r="AX179" i="42"/>
  <c r="AU179" i="42"/>
  <c r="AT179" i="42"/>
  <c r="AK179" i="42"/>
  <c r="AJ179" i="42"/>
  <c r="AI179" i="42"/>
  <c r="AH179" i="42"/>
  <c r="AG179" i="42"/>
  <c r="AC179" i="42"/>
  <c r="AB179" i="42"/>
  <c r="AA179" i="42"/>
  <c r="Z179" i="42"/>
  <c r="Y179" i="42"/>
  <c r="X179" i="42"/>
  <c r="BO178" i="42"/>
  <c r="BG178" i="42"/>
  <c r="BU178" i="42" s="1"/>
  <c r="BF178" i="42"/>
  <c r="AV178" i="42"/>
  <c r="BR178" i="42" s="1"/>
  <c r="AN178" i="42"/>
  <c r="BM178" i="42" s="1"/>
  <c r="AM178" i="42"/>
  <c r="AL178" i="42"/>
  <c r="BN178" i="42" s="1"/>
  <c r="W178" i="42"/>
  <c r="AE178" i="42" s="1"/>
  <c r="V178" i="42"/>
  <c r="AD178" i="42" s="1"/>
  <c r="BT177" i="42"/>
  <c r="BO177" i="42"/>
  <c r="BN177" i="42"/>
  <c r="BG177" i="42"/>
  <c r="BH177" i="42" s="1"/>
  <c r="BS177" i="42" s="1"/>
  <c r="BF177" i="42"/>
  <c r="AV177" i="42"/>
  <c r="BR177" i="42" s="1"/>
  <c r="AM177" i="42"/>
  <c r="AL177" i="42"/>
  <c r="AN177" i="42" s="1"/>
  <c r="BM177" i="42" s="1"/>
  <c r="W177" i="42"/>
  <c r="AE177" i="42" s="1"/>
  <c r="V177" i="42"/>
  <c r="AD177" i="42" s="1"/>
  <c r="BU176" i="42"/>
  <c r="BR176" i="42"/>
  <c r="BN176" i="42"/>
  <c r="BG176" i="42"/>
  <c r="BF176" i="42"/>
  <c r="AV176" i="42"/>
  <c r="AM176" i="42"/>
  <c r="AL176" i="42"/>
  <c r="AE176" i="42"/>
  <c r="W176" i="42"/>
  <c r="V176" i="42"/>
  <c r="AD176" i="42" s="1"/>
  <c r="BG175" i="42"/>
  <c r="BU175" i="42" s="1"/>
  <c r="BF175" i="42"/>
  <c r="BT175" i="42" s="1"/>
  <c r="AV175" i="42"/>
  <c r="BR175" i="42" s="1"/>
  <c r="AM175" i="42"/>
  <c r="BO175" i="42" s="1"/>
  <c r="AL175" i="42"/>
  <c r="BN175" i="42" s="1"/>
  <c r="W175" i="42"/>
  <c r="AE175" i="42" s="1"/>
  <c r="V175" i="42"/>
  <c r="AD175" i="42" s="1"/>
  <c r="BR174" i="42"/>
  <c r="BN174" i="42"/>
  <c r="BG174" i="42"/>
  <c r="BU174" i="42" s="1"/>
  <c r="BF174" i="42"/>
  <c r="BT174" i="42" s="1"/>
  <c r="AV174" i="42"/>
  <c r="AP174" i="42"/>
  <c r="AN174" i="42"/>
  <c r="BM174" i="42" s="1"/>
  <c r="AM174" i="42"/>
  <c r="BO174" i="42" s="1"/>
  <c r="AL174" i="42"/>
  <c r="AE174" i="42"/>
  <c r="BL174" i="42" s="1"/>
  <c r="AD174" i="42"/>
  <c r="W174" i="42"/>
  <c r="V174" i="42"/>
  <c r="BR173" i="42"/>
  <c r="BG173" i="42"/>
  <c r="BF173" i="42"/>
  <c r="AV173" i="42"/>
  <c r="AP173" i="42"/>
  <c r="AM173" i="42"/>
  <c r="AL173" i="42"/>
  <c r="AE173" i="42"/>
  <c r="AD173" i="42"/>
  <c r="W173" i="42"/>
  <c r="V173" i="42"/>
  <c r="V179" i="42" s="1"/>
  <c r="CA172" i="42"/>
  <c r="BZ172" i="42"/>
  <c r="BY172" i="42"/>
  <c r="BX172" i="42"/>
  <c r="BW172" i="42"/>
  <c r="BV172" i="42"/>
  <c r="BD172" i="42"/>
  <c r="BC172" i="42"/>
  <c r="BA172" i="42"/>
  <c r="AZ172" i="42"/>
  <c r="AY172" i="42"/>
  <c r="AX172" i="42"/>
  <c r="AU172" i="42"/>
  <c r="AT172" i="42"/>
  <c r="AK172" i="42"/>
  <c r="AJ172" i="42"/>
  <c r="AI172" i="42"/>
  <c r="AH172" i="42"/>
  <c r="AG172" i="42"/>
  <c r="AC172" i="42"/>
  <c r="AB172" i="42"/>
  <c r="AA172" i="42"/>
  <c r="Z172" i="42"/>
  <c r="Y172" i="42"/>
  <c r="X172" i="42"/>
  <c r="V172" i="42"/>
  <c r="BT171" i="42"/>
  <c r="BR171" i="42"/>
  <c r="BG171" i="42"/>
  <c r="BU171" i="42" s="1"/>
  <c r="BF171" i="42"/>
  <c r="AV171" i="42"/>
  <c r="AO171" i="42"/>
  <c r="AM171" i="42"/>
  <c r="BO171" i="42" s="1"/>
  <c r="AL171" i="42"/>
  <c r="BN171" i="42" s="1"/>
  <c r="AD171" i="42"/>
  <c r="W171" i="42"/>
  <c r="AE171" i="42" s="1"/>
  <c r="AP171" i="42" s="1"/>
  <c r="V171" i="42"/>
  <c r="BR170" i="42"/>
  <c r="BL170" i="42"/>
  <c r="BG170" i="42"/>
  <c r="BU170" i="42" s="1"/>
  <c r="BF170" i="42"/>
  <c r="AV170" i="42"/>
  <c r="AM170" i="42"/>
  <c r="BO170" i="42" s="1"/>
  <c r="AL170" i="42"/>
  <c r="BN170" i="42" s="1"/>
  <c r="AE170" i="42"/>
  <c r="AD170" i="42"/>
  <c r="W170" i="42"/>
  <c r="V170" i="42"/>
  <c r="BG169" i="42"/>
  <c r="BU169" i="42" s="1"/>
  <c r="BF169" i="42"/>
  <c r="AV169" i="42"/>
  <c r="BR169" i="42" s="1"/>
  <c r="AN169" i="42"/>
  <c r="BM169" i="42" s="1"/>
  <c r="AM169" i="42"/>
  <c r="BO169" i="42" s="1"/>
  <c r="AL169" i="42"/>
  <c r="BN169" i="42" s="1"/>
  <c r="W169" i="42"/>
  <c r="AE169" i="42" s="1"/>
  <c r="AP169" i="42" s="1"/>
  <c r="V169" i="42"/>
  <c r="AD169" i="42" s="1"/>
  <c r="BT168" i="42"/>
  <c r="BG168" i="42"/>
  <c r="BF168" i="42"/>
  <c r="AV168" i="42"/>
  <c r="BR168" i="42" s="1"/>
  <c r="AM168" i="42"/>
  <c r="BO168" i="42" s="1"/>
  <c r="AL168" i="42"/>
  <c r="AN168" i="42" s="1"/>
  <c r="BM168" i="42" s="1"/>
  <c r="AF168" i="42"/>
  <c r="AD168" i="42"/>
  <c r="AO168" i="42" s="1"/>
  <c r="W168" i="42"/>
  <c r="AE168" i="42" s="1"/>
  <c r="V168" i="42"/>
  <c r="BT167" i="42"/>
  <c r="BR167" i="42"/>
  <c r="BN167" i="42"/>
  <c r="BG167" i="42"/>
  <c r="BU167" i="42" s="1"/>
  <c r="BF167" i="42"/>
  <c r="BF172" i="42" s="1"/>
  <c r="AV167" i="42"/>
  <c r="AM167" i="42"/>
  <c r="AL167" i="42"/>
  <c r="AE167" i="42"/>
  <c r="W167" i="42"/>
  <c r="W172" i="42" s="1"/>
  <c r="V167" i="42"/>
  <c r="AD167" i="42" s="1"/>
  <c r="CA166" i="42"/>
  <c r="BZ166" i="42"/>
  <c r="BY166" i="42"/>
  <c r="BX166" i="42"/>
  <c r="BW166" i="42"/>
  <c r="BV166" i="42"/>
  <c r="BD166" i="42"/>
  <c r="BC166" i="42"/>
  <c r="BA166" i="42"/>
  <c r="AZ166" i="42"/>
  <c r="AY166" i="42"/>
  <c r="AX166" i="42"/>
  <c r="AU166" i="42"/>
  <c r="AT166" i="42"/>
  <c r="AK166" i="42"/>
  <c r="AJ166" i="42"/>
  <c r="AI166" i="42"/>
  <c r="AH166" i="42"/>
  <c r="AG166" i="42"/>
  <c r="AC166" i="42"/>
  <c r="AB166" i="42"/>
  <c r="AA166" i="42"/>
  <c r="Z166" i="42"/>
  <c r="Y166" i="42"/>
  <c r="X166" i="42"/>
  <c r="W166" i="42"/>
  <c r="BT165" i="42"/>
  <c r="BG165" i="42"/>
  <c r="BF165" i="42"/>
  <c r="AV165" i="42"/>
  <c r="BR165" i="42" s="1"/>
  <c r="AM165" i="42"/>
  <c r="BO165" i="42" s="1"/>
  <c r="AL165" i="42"/>
  <c r="AN165" i="42" s="1"/>
  <c r="BM165" i="42" s="1"/>
  <c r="AD165" i="42"/>
  <c r="W165" i="42"/>
  <c r="AE165" i="42" s="1"/>
  <c r="V165" i="42"/>
  <c r="BT164" i="42"/>
  <c r="BR164" i="42"/>
  <c r="BN164" i="42"/>
  <c r="BL164" i="42"/>
  <c r="BG164" i="42"/>
  <c r="BU164" i="42" s="1"/>
  <c r="BF164" i="42"/>
  <c r="AV164" i="42"/>
  <c r="AP164" i="42"/>
  <c r="AM164" i="42"/>
  <c r="BO164" i="42" s="1"/>
  <c r="AL164" i="42"/>
  <c r="AE164" i="42"/>
  <c r="W164" i="42"/>
  <c r="V164" i="42"/>
  <c r="AD164" i="42" s="1"/>
  <c r="BO163" i="42"/>
  <c r="BO166" i="42" s="1"/>
  <c r="BG163" i="42"/>
  <c r="BG166" i="42" s="1"/>
  <c r="BF163" i="42"/>
  <c r="BF166" i="42" s="1"/>
  <c r="AV163" i="42"/>
  <c r="BR163" i="42" s="1"/>
  <c r="AM163" i="42"/>
  <c r="AL163" i="42"/>
  <c r="BN163" i="42" s="1"/>
  <c r="W163" i="42"/>
  <c r="AE163" i="42" s="1"/>
  <c r="V163" i="42"/>
  <c r="CA162" i="42"/>
  <c r="BZ162" i="42"/>
  <c r="BY162" i="42"/>
  <c r="BX162" i="42"/>
  <c r="BW162" i="42"/>
  <c r="BV162" i="42"/>
  <c r="BD162" i="42"/>
  <c r="BC162" i="42"/>
  <c r="BA162" i="42"/>
  <c r="AZ162" i="42"/>
  <c r="AY162" i="42"/>
  <c r="AX162" i="42"/>
  <c r="AU162" i="42"/>
  <c r="AT162" i="42"/>
  <c r="AK162" i="42"/>
  <c r="AJ162" i="42"/>
  <c r="AI162" i="42"/>
  <c r="AH162" i="42"/>
  <c r="AG162" i="42"/>
  <c r="AC162" i="42"/>
  <c r="AB162" i="42"/>
  <c r="AA162" i="42"/>
  <c r="Z162" i="42"/>
  <c r="Y162" i="42"/>
  <c r="X162" i="42"/>
  <c r="BR161" i="42"/>
  <c r="BL161" i="42"/>
  <c r="BG161" i="42"/>
  <c r="BH161" i="42" s="1"/>
  <c r="BS161" i="42" s="1"/>
  <c r="BF161" i="42"/>
  <c r="BT161" i="42" s="1"/>
  <c r="AV161" i="42"/>
  <c r="AP161" i="42"/>
  <c r="AM161" i="42"/>
  <c r="BO161" i="42" s="1"/>
  <c r="AL161" i="42"/>
  <c r="AN161" i="42" s="1"/>
  <c r="BM161" i="42" s="1"/>
  <c r="AE161" i="42"/>
  <c r="W161" i="42"/>
  <c r="V161" i="42"/>
  <c r="AD161" i="42" s="1"/>
  <c r="BO160" i="42"/>
  <c r="BM160" i="42"/>
  <c r="BG160" i="42"/>
  <c r="BU160" i="42" s="1"/>
  <c r="BF160" i="42"/>
  <c r="BT160" i="42" s="1"/>
  <c r="AV160" i="42"/>
  <c r="BR160" i="42" s="1"/>
  <c r="AM160" i="42"/>
  <c r="AN160" i="42" s="1"/>
  <c r="AL160" i="42"/>
  <c r="BN160" i="42" s="1"/>
  <c r="W160" i="42"/>
  <c r="AE160" i="42" s="1"/>
  <c r="V160" i="42"/>
  <c r="AD160" i="42" s="1"/>
  <c r="BT159" i="42"/>
  <c r="BH159" i="42"/>
  <c r="BS159" i="42" s="1"/>
  <c r="BG159" i="42"/>
  <c r="BU159" i="42" s="1"/>
  <c r="BF159" i="42"/>
  <c r="AV159" i="42"/>
  <c r="BR159" i="42" s="1"/>
  <c r="AM159" i="42"/>
  <c r="BO159" i="42" s="1"/>
  <c r="AL159" i="42"/>
  <c r="AN159" i="42" s="1"/>
  <c r="BM159" i="42" s="1"/>
  <c r="AD159" i="42"/>
  <c r="AF159" i="42" s="1"/>
  <c r="W159" i="42"/>
  <c r="AE159" i="42" s="1"/>
  <c r="V159" i="42"/>
  <c r="BR158" i="42"/>
  <c r="BO158" i="42"/>
  <c r="BG158" i="42"/>
  <c r="BU158" i="42" s="1"/>
  <c r="BF158" i="42"/>
  <c r="BT158" i="42" s="1"/>
  <c r="AV158" i="42"/>
  <c r="AO158" i="42"/>
  <c r="AM158" i="42"/>
  <c r="AL158" i="42"/>
  <c r="BN158" i="42" s="1"/>
  <c r="AE158" i="42"/>
  <c r="BL158" i="42" s="1"/>
  <c r="W158" i="42"/>
  <c r="V158" i="42"/>
  <c r="AD158" i="42" s="1"/>
  <c r="BG157" i="42"/>
  <c r="BF157" i="42"/>
  <c r="AV157" i="42"/>
  <c r="AV162" i="42" s="1"/>
  <c r="AN157" i="42"/>
  <c r="AM157" i="42"/>
  <c r="BO157" i="42" s="1"/>
  <c r="AL157" i="42"/>
  <c r="BN157" i="42" s="1"/>
  <c r="AE157" i="42"/>
  <c r="W157" i="42"/>
  <c r="W162" i="42" s="1"/>
  <c r="V157" i="42"/>
  <c r="CA156" i="42"/>
  <c r="BZ156" i="42"/>
  <c r="BY156" i="42"/>
  <c r="BX156" i="42"/>
  <c r="BW156" i="42"/>
  <c r="BV156" i="42"/>
  <c r="BD156" i="42"/>
  <c r="BC156" i="42"/>
  <c r="BA156" i="42"/>
  <c r="AZ156" i="42"/>
  <c r="AY156" i="42"/>
  <c r="AX156" i="42"/>
  <c r="AU156" i="42"/>
  <c r="AT156" i="42"/>
  <c r="AK156" i="42"/>
  <c r="AJ156" i="42"/>
  <c r="AI156" i="42"/>
  <c r="AH156" i="42"/>
  <c r="AG156" i="42"/>
  <c r="AC156" i="42"/>
  <c r="AB156" i="42"/>
  <c r="AA156" i="42"/>
  <c r="Z156" i="42"/>
  <c r="Y156" i="42"/>
  <c r="X156" i="42"/>
  <c r="BR155" i="42"/>
  <c r="BG155" i="42"/>
  <c r="BU155" i="42" s="1"/>
  <c r="BF155" i="42"/>
  <c r="BT155" i="42" s="1"/>
  <c r="AV155" i="42"/>
  <c r="AM155" i="42"/>
  <c r="AL155" i="42"/>
  <c r="BN155" i="42" s="1"/>
  <c r="AE155" i="42"/>
  <c r="BL155" i="42" s="1"/>
  <c r="W155" i="42"/>
  <c r="V155" i="42"/>
  <c r="AD155" i="42" s="1"/>
  <c r="BR154" i="42"/>
  <c r="BR156" i="42" s="1"/>
  <c r="BG154" i="42"/>
  <c r="BU154" i="42" s="1"/>
  <c r="BF154" i="42"/>
  <c r="AV154" i="42"/>
  <c r="AV156" i="42" s="1"/>
  <c r="AP154" i="42"/>
  <c r="AN154" i="42"/>
  <c r="AM154" i="42"/>
  <c r="BO154" i="42" s="1"/>
  <c r="AL154" i="42"/>
  <c r="AL156" i="42" s="1"/>
  <c r="W154" i="42"/>
  <c r="AE154" i="42" s="1"/>
  <c r="V154" i="42"/>
  <c r="V156" i="42" s="1"/>
  <c r="CA153" i="42"/>
  <c r="BZ153" i="42"/>
  <c r="BY153" i="42"/>
  <c r="BX153" i="42"/>
  <c r="BW153" i="42"/>
  <c r="BV153" i="42"/>
  <c r="BD153" i="42"/>
  <c r="BC153" i="42"/>
  <c r="BA153" i="42"/>
  <c r="AZ153" i="42"/>
  <c r="AY153" i="42"/>
  <c r="AX153" i="42"/>
  <c r="AU153" i="42"/>
  <c r="AT153" i="42"/>
  <c r="AM153" i="42"/>
  <c r="AK153" i="42"/>
  <c r="AJ153" i="42"/>
  <c r="AI153" i="42"/>
  <c r="AH153" i="42"/>
  <c r="AG153" i="42"/>
  <c r="AC153" i="42"/>
  <c r="AB153" i="42"/>
  <c r="AA153" i="42"/>
  <c r="Z153" i="42"/>
  <c r="Y153" i="42"/>
  <c r="X153" i="42"/>
  <c r="BU152" i="42"/>
  <c r="BR152" i="42"/>
  <c r="BO152" i="42"/>
  <c r="BG152" i="42"/>
  <c r="BF152" i="42"/>
  <c r="BT152" i="42" s="1"/>
  <c r="AV152" i="42"/>
  <c r="AM152" i="42"/>
  <c r="AL152" i="42"/>
  <c r="BN152" i="42" s="1"/>
  <c r="AE152" i="42"/>
  <c r="BL152" i="42" s="1"/>
  <c r="W152" i="42"/>
  <c r="V152" i="42"/>
  <c r="AD152" i="42" s="1"/>
  <c r="BG151" i="42"/>
  <c r="BU151" i="42" s="1"/>
  <c r="BF151" i="42"/>
  <c r="AV151" i="42"/>
  <c r="BR151" i="42" s="1"/>
  <c r="AN151" i="42"/>
  <c r="BM151" i="42" s="1"/>
  <c r="AM151" i="42"/>
  <c r="BO151" i="42" s="1"/>
  <c r="AL151" i="42"/>
  <c r="BN151" i="42" s="1"/>
  <c r="AD151" i="42"/>
  <c r="BK151" i="42" s="1"/>
  <c r="W151" i="42"/>
  <c r="V151" i="42"/>
  <c r="BT150" i="42"/>
  <c r="BK150" i="42"/>
  <c r="BG150" i="42"/>
  <c r="BF150" i="42"/>
  <c r="AV150" i="42"/>
  <c r="BR150" i="42" s="1"/>
  <c r="AO150" i="42"/>
  <c r="AM150" i="42"/>
  <c r="BO150" i="42" s="1"/>
  <c r="AL150" i="42"/>
  <c r="AN150" i="42" s="1"/>
  <c r="BM150" i="42" s="1"/>
  <c r="AF150" i="42"/>
  <c r="AD150" i="42"/>
  <c r="W150" i="42"/>
  <c r="AE150" i="42" s="1"/>
  <c r="V150" i="42"/>
  <c r="BU149" i="42"/>
  <c r="BT149" i="42"/>
  <c r="BR149" i="42"/>
  <c r="BR153" i="42" s="1"/>
  <c r="BG149" i="42"/>
  <c r="BF149" i="42"/>
  <c r="BF153" i="42" s="1"/>
  <c r="AV149" i="42"/>
  <c r="AV153" i="42" s="1"/>
  <c r="AM149" i="42"/>
  <c r="BO149" i="42" s="1"/>
  <c r="AL149" i="42"/>
  <c r="BN149" i="42" s="1"/>
  <c r="AE149" i="42"/>
  <c r="W149" i="42"/>
  <c r="V149" i="42"/>
  <c r="AD149" i="42" s="1"/>
  <c r="CA148" i="42"/>
  <c r="BZ148" i="42"/>
  <c r="BY148" i="42"/>
  <c r="BX148" i="42"/>
  <c r="BW148" i="42"/>
  <c r="BV148" i="42"/>
  <c r="BD148" i="42"/>
  <c r="BC148" i="42"/>
  <c r="BA148" i="42"/>
  <c r="AZ148" i="42"/>
  <c r="AY148" i="42"/>
  <c r="AX148" i="42"/>
  <c r="AU148" i="42"/>
  <c r="AT148" i="42"/>
  <c r="AK148" i="42"/>
  <c r="AJ148" i="42"/>
  <c r="AI148" i="42"/>
  <c r="AH148" i="42"/>
  <c r="AG148" i="42"/>
  <c r="AC148" i="42"/>
  <c r="AB148" i="42"/>
  <c r="AA148" i="42"/>
  <c r="Z148" i="42"/>
  <c r="Y148" i="42"/>
  <c r="X148" i="42"/>
  <c r="W148" i="42"/>
  <c r="BG147" i="42"/>
  <c r="BU147" i="42" s="1"/>
  <c r="BF147" i="42"/>
  <c r="BT147" i="42" s="1"/>
  <c r="AV147" i="42"/>
  <c r="BR147" i="42" s="1"/>
  <c r="AM147" i="42"/>
  <c r="BO147" i="42" s="1"/>
  <c r="AL147" i="42"/>
  <c r="AN147" i="42" s="1"/>
  <c r="BM147" i="42" s="1"/>
  <c r="AF147" i="42"/>
  <c r="AD147" i="42"/>
  <c r="BK147" i="42" s="1"/>
  <c r="W147" i="42"/>
  <c r="AE147" i="42" s="1"/>
  <c r="V147" i="42"/>
  <c r="BR146" i="42"/>
  <c r="BR148" i="42" s="1"/>
  <c r="BN146" i="42"/>
  <c r="BL146" i="42"/>
  <c r="BG146" i="42"/>
  <c r="BU146" i="42" s="1"/>
  <c r="BF146" i="42"/>
  <c r="BF148" i="42" s="1"/>
  <c r="AV146" i="42"/>
  <c r="AV148" i="42" s="1"/>
  <c r="AP146" i="42"/>
  <c r="AM146" i="42"/>
  <c r="AM148" i="42" s="1"/>
  <c r="AL146" i="42"/>
  <c r="AE146" i="42"/>
  <c r="AE148" i="42" s="1"/>
  <c r="W146" i="42"/>
  <c r="V146" i="42"/>
  <c r="V148" i="42" s="1"/>
  <c r="CA145" i="42"/>
  <c r="BZ145" i="42"/>
  <c r="BY145" i="42"/>
  <c r="BX145" i="42"/>
  <c r="BW145" i="42"/>
  <c r="BV145" i="42"/>
  <c r="BD145" i="42"/>
  <c r="BC145" i="42"/>
  <c r="BA145" i="42"/>
  <c r="AZ145" i="42"/>
  <c r="AY145" i="42"/>
  <c r="AX145" i="42"/>
  <c r="AU145" i="42"/>
  <c r="AT145" i="42"/>
  <c r="AK145" i="42"/>
  <c r="AJ145" i="42"/>
  <c r="AI145" i="42"/>
  <c r="AH145" i="42"/>
  <c r="AG145" i="42"/>
  <c r="AC145" i="42"/>
  <c r="AB145" i="42"/>
  <c r="AA145" i="42"/>
  <c r="Z145" i="42"/>
  <c r="Y145" i="42"/>
  <c r="X145" i="42"/>
  <c r="W145" i="42"/>
  <c r="BK144" i="42"/>
  <c r="BG144" i="42"/>
  <c r="BU144" i="42" s="1"/>
  <c r="BF144" i="42"/>
  <c r="BT144" i="42" s="1"/>
  <c r="AV144" i="42"/>
  <c r="BR144" i="42" s="1"/>
  <c r="AO144" i="42"/>
  <c r="AM144" i="42"/>
  <c r="BO144" i="42" s="1"/>
  <c r="AL144" i="42"/>
  <c r="AN144" i="42" s="1"/>
  <c r="BM144" i="42" s="1"/>
  <c r="AF144" i="42"/>
  <c r="AE144" i="42"/>
  <c r="BL144" i="42" s="1"/>
  <c r="AD144" i="42"/>
  <c r="W144" i="42"/>
  <c r="V144" i="42"/>
  <c r="BT143" i="42"/>
  <c r="BR143" i="42"/>
  <c r="BG143" i="42"/>
  <c r="BU143" i="42" s="1"/>
  <c r="BF143" i="42"/>
  <c r="AV143" i="42"/>
  <c r="AP143" i="42"/>
  <c r="AM143" i="42"/>
  <c r="BO143" i="42" s="1"/>
  <c r="AL143" i="42"/>
  <c r="AE143" i="42"/>
  <c r="AF143" i="42" s="1"/>
  <c r="AD143" i="42"/>
  <c r="BK143" i="42" s="1"/>
  <c r="W143" i="42"/>
  <c r="V143" i="42"/>
  <c r="BT142" i="42"/>
  <c r="BR142" i="42"/>
  <c r="BG142" i="42"/>
  <c r="BH142" i="42" s="1"/>
  <c r="BS142" i="42" s="1"/>
  <c r="BF142" i="42"/>
  <c r="AV142" i="42"/>
  <c r="AM142" i="42"/>
  <c r="BO142" i="42" s="1"/>
  <c r="AL142" i="42"/>
  <c r="AN142" i="42" s="1"/>
  <c r="BM142" i="42" s="1"/>
  <c r="AE142" i="42"/>
  <c r="BL142" i="42" s="1"/>
  <c r="W142" i="42"/>
  <c r="V142" i="42"/>
  <c r="AD142" i="42" s="1"/>
  <c r="AF142" i="42" s="1"/>
  <c r="BU141" i="42"/>
  <c r="BT141" i="42"/>
  <c r="BH141" i="42"/>
  <c r="BS141" i="42" s="1"/>
  <c r="BG141" i="42"/>
  <c r="BF141" i="42"/>
  <c r="AV141" i="42"/>
  <c r="BR141" i="42" s="1"/>
  <c r="AM141" i="42"/>
  <c r="BO141" i="42" s="1"/>
  <c r="AL141" i="42"/>
  <c r="AN141" i="42" s="1"/>
  <c r="BM141" i="42" s="1"/>
  <c r="W141" i="42"/>
  <c r="AE141" i="42" s="1"/>
  <c r="V141" i="42"/>
  <c r="AD141" i="42" s="1"/>
  <c r="BG140" i="42"/>
  <c r="BU140" i="42" s="1"/>
  <c r="BF140" i="42"/>
  <c r="BT140" i="42" s="1"/>
  <c r="AV140" i="42"/>
  <c r="BR140" i="42" s="1"/>
  <c r="AM140" i="42"/>
  <c r="AN140" i="42" s="1"/>
  <c r="BM140" i="42" s="1"/>
  <c r="AL140" i="42"/>
  <c r="BN140" i="42" s="1"/>
  <c r="W140" i="42"/>
  <c r="AE140" i="42" s="1"/>
  <c r="V140" i="42"/>
  <c r="AD140" i="42" s="1"/>
  <c r="BR139" i="42"/>
  <c r="BK139" i="42"/>
  <c r="BG139" i="42"/>
  <c r="BU139" i="42" s="1"/>
  <c r="BF139" i="42"/>
  <c r="AV139" i="42"/>
  <c r="AM139" i="42"/>
  <c r="BO139" i="42" s="1"/>
  <c r="AL139" i="42"/>
  <c r="AN139" i="42" s="1"/>
  <c r="AD139" i="42"/>
  <c r="AO139" i="42" s="1"/>
  <c r="W139" i="42"/>
  <c r="AE139" i="42" s="1"/>
  <c r="AP139" i="42" s="1"/>
  <c r="V139" i="42"/>
  <c r="V145" i="42" s="1"/>
  <c r="CA138" i="42"/>
  <c r="BZ138" i="42"/>
  <c r="BY138" i="42"/>
  <c r="BX138" i="42"/>
  <c r="BW138" i="42"/>
  <c r="BV138" i="42"/>
  <c r="BD138" i="42"/>
  <c r="BC138" i="42"/>
  <c r="BA138" i="42"/>
  <c r="AZ138" i="42"/>
  <c r="AY138" i="42"/>
  <c r="AX138" i="42"/>
  <c r="AU138" i="42"/>
  <c r="AT138" i="42"/>
  <c r="AK138" i="42"/>
  <c r="AJ138" i="42"/>
  <c r="AI138" i="42"/>
  <c r="AH138" i="42"/>
  <c r="AG138" i="42"/>
  <c r="AC138" i="42"/>
  <c r="AB138" i="42"/>
  <c r="AA138" i="42"/>
  <c r="Z138" i="42"/>
  <c r="Y138" i="42"/>
  <c r="X138" i="42"/>
  <c r="V138" i="42"/>
  <c r="BR137" i="42"/>
  <c r="BO137" i="42"/>
  <c r="BH137" i="42"/>
  <c r="BS137" i="42" s="1"/>
  <c r="BG137" i="42"/>
  <c r="BU137" i="42" s="1"/>
  <c r="BF137" i="42"/>
  <c r="BF138" i="42" s="1"/>
  <c r="AV137" i="42"/>
  <c r="AM137" i="42"/>
  <c r="AL137" i="42"/>
  <c r="BN137" i="42" s="1"/>
  <c r="AE137" i="42"/>
  <c r="W137" i="42"/>
  <c r="V137" i="42"/>
  <c r="AD137" i="42" s="1"/>
  <c r="BT136" i="42"/>
  <c r="BG136" i="42"/>
  <c r="BG138" i="42" s="1"/>
  <c r="BF136" i="42"/>
  <c r="AV136" i="42"/>
  <c r="BR136" i="42" s="1"/>
  <c r="BR138" i="42" s="1"/>
  <c r="AM136" i="42"/>
  <c r="AL136" i="42"/>
  <c r="AL138" i="42" s="1"/>
  <c r="W136" i="42"/>
  <c r="V136" i="42"/>
  <c r="AD136" i="42" s="1"/>
  <c r="CA135" i="42"/>
  <c r="BZ135" i="42"/>
  <c r="BY135" i="42"/>
  <c r="BX135" i="42"/>
  <c r="BW135" i="42"/>
  <c r="BV135" i="42"/>
  <c r="BF135" i="42"/>
  <c r="BD135" i="42"/>
  <c r="BC135" i="42"/>
  <c r="BA135" i="42"/>
  <c r="AZ135" i="42"/>
  <c r="AY135" i="42"/>
  <c r="AX135" i="42"/>
  <c r="AU135" i="42"/>
  <c r="AT135" i="42"/>
  <c r="AM135" i="42"/>
  <c r="AK135" i="42"/>
  <c r="AJ135" i="42"/>
  <c r="AI135" i="42"/>
  <c r="AH135" i="42"/>
  <c r="AG135" i="42"/>
  <c r="AC135" i="42"/>
  <c r="AB135" i="42"/>
  <c r="AA135" i="42"/>
  <c r="Z135" i="42"/>
  <c r="Y135" i="42"/>
  <c r="X135" i="42"/>
  <c r="BT134" i="42"/>
  <c r="BO134" i="42"/>
  <c r="BN134" i="42"/>
  <c r="BG134" i="42"/>
  <c r="BU134" i="42" s="1"/>
  <c r="BF134" i="42"/>
  <c r="AV134" i="42"/>
  <c r="BR134" i="42" s="1"/>
  <c r="AN134" i="42"/>
  <c r="BM134" i="42" s="1"/>
  <c r="AM134" i="42"/>
  <c r="AL134" i="42"/>
  <c r="W134" i="42"/>
  <c r="AE134" i="42" s="1"/>
  <c r="V134" i="42"/>
  <c r="AD134" i="42" s="1"/>
  <c r="BT133" i="42"/>
  <c r="BO133" i="42"/>
  <c r="BG133" i="42"/>
  <c r="BU133" i="42" s="1"/>
  <c r="BF133" i="42"/>
  <c r="AV133" i="42"/>
  <c r="BR133" i="42" s="1"/>
  <c r="AR133" i="42"/>
  <c r="BP133" i="42" s="1"/>
  <c r="AM133" i="42"/>
  <c r="AL133" i="42"/>
  <c r="AN133" i="42" s="1"/>
  <c r="BM133" i="42" s="1"/>
  <c r="AF133" i="42"/>
  <c r="W133" i="42"/>
  <c r="AE133" i="42" s="1"/>
  <c r="V133" i="42"/>
  <c r="AD133" i="42" s="1"/>
  <c r="BT132" i="42"/>
  <c r="BT135" i="42" s="1"/>
  <c r="BG132" i="42"/>
  <c r="BF132" i="42"/>
  <c r="AV132" i="42"/>
  <c r="AV135" i="42" s="1"/>
  <c r="AM132" i="42"/>
  <c r="BO132" i="42" s="1"/>
  <c r="BO135" i="42" s="1"/>
  <c r="AL132" i="42"/>
  <c r="AN132" i="42" s="1"/>
  <c r="W132" i="42"/>
  <c r="W135" i="42" s="1"/>
  <c r="V132" i="42"/>
  <c r="V135" i="42" s="1"/>
  <c r="CA131" i="42"/>
  <c r="BZ131" i="42"/>
  <c r="BY131" i="42"/>
  <c r="BX131" i="42"/>
  <c r="BW131" i="42"/>
  <c r="BV131" i="42"/>
  <c r="BD131" i="42"/>
  <c r="BC131" i="42"/>
  <c r="BA131" i="42"/>
  <c r="AZ131" i="42"/>
  <c r="AY131" i="42"/>
  <c r="AX131" i="42"/>
  <c r="AU131" i="42"/>
  <c r="AT131" i="42"/>
  <c r="AK131" i="42"/>
  <c r="AJ131" i="42"/>
  <c r="AI131" i="42"/>
  <c r="AH131" i="42"/>
  <c r="AG131" i="42"/>
  <c r="AC131" i="42"/>
  <c r="AB131" i="42"/>
  <c r="AA131" i="42"/>
  <c r="Z131" i="42"/>
  <c r="Y131" i="42"/>
  <c r="X131" i="42"/>
  <c r="BR130" i="42"/>
  <c r="BL130" i="42"/>
  <c r="BG130" i="42"/>
  <c r="BU130" i="42" s="1"/>
  <c r="BF130" i="42"/>
  <c r="AV130" i="42"/>
  <c r="AP130" i="42"/>
  <c r="AM130" i="42"/>
  <c r="BO130" i="42" s="1"/>
  <c r="AL130" i="42"/>
  <c r="BN130" i="42" s="1"/>
  <c r="AE130" i="42"/>
  <c r="W130" i="42"/>
  <c r="V130" i="42"/>
  <c r="AD130" i="42" s="1"/>
  <c r="BT129" i="42"/>
  <c r="BG129" i="42"/>
  <c r="BF129" i="42"/>
  <c r="AV129" i="42"/>
  <c r="BR129" i="42" s="1"/>
  <c r="AM129" i="42"/>
  <c r="BO129" i="42" s="1"/>
  <c r="AL129" i="42"/>
  <c r="AN129" i="42" s="1"/>
  <c r="BM129" i="42" s="1"/>
  <c r="W129" i="42"/>
  <c r="AE129" i="42" s="1"/>
  <c r="V129" i="42"/>
  <c r="AD129" i="42" s="1"/>
  <c r="BT128" i="42"/>
  <c r="BN128" i="42"/>
  <c r="BH128" i="42"/>
  <c r="BS128" i="42" s="1"/>
  <c r="BG128" i="42"/>
  <c r="BU128" i="42" s="1"/>
  <c r="BF128" i="42"/>
  <c r="AV128" i="42"/>
  <c r="BR128" i="42" s="1"/>
  <c r="AM128" i="42"/>
  <c r="BO128" i="42" s="1"/>
  <c r="AL128" i="42"/>
  <c r="AN128" i="42" s="1"/>
  <c r="BM128" i="42" s="1"/>
  <c r="W128" i="42"/>
  <c r="AE128" i="42" s="1"/>
  <c r="V128" i="42"/>
  <c r="AD128" i="42" s="1"/>
  <c r="BU127" i="42"/>
  <c r="BG127" i="42"/>
  <c r="BF127" i="42"/>
  <c r="BT127" i="42" s="1"/>
  <c r="AV127" i="42"/>
  <c r="BR127" i="42" s="1"/>
  <c r="AM127" i="42"/>
  <c r="AN127" i="42" s="1"/>
  <c r="BM127" i="42" s="1"/>
  <c r="AL127" i="42"/>
  <c r="AL131" i="42" s="1"/>
  <c r="W127" i="42"/>
  <c r="AE127" i="42" s="1"/>
  <c r="V127" i="42"/>
  <c r="AD127" i="42" s="1"/>
  <c r="AD131" i="42" s="1"/>
  <c r="BG126" i="42"/>
  <c r="BG131" i="42" s="1"/>
  <c r="BF126" i="42"/>
  <c r="AV126" i="42"/>
  <c r="BR126" i="42" s="1"/>
  <c r="AN126" i="42"/>
  <c r="AM126" i="42"/>
  <c r="AM131" i="42" s="1"/>
  <c r="AL126" i="42"/>
  <c r="BN126" i="42" s="1"/>
  <c r="AD126" i="42"/>
  <c r="W126" i="42"/>
  <c r="V126" i="42"/>
  <c r="CA125" i="42"/>
  <c r="BZ125" i="42"/>
  <c r="BY125" i="42"/>
  <c r="BX125" i="42"/>
  <c r="BW125" i="42"/>
  <c r="BV125" i="42"/>
  <c r="BD125" i="42"/>
  <c r="BC125" i="42"/>
  <c r="BA125" i="42"/>
  <c r="AZ125" i="42"/>
  <c r="AY125" i="42"/>
  <c r="AX125" i="42"/>
  <c r="AU125" i="42"/>
  <c r="AT125" i="42"/>
  <c r="AM125" i="42"/>
  <c r="AK125" i="42"/>
  <c r="AJ125" i="42"/>
  <c r="AI125" i="42"/>
  <c r="AH125" i="42"/>
  <c r="AG125" i="42"/>
  <c r="AC125" i="42"/>
  <c r="AB125" i="42"/>
  <c r="AA125" i="42"/>
  <c r="Z125" i="42"/>
  <c r="Y125" i="42"/>
  <c r="X125" i="42"/>
  <c r="BU124" i="42"/>
  <c r="BG124" i="42"/>
  <c r="BF124" i="42"/>
  <c r="BT124" i="42" s="1"/>
  <c r="AV124" i="42"/>
  <c r="BR124" i="42" s="1"/>
  <c r="AM124" i="42"/>
  <c r="AN124" i="42" s="1"/>
  <c r="BM124" i="42" s="1"/>
  <c r="AL124" i="42"/>
  <c r="BN124" i="42" s="1"/>
  <c r="W124" i="42"/>
  <c r="AE124" i="42" s="1"/>
  <c r="V124" i="42"/>
  <c r="AD124" i="42" s="1"/>
  <c r="BJ123" i="42"/>
  <c r="BG123" i="42"/>
  <c r="BU123" i="42" s="1"/>
  <c r="BF123" i="42"/>
  <c r="BT123" i="42" s="1"/>
  <c r="AV123" i="42"/>
  <c r="BR123" i="42" s="1"/>
  <c r="AN123" i="42"/>
  <c r="BM123" i="42" s="1"/>
  <c r="AM123" i="42"/>
  <c r="BO123" i="42" s="1"/>
  <c r="AL123" i="42"/>
  <c r="BN123" i="42" s="1"/>
  <c r="AD123" i="42"/>
  <c r="AF123" i="42" s="1"/>
  <c r="W123" i="42"/>
  <c r="AE123" i="42" s="1"/>
  <c r="V123" i="42"/>
  <c r="V125" i="42" s="1"/>
  <c r="BR122" i="42"/>
  <c r="BK122" i="42"/>
  <c r="BG122" i="42"/>
  <c r="BG125" i="42" s="1"/>
  <c r="BF122" i="42"/>
  <c r="BT122" i="42" s="1"/>
  <c r="BT125" i="42" s="1"/>
  <c r="AV122" i="42"/>
  <c r="AO122" i="42"/>
  <c r="AM122" i="42"/>
  <c r="BO122" i="42" s="1"/>
  <c r="AL122" i="42"/>
  <c r="BN122" i="42" s="1"/>
  <c r="AE122" i="42"/>
  <c r="BL122" i="42" s="1"/>
  <c r="AD122" i="42"/>
  <c r="W122" i="42"/>
  <c r="V122" i="42"/>
  <c r="CA121" i="42"/>
  <c r="BZ121" i="42"/>
  <c r="BY121" i="42"/>
  <c r="BX121" i="42"/>
  <c r="BW121" i="42"/>
  <c r="BV121" i="42"/>
  <c r="BD121" i="42"/>
  <c r="BC121" i="42"/>
  <c r="BA121" i="42"/>
  <c r="AZ121" i="42"/>
  <c r="AY121" i="42"/>
  <c r="AX121" i="42"/>
  <c r="AU121" i="42"/>
  <c r="AT121" i="42"/>
  <c r="AK121" i="42"/>
  <c r="AJ121" i="42"/>
  <c r="AI121" i="42"/>
  <c r="AH121" i="42"/>
  <c r="AG121" i="42"/>
  <c r="AC121" i="42"/>
  <c r="AB121" i="42"/>
  <c r="AA121" i="42"/>
  <c r="Z121" i="42"/>
  <c r="Y121" i="42"/>
  <c r="X121" i="42"/>
  <c r="V121" i="42"/>
  <c r="BG120" i="42"/>
  <c r="BU120" i="42" s="1"/>
  <c r="BF120" i="42"/>
  <c r="BT120" i="42" s="1"/>
  <c r="AV120" i="42"/>
  <c r="BR120" i="42" s="1"/>
  <c r="AN120" i="42"/>
  <c r="BM120" i="42" s="1"/>
  <c r="AM120" i="42"/>
  <c r="BO120" i="42" s="1"/>
  <c r="AL120" i="42"/>
  <c r="BN120" i="42" s="1"/>
  <c r="AD120" i="42"/>
  <c r="W120" i="42"/>
  <c r="AE120" i="42" s="1"/>
  <c r="V120" i="42"/>
  <c r="BR119" i="42"/>
  <c r="BG119" i="42"/>
  <c r="BU119" i="42" s="1"/>
  <c r="BF119" i="42"/>
  <c r="BT119" i="42" s="1"/>
  <c r="AV119" i="42"/>
  <c r="AM119" i="42"/>
  <c r="BO119" i="42" s="1"/>
  <c r="AL119" i="42"/>
  <c r="BN119" i="42" s="1"/>
  <c r="AE119" i="42"/>
  <c r="BL119" i="42" s="1"/>
  <c r="AD119" i="42"/>
  <c r="W119" i="42"/>
  <c r="V119" i="42"/>
  <c r="BR118" i="42"/>
  <c r="BG118" i="42"/>
  <c r="BU118" i="42" s="1"/>
  <c r="BF118" i="42"/>
  <c r="AV118" i="42"/>
  <c r="AM118" i="42"/>
  <c r="BO118" i="42" s="1"/>
  <c r="AL118" i="42"/>
  <c r="BN118" i="42" s="1"/>
  <c r="AE118" i="42"/>
  <c r="AP118" i="42" s="1"/>
  <c r="W118" i="42"/>
  <c r="V118" i="42"/>
  <c r="AD118" i="42" s="1"/>
  <c r="BT117" i="42"/>
  <c r="BG117" i="42"/>
  <c r="BF117" i="42"/>
  <c r="AV117" i="42"/>
  <c r="BR117" i="42" s="1"/>
  <c r="AM117" i="42"/>
  <c r="BO117" i="42" s="1"/>
  <c r="AL117" i="42"/>
  <c r="AN117" i="42" s="1"/>
  <c r="BM117" i="42" s="1"/>
  <c r="W117" i="42"/>
  <c r="AE117" i="42" s="1"/>
  <c r="V117" i="42"/>
  <c r="AD117" i="42" s="1"/>
  <c r="BT116" i="42"/>
  <c r="BG116" i="42"/>
  <c r="BF116" i="42"/>
  <c r="AV116" i="42"/>
  <c r="AM116" i="42"/>
  <c r="BO116" i="42" s="1"/>
  <c r="AL116" i="42"/>
  <c r="W116" i="42"/>
  <c r="W121" i="42" s="1"/>
  <c r="V116" i="42"/>
  <c r="AD116" i="42" s="1"/>
  <c r="CA115" i="42"/>
  <c r="BZ115" i="42"/>
  <c r="BY115" i="42"/>
  <c r="BX115" i="42"/>
  <c r="BW115" i="42"/>
  <c r="BV115" i="42"/>
  <c r="BD115" i="42"/>
  <c r="BC115" i="42"/>
  <c r="BA115" i="42"/>
  <c r="AZ115" i="42"/>
  <c r="AY115" i="42"/>
  <c r="AX115" i="42"/>
  <c r="AU115" i="42"/>
  <c r="AT115" i="42"/>
  <c r="AK115" i="42"/>
  <c r="AJ115" i="42"/>
  <c r="AI115" i="42"/>
  <c r="AH115" i="42"/>
  <c r="AG115" i="42"/>
  <c r="AC115" i="42"/>
  <c r="AB115" i="42"/>
  <c r="AA115" i="42"/>
  <c r="Z115" i="42"/>
  <c r="Y115" i="42"/>
  <c r="X115" i="42"/>
  <c r="BT114" i="42"/>
  <c r="BG114" i="42"/>
  <c r="BF114" i="42"/>
  <c r="AV114" i="42"/>
  <c r="BR114" i="42" s="1"/>
  <c r="AM114" i="42"/>
  <c r="BO114" i="42" s="1"/>
  <c r="AL114" i="42"/>
  <c r="AN114" i="42" s="1"/>
  <c r="BM114" i="42" s="1"/>
  <c r="W114" i="42"/>
  <c r="AE114" i="42" s="1"/>
  <c r="V114" i="42"/>
  <c r="AD114" i="42" s="1"/>
  <c r="BT113" i="42"/>
  <c r="BT115" i="42" s="1"/>
  <c r="BN113" i="42"/>
  <c r="BG113" i="42"/>
  <c r="BG115" i="42" s="1"/>
  <c r="BF113" i="42"/>
  <c r="BF115" i="42" s="1"/>
  <c r="AV113" i="42"/>
  <c r="AV115" i="42" s="1"/>
  <c r="AM113" i="42"/>
  <c r="AM115" i="42" s="1"/>
  <c r="AL113" i="42"/>
  <c r="W113" i="42"/>
  <c r="W115" i="42" s="1"/>
  <c r="V113" i="42"/>
  <c r="V115" i="42" s="1"/>
  <c r="CA112" i="42"/>
  <c r="BZ112" i="42"/>
  <c r="BY112" i="42"/>
  <c r="BX112" i="42"/>
  <c r="BW112" i="42"/>
  <c r="BV112" i="42"/>
  <c r="BD112" i="42"/>
  <c r="BC112" i="42"/>
  <c r="BA112" i="42"/>
  <c r="AZ112" i="42"/>
  <c r="AY112" i="42"/>
  <c r="AX112" i="42"/>
  <c r="AT112" i="42"/>
  <c r="AK112" i="42"/>
  <c r="AJ112" i="42"/>
  <c r="AI112" i="42"/>
  <c r="AH112" i="42"/>
  <c r="AG112" i="42"/>
  <c r="AC112" i="42"/>
  <c r="AB112" i="42"/>
  <c r="Z112" i="42"/>
  <c r="Y112" i="42"/>
  <c r="X112" i="42"/>
  <c r="BG111" i="42"/>
  <c r="BU111" i="42" s="1"/>
  <c r="BF111" i="42"/>
  <c r="BT111" i="42" s="1"/>
  <c r="AV111" i="42"/>
  <c r="BR111" i="42" s="1"/>
  <c r="AM111" i="42"/>
  <c r="BO111" i="42" s="1"/>
  <c r="AL111" i="42"/>
  <c r="AN111" i="42" s="1"/>
  <c r="BM111" i="42" s="1"/>
  <c r="AF111" i="42"/>
  <c r="AE111" i="42"/>
  <c r="BL111" i="42" s="1"/>
  <c r="W111" i="42"/>
  <c r="V111" i="42"/>
  <c r="AD111" i="42" s="1"/>
  <c r="BT110" i="42"/>
  <c r="BN110" i="42"/>
  <c r="BG110" i="42"/>
  <c r="BU110" i="42" s="1"/>
  <c r="BF110" i="42"/>
  <c r="AV110" i="42"/>
  <c r="BR110" i="42" s="1"/>
  <c r="AM110" i="42"/>
  <c r="BO110" i="42" s="1"/>
  <c r="AL110" i="42"/>
  <c r="AN110" i="42" s="1"/>
  <c r="BM110" i="42" s="1"/>
  <c r="W110" i="42"/>
  <c r="AE110" i="42" s="1"/>
  <c r="V110" i="42"/>
  <c r="AD110" i="42" s="1"/>
  <c r="BO109" i="42"/>
  <c r="BF109" i="42"/>
  <c r="BT109" i="42" s="1"/>
  <c r="AV109" i="42"/>
  <c r="BR109" i="42" s="1"/>
  <c r="AU109" i="42"/>
  <c r="AU112" i="42" s="1"/>
  <c r="AO109" i="42"/>
  <c r="AN109" i="42"/>
  <c r="BM109" i="42" s="1"/>
  <c r="AM109" i="42"/>
  <c r="AL109" i="42"/>
  <c r="BN109" i="42" s="1"/>
  <c r="AD109" i="42"/>
  <c r="AA109" i="42"/>
  <c r="AA112" i="42" s="1"/>
  <c r="W109" i="42"/>
  <c r="AE109" i="42" s="1"/>
  <c r="V109" i="42"/>
  <c r="BR108" i="42"/>
  <c r="BG108" i="42"/>
  <c r="BU108" i="42" s="1"/>
  <c r="BF108" i="42"/>
  <c r="BT108" i="42" s="1"/>
  <c r="AV108" i="42"/>
  <c r="AM108" i="42"/>
  <c r="BO108" i="42" s="1"/>
  <c r="AL108" i="42"/>
  <c r="AN108" i="42" s="1"/>
  <c r="BM108" i="42" s="1"/>
  <c r="AE108" i="42"/>
  <c r="W108" i="42"/>
  <c r="V108" i="42"/>
  <c r="AD108" i="42" s="1"/>
  <c r="BH107" i="42"/>
  <c r="BS107" i="42" s="1"/>
  <c r="BG107" i="42"/>
  <c r="BU107" i="42" s="1"/>
  <c r="BF107" i="42"/>
  <c r="BT107" i="42" s="1"/>
  <c r="AV107" i="42"/>
  <c r="BR107" i="42" s="1"/>
  <c r="AM107" i="42"/>
  <c r="AL107" i="42"/>
  <c r="BN107" i="42" s="1"/>
  <c r="W107" i="42"/>
  <c r="AE107" i="42" s="1"/>
  <c r="V107" i="42"/>
  <c r="AD107" i="42" s="1"/>
  <c r="BU106" i="42"/>
  <c r="BT106" i="42"/>
  <c r="BG106" i="42"/>
  <c r="BF106" i="42"/>
  <c r="AV106" i="42"/>
  <c r="AN106" i="42"/>
  <c r="AM106" i="42"/>
  <c r="AL106" i="42"/>
  <c r="AD106" i="42"/>
  <c r="W106" i="42"/>
  <c r="V106" i="42"/>
  <c r="CA105" i="42"/>
  <c r="BZ105" i="42"/>
  <c r="BY105" i="42"/>
  <c r="BX105" i="42"/>
  <c r="BW105" i="42"/>
  <c r="BV105" i="42"/>
  <c r="BD105" i="42"/>
  <c r="BC105" i="42"/>
  <c r="BA105" i="42"/>
  <c r="AZ105" i="42"/>
  <c r="AY105" i="42"/>
  <c r="AX105" i="42"/>
  <c r="AU105" i="42"/>
  <c r="AT105" i="42"/>
  <c r="AM105" i="42"/>
  <c r="AK105" i="42"/>
  <c r="AJ105" i="42"/>
  <c r="AI105" i="42"/>
  <c r="AH105" i="42"/>
  <c r="AG105" i="42"/>
  <c r="AC105" i="42"/>
  <c r="AB105" i="42"/>
  <c r="AA105" i="42"/>
  <c r="Z105" i="42"/>
  <c r="Y105" i="42"/>
  <c r="X105" i="42"/>
  <c r="BT104" i="42"/>
  <c r="BH104" i="42"/>
  <c r="BS104" i="42" s="1"/>
  <c r="BG104" i="42"/>
  <c r="BU104" i="42" s="1"/>
  <c r="BF104" i="42"/>
  <c r="AV104" i="42"/>
  <c r="BR104" i="42" s="1"/>
  <c r="AM104" i="42"/>
  <c r="AN104" i="42" s="1"/>
  <c r="BM104" i="42" s="1"/>
  <c r="AL104" i="42"/>
  <c r="BN104" i="42" s="1"/>
  <c r="W104" i="42"/>
  <c r="AE104" i="42" s="1"/>
  <c r="V104" i="42"/>
  <c r="BJ103" i="42"/>
  <c r="BG103" i="42"/>
  <c r="BU103" i="42" s="1"/>
  <c r="BF103" i="42"/>
  <c r="BT103" i="42" s="1"/>
  <c r="AV103" i="42"/>
  <c r="BR103" i="42" s="1"/>
  <c r="AN103" i="42"/>
  <c r="BM103" i="42" s="1"/>
  <c r="AM103" i="42"/>
  <c r="BO103" i="42" s="1"/>
  <c r="AL103" i="42"/>
  <c r="BN103" i="42" s="1"/>
  <c r="AD103" i="42"/>
  <c r="AF103" i="42" s="1"/>
  <c r="W103" i="42"/>
  <c r="AE103" i="42" s="1"/>
  <c r="V103" i="42"/>
  <c r="BR102" i="42"/>
  <c r="BK102" i="42"/>
  <c r="BG102" i="42"/>
  <c r="BU102" i="42" s="1"/>
  <c r="BF102" i="42"/>
  <c r="BT102" i="42" s="1"/>
  <c r="AV102" i="42"/>
  <c r="AO102" i="42"/>
  <c r="AN102" i="42"/>
  <c r="BM102" i="42" s="1"/>
  <c r="AM102" i="42"/>
  <c r="BO102" i="42" s="1"/>
  <c r="AL102" i="42"/>
  <c r="BN102" i="42" s="1"/>
  <c r="AE102" i="42"/>
  <c r="BL102" i="42" s="1"/>
  <c r="AD102" i="42"/>
  <c r="AF102" i="42" s="1"/>
  <c r="W102" i="42"/>
  <c r="V102" i="42"/>
  <c r="BR101" i="42"/>
  <c r="BG101" i="42"/>
  <c r="BU101" i="42" s="1"/>
  <c r="BF101" i="42"/>
  <c r="AV101" i="42"/>
  <c r="AM101" i="42"/>
  <c r="BO101" i="42" s="1"/>
  <c r="AL101" i="42"/>
  <c r="AN101" i="42" s="1"/>
  <c r="BM101" i="42" s="1"/>
  <c r="AE101" i="42"/>
  <c r="AD101" i="42"/>
  <c r="W101" i="42"/>
  <c r="V101" i="42"/>
  <c r="BT100" i="42"/>
  <c r="BR100" i="42"/>
  <c r="BG100" i="42"/>
  <c r="BF100" i="42"/>
  <c r="AV100" i="42"/>
  <c r="AM100" i="42"/>
  <c r="BO100" i="42" s="1"/>
  <c r="AL100" i="42"/>
  <c r="AN100" i="42" s="1"/>
  <c r="AF100" i="42"/>
  <c r="AE100" i="42"/>
  <c r="AD100" i="42"/>
  <c r="BK100" i="42" s="1"/>
  <c r="W100" i="42"/>
  <c r="W105" i="42" s="1"/>
  <c r="V100" i="42"/>
  <c r="CA99" i="42"/>
  <c r="BZ99" i="42"/>
  <c r="BY99" i="42"/>
  <c r="BX99" i="42"/>
  <c r="BW99" i="42"/>
  <c r="BV99" i="42"/>
  <c r="BD99" i="42"/>
  <c r="BC99" i="42"/>
  <c r="BA99" i="42"/>
  <c r="AZ99" i="42"/>
  <c r="AY99" i="42"/>
  <c r="AX99" i="42"/>
  <c r="AV99" i="42"/>
  <c r="AU99" i="42"/>
  <c r="AT99" i="42"/>
  <c r="AK99" i="42"/>
  <c r="AJ99" i="42"/>
  <c r="AI99" i="42"/>
  <c r="AH99" i="42"/>
  <c r="AG99" i="42"/>
  <c r="AC99" i="42"/>
  <c r="AB99" i="42"/>
  <c r="AA99" i="42"/>
  <c r="Z99" i="42"/>
  <c r="Y99" i="42"/>
  <c r="X99" i="42"/>
  <c r="W99" i="42"/>
  <c r="BR98" i="42"/>
  <c r="BL98" i="42"/>
  <c r="BG98" i="42"/>
  <c r="BU98" i="42" s="1"/>
  <c r="BF98" i="42"/>
  <c r="AV98" i="42"/>
  <c r="AP98" i="42"/>
  <c r="AM98" i="42"/>
  <c r="BO98" i="42" s="1"/>
  <c r="AL98" i="42"/>
  <c r="AN98" i="42" s="1"/>
  <c r="BM98" i="42" s="1"/>
  <c r="AE98" i="42"/>
  <c r="AF98" i="42" s="1"/>
  <c r="AD98" i="42"/>
  <c r="BK98" i="42" s="1"/>
  <c r="W98" i="42"/>
  <c r="V98" i="42"/>
  <c r="BT97" i="42"/>
  <c r="BR97" i="42"/>
  <c r="BG97" i="42"/>
  <c r="BF97" i="42"/>
  <c r="AV97" i="42"/>
  <c r="AM97" i="42"/>
  <c r="BO97" i="42" s="1"/>
  <c r="AL97" i="42"/>
  <c r="AN97" i="42" s="1"/>
  <c r="BM97" i="42" s="1"/>
  <c r="AF97" i="42"/>
  <c r="AE97" i="42"/>
  <c r="BL97" i="42" s="1"/>
  <c r="AD97" i="42"/>
  <c r="BK97" i="42" s="1"/>
  <c r="W97" i="42"/>
  <c r="V97" i="42"/>
  <c r="BT96" i="42"/>
  <c r="BN96" i="42"/>
  <c r="BG96" i="42"/>
  <c r="BF96" i="42"/>
  <c r="AV96" i="42"/>
  <c r="BR96" i="42" s="1"/>
  <c r="BR99" i="42" s="1"/>
  <c r="AM96" i="42"/>
  <c r="AM99" i="42" s="1"/>
  <c r="AL96" i="42"/>
  <c r="W96" i="42"/>
  <c r="AE96" i="42" s="1"/>
  <c r="V96" i="42"/>
  <c r="V99" i="42" s="1"/>
  <c r="CA95" i="42"/>
  <c r="BZ95" i="42"/>
  <c r="BY95" i="42"/>
  <c r="BX95" i="42"/>
  <c r="BW95" i="42"/>
  <c r="BV95" i="42"/>
  <c r="BD95" i="42"/>
  <c r="BC95" i="42"/>
  <c r="BA95" i="42"/>
  <c r="AZ95" i="42"/>
  <c r="AY95" i="42"/>
  <c r="AX95" i="42"/>
  <c r="AU95" i="42"/>
  <c r="AT95" i="42"/>
  <c r="AK95" i="42"/>
  <c r="AJ95" i="42"/>
  <c r="AI95" i="42"/>
  <c r="AH95" i="42"/>
  <c r="AG95" i="42"/>
  <c r="AC95" i="42"/>
  <c r="AB95" i="42"/>
  <c r="AA95" i="42"/>
  <c r="Z95" i="42"/>
  <c r="Y95" i="42"/>
  <c r="X95" i="42"/>
  <c r="BT94" i="42"/>
  <c r="BR94" i="42"/>
  <c r="BG94" i="42"/>
  <c r="BF94" i="42"/>
  <c r="AV94" i="42"/>
  <c r="AM94" i="42"/>
  <c r="BO94" i="42" s="1"/>
  <c r="AL94" i="42"/>
  <c r="AN94" i="42" s="1"/>
  <c r="BM94" i="42" s="1"/>
  <c r="AF94" i="42"/>
  <c r="AE94" i="42"/>
  <c r="BL94" i="42" s="1"/>
  <c r="AD94" i="42"/>
  <c r="BK94" i="42" s="1"/>
  <c r="W94" i="42"/>
  <c r="V94" i="42"/>
  <c r="BT93" i="42"/>
  <c r="BN93" i="42"/>
  <c r="BG93" i="42"/>
  <c r="BU93" i="42" s="1"/>
  <c r="BF93" i="42"/>
  <c r="AV93" i="42"/>
  <c r="BR93" i="42" s="1"/>
  <c r="AM93" i="42"/>
  <c r="BO93" i="42" s="1"/>
  <c r="AL93" i="42"/>
  <c r="AE93" i="42"/>
  <c r="BL93" i="42" s="1"/>
  <c r="W93" i="42"/>
  <c r="V93" i="42"/>
  <c r="AD93" i="42" s="1"/>
  <c r="BU92" i="42"/>
  <c r="BT92" i="42"/>
  <c r="BH92" i="42"/>
  <c r="BS92" i="42" s="1"/>
  <c r="BG92" i="42"/>
  <c r="BF92" i="42"/>
  <c r="AV92" i="42"/>
  <c r="BR92" i="42" s="1"/>
  <c r="AM92" i="42"/>
  <c r="AN92" i="42" s="1"/>
  <c r="BM92" i="42" s="1"/>
  <c r="AL92" i="42"/>
  <c r="BN92" i="42" s="1"/>
  <c r="W92" i="42"/>
  <c r="AE92" i="42" s="1"/>
  <c r="V92" i="42"/>
  <c r="AD92" i="42" s="1"/>
  <c r="BK91" i="42"/>
  <c r="BG91" i="42"/>
  <c r="BU91" i="42" s="1"/>
  <c r="BF91" i="42"/>
  <c r="BT91" i="42" s="1"/>
  <c r="AV91" i="42"/>
  <c r="BR91" i="42" s="1"/>
  <c r="AO91" i="42"/>
  <c r="AN91" i="42"/>
  <c r="BM91" i="42" s="1"/>
  <c r="AM91" i="42"/>
  <c r="BO91" i="42" s="1"/>
  <c r="AL91" i="42"/>
  <c r="BN91" i="42" s="1"/>
  <c r="AD91" i="42"/>
  <c r="W91" i="42"/>
  <c r="AE91" i="42" s="1"/>
  <c r="AE95" i="42" s="1"/>
  <c r="V91" i="42"/>
  <c r="BR90" i="42"/>
  <c r="BL90" i="42"/>
  <c r="BG90" i="42"/>
  <c r="BF90" i="42"/>
  <c r="AV90" i="42"/>
  <c r="AP90" i="42"/>
  <c r="AN90" i="42"/>
  <c r="AM90" i="42"/>
  <c r="BO90" i="42" s="1"/>
  <c r="AL90" i="42"/>
  <c r="BN90" i="42" s="1"/>
  <c r="AE90" i="42"/>
  <c r="AD90" i="42"/>
  <c r="W90" i="42"/>
  <c r="V90" i="42"/>
  <c r="V95" i="42" s="1"/>
  <c r="CA89" i="42"/>
  <c r="BZ89" i="42"/>
  <c r="BY89" i="42"/>
  <c r="BX89" i="42"/>
  <c r="BW89" i="42"/>
  <c r="BV89" i="42"/>
  <c r="BG89" i="42"/>
  <c r="BD89" i="42"/>
  <c r="BC89" i="42"/>
  <c r="BA89" i="42"/>
  <c r="AZ89" i="42"/>
  <c r="AY89" i="42"/>
  <c r="AX89" i="42"/>
  <c r="AU89" i="42"/>
  <c r="AT89" i="42"/>
  <c r="AK89" i="42"/>
  <c r="AJ89" i="42"/>
  <c r="AI89" i="42"/>
  <c r="AH89" i="42"/>
  <c r="AG89" i="42"/>
  <c r="AC89" i="42"/>
  <c r="AB89" i="42"/>
  <c r="AA89" i="42"/>
  <c r="Z89" i="42"/>
  <c r="Y89" i="42"/>
  <c r="X89" i="42"/>
  <c r="V89" i="42"/>
  <c r="BK88" i="42"/>
  <c r="BG88" i="42"/>
  <c r="BU88" i="42" s="1"/>
  <c r="BF88" i="42"/>
  <c r="BT88" i="42" s="1"/>
  <c r="AV88" i="42"/>
  <c r="BR88" i="42" s="1"/>
  <c r="AO88" i="42"/>
  <c r="AN88" i="42"/>
  <c r="BM88" i="42" s="1"/>
  <c r="AM88" i="42"/>
  <c r="AM89" i="42" s="1"/>
  <c r="AL88" i="42"/>
  <c r="BN88" i="42" s="1"/>
  <c r="AD88" i="42"/>
  <c r="W88" i="42"/>
  <c r="V88" i="42"/>
  <c r="BR87" i="42"/>
  <c r="BG87" i="42"/>
  <c r="BU87" i="42" s="1"/>
  <c r="BF87" i="42"/>
  <c r="AV87" i="42"/>
  <c r="AN87" i="42"/>
  <c r="BM87" i="42" s="1"/>
  <c r="AM87" i="42"/>
  <c r="BO87" i="42" s="1"/>
  <c r="AL87" i="42"/>
  <c r="BN87" i="42" s="1"/>
  <c r="AE87" i="42"/>
  <c r="BL87" i="42" s="1"/>
  <c r="AD87" i="42"/>
  <c r="BK87" i="42" s="1"/>
  <c r="W87" i="42"/>
  <c r="V87" i="42"/>
  <c r="BR86" i="42"/>
  <c r="BR89" i="42" s="1"/>
  <c r="BM86" i="42"/>
  <c r="BG86" i="42"/>
  <c r="BU86" i="42" s="1"/>
  <c r="BF86" i="42"/>
  <c r="AV86" i="42"/>
  <c r="AN86" i="42"/>
  <c r="AM86" i="42"/>
  <c r="BO86" i="42" s="1"/>
  <c r="AL86" i="42"/>
  <c r="AL89" i="42" s="1"/>
  <c r="AE86" i="42"/>
  <c r="AP86" i="42" s="1"/>
  <c r="AD86" i="42"/>
  <c r="AD89" i="42" s="1"/>
  <c r="W86" i="42"/>
  <c r="V86" i="42"/>
  <c r="CA85" i="42"/>
  <c r="BZ85" i="42"/>
  <c r="BY85" i="42"/>
  <c r="BX85" i="42"/>
  <c r="BW85" i="42"/>
  <c r="BV85" i="42"/>
  <c r="BD85" i="42"/>
  <c r="BC85" i="42"/>
  <c r="BA85" i="42"/>
  <c r="AZ85" i="42"/>
  <c r="AY85" i="42"/>
  <c r="AX85" i="42"/>
  <c r="AU85" i="42"/>
  <c r="AT85" i="42"/>
  <c r="AK85" i="42"/>
  <c r="AJ85" i="42"/>
  <c r="AI85" i="42"/>
  <c r="AH85" i="42"/>
  <c r="AG85" i="42"/>
  <c r="AC85" i="42"/>
  <c r="AB85" i="42"/>
  <c r="AA85" i="42"/>
  <c r="Z85" i="42"/>
  <c r="Y85" i="42"/>
  <c r="X85" i="42"/>
  <c r="BR84" i="42"/>
  <c r="BG84" i="42"/>
  <c r="BU84" i="42" s="1"/>
  <c r="BF84" i="42"/>
  <c r="AV84" i="42"/>
  <c r="AN84" i="42"/>
  <c r="BM84" i="42" s="1"/>
  <c r="AM84" i="42"/>
  <c r="BO84" i="42" s="1"/>
  <c r="AL84" i="42"/>
  <c r="BN84" i="42" s="1"/>
  <c r="AE84" i="42"/>
  <c r="BL84" i="42" s="1"/>
  <c r="AD84" i="42"/>
  <c r="BK84" i="42" s="1"/>
  <c r="W84" i="42"/>
  <c r="V84" i="42"/>
  <c r="BR83" i="42"/>
  <c r="BM83" i="42"/>
  <c r="BL83" i="42"/>
  <c r="BG83" i="42"/>
  <c r="BU83" i="42" s="1"/>
  <c r="BF83" i="42"/>
  <c r="AV83" i="42"/>
  <c r="AP83" i="42"/>
  <c r="AM83" i="42"/>
  <c r="BO83" i="42" s="1"/>
  <c r="AL83" i="42"/>
  <c r="AN83" i="42" s="1"/>
  <c r="AF83" i="42"/>
  <c r="AE83" i="42"/>
  <c r="AD83" i="42"/>
  <c r="BK83" i="42" s="1"/>
  <c r="W83" i="42"/>
  <c r="V83" i="42"/>
  <c r="BT82" i="42"/>
  <c r="BM82" i="42"/>
  <c r="BG82" i="42"/>
  <c r="BU82" i="42" s="1"/>
  <c r="BF82" i="42"/>
  <c r="AV82" i="42"/>
  <c r="BR82" i="42" s="1"/>
  <c r="AM82" i="42"/>
  <c r="BO82" i="42" s="1"/>
  <c r="AL82" i="42"/>
  <c r="AN82" i="42" s="1"/>
  <c r="AE82" i="42"/>
  <c r="BL82" i="42" s="1"/>
  <c r="W82" i="42"/>
  <c r="V82" i="42"/>
  <c r="AD82" i="42" s="1"/>
  <c r="AF82" i="42" s="1"/>
  <c r="BU81" i="42"/>
  <c r="BT81" i="42"/>
  <c r="BN81" i="42"/>
  <c r="BH81" i="42"/>
  <c r="BS81" i="42" s="1"/>
  <c r="BG81" i="42"/>
  <c r="BF81" i="42"/>
  <c r="AV81" i="42"/>
  <c r="BR81" i="42" s="1"/>
  <c r="AM81" i="42"/>
  <c r="BO81" i="42" s="1"/>
  <c r="AL81" i="42"/>
  <c r="AE81" i="42"/>
  <c r="BL81" i="42" s="1"/>
  <c r="W81" i="42"/>
  <c r="V81" i="42"/>
  <c r="AD81" i="42" s="1"/>
  <c r="BO80" i="42"/>
  <c r="BG80" i="42"/>
  <c r="BH80" i="42" s="1"/>
  <c r="BS80" i="42" s="1"/>
  <c r="BF80" i="42"/>
  <c r="BT80" i="42" s="1"/>
  <c r="AV80" i="42"/>
  <c r="BR80" i="42" s="1"/>
  <c r="AN80" i="42"/>
  <c r="BM80" i="42" s="1"/>
  <c r="AM80" i="42"/>
  <c r="AL80" i="42"/>
  <c r="BN80" i="42" s="1"/>
  <c r="W80" i="42"/>
  <c r="AE80" i="42" s="1"/>
  <c r="V80" i="42"/>
  <c r="AD80" i="42" s="1"/>
  <c r="BJ79" i="42"/>
  <c r="BG79" i="42"/>
  <c r="BU79" i="42" s="1"/>
  <c r="BF79" i="42"/>
  <c r="BT79" i="42" s="1"/>
  <c r="AV79" i="42"/>
  <c r="BR79" i="42" s="1"/>
  <c r="AN79" i="42"/>
  <c r="AM79" i="42"/>
  <c r="AL79" i="42"/>
  <c r="BN79" i="42" s="1"/>
  <c r="AD79" i="42"/>
  <c r="AF79" i="42" s="1"/>
  <c r="W79" i="42"/>
  <c r="AE79" i="42" s="1"/>
  <c r="V79" i="42"/>
  <c r="CA78" i="42"/>
  <c r="BZ78" i="42"/>
  <c r="BY78" i="42"/>
  <c r="BX78" i="42"/>
  <c r="BW78" i="42"/>
  <c r="BV78" i="42"/>
  <c r="BF78" i="42"/>
  <c r="BD78" i="42"/>
  <c r="BC78" i="42"/>
  <c r="BA78" i="42"/>
  <c r="AZ78" i="42"/>
  <c r="AY78" i="42"/>
  <c r="AX78" i="42"/>
  <c r="AU78" i="42"/>
  <c r="AT78" i="42"/>
  <c r="AK78" i="42"/>
  <c r="AJ78" i="42"/>
  <c r="AI78" i="42"/>
  <c r="AH78" i="42"/>
  <c r="AG78" i="42"/>
  <c r="AC78" i="42"/>
  <c r="AB78" i="42"/>
  <c r="AA78" i="42"/>
  <c r="Z78" i="42"/>
  <c r="Y78" i="42"/>
  <c r="X78" i="42"/>
  <c r="BM77" i="42"/>
  <c r="BG77" i="42"/>
  <c r="BF77" i="42"/>
  <c r="BF211" i="42" s="1"/>
  <c r="AV77" i="42"/>
  <c r="AV211" i="42" s="1"/>
  <c r="AN77" i="42"/>
  <c r="AN211" i="42" s="1"/>
  <c r="AM77" i="42"/>
  <c r="AM211" i="42" s="1"/>
  <c r="AL77" i="42"/>
  <c r="AL211" i="42" s="1"/>
  <c r="W77" i="42"/>
  <c r="W211" i="42" s="1"/>
  <c r="V77" i="42"/>
  <c r="V211" i="42" s="1"/>
  <c r="CA76" i="42"/>
  <c r="BZ76" i="42"/>
  <c r="BY76" i="42"/>
  <c r="BX76" i="42"/>
  <c r="BW76" i="42"/>
  <c r="BV76" i="42"/>
  <c r="BD76" i="42"/>
  <c r="BC76" i="42"/>
  <c r="BA76" i="42"/>
  <c r="AZ76" i="42"/>
  <c r="AY76" i="42"/>
  <c r="AX76" i="42"/>
  <c r="AV76" i="42"/>
  <c r="AU76" i="42"/>
  <c r="AT76" i="42"/>
  <c r="AK76" i="42"/>
  <c r="AJ76" i="42"/>
  <c r="AI76" i="42"/>
  <c r="AH76" i="42"/>
  <c r="AG76" i="42"/>
  <c r="AC76" i="42"/>
  <c r="AB76" i="42"/>
  <c r="AA76" i="42"/>
  <c r="Z76" i="42"/>
  <c r="Y76" i="42"/>
  <c r="X76" i="42"/>
  <c r="BU75" i="42"/>
  <c r="BR75" i="42"/>
  <c r="BL75" i="42"/>
  <c r="BG75" i="42"/>
  <c r="BF75" i="42"/>
  <c r="AV75" i="42"/>
  <c r="AP75" i="42"/>
  <c r="AM75" i="42"/>
  <c r="BO75" i="42" s="1"/>
  <c r="AL75" i="42"/>
  <c r="AN75" i="42" s="1"/>
  <c r="BM75" i="42" s="1"/>
  <c r="AE75" i="42"/>
  <c r="W75" i="42"/>
  <c r="V75" i="42"/>
  <c r="AD75" i="42" s="1"/>
  <c r="BM74" i="42"/>
  <c r="BG74" i="42"/>
  <c r="BU74" i="42" s="1"/>
  <c r="BF74" i="42"/>
  <c r="BT74" i="42" s="1"/>
  <c r="AV74" i="42"/>
  <c r="BR74" i="42" s="1"/>
  <c r="AN74" i="42"/>
  <c r="AM74" i="42"/>
  <c r="BO74" i="42" s="1"/>
  <c r="AL74" i="42"/>
  <c r="BN74" i="42" s="1"/>
  <c r="AF74" i="42"/>
  <c r="W74" i="42"/>
  <c r="AE74" i="42" s="1"/>
  <c r="V74" i="42"/>
  <c r="AD74" i="42" s="1"/>
  <c r="BT73" i="42"/>
  <c r="BG73" i="42"/>
  <c r="BU73" i="42" s="1"/>
  <c r="BF73" i="42"/>
  <c r="AV73" i="42"/>
  <c r="BR73" i="42" s="1"/>
  <c r="AR73" i="42"/>
  <c r="BP73" i="42" s="1"/>
  <c r="AM73" i="42"/>
  <c r="BO73" i="42" s="1"/>
  <c r="AL73" i="42"/>
  <c r="AN73" i="42" s="1"/>
  <c r="BM73" i="42" s="1"/>
  <c r="AD73" i="42"/>
  <c r="AF73" i="42" s="1"/>
  <c r="W73" i="42"/>
  <c r="AE73" i="42" s="1"/>
  <c r="V73" i="42"/>
  <c r="BU72" i="42"/>
  <c r="BR72" i="42"/>
  <c r="BG72" i="42"/>
  <c r="BF72" i="42"/>
  <c r="BT72" i="42" s="1"/>
  <c r="AV72" i="42"/>
  <c r="AM72" i="42"/>
  <c r="AM76" i="42" s="1"/>
  <c r="AL72" i="42"/>
  <c r="BN72" i="42" s="1"/>
  <c r="AE72" i="42"/>
  <c r="BL72" i="42" s="1"/>
  <c r="W72" i="42"/>
  <c r="V72" i="42"/>
  <c r="AD72" i="42" s="1"/>
  <c r="BG71" i="42"/>
  <c r="BU71" i="42" s="1"/>
  <c r="BF71" i="42"/>
  <c r="BF76" i="42" s="1"/>
  <c r="AV71" i="42"/>
  <c r="BR71" i="42" s="1"/>
  <c r="AN71" i="42"/>
  <c r="BM71" i="42" s="1"/>
  <c r="AM71" i="42"/>
  <c r="BO71" i="42" s="1"/>
  <c r="AL71" i="42"/>
  <c r="BN71" i="42" s="1"/>
  <c r="W71" i="42"/>
  <c r="AE71" i="42" s="1"/>
  <c r="V71" i="42"/>
  <c r="AD71" i="42" s="1"/>
  <c r="BT70" i="42"/>
  <c r="BK70" i="42"/>
  <c r="BG70" i="42"/>
  <c r="BF70" i="42"/>
  <c r="AV70" i="42"/>
  <c r="BR70" i="42" s="1"/>
  <c r="BR76" i="42" s="1"/>
  <c r="AO70" i="42"/>
  <c r="AM70" i="42"/>
  <c r="BO70" i="42" s="1"/>
  <c r="AL70" i="42"/>
  <c r="AN70" i="42" s="1"/>
  <c r="AD70" i="42"/>
  <c r="W70" i="42"/>
  <c r="V70" i="42"/>
  <c r="V76" i="42" s="1"/>
  <c r="CA69" i="42"/>
  <c r="BZ69" i="42"/>
  <c r="BY69" i="42"/>
  <c r="BX69" i="42"/>
  <c r="BW69" i="42"/>
  <c r="BV69" i="42"/>
  <c r="BD69" i="42"/>
  <c r="BC69" i="42"/>
  <c r="BA69" i="42"/>
  <c r="AZ69" i="42"/>
  <c r="AY69" i="42"/>
  <c r="AX69" i="42"/>
  <c r="AU69" i="42"/>
  <c r="AT69" i="42"/>
  <c r="AK69" i="42"/>
  <c r="AJ69" i="42"/>
  <c r="AI69" i="42"/>
  <c r="AH69" i="42"/>
  <c r="AG69" i="42"/>
  <c r="AC69" i="42"/>
  <c r="AB69" i="42"/>
  <c r="AA69" i="42"/>
  <c r="Z69" i="42"/>
  <c r="Y69" i="42"/>
  <c r="X69" i="42"/>
  <c r="V69" i="42"/>
  <c r="BG68" i="42"/>
  <c r="BU68" i="42" s="1"/>
  <c r="BF68" i="42"/>
  <c r="BT68" i="42" s="1"/>
  <c r="AV68" i="42"/>
  <c r="BR68" i="42" s="1"/>
  <c r="AN68" i="42"/>
  <c r="BM68" i="42" s="1"/>
  <c r="AM68" i="42"/>
  <c r="BO68" i="42" s="1"/>
  <c r="AL68" i="42"/>
  <c r="BN68" i="42" s="1"/>
  <c r="W68" i="42"/>
  <c r="AE68" i="42" s="1"/>
  <c r="V68" i="42"/>
  <c r="AD68" i="42" s="1"/>
  <c r="BT67" i="42"/>
  <c r="BG67" i="42"/>
  <c r="BU67" i="42" s="1"/>
  <c r="BF67" i="42"/>
  <c r="AV67" i="42"/>
  <c r="BR67" i="42" s="1"/>
  <c r="AM67" i="42"/>
  <c r="BO67" i="42" s="1"/>
  <c r="AL67" i="42"/>
  <c r="AN67" i="42" s="1"/>
  <c r="BM67" i="42" s="1"/>
  <c r="AD67" i="42"/>
  <c r="AF67" i="42" s="1"/>
  <c r="W67" i="42"/>
  <c r="AE67" i="42" s="1"/>
  <c r="V67" i="42"/>
  <c r="BR66" i="42"/>
  <c r="BG66" i="42"/>
  <c r="BU66" i="42" s="1"/>
  <c r="BF66" i="42"/>
  <c r="BF69" i="42" s="1"/>
  <c r="AV66" i="42"/>
  <c r="AM66" i="42"/>
  <c r="BO66" i="42" s="1"/>
  <c r="AL66" i="42"/>
  <c r="AL69" i="42" s="1"/>
  <c r="AE66" i="42"/>
  <c r="BL66" i="42" s="1"/>
  <c r="W66" i="42"/>
  <c r="V66" i="42"/>
  <c r="AD66" i="42" s="1"/>
  <c r="BM65" i="42"/>
  <c r="BG65" i="42"/>
  <c r="BF65" i="42"/>
  <c r="BT65" i="42" s="1"/>
  <c r="AV65" i="42"/>
  <c r="BR65" i="42" s="1"/>
  <c r="BR69" i="42" s="1"/>
  <c r="AN65" i="42"/>
  <c r="AM65" i="42"/>
  <c r="AM69" i="42" s="1"/>
  <c r="AL65" i="42"/>
  <c r="BN65" i="42" s="1"/>
  <c r="AF65" i="42"/>
  <c r="W65" i="42"/>
  <c r="AE65" i="42" s="1"/>
  <c r="V65" i="42"/>
  <c r="AD65" i="42" s="1"/>
  <c r="CA64" i="42"/>
  <c r="BZ64" i="42"/>
  <c r="BY64" i="42"/>
  <c r="BX64" i="42"/>
  <c r="BW64" i="42"/>
  <c r="BV64" i="42"/>
  <c r="BD64" i="42"/>
  <c r="BC64" i="42"/>
  <c r="BA64" i="42"/>
  <c r="AZ64" i="42"/>
  <c r="AY64" i="42"/>
  <c r="AX64" i="42"/>
  <c r="AV64" i="42"/>
  <c r="AU64" i="42"/>
  <c r="AT64" i="42"/>
  <c r="AK64" i="42"/>
  <c r="AJ64" i="42"/>
  <c r="AI64" i="42"/>
  <c r="AH64" i="42"/>
  <c r="AG64" i="42"/>
  <c r="AC64" i="42"/>
  <c r="AB64" i="42"/>
  <c r="AA64" i="42"/>
  <c r="Z64" i="42"/>
  <c r="Y64" i="42"/>
  <c r="X64" i="42"/>
  <c r="BR63" i="42"/>
  <c r="BL63" i="42"/>
  <c r="BG63" i="42"/>
  <c r="BU63" i="42" s="1"/>
  <c r="BF63" i="42"/>
  <c r="AV63" i="42"/>
  <c r="AP63" i="42"/>
  <c r="AM63" i="42"/>
  <c r="BO63" i="42" s="1"/>
  <c r="AL63" i="42"/>
  <c r="AN63" i="42" s="1"/>
  <c r="BM63" i="42" s="1"/>
  <c r="AE63" i="42"/>
  <c r="W63" i="42"/>
  <c r="V63" i="42"/>
  <c r="AD63" i="42" s="1"/>
  <c r="BM62" i="42"/>
  <c r="BG62" i="42"/>
  <c r="BU62" i="42" s="1"/>
  <c r="BF62" i="42"/>
  <c r="BT62" i="42" s="1"/>
  <c r="AV62" i="42"/>
  <c r="BR62" i="42" s="1"/>
  <c r="AN62" i="42"/>
  <c r="AM62" i="42"/>
  <c r="BO62" i="42" s="1"/>
  <c r="AL62" i="42"/>
  <c r="BN62" i="42" s="1"/>
  <c r="AF62" i="42"/>
  <c r="W62" i="42"/>
  <c r="AE62" i="42" s="1"/>
  <c r="V62" i="42"/>
  <c r="AD62" i="42" s="1"/>
  <c r="BT61" i="42"/>
  <c r="BG61" i="42"/>
  <c r="BU61" i="42" s="1"/>
  <c r="BF61" i="42"/>
  <c r="AV61" i="42"/>
  <c r="BR61" i="42" s="1"/>
  <c r="AR61" i="42"/>
  <c r="BP61" i="42" s="1"/>
  <c r="AM61" i="42"/>
  <c r="BO61" i="42" s="1"/>
  <c r="AL61" i="42"/>
  <c r="AD61" i="42"/>
  <c r="AF61" i="42" s="1"/>
  <c r="W61" i="42"/>
  <c r="AE61" i="42" s="1"/>
  <c r="V61" i="42"/>
  <c r="BR60" i="42"/>
  <c r="BG60" i="42"/>
  <c r="BU60" i="42" s="1"/>
  <c r="BF60" i="42"/>
  <c r="BT60" i="42" s="1"/>
  <c r="AV60" i="42"/>
  <c r="AM60" i="42"/>
  <c r="AM64" i="42" s="1"/>
  <c r="AL60" i="42"/>
  <c r="BN60" i="42" s="1"/>
  <c r="AE60" i="42"/>
  <c r="BL60" i="42" s="1"/>
  <c r="W60" i="42"/>
  <c r="V60" i="42"/>
  <c r="AD60" i="42" s="1"/>
  <c r="BG59" i="42"/>
  <c r="BF59" i="42"/>
  <c r="AV59" i="42"/>
  <c r="AN59" i="42"/>
  <c r="AM59" i="42"/>
  <c r="AL59" i="42"/>
  <c r="AL206" i="42" s="1"/>
  <c r="W59" i="42"/>
  <c r="V59" i="42"/>
  <c r="V64" i="42" s="1"/>
  <c r="CA58" i="42"/>
  <c r="BZ58" i="42"/>
  <c r="BY58" i="42"/>
  <c r="BX58" i="42"/>
  <c r="BW58" i="42"/>
  <c r="BV58" i="42"/>
  <c r="BD58" i="42"/>
  <c r="BC58" i="42"/>
  <c r="BA58" i="42"/>
  <c r="AZ58" i="42"/>
  <c r="AY58" i="42"/>
  <c r="AX58" i="42"/>
  <c r="AT58" i="42"/>
  <c r="AM58" i="42"/>
  <c r="AK58" i="42"/>
  <c r="AJ58" i="42"/>
  <c r="AI58" i="42"/>
  <c r="AH58" i="42"/>
  <c r="AG58" i="42"/>
  <c r="AC58" i="42"/>
  <c r="AB58" i="42"/>
  <c r="Z58" i="42"/>
  <c r="Y58" i="42"/>
  <c r="X58" i="42"/>
  <c r="BR57" i="42"/>
  <c r="BO57" i="42"/>
  <c r="BG57" i="42"/>
  <c r="BU57" i="42" s="1"/>
  <c r="BF57" i="42"/>
  <c r="AV57" i="42"/>
  <c r="AM57" i="42"/>
  <c r="AL57" i="42"/>
  <c r="BN57" i="42" s="1"/>
  <c r="AE57" i="42"/>
  <c r="BL57" i="42" s="1"/>
  <c r="W57" i="42"/>
  <c r="V57" i="42"/>
  <c r="AD57" i="42" s="1"/>
  <c r="BJ56" i="42"/>
  <c r="BG56" i="42"/>
  <c r="BU56" i="42" s="1"/>
  <c r="BF56" i="42"/>
  <c r="BT56" i="42" s="1"/>
  <c r="AV56" i="42"/>
  <c r="BR56" i="42" s="1"/>
  <c r="AN56" i="42"/>
  <c r="BM56" i="42" s="1"/>
  <c r="AM56" i="42"/>
  <c r="BO56" i="42" s="1"/>
  <c r="AL56" i="42"/>
  <c r="BN56" i="42" s="1"/>
  <c r="AF56" i="42"/>
  <c r="W56" i="42"/>
  <c r="AE56" i="42" s="1"/>
  <c r="V56" i="42"/>
  <c r="AD56" i="42" s="1"/>
  <c r="BT55" i="42"/>
  <c r="BN55" i="42"/>
  <c r="BK55" i="42"/>
  <c r="BF55" i="42"/>
  <c r="BG55" i="42"/>
  <c r="BU55" i="42" s="1"/>
  <c r="AU55" i="42"/>
  <c r="AN55" i="42"/>
  <c r="BM55" i="42" s="1"/>
  <c r="AM55" i="42"/>
  <c r="BO55" i="42" s="1"/>
  <c r="AL55" i="42"/>
  <c r="AD55" i="42"/>
  <c r="AO55" i="42" s="1"/>
  <c r="AA55" i="42"/>
  <c r="AA58" i="42" s="1"/>
  <c r="W55" i="42"/>
  <c r="V55" i="42"/>
  <c r="BU54" i="42"/>
  <c r="BR54" i="42"/>
  <c r="BO54" i="42"/>
  <c r="BL54" i="42"/>
  <c r="BG54" i="42"/>
  <c r="BF54" i="42"/>
  <c r="AV54" i="42"/>
  <c r="AP54" i="42"/>
  <c r="AM54" i="42"/>
  <c r="AL54" i="42"/>
  <c r="BN54" i="42" s="1"/>
  <c r="AE54" i="42"/>
  <c r="W54" i="42"/>
  <c r="V54" i="42"/>
  <c r="AD54" i="42" s="1"/>
  <c r="BG53" i="42"/>
  <c r="BF53" i="42"/>
  <c r="BT53" i="42" s="1"/>
  <c r="AV53" i="42"/>
  <c r="BR53" i="42" s="1"/>
  <c r="AN53" i="42"/>
  <c r="AM53" i="42"/>
  <c r="BO53" i="42" s="1"/>
  <c r="AL53" i="42"/>
  <c r="AL58" i="42" s="1"/>
  <c r="W53" i="42"/>
  <c r="V53" i="42"/>
  <c r="CA52" i="42"/>
  <c r="BZ52" i="42"/>
  <c r="BY52" i="42"/>
  <c r="BX52" i="42"/>
  <c r="BW52" i="42"/>
  <c r="BV52" i="42"/>
  <c r="BD52" i="42"/>
  <c r="BC52" i="42"/>
  <c r="BA52" i="42"/>
  <c r="AZ52" i="42"/>
  <c r="AY52" i="42"/>
  <c r="AX52" i="42"/>
  <c r="AU52" i="42"/>
  <c r="AT52" i="42"/>
  <c r="AK52" i="42"/>
  <c r="AJ52" i="42"/>
  <c r="AI52" i="42"/>
  <c r="AH52" i="42"/>
  <c r="AG52" i="42"/>
  <c r="AC52" i="42"/>
  <c r="AB52" i="42"/>
  <c r="AA52" i="42"/>
  <c r="Z52" i="42"/>
  <c r="Y52" i="42"/>
  <c r="X52" i="42"/>
  <c r="BR51" i="42"/>
  <c r="BG51" i="42"/>
  <c r="BU51" i="42" s="1"/>
  <c r="BF51" i="42"/>
  <c r="AV51" i="42"/>
  <c r="AM51" i="42"/>
  <c r="BO51" i="42" s="1"/>
  <c r="AL51" i="42"/>
  <c r="BN51" i="42" s="1"/>
  <c r="AE51" i="42"/>
  <c r="BL51" i="42" s="1"/>
  <c r="AD51" i="42"/>
  <c r="W51" i="42"/>
  <c r="V51" i="42"/>
  <c r="BM50" i="42"/>
  <c r="BG50" i="42"/>
  <c r="BU50" i="42" s="1"/>
  <c r="BF50" i="42"/>
  <c r="AV50" i="42"/>
  <c r="BR50" i="42" s="1"/>
  <c r="AN50" i="42"/>
  <c r="AM50" i="42"/>
  <c r="BO50" i="42" s="1"/>
  <c r="AL50" i="42"/>
  <c r="BN50" i="42" s="1"/>
  <c r="AF50" i="42"/>
  <c r="AE50" i="42"/>
  <c r="BL50" i="42" s="1"/>
  <c r="W50" i="42"/>
  <c r="V50" i="42"/>
  <c r="AD50" i="42" s="1"/>
  <c r="BT49" i="42"/>
  <c r="BN49" i="42"/>
  <c r="BG49" i="42"/>
  <c r="BU49" i="42" s="1"/>
  <c r="BF49" i="42"/>
  <c r="AV49" i="42"/>
  <c r="BR49" i="42" s="1"/>
  <c r="AM49" i="42"/>
  <c r="BO49" i="42" s="1"/>
  <c r="AL49" i="42"/>
  <c r="AD49" i="42"/>
  <c r="BK49" i="42" s="1"/>
  <c r="W49" i="42"/>
  <c r="AE49" i="42" s="1"/>
  <c r="V49" i="42"/>
  <c r="BU48" i="42"/>
  <c r="BN48" i="42"/>
  <c r="BG48" i="42"/>
  <c r="BH48" i="42" s="1"/>
  <c r="BS48" i="42" s="1"/>
  <c r="BF48" i="42"/>
  <c r="BT48" i="42" s="1"/>
  <c r="AV48" i="42"/>
  <c r="BR48" i="42" s="1"/>
  <c r="AM48" i="42"/>
  <c r="BO48" i="42" s="1"/>
  <c r="AL48" i="42"/>
  <c r="AL52" i="42" s="1"/>
  <c r="W48" i="42"/>
  <c r="AE48" i="42" s="1"/>
  <c r="V48" i="42"/>
  <c r="AD48" i="42" s="1"/>
  <c r="BG47" i="42"/>
  <c r="BU47" i="42" s="1"/>
  <c r="BF47" i="42"/>
  <c r="AV47" i="42"/>
  <c r="AV204" i="42" s="1"/>
  <c r="AM47" i="42"/>
  <c r="AM204" i="42" s="1"/>
  <c r="AL47" i="42"/>
  <c r="AE47" i="42"/>
  <c r="BL47" i="42" s="1"/>
  <c r="W47" i="42"/>
  <c r="V47" i="42"/>
  <c r="CA46" i="42"/>
  <c r="BZ46" i="42"/>
  <c r="BY46" i="42"/>
  <c r="BX46" i="42"/>
  <c r="BW46" i="42"/>
  <c r="BV46" i="42"/>
  <c r="BD46" i="42"/>
  <c r="BC46" i="42"/>
  <c r="BA46" i="42"/>
  <c r="AZ46" i="42"/>
  <c r="AY46" i="42"/>
  <c r="AX46" i="42"/>
  <c r="AV46" i="42"/>
  <c r="AU46" i="42"/>
  <c r="AT46" i="42"/>
  <c r="AM46" i="42"/>
  <c r="AK46" i="42"/>
  <c r="AJ46" i="42"/>
  <c r="AI46" i="42"/>
  <c r="AH46" i="42"/>
  <c r="AG46" i="42"/>
  <c r="AC46" i="42"/>
  <c r="AB46" i="42"/>
  <c r="AA46" i="42"/>
  <c r="Z46" i="42"/>
  <c r="Y46" i="42"/>
  <c r="X46" i="42"/>
  <c r="V46" i="42"/>
  <c r="BG45" i="42"/>
  <c r="BG212" i="42" s="1"/>
  <c r="BF45" i="42"/>
  <c r="BF212" i="42" s="1"/>
  <c r="AV45" i="42"/>
  <c r="AV212" i="42" s="1"/>
  <c r="AO45" i="42"/>
  <c r="AM45" i="42"/>
  <c r="AM212" i="42" s="1"/>
  <c r="AL45" i="42"/>
  <c r="AL212" i="42" s="1"/>
  <c r="AD45" i="42"/>
  <c r="BK45" i="42" s="1"/>
  <c r="W45" i="42"/>
  <c r="W212" i="42" s="1"/>
  <c r="V45" i="42"/>
  <c r="V212" i="42" s="1"/>
  <c r="CA44" i="42"/>
  <c r="BZ44" i="42"/>
  <c r="BY44" i="42"/>
  <c r="BX44" i="42"/>
  <c r="BW44" i="42"/>
  <c r="BV44" i="42"/>
  <c r="BD44" i="42"/>
  <c r="BC44" i="42"/>
  <c r="BA44" i="42"/>
  <c r="AZ44" i="42"/>
  <c r="AY44" i="42"/>
  <c r="AX44" i="42"/>
  <c r="AU44" i="42"/>
  <c r="AT44" i="42"/>
  <c r="AL44" i="42"/>
  <c r="AK44" i="42"/>
  <c r="AJ44" i="42"/>
  <c r="AI44" i="42"/>
  <c r="AH44" i="42"/>
  <c r="AG44" i="42"/>
  <c r="AC44" i="42"/>
  <c r="AB44" i="42"/>
  <c r="AA44" i="42"/>
  <c r="Z44" i="42"/>
  <c r="Y44" i="42"/>
  <c r="X44" i="42"/>
  <c r="BT43" i="42"/>
  <c r="BN43" i="42"/>
  <c r="BG43" i="42"/>
  <c r="BH43" i="42" s="1"/>
  <c r="BS43" i="42" s="1"/>
  <c r="BF43" i="42"/>
  <c r="AV43" i="42"/>
  <c r="BR43" i="42" s="1"/>
  <c r="AM43" i="42"/>
  <c r="AN43" i="42" s="1"/>
  <c r="BM43" i="42" s="1"/>
  <c r="AL43" i="42"/>
  <c r="AD43" i="42"/>
  <c r="BK43" i="42" s="1"/>
  <c r="W43" i="42"/>
  <c r="AE43" i="42" s="1"/>
  <c r="V43" i="42"/>
  <c r="BN42" i="42"/>
  <c r="BJ42" i="42"/>
  <c r="BG42" i="42"/>
  <c r="BH42" i="42" s="1"/>
  <c r="BS42" i="42" s="1"/>
  <c r="BF42" i="42"/>
  <c r="BT42" i="42" s="1"/>
  <c r="AV42" i="42"/>
  <c r="BR42" i="42" s="1"/>
  <c r="AM42" i="42"/>
  <c r="BO42" i="42" s="1"/>
  <c r="AL42" i="42"/>
  <c r="AE42" i="42"/>
  <c r="AE44" i="42" s="1"/>
  <c r="AD42" i="42"/>
  <c r="AF42" i="42" s="1"/>
  <c r="AR42" i="42" s="1"/>
  <c r="BP42" i="42" s="1"/>
  <c r="W42" i="42"/>
  <c r="W44" i="42" s="1"/>
  <c r="V42" i="42"/>
  <c r="BU41" i="42"/>
  <c r="BG41" i="42"/>
  <c r="BF41" i="42"/>
  <c r="AV41" i="42"/>
  <c r="AM41" i="42"/>
  <c r="BO41" i="42" s="1"/>
  <c r="AL41" i="42"/>
  <c r="BN41" i="42" s="1"/>
  <c r="AE41" i="42"/>
  <c r="AP41" i="42" s="1"/>
  <c r="AD41" i="42"/>
  <c r="AD44" i="42" s="1"/>
  <c r="W41" i="42"/>
  <c r="V41" i="42"/>
  <c r="V44" i="42" s="1"/>
  <c r="CA40" i="42"/>
  <c r="BZ40" i="42"/>
  <c r="BY40" i="42"/>
  <c r="BX40" i="42"/>
  <c r="BW40" i="42"/>
  <c r="BV40" i="42"/>
  <c r="BD40" i="42"/>
  <c r="BC40" i="42"/>
  <c r="BA40" i="42"/>
  <c r="AZ40" i="42"/>
  <c r="AY40" i="42"/>
  <c r="AX40" i="42"/>
  <c r="AU40" i="42"/>
  <c r="AT40" i="42"/>
  <c r="AL40" i="42"/>
  <c r="AK40" i="42"/>
  <c r="AJ40" i="42"/>
  <c r="AI40" i="42"/>
  <c r="AH40" i="42"/>
  <c r="AG40" i="42"/>
  <c r="AC40" i="42"/>
  <c r="AB40" i="42"/>
  <c r="AA40" i="42"/>
  <c r="Z40" i="42"/>
  <c r="Y40" i="42"/>
  <c r="X40" i="42"/>
  <c r="BR39" i="42"/>
  <c r="BO39" i="42"/>
  <c r="BG39" i="42"/>
  <c r="BH39" i="42" s="1"/>
  <c r="BS39" i="42" s="1"/>
  <c r="BF39" i="42"/>
  <c r="BT39" i="42" s="1"/>
  <c r="AV39" i="42"/>
  <c r="AN39" i="42"/>
  <c r="BM39" i="42" s="1"/>
  <c r="AM39" i="42"/>
  <c r="AL39" i="42"/>
  <c r="BN39" i="42" s="1"/>
  <c r="BN40" i="42" s="1"/>
  <c r="AE39" i="42"/>
  <c r="BL39" i="42" s="1"/>
  <c r="W39" i="42"/>
  <c r="V39" i="42"/>
  <c r="AD39" i="42" s="1"/>
  <c r="BG38" i="42"/>
  <c r="BF38" i="42"/>
  <c r="AV38" i="42"/>
  <c r="AV40" i="42" s="1"/>
  <c r="AM38" i="42"/>
  <c r="AM40" i="42" s="1"/>
  <c r="AL38" i="42"/>
  <c r="BN38" i="42" s="1"/>
  <c r="AE38" i="42"/>
  <c r="BL38" i="42" s="1"/>
  <c r="W38" i="42"/>
  <c r="W40" i="42" s="1"/>
  <c r="V38" i="42"/>
  <c r="AD38" i="42" s="1"/>
  <c r="CA37" i="42"/>
  <c r="BZ37" i="42"/>
  <c r="BY37" i="42"/>
  <c r="BX37" i="42"/>
  <c r="BW37" i="42"/>
  <c r="BV37" i="42"/>
  <c r="BD37" i="42"/>
  <c r="BC37" i="42"/>
  <c r="BA37" i="42"/>
  <c r="AZ37" i="42"/>
  <c r="AY37" i="42"/>
  <c r="AX37" i="42"/>
  <c r="AU37" i="42"/>
  <c r="AT37" i="42"/>
  <c r="AK37" i="42"/>
  <c r="AJ37" i="42"/>
  <c r="AI37" i="42"/>
  <c r="AH37" i="42"/>
  <c r="AG37" i="42"/>
  <c r="AC37" i="42"/>
  <c r="AB37" i="42"/>
  <c r="AA37" i="42"/>
  <c r="Z37" i="42"/>
  <c r="Y37" i="42"/>
  <c r="X37" i="42"/>
  <c r="W37" i="42"/>
  <c r="BU36" i="42"/>
  <c r="BT36" i="42"/>
  <c r="BR36" i="42"/>
  <c r="BG36" i="42"/>
  <c r="BH36" i="42" s="1"/>
  <c r="BS36" i="42" s="1"/>
  <c r="BF36" i="42"/>
  <c r="AV36" i="42"/>
  <c r="AM36" i="42"/>
  <c r="BO36" i="42" s="1"/>
  <c r="AL36" i="42"/>
  <c r="AL37" i="42" s="1"/>
  <c r="AE36" i="42"/>
  <c r="BL36" i="42" s="1"/>
  <c r="AD36" i="42"/>
  <c r="AF36" i="42" s="1"/>
  <c r="W36" i="42"/>
  <c r="V36" i="42"/>
  <c r="BR35" i="42"/>
  <c r="BG35" i="42"/>
  <c r="BU35" i="42" s="1"/>
  <c r="BF35" i="42"/>
  <c r="BT35" i="42" s="1"/>
  <c r="AV35" i="42"/>
  <c r="AM35" i="42"/>
  <c r="AM37" i="42" s="1"/>
  <c r="AL35" i="42"/>
  <c r="BN35" i="42" s="1"/>
  <c r="AE35" i="42"/>
  <c r="BL35" i="42" s="1"/>
  <c r="W35" i="42"/>
  <c r="V35" i="42"/>
  <c r="AD35" i="42" s="1"/>
  <c r="BT34" i="42"/>
  <c r="BM34" i="42"/>
  <c r="BG34" i="42"/>
  <c r="BU34" i="42" s="1"/>
  <c r="BF34" i="42"/>
  <c r="BF37" i="42" s="1"/>
  <c r="AV34" i="42"/>
  <c r="AV37" i="42" s="1"/>
  <c r="AN34" i="42"/>
  <c r="AM34" i="42"/>
  <c r="BO34" i="42" s="1"/>
  <c r="AL34" i="42"/>
  <c r="BN34" i="42" s="1"/>
  <c r="AD34" i="42"/>
  <c r="BK34" i="42" s="1"/>
  <c r="W34" i="42"/>
  <c r="AE34" i="42" s="1"/>
  <c r="V34" i="42"/>
  <c r="V37" i="42" s="1"/>
  <c r="CA33" i="42"/>
  <c r="BZ33" i="42"/>
  <c r="BY33" i="42"/>
  <c r="BX33" i="42"/>
  <c r="BW33" i="42"/>
  <c r="BV33" i="42"/>
  <c r="BD33" i="42"/>
  <c r="BC33" i="42"/>
  <c r="BA33" i="42"/>
  <c r="AZ33" i="42"/>
  <c r="AY33" i="42"/>
  <c r="AX33" i="42"/>
  <c r="AV33" i="42"/>
  <c r="AU33" i="42"/>
  <c r="AT33" i="42"/>
  <c r="AK33" i="42"/>
  <c r="AJ33" i="42"/>
  <c r="AI33" i="42"/>
  <c r="AH33" i="42"/>
  <c r="AG33" i="42"/>
  <c r="AC33" i="42"/>
  <c r="AB33" i="42"/>
  <c r="AA33" i="42"/>
  <c r="Z33" i="42"/>
  <c r="Y33" i="42"/>
  <c r="X33" i="42"/>
  <c r="BR32" i="42"/>
  <c r="BG32" i="42"/>
  <c r="BU32" i="42" s="1"/>
  <c r="BF32" i="42"/>
  <c r="BT32" i="42" s="1"/>
  <c r="AV32" i="42"/>
  <c r="AM32" i="42"/>
  <c r="AN32" i="42" s="1"/>
  <c r="BM32" i="42" s="1"/>
  <c r="AL32" i="42"/>
  <c r="BN32" i="42" s="1"/>
  <c r="AE32" i="42"/>
  <c r="BL32" i="42" s="1"/>
  <c r="W32" i="42"/>
  <c r="V32" i="42"/>
  <c r="V33" i="42" s="1"/>
  <c r="BT31" i="42"/>
  <c r="BM31" i="42"/>
  <c r="BG31" i="42"/>
  <c r="BU31" i="42" s="1"/>
  <c r="BF31" i="42"/>
  <c r="AV31" i="42"/>
  <c r="BR31" i="42" s="1"/>
  <c r="AN31" i="42"/>
  <c r="AM31" i="42"/>
  <c r="BO31" i="42" s="1"/>
  <c r="AL31" i="42"/>
  <c r="BN31" i="42" s="1"/>
  <c r="AD31" i="42"/>
  <c r="BK31" i="42" s="1"/>
  <c r="W31" i="42"/>
  <c r="AE31" i="42" s="1"/>
  <c r="V31" i="42"/>
  <c r="BT30" i="42"/>
  <c r="BT33" i="42" s="1"/>
  <c r="BR30" i="42"/>
  <c r="BR33" i="42" s="1"/>
  <c r="BG30" i="42"/>
  <c r="BF30" i="42"/>
  <c r="BF33" i="42" s="1"/>
  <c r="AV30" i="42"/>
  <c r="AM30" i="42"/>
  <c r="BO30" i="42" s="1"/>
  <c r="AL30" i="42"/>
  <c r="AL33" i="42" s="1"/>
  <c r="AE30" i="42"/>
  <c r="BL30" i="42" s="1"/>
  <c r="AD30" i="42"/>
  <c r="BK30" i="42" s="1"/>
  <c r="W30" i="42"/>
  <c r="W33" i="42" s="1"/>
  <c r="V30" i="42"/>
  <c r="CA29" i="42"/>
  <c r="BZ29" i="42"/>
  <c r="BY29" i="42"/>
  <c r="BX29" i="42"/>
  <c r="BW29" i="42"/>
  <c r="BV29" i="42"/>
  <c r="BD29" i="42"/>
  <c r="BC29" i="42"/>
  <c r="BA29" i="42"/>
  <c r="AZ29" i="42"/>
  <c r="AY29" i="42"/>
  <c r="AX29" i="42"/>
  <c r="AU29" i="42"/>
  <c r="AT29" i="42"/>
  <c r="AK29" i="42"/>
  <c r="AJ29" i="42"/>
  <c r="AI29" i="42"/>
  <c r="AH29" i="42"/>
  <c r="AG29" i="42"/>
  <c r="AC29" i="42"/>
  <c r="AB29" i="42"/>
  <c r="AA29" i="42"/>
  <c r="Z29" i="42"/>
  <c r="Y29" i="42"/>
  <c r="X29" i="42"/>
  <c r="BT28" i="42"/>
  <c r="BM28" i="42"/>
  <c r="BG28" i="42"/>
  <c r="BU28" i="42" s="1"/>
  <c r="BF28" i="42"/>
  <c r="AV28" i="42"/>
  <c r="BR28" i="42" s="1"/>
  <c r="AN28" i="42"/>
  <c r="AM28" i="42"/>
  <c r="BO28" i="42" s="1"/>
  <c r="AL28" i="42"/>
  <c r="BN28" i="42" s="1"/>
  <c r="AD28" i="42"/>
  <c r="BK28" i="42" s="1"/>
  <c r="W28" i="42"/>
  <c r="W29" i="42" s="1"/>
  <c r="V28" i="42"/>
  <c r="BT27" i="42"/>
  <c r="BR27" i="42"/>
  <c r="BG27" i="42"/>
  <c r="BU27" i="42" s="1"/>
  <c r="BF27" i="42"/>
  <c r="AV27" i="42"/>
  <c r="AM27" i="42"/>
  <c r="BO27" i="42" s="1"/>
  <c r="AL27" i="42"/>
  <c r="AN27" i="42" s="1"/>
  <c r="BM27" i="42" s="1"/>
  <c r="AE27" i="42"/>
  <c r="BL27" i="42" s="1"/>
  <c r="AD27" i="42"/>
  <c r="BK27" i="42" s="1"/>
  <c r="W27" i="42"/>
  <c r="V27" i="42"/>
  <c r="BR26" i="42"/>
  <c r="BG26" i="42"/>
  <c r="BF26" i="42"/>
  <c r="BF29" i="42" s="1"/>
  <c r="AV26" i="42"/>
  <c r="AV29" i="42" s="1"/>
  <c r="AM26" i="42"/>
  <c r="AM29" i="42" s="1"/>
  <c r="AL26" i="42"/>
  <c r="BN26" i="42" s="1"/>
  <c r="AE26" i="42"/>
  <c r="BL26" i="42" s="1"/>
  <c r="W26" i="42"/>
  <c r="V26" i="42"/>
  <c r="V29" i="42" s="1"/>
  <c r="CA25" i="42"/>
  <c r="BZ25" i="42"/>
  <c r="BY25" i="42"/>
  <c r="BX25" i="42"/>
  <c r="BW25" i="42"/>
  <c r="BV25" i="42"/>
  <c r="BD25" i="42"/>
  <c r="BC25" i="42"/>
  <c r="BA25" i="42"/>
  <c r="AZ25" i="42"/>
  <c r="AY25" i="42"/>
  <c r="AX25" i="42"/>
  <c r="AU25" i="42"/>
  <c r="AT25" i="42"/>
  <c r="AK25" i="42"/>
  <c r="AJ25" i="42"/>
  <c r="AI25" i="42"/>
  <c r="AH25" i="42"/>
  <c r="AG25" i="42"/>
  <c r="AC25" i="42"/>
  <c r="AB25" i="42"/>
  <c r="AA25" i="42"/>
  <c r="Z25" i="42"/>
  <c r="Y25" i="42"/>
  <c r="X25" i="42"/>
  <c r="BT24" i="42"/>
  <c r="BR24" i="42"/>
  <c r="BH24" i="42"/>
  <c r="BS24" i="42" s="1"/>
  <c r="BG24" i="42"/>
  <c r="BU24" i="42" s="1"/>
  <c r="BF24" i="42"/>
  <c r="AV24" i="42"/>
  <c r="AM24" i="42"/>
  <c r="BO24" i="42" s="1"/>
  <c r="AL24" i="42"/>
  <c r="AE24" i="42"/>
  <c r="BL24" i="42" s="1"/>
  <c r="AD24" i="42"/>
  <c r="BK24" i="42" s="1"/>
  <c r="W24" i="42"/>
  <c r="V24" i="42"/>
  <c r="BR23" i="42"/>
  <c r="BG23" i="42"/>
  <c r="BU23" i="42" s="1"/>
  <c r="BF23" i="42"/>
  <c r="BT23" i="42" s="1"/>
  <c r="AV23" i="42"/>
  <c r="AM23" i="42"/>
  <c r="AL23" i="42"/>
  <c r="BN23" i="42" s="1"/>
  <c r="AE23" i="42"/>
  <c r="BL23" i="42" s="1"/>
  <c r="W23" i="42"/>
  <c r="V23" i="42"/>
  <c r="BT22" i="42"/>
  <c r="BT25" i="42" s="1"/>
  <c r="BG22" i="42"/>
  <c r="BH22" i="42" s="1"/>
  <c r="BF22" i="42"/>
  <c r="BF25" i="42" s="1"/>
  <c r="AV22" i="42"/>
  <c r="AN22" i="42"/>
  <c r="AM22" i="42"/>
  <c r="BO22" i="42" s="1"/>
  <c r="AL22" i="42"/>
  <c r="BN22" i="42" s="1"/>
  <c r="AD22" i="42"/>
  <c r="BK22" i="42" s="1"/>
  <c r="W22" i="42"/>
  <c r="V22" i="42"/>
  <c r="CA21" i="42"/>
  <c r="BZ21" i="42"/>
  <c r="BY21" i="42"/>
  <c r="BX21" i="42"/>
  <c r="BW21" i="42"/>
  <c r="BV21" i="42"/>
  <c r="BD21" i="42"/>
  <c r="BC21" i="42"/>
  <c r="BA21" i="42"/>
  <c r="AZ21" i="42"/>
  <c r="AY21" i="42"/>
  <c r="AX21" i="42"/>
  <c r="AT21" i="42"/>
  <c r="AK21" i="42"/>
  <c r="AJ21" i="42"/>
  <c r="AI21" i="42"/>
  <c r="AH21" i="42"/>
  <c r="AG21" i="42"/>
  <c r="AC21" i="42"/>
  <c r="AB21" i="42"/>
  <c r="AA21" i="42"/>
  <c r="Z21" i="42"/>
  <c r="Y21" i="42"/>
  <c r="X21" i="42"/>
  <c r="BR20" i="42"/>
  <c r="BG20" i="42"/>
  <c r="BU20" i="42" s="1"/>
  <c r="BF20" i="42"/>
  <c r="BT20" i="42" s="1"/>
  <c r="AV20" i="42"/>
  <c r="AM20" i="42"/>
  <c r="AN20" i="42" s="1"/>
  <c r="BM20" i="42" s="1"/>
  <c r="AL20" i="42"/>
  <c r="BN20" i="42" s="1"/>
  <c r="AE20" i="42"/>
  <c r="BL20" i="42" s="1"/>
  <c r="W20" i="42"/>
  <c r="V20" i="42"/>
  <c r="AD20" i="42" s="1"/>
  <c r="BT19" i="42"/>
  <c r="BG19" i="42"/>
  <c r="BH19" i="42" s="1"/>
  <c r="BS19" i="42" s="1"/>
  <c r="BF19" i="42"/>
  <c r="AV19" i="42"/>
  <c r="BR19" i="42" s="1"/>
  <c r="AN19" i="42"/>
  <c r="BM19" i="42" s="1"/>
  <c r="AM19" i="42"/>
  <c r="BO19" i="42" s="1"/>
  <c r="AL19" i="42"/>
  <c r="BN19" i="42" s="1"/>
  <c r="AD19" i="42"/>
  <c r="BK19" i="42" s="1"/>
  <c r="W19" i="42"/>
  <c r="AE19" i="42" s="1"/>
  <c r="V19" i="42"/>
  <c r="BT18" i="42"/>
  <c r="BR18" i="42"/>
  <c r="BK18" i="42"/>
  <c r="BG18" i="42"/>
  <c r="BU18" i="42" s="1"/>
  <c r="BF18" i="42"/>
  <c r="AV18" i="42"/>
  <c r="AO18" i="42"/>
  <c r="AM18" i="42"/>
  <c r="AL18" i="42"/>
  <c r="AL210" i="42" s="1"/>
  <c r="AE18" i="42"/>
  <c r="AD18" i="42"/>
  <c r="W18" i="42"/>
  <c r="V18" i="42"/>
  <c r="BR17" i="42"/>
  <c r="BO17" i="42"/>
  <c r="BG17" i="42"/>
  <c r="BU17" i="42" s="1"/>
  <c r="BF17" i="42"/>
  <c r="BE209" i="42"/>
  <c r="AV17" i="42"/>
  <c r="AU17" i="42"/>
  <c r="AU209" i="42" s="1"/>
  <c r="AM17" i="42"/>
  <c r="AM209" i="42" s="1"/>
  <c r="AL17" i="42"/>
  <c r="AA17" i="42"/>
  <c r="AA209" i="42" s="1"/>
  <c r="W17" i="42"/>
  <c r="W209" i="42" s="1"/>
  <c r="V17" i="42"/>
  <c r="V209" i="42" s="1"/>
  <c r="BG16" i="42"/>
  <c r="BU16" i="42" s="1"/>
  <c r="BF16" i="42"/>
  <c r="BT16" i="42" s="1"/>
  <c r="AV16" i="42"/>
  <c r="BR16" i="42" s="1"/>
  <c r="AO16" i="42"/>
  <c r="AN16" i="42"/>
  <c r="BM16" i="42" s="1"/>
  <c r="AM16" i="42"/>
  <c r="BO16" i="42" s="1"/>
  <c r="AL16" i="42"/>
  <c r="BN16" i="42" s="1"/>
  <c r="AD16" i="42"/>
  <c r="BK16" i="42" s="1"/>
  <c r="W16" i="42"/>
  <c r="AE16" i="42" s="1"/>
  <c r="V16" i="42"/>
  <c r="BT15" i="42"/>
  <c r="BR15" i="42"/>
  <c r="BG15" i="42"/>
  <c r="BU15" i="42" s="1"/>
  <c r="BF15" i="42"/>
  <c r="AV15" i="42"/>
  <c r="AP15" i="42"/>
  <c r="AM15" i="42"/>
  <c r="BO15" i="42" s="1"/>
  <c r="AL15" i="42"/>
  <c r="AN15" i="42" s="1"/>
  <c r="BM15" i="42" s="1"/>
  <c r="AE15" i="42"/>
  <c r="BL15" i="42" s="1"/>
  <c r="AD15" i="42"/>
  <c r="AF15" i="42" s="1"/>
  <c r="W15" i="42"/>
  <c r="V15" i="42"/>
  <c r="BR14" i="42"/>
  <c r="BR205" i="42" s="1"/>
  <c r="BN14" i="42"/>
  <c r="BG14" i="42"/>
  <c r="BG205" i="42" s="1"/>
  <c r="BF14" i="42"/>
  <c r="AV14" i="42"/>
  <c r="AM14" i="42"/>
  <c r="AM205" i="42" s="1"/>
  <c r="AL14" i="42"/>
  <c r="AE14" i="42"/>
  <c r="BL14" i="42" s="1"/>
  <c r="W14" i="42"/>
  <c r="V14" i="42"/>
  <c r="BU13" i="42"/>
  <c r="BT13" i="42"/>
  <c r="BG13" i="42"/>
  <c r="BF13" i="42"/>
  <c r="AV13" i="42"/>
  <c r="BR13" i="42" s="1"/>
  <c r="AM13" i="42"/>
  <c r="BO13" i="42" s="1"/>
  <c r="AL13" i="42"/>
  <c r="AN13" i="42" s="1"/>
  <c r="BM13" i="42" s="1"/>
  <c r="W13" i="42"/>
  <c r="AE13" i="42" s="1"/>
  <c r="V13" i="42"/>
  <c r="AD13" i="42" s="1"/>
  <c r="BR12" i="42"/>
  <c r="BO12" i="42"/>
  <c r="BN12" i="42"/>
  <c r="BG12" i="42"/>
  <c r="BU12" i="42" s="1"/>
  <c r="BF12" i="42"/>
  <c r="AV12" i="42"/>
  <c r="AO12" i="42"/>
  <c r="AM12" i="42"/>
  <c r="AL12" i="42"/>
  <c r="AN12" i="42" s="1"/>
  <c r="AD12" i="42"/>
  <c r="BK12" i="42" s="1"/>
  <c r="W12" i="42"/>
  <c r="V12" i="42"/>
  <c r="CA151" i="41"/>
  <c r="BZ151" i="41"/>
  <c r="BY151" i="41"/>
  <c r="BX151" i="41"/>
  <c r="BW151" i="41"/>
  <c r="BV151" i="41"/>
  <c r="BE151" i="41"/>
  <c r="BD151" i="41"/>
  <c r="BC151" i="41"/>
  <c r="BB151" i="41"/>
  <c r="BA151" i="41"/>
  <c r="AZ151" i="41"/>
  <c r="AY151" i="41"/>
  <c r="AX151" i="41"/>
  <c r="AU151" i="41"/>
  <c r="AT151" i="41"/>
  <c r="AK151" i="41"/>
  <c r="AJ151" i="41"/>
  <c r="AI151" i="41"/>
  <c r="AH151" i="41"/>
  <c r="AG151" i="41"/>
  <c r="AC151" i="41"/>
  <c r="AB151" i="41"/>
  <c r="AA151" i="41"/>
  <c r="Z151" i="41"/>
  <c r="Y151" i="41"/>
  <c r="X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CA150" i="41"/>
  <c r="BZ150" i="41"/>
  <c r="BY150" i="41"/>
  <c r="BX150" i="41"/>
  <c r="BW150" i="41"/>
  <c r="BV150" i="41"/>
  <c r="BE150" i="41"/>
  <c r="BD150" i="41"/>
  <c r="BC150" i="41"/>
  <c r="BB150" i="41"/>
  <c r="BA150" i="41"/>
  <c r="AZ150" i="41"/>
  <c r="AY150" i="41"/>
  <c r="AX150" i="41"/>
  <c r="AU150" i="41"/>
  <c r="AT150" i="41"/>
  <c r="AK150" i="41"/>
  <c r="AJ150" i="41"/>
  <c r="AI150" i="41"/>
  <c r="AH150" i="41"/>
  <c r="AG150" i="41"/>
  <c r="AC150" i="41"/>
  <c r="AB150" i="41"/>
  <c r="AA150" i="41"/>
  <c r="Z150" i="41"/>
  <c r="Y150" i="41"/>
  <c r="X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CA149" i="41"/>
  <c r="BZ149" i="41"/>
  <c r="BY149" i="41"/>
  <c r="BX149" i="41"/>
  <c r="BW149" i="41"/>
  <c r="BV149" i="41"/>
  <c r="BE149" i="41"/>
  <c r="BD149" i="41"/>
  <c r="BC149" i="41"/>
  <c r="BB149" i="41"/>
  <c r="BA149" i="41"/>
  <c r="AZ149" i="41"/>
  <c r="AY149" i="41"/>
  <c r="AX149" i="41"/>
  <c r="AU149" i="41"/>
  <c r="AT149" i="41"/>
  <c r="AK149" i="41"/>
  <c r="AJ149" i="41"/>
  <c r="AI149" i="41"/>
  <c r="AH149" i="41"/>
  <c r="AG149" i="41"/>
  <c r="AC149" i="41"/>
  <c r="AB149" i="41"/>
  <c r="Z149" i="41"/>
  <c r="Y149" i="41"/>
  <c r="X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CA148" i="41"/>
  <c r="BZ148" i="41"/>
  <c r="BY148" i="41"/>
  <c r="BX148" i="41"/>
  <c r="BW148" i="41"/>
  <c r="BV148" i="41"/>
  <c r="BD148" i="41"/>
  <c r="BC148" i="41"/>
  <c r="BB148" i="41"/>
  <c r="BA148" i="41"/>
  <c r="AZ148" i="41"/>
  <c r="AY148" i="41"/>
  <c r="AX148" i="41"/>
  <c r="AT148" i="41"/>
  <c r="AK148" i="41"/>
  <c r="AJ148" i="41"/>
  <c r="AI148" i="41"/>
  <c r="AH148" i="41"/>
  <c r="AG148" i="41"/>
  <c r="AC148" i="41"/>
  <c r="AB148" i="41"/>
  <c r="Z148" i="41"/>
  <c r="Y148" i="41"/>
  <c r="X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CA147" i="41"/>
  <c r="BZ147" i="41"/>
  <c r="BY147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CA146" i="41"/>
  <c r="BZ146" i="41"/>
  <c r="BY146" i="41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K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CA145" i="41"/>
  <c r="BZ145" i="41"/>
  <c r="BY145" i="41"/>
  <c r="BX145" i="41"/>
  <c r="BW145" i="41"/>
  <c r="BV145" i="41"/>
  <c r="BE145" i="41"/>
  <c r="BD145" i="41"/>
  <c r="BC145" i="41"/>
  <c r="BB145" i="41"/>
  <c r="BA145" i="41"/>
  <c r="AZ145" i="41"/>
  <c r="AY145" i="41"/>
  <c r="AX145" i="41"/>
  <c r="AU145" i="41"/>
  <c r="AT145" i="41"/>
  <c r="AK145" i="41"/>
  <c r="AJ145" i="41"/>
  <c r="AI145" i="41"/>
  <c r="AH145" i="41"/>
  <c r="AG145" i="41"/>
  <c r="AC145" i="41"/>
  <c r="AB145" i="41"/>
  <c r="AA145" i="41"/>
  <c r="Z145" i="41"/>
  <c r="Y145" i="41"/>
  <c r="X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CA144" i="41"/>
  <c r="BZ144" i="41"/>
  <c r="BY144" i="41"/>
  <c r="BX144" i="41"/>
  <c r="BX141" i="41" s="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Z141" i="41" s="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K144" i="41"/>
  <c r="AJ144" i="41"/>
  <c r="AI144" i="41"/>
  <c r="AH144" i="41"/>
  <c r="AG144" i="41"/>
  <c r="AF144" i="41"/>
  <c r="AE144" i="41"/>
  <c r="AD144" i="41"/>
  <c r="AC144" i="41"/>
  <c r="AB144" i="41"/>
  <c r="AB141" i="41" s="1"/>
  <c r="AA144" i="41"/>
  <c r="Z144" i="41"/>
  <c r="Y144" i="41"/>
  <c r="Y141" i="41" s="1"/>
  <c r="X144" i="41"/>
  <c r="W144" i="41"/>
  <c r="V144" i="41"/>
  <c r="U144" i="41"/>
  <c r="T144" i="41"/>
  <c r="S144" i="41"/>
  <c r="R144" i="41"/>
  <c r="Q144" i="41"/>
  <c r="P144" i="41"/>
  <c r="P141" i="41" s="1"/>
  <c r="O144" i="41"/>
  <c r="N144" i="41"/>
  <c r="M144" i="41"/>
  <c r="L144" i="41"/>
  <c r="K144" i="41"/>
  <c r="J144" i="41"/>
  <c r="I144" i="41"/>
  <c r="CA143" i="41"/>
  <c r="BZ143" i="41"/>
  <c r="BZ141" i="41" s="1"/>
  <c r="BY143" i="41"/>
  <c r="BX143" i="41"/>
  <c r="BW143" i="41"/>
  <c r="BV143" i="41"/>
  <c r="BE143" i="41"/>
  <c r="BD143" i="41"/>
  <c r="BC143" i="41"/>
  <c r="BB143" i="41"/>
  <c r="BA143" i="41"/>
  <c r="AZ143" i="41"/>
  <c r="AY143" i="41"/>
  <c r="AX143" i="41"/>
  <c r="AU143" i="41"/>
  <c r="AT143" i="41"/>
  <c r="AK143" i="41"/>
  <c r="AJ143" i="41"/>
  <c r="AJ141" i="41" s="1"/>
  <c r="AI143" i="41"/>
  <c r="AH143" i="41"/>
  <c r="AG143" i="41"/>
  <c r="AC143" i="41"/>
  <c r="AB143" i="41"/>
  <c r="AA143" i="41"/>
  <c r="Z143" i="41"/>
  <c r="Y143" i="41"/>
  <c r="X143" i="41"/>
  <c r="U143" i="41"/>
  <c r="T143" i="41"/>
  <c r="S143" i="41"/>
  <c r="R143" i="41"/>
  <c r="R141" i="41" s="1"/>
  <c r="Q143" i="41"/>
  <c r="P143" i="41"/>
  <c r="O143" i="41"/>
  <c r="N143" i="41"/>
  <c r="M143" i="41"/>
  <c r="L143" i="41"/>
  <c r="L141" i="41" s="1"/>
  <c r="K143" i="41"/>
  <c r="J143" i="41"/>
  <c r="I143" i="41"/>
  <c r="I141" i="41" s="1"/>
  <c r="CA142" i="41"/>
  <c r="BZ142" i="41"/>
  <c r="BY142" i="41"/>
  <c r="BY141" i="41" s="1"/>
  <c r="BX142" i="41"/>
  <c r="BW142" i="41"/>
  <c r="BV142" i="41"/>
  <c r="BE142" i="41"/>
  <c r="BD142" i="41"/>
  <c r="BD141" i="41" s="1"/>
  <c r="BC142" i="41"/>
  <c r="BB142" i="41"/>
  <c r="BA142" i="41"/>
  <c r="BA141" i="41" s="1"/>
  <c r="AZ142" i="41"/>
  <c r="AY142" i="41"/>
  <c r="AX142" i="41"/>
  <c r="AX141" i="41" s="1"/>
  <c r="AU142" i="41"/>
  <c r="AT142" i="41"/>
  <c r="AK142" i="41"/>
  <c r="AJ142" i="41"/>
  <c r="AI142" i="41"/>
  <c r="AI141" i="41" s="1"/>
  <c r="AH142" i="41"/>
  <c r="AG142" i="41"/>
  <c r="AC142" i="41"/>
  <c r="AB142" i="41"/>
  <c r="AA142" i="41"/>
  <c r="Z142" i="41"/>
  <c r="Y142" i="41"/>
  <c r="X142" i="41"/>
  <c r="U142" i="41"/>
  <c r="T142" i="41"/>
  <c r="T141" i="41" s="1"/>
  <c r="S140" i="41" s="1"/>
  <c r="S142" i="41"/>
  <c r="R142" i="41"/>
  <c r="Q142" i="41"/>
  <c r="Q141" i="41" s="1"/>
  <c r="P142" i="41"/>
  <c r="O142" i="41"/>
  <c r="N142" i="41"/>
  <c r="N141" i="41" s="1"/>
  <c r="M140" i="41" s="1"/>
  <c r="M142" i="41"/>
  <c r="M141" i="41" s="1"/>
  <c r="L142" i="41"/>
  <c r="K142" i="41"/>
  <c r="K141" i="41" s="1"/>
  <c r="J142" i="41"/>
  <c r="J141" i="41" s="1"/>
  <c r="I142" i="41"/>
  <c r="CA141" i="41"/>
  <c r="BW141" i="41"/>
  <c r="BC141" i="41"/>
  <c r="BF140" i="41" s="1"/>
  <c r="AY141" i="41"/>
  <c r="AT141" i="41"/>
  <c r="AK141" i="41"/>
  <c r="AH141" i="41"/>
  <c r="W140" i="41" s="1"/>
  <c r="AG141" i="41"/>
  <c r="V140" i="41" s="1"/>
  <c r="X141" i="41"/>
  <c r="U141" i="41"/>
  <c r="S141" i="41"/>
  <c r="O141" i="41"/>
  <c r="M139" i="41"/>
  <c r="J139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CA137" i="41"/>
  <c r="BZ137" i="41"/>
  <c r="BY137" i="41"/>
  <c r="BX137" i="41"/>
  <c r="BW137" i="41"/>
  <c r="BD137" i="41"/>
  <c r="BC137" i="41"/>
  <c r="BA137" i="41"/>
  <c r="AZ137" i="41"/>
  <c r="AY137" i="41"/>
  <c r="AX137" i="41"/>
  <c r="AU137" i="41"/>
  <c r="AT137" i="41"/>
  <c r="AM137" i="41"/>
  <c r="AK137" i="41"/>
  <c r="AJ137" i="41"/>
  <c r="AI137" i="41"/>
  <c r="AH137" i="41"/>
  <c r="AG137" i="41"/>
  <c r="AC137" i="41"/>
  <c r="AB137" i="41"/>
  <c r="AA137" i="41"/>
  <c r="Z137" i="41"/>
  <c r="Y137" i="41"/>
  <c r="X137" i="41"/>
  <c r="BR136" i="41"/>
  <c r="BO136" i="41"/>
  <c r="BL136" i="41"/>
  <c r="BH136" i="41"/>
  <c r="BS136" i="41" s="1"/>
  <c r="BG136" i="41"/>
  <c r="BU136" i="41" s="1"/>
  <c r="BF136" i="41"/>
  <c r="BT136" i="41" s="1"/>
  <c r="AV136" i="41"/>
  <c r="AS136" i="41"/>
  <c r="BQ136" i="41" s="1"/>
  <c r="AR136" i="41"/>
  <c r="BP136" i="41" s="1"/>
  <c r="AP136" i="41"/>
  <c r="AM136" i="41"/>
  <c r="AL136" i="41"/>
  <c r="AF136" i="41"/>
  <c r="BJ136" i="41" s="1"/>
  <c r="AE136" i="41"/>
  <c r="AD136" i="41"/>
  <c r="BK136" i="41" s="1"/>
  <c r="W136" i="41"/>
  <c r="V136" i="41"/>
  <c r="BR135" i="41"/>
  <c r="BG135" i="41"/>
  <c r="BU135" i="41" s="1"/>
  <c r="BF135" i="41"/>
  <c r="AV135" i="41"/>
  <c r="AP135" i="41"/>
  <c r="AM135" i="41"/>
  <c r="BO135" i="41" s="1"/>
  <c r="AL135" i="41"/>
  <c r="AF135" i="41"/>
  <c r="W135" i="41"/>
  <c r="AE135" i="41" s="1"/>
  <c r="BL135" i="41" s="1"/>
  <c r="V135" i="41"/>
  <c r="AD135" i="41" s="1"/>
  <c r="BT134" i="41"/>
  <c r="BO134" i="41"/>
  <c r="BH134" i="41"/>
  <c r="BS134" i="41" s="1"/>
  <c r="BG134" i="41"/>
  <c r="BU134" i="41" s="1"/>
  <c r="BF134" i="41"/>
  <c r="AV134" i="41"/>
  <c r="BR134" i="41" s="1"/>
  <c r="AO134" i="41"/>
  <c r="AM134" i="41"/>
  <c r="AL134" i="41"/>
  <c r="W134" i="41"/>
  <c r="AE134" i="41" s="1"/>
  <c r="V134" i="41"/>
  <c r="AD134" i="41" s="1"/>
  <c r="BO133" i="41"/>
  <c r="BJ133" i="41"/>
  <c r="BG133" i="41"/>
  <c r="BU133" i="41" s="1"/>
  <c r="BF133" i="41"/>
  <c r="AV133" i="41"/>
  <c r="BR133" i="41" s="1"/>
  <c r="AN133" i="41"/>
  <c r="BM133" i="41" s="1"/>
  <c r="AM133" i="41"/>
  <c r="AL133" i="41"/>
  <c r="BN133" i="41" s="1"/>
  <c r="AF133" i="41"/>
  <c r="AE133" i="41"/>
  <c r="AP133" i="41" s="1"/>
  <c r="W133" i="41"/>
  <c r="V133" i="41"/>
  <c r="AD133" i="41" s="1"/>
  <c r="BT132" i="41"/>
  <c r="BK132" i="41"/>
  <c r="BG132" i="41"/>
  <c r="BU132" i="41" s="1"/>
  <c r="BF132" i="41"/>
  <c r="AV132" i="41"/>
  <c r="BR132" i="41" s="1"/>
  <c r="AO132" i="41"/>
  <c r="AM132" i="41"/>
  <c r="BO132" i="41" s="1"/>
  <c r="AL132" i="41"/>
  <c r="AF132" i="41"/>
  <c r="AD132" i="41"/>
  <c r="W132" i="41"/>
  <c r="AE132" i="41" s="1"/>
  <c r="V132" i="41"/>
  <c r="BV131" i="41"/>
  <c r="BV137" i="41" s="1"/>
  <c r="BM131" i="41"/>
  <c r="BG131" i="41"/>
  <c r="BU131" i="41" s="1"/>
  <c r="BF131" i="41"/>
  <c r="AV131" i="41"/>
  <c r="AN131" i="41"/>
  <c r="AM131" i="41"/>
  <c r="BO131" i="41" s="1"/>
  <c r="BO137" i="41" s="1"/>
  <c r="AL131" i="41"/>
  <c r="BN131" i="41" s="1"/>
  <c r="W131" i="41"/>
  <c r="V131" i="41"/>
  <c r="CA130" i="41"/>
  <c r="BZ130" i="41"/>
  <c r="BY130" i="41"/>
  <c r="BX130" i="41"/>
  <c r="BW130" i="41"/>
  <c r="BV130" i="41"/>
  <c r="BD130" i="41"/>
  <c r="BC130" i="41"/>
  <c r="BA130" i="41"/>
  <c r="AZ130" i="41"/>
  <c r="AY130" i="41"/>
  <c r="AX130" i="41"/>
  <c r="AU130" i="41"/>
  <c r="AT130" i="41"/>
  <c r="AK130" i="41"/>
  <c r="AJ130" i="41"/>
  <c r="AI130" i="41"/>
  <c r="AH130" i="41"/>
  <c r="AG130" i="41"/>
  <c r="AC130" i="41"/>
  <c r="AB130" i="41"/>
  <c r="AA130" i="41"/>
  <c r="Z130" i="41"/>
  <c r="Y130" i="41"/>
  <c r="X130" i="41"/>
  <c r="W130" i="41"/>
  <c r="BR129" i="41"/>
  <c r="BO129" i="41"/>
  <c r="BN129" i="41"/>
  <c r="BL129" i="41"/>
  <c r="BG129" i="41"/>
  <c r="BU129" i="41" s="1"/>
  <c r="BF129" i="41"/>
  <c r="AV129" i="41"/>
  <c r="AO129" i="41"/>
  <c r="AQ129" i="41" s="1"/>
  <c r="AM129" i="41"/>
  <c r="AL129" i="41"/>
  <c r="AE129" i="41"/>
  <c r="AP129" i="41" s="1"/>
  <c r="W129" i="41"/>
  <c r="V129" i="41"/>
  <c r="AD129" i="41" s="1"/>
  <c r="BR128" i="41"/>
  <c r="BL128" i="41"/>
  <c r="BG128" i="41"/>
  <c r="BU128" i="41" s="1"/>
  <c r="BF128" i="41"/>
  <c r="AV128" i="41"/>
  <c r="AP128" i="41"/>
  <c r="AM128" i="41"/>
  <c r="AN128" i="41" s="1"/>
  <c r="BM128" i="41" s="1"/>
  <c r="AL128" i="41"/>
  <c r="BN128" i="41" s="1"/>
  <c r="W128" i="41"/>
  <c r="AE128" i="41" s="1"/>
  <c r="V128" i="41"/>
  <c r="AD128" i="41" s="1"/>
  <c r="AF128" i="41" s="1"/>
  <c r="BT127" i="41"/>
  <c r="BN127" i="41"/>
  <c r="BK127" i="41"/>
  <c r="BH127" i="41"/>
  <c r="BS127" i="41" s="1"/>
  <c r="BG127" i="41"/>
  <c r="BU127" i="41" s="1"/>
  <c r="BF127" i="41"/>
  <c r="AV127" i="41"/>
  <c r="BR127" i="41" s="1"/>
  <c r="AN127" i="41"/>
  <c r="BM127" i="41" s="1"/>
  <c r="AM127" i="41"/>
  <c r="BO127" i="41" s="1"/>
  <c r="AL127" i="41"/>
  <c r="AF127" i="41"/>
  <c r="AD127" i="41"/>
  <c r="W127" i="41"/>
  <c r="AE127" i="41" s="1"/>
  <c r="V127" i="41"/>
  <c r="BR126" i="41"/>
  <c r="BK126" i="41"/>
  <c r="BG126" i="41"/>
  <c r="BH126" i="41" s="1"/>
  <c r="BS126" i="41" s="1"/>
  <c r="BF126" i="41"/>
  <c r="BT126" i="41" s="1"/>
  <c r="AV126" i="41"/>
  <c r="AM126" i="41"/>
  <c r="AL126" i="41"/>
  <c r="AE126" i="41"/>
  <c r="AD126" i="41"/>
  <c r="W126" i="41"/>
  <c r="V126" i="41"/>
  <c r="BR125" i="41"/>
  <c r="BG125" i="41"/>
  <c r="BF125" i="41"/>
  <c r="AV125" i="41"/>
  <c r="AV130" i="41" s="1"/>
  <c r="AN125" i="41"/>
  <c r="AM125" i="41"/>
  <c r="BO125" i="41" s="1"/>
  <c r="AL125" i="41"/>
  <c r="BN125" i="41" s="1"/>
  <c r="AE125" i="41"/>
  <c r="W125" i="41"/>
  <c r="V125" i="41"/>
  <c r="CA124" i="41"/>
  <c r="BZ124" i="41"/>
  <c r="BY124" i="41"/>
  <c r="BX124" i="41"/>
  <c r="BW124" i="41"/>
  <c r="BV124" i="41"/>
  <c r="BD124" i="41"/>
  <c r="BC124" i="41"/>
  <c r="BA124" i="41"/>
  <c r="AZ124" i="41"/>
  <c r="AY124" i="41"/>
  <c r="AX124" i="41"/>
  <c r="AU124" i="41"/>
  <c r="AT124" i="41"/>
  <c r="AK124" i="41"/>
  <c r="AJ124" i="41"/>
  <c r="AI124" i="41"/>
  <c r="AH124" i="41"/>
  <c r="AG124" i="41"/>
  <c r="AC124" i="41"/>
  <c r="AB124" i="41"/>
  <c r="AA124" i="41"/>
  <c r="Z124" i="41"/>
  <c r="Y124" i="41"/>
  <c r="X124" i="41"/>
  <c r="BU123" i="41"/>
  <c r="BN123" i="41"/>
  <c r="BH123" i="41"/>
  <c r="BS123" i="41" s="1"/>
  <c r="BG123" i="41"/>
  <c r="BF123" i="41"/>
  <c r="BT123" i="41" s="1"/>
  <c r="AV123" i="41"/>
  <c r="BR123" i="41" s="1"/>
  <c r="AM123" i="41"/>
  <c r="AN123" i="41" s="1"/>
  <c r="BM123" i="41" s="1"/>
  <c r="AL123" i="41"/>
  <c r="AE123" i="41"/>
  <c r="BL123" i="41" s="1"/>
  <c r="AD123" i="41"/>
  <c r="W123" i="41"/>
  <c r="V123" i="41"/>
  <c r="BO122" i="41"/>
  <c r="BG122" i="41"/>
  <c r="BU122" i="41" s="1"/>
  <c r="BF122" i="41"/>
  <c r="AV122" i="41"/>
  <c r="BR122" i="41" s="1"/>
  <c r="AN122" i="41"/>
  <c r="BM122" i="41" s="1"/>
  <c r="AM122" i="41"/>
  <c r="AL122" i="41"/>
  <c r="BN122" i="41" s="1"/>
  <c r="AD122" i="41"/>
  <c r="W122" i="41"/>
  <c r="V122" i="41"/>
  <c r="V124" i="41" s="1"/>
  <c r="BR121" i="41"/>
  <c r="BK121" i="41"/>
  <c r="BG121" i="41"/>
  <c r="BF121" i="41"/>
  <c r="AV121" i="41"/>
  <c r="AM121" i="41"/>
  <c r="BO121" i="41" s="1"/>
  <c r="AL121" i="41"/>
  <c r="AO121" i="41" s="1"/>
  <c r="AE121" i="41"/>
  <c r="AD121" i="41"/>
  <c r="W121" i="41"/>
  <c r="V121" i="41"/>
  <c r="CA120" i="41"/>
  <c r="BZ120" i="41"/>
  <c r="BY120" i="41"/>
  <c r="BX120" i="41"/>
  <c r="BW120" i="41"/>
  <c r="BV120" i="41"/>
  <c r="BD120" i="41"/>
  <c r="BC120" i="41"/>
  <c r="BA120" i="41"/>
  <c r="AZ120" i="41"/>
  <c r="AY120" i="41"/>
  <c r="AX120" i="41"/>
  <c r="AV120" i="41"/>
  <c r="AU120" i="41"/>
  <c r="AT120" i="41"/>
  <c r="AK120" i="41"/>
  <c r="AJ120" i="41"/>
  <c r="AI120" i="41"/>
  <c r="AH120" i="41"/>
  <c r="AG120" i="41"/>
  <c r="AC120" i="41"/>
  <c r="AB120" i="41"/>
  <c r="AA120" i="41"/>
  <c r="Z120" i="41"/>
  <c r="Y120" i="41"/>
  <c r="X120" i="41"/>
  <c r="BR119" i="41"/>
  <c r="BG119" i="41"/>
  <c r="BU119" i="41" s="1"/>
  <c r="BF119" i="41"/>
  <c r="AV119" i="41"/>
  <c r="AO119" i="41"/>
  <c r="AN119" i="41"/>
  <c r="BM119" i="41" s="1"/>
  <c r="AM119" i="41"/>
  <c r="BO119" i="41" s="1"/>
  <c r="AL119" i="41"/>
  <c r="BN119" i="41" s="1"/>
  <c r="W119" i="41"/>
  <c r="AE119" i="41" s="1"/>
  <c r="V119" i="41"/>
  <c r="AD119" i="41" s="1"/>
  <c r="BT118" i="41"/>
  <c r="BN118" i="41"/>
  <c r="BG118" i="41"/>
  <c r="BU118" i="41" s="1"/>
  <c r="BF118" i="41"/>
  <c r="AV118" i="41"/>
  <c r="BR118" i="41" s="1"/>
  <c r="AO118" i="41"/>
  <c r="AN118" i="41"/>
  <c r="BM118" i="41" s="1"/>
  <c r="AM118" i="41"/>
  <c r="BO118" i="41" s="1"/>
  <c r="AL118" i="41"/>
  <c r="AD118" i="41"/>
  <c r="BK118" i="41" s="1"/>
  <c r="W118" i="41"/>
  <c r="AE118" i="41" s="1"/>
  <c r="V118" i="41"/>
  <c r="BR117" i="41"/>
  <c r="BL117" i="41"/>
  <c r="BG117" i="41"/>
  <c r="BU117" i="41" s="1"/>
  <c r="BF117" i="41"/>
  <c r="BT117" i="41" s="1"/>
  <c r="AV117" i="41"/>
  <c r="AP117" i="41"/>
  <c r="AM117" i="41"/>
  <c r="BO117" i="41" s="1"/>
  <c r="AL117" i="41"/>
  <c r="AE117" i="41"/>
  <c r="W117" i="41"/>
  <c r="V117" i="41"/>
  <c r="AD117" i="41" s="1"/>
  <c r="BN116" i="41"/>
  <c r="BG116" i="41"/>
  <c r="BF116" i="41"/>
  <c r="BT116" i="41" s="1"/>
  <c r="AV116" i="41"/>
  <c r="BR116" i="41" s="1"/>
  <c r="AP116" i="41"/>
  <c r="AM116" i="41"/>
  <c r="BO116" i="41" s="1"/>
  <c r="AL116" i="41"/>
  <c r="W116" i="41"/>
  <c r="AE116" i="41" s="1"/>
  <c r="BL116" i="41" s="1"/>
  <c r="V116" i="41"/>
  <c r="AD116" i="41" s="1"/>
  <c r="BT115" i="41"/>
  <c r="BN115" i="41"/>
  <c r="BG115" i="41"/>
  <c r="BH115" i="41" s="1"/>
  <c r="BS115" i="41" s="1"/>
  <c r="BF115" i="41"/>
  <c r="AV115" i="41"/>
  <c r="BR115" i="41" s="1"/>
  <c r="AN115" i="41"/>
  <c r="BM115" i="41" s="1"/>
  <c r="AM115" i="41"/>
  <c r="BO115" i="41" s="1"/>
  <c r="AL115" i="41"/>
  <c r="W115" i="41"/>
  <c r="AE115" i="41" s="1"/>
  <c r="V115" i="41"/>
  <c r="AD115" i="41" s="1"/>
  <c r="BT114" i="41"/>
  <c r="BO114" i="41"/>
  <c r="BN114" i="41"/>
  <c r="BG114" i="41"/>
  <c r="BU114" i="41" s="1"/>
  <c r="BF114" i="41"/>
  <c r="AV114" i="41"/>
  <c r="BR114" i="41" s="1"/>
  <c r="AO114" i="41"/>
  <c r="AM114" i="41"/>
  <c r="AN114" i="41" s="1"/>
  <c r="BM114" i="41" s="1"/>
  <c r="AL114" i="41"/>
  <c r="AD114" i="41"/>
  <c r="W114" i="41"/>
  <c r="V114" i="41"/>
  <c r="BG113" i="41"/>
  <c r="BU113" i="41" s="1"/>
  <c r="BF113" i="41"/>
  <c r="AV113" i="41"/>
  <c r="BR113" i="41" s="1"/>
  <c r="AM113" i="41"/>
  <c r="AL113" i="41"/>
  <c r="AL120" i="41" s="1"/>
  <c r="AE113" i="41"/>
  <c r="AP113" i="41" s="1"/>
  <c r="W113" i="41"/>
  <c r="V113" i="41"/>
  <c r="CA112" i="41"/>
  <c r="BZ112" i="41"/>
  <c r="BY112" i="41"/>
  <c r="BX112" i="41"/>
  <c r="BW112" i="41"/>
  <c r="BV112" i="41"/>
  <c r="BD112" i="41"/>
  <c r="BC112" i="41"/>
  <c r="BA112" i="41"/>
  <c r="AZ112" i="41"/>
  <c r="AY112" i="41"/>
  <c r="AX112" i="41"/>
  <c r="AV112" i="41"/>
  <c r="AU112" i="41"/>
  <c r="AT112" i="41"/>
  <c r="AM112" i="41"/>
  <c r="AK112" i="41"/>
  <c r="AJ112" i="41"/>
  <c r="AI112" i="41"/>
  <c r="AH112" i="41"/>
  <c r="AG112" i="41"/>
  <c r="AC112" i="41"/>
  <c r="AB112" i="41"/>
  <c r="AA112" i="41"/>
  <c r="Z112" i="41"/>
  <c r="Y112" i="41"/>
  <c r="X112" i="41"/>
  <c r="BR111" i="41"/>
  <c r="BO111" i="41"/>
  <c r="BL111" i="41"/>
  <c r="BG111" i="41"/>
  <c r="BH111" i="41" s="1"/>
  <c r="BS111" i="41" s="1"/>
  <c r="BF111" i="41"/>
  <c r="BT111" i="41" s="1"/>
  <c r="AV111" i="41"/>
  <c r="AN111" i="41"/>
  <c r="BM111" i="41" s="1"/>
  <c r="AM111" i="41"/>
  <c r="AL111" i="41"/>
  <c r="BN111" i="41" s="1"/>
  <c r="W111" i="41"/>
  <c r="AE111" i="41" s="1"/>
  <c r="AP111" i="41" s="1"/>
  <c r="V111" i="41"/>
  <c r="AD111" i="41" s="1"/>
  <c r="BR110" i="41"/>
  <c r="BG110" i="41"/>
  <c r="BU110" i="41" s="1"/>
  <c r="BF110" i="41"/>
  <c r="BF112" i="41" s="1"/>
  <c r="AV110" i="41"/>
  <c r="AM110" i="41"/>
  <c r="AL110" i="41"/>
  <c r="BN110" i="41" s="1"/>
  <c r="AE110" i="41"/>
  <c r="BL110" i="41" s="1"/>
  <c r="W110" i="41"/>
  <c r="V110" i="41"/>
  <c r="AD110" i="41" s="1"/>
  <c r="BK109" i="41"/>
  <c r="BJ109" i="41"/>
  <c r="BG109" i="41"/>
  <c r="BF109" i="41"/>
  <c r="BT109" i="41" s="1"/>
  <c r="AV109" i="41"/>
  <c r="BR109" i="41" s="1"/>
  <c r="AM109" i="41"/>
  <c r="BO109" i="41" s="1"/>
  <c r="AL109" i="41"/>
  <c r="AN109" i="41" s="1"/>
  <c r="BM109" i="41" s="1"/>
  <c r="AD109" i="41"/>
  <c r="AO109" i="41" s="1"/>
  <c r="W109" i="41"/>
  <c r="AE109" i="41" s="1"/>
  <c r="AF109" i="41" s="1"/>
  <c r="V109" i="41"/>
  <c r="BR108" i="41"/>
  <c r="BO108" i="41"/>
  <c r="BL108" i="41"/>
  <c r="BG108" i="41"/>
  <c r="BH108" i="41" s="1"/>
  <c r="BS108" i="41" s="1"/>
  <c r="BF108" i="41"/>
  <c r="BT108" i="41" s="1"/>
  <c r="AV108" i="41"/>
  <c r="AM108" i="41"/>
  <c r="AL108" i="41"/>
  <c r="AF108" i="41"/>
  <c r="AE108" i="41"/>
  <c r="AP108" i="41" s="1"/>
  <c r="AD108" i="41"/>
  <c r="BK108" i="41" s="1"/>
  <c r="W108" i="41"/>
  <c r="V108" i="41"/>
  <c r="BT107" i="41"/>
  <c r="BO107" i="41"/>
  <c r="BL107" i="41"/>
  <c r="BG107" i="41"/>
  <c r="BH107" i="41" s="1"/>
  <c r="BS107" i="41" s="1"/>
  <c r="BF107" i="41"/>
  <c r="AV107" i="41"/>
  <c r="BR107" i="41" s="1"/>
  <c r="AM107" i="41"/>
  <c r="AL107" i="41"/>
  <c r="W107" i="41"/>
  <c r="AE107" i="41" s="1"/>
  <c r="AP107" i="41" s="1"/>
  <c r="V107" i="41"/>
  <c r="AD107" i="41" s="1"/>
  <c r="BT106" i="41"/>
  <c r="BS106" i="41"/>
  <c r="BG106" i="41"/>
  <c r="BH106" i="41" s="1"/>
  <c r="BF106" i="41"/>
  <c r="AV106" i="41"/>
  <c r="BR106" i="41" s="1"/>
  <c r="AN106" i="41"/>
  <c r="AM106" i="41"/>
  <c r="BO106" i="41" s="1"/>
  <c r="AL106" i="41"/>
  <c r="BN106" i="41" s="1"/>
  <c r="W106" i="41"/>
  <c r="V106" i="41"/>
  <c r="CA105" i="41"/>
  <c r="BZ105" i="41"/>
  <c r="BY105" i="41"/>
  <c r="BX105" i="41"/>
  <c r="BW105" i="41"/>
  <c r="BV105" i="41"/>
  <c r="BD105" i="41"/>
  <c r="BC105" i="41"/>
  <c r="BA105" i="41"/>
  <c r="AZ105" i="41"/>
  <c r="AY105" i="41"/>
  <c r="AX105" i="41"/>
  <c r="AU105" i="41"/>
  <c r="AT105" i="41"/>
  <c r="AK105" i="41"/>
  <c r="AJ105" i="41"/>
  <c r="AI105" i="41"/>
  <c r="AH105" i="41"/>
  <c r="AG105" i="41"/>
  <c r="AC105" i="41"/>
  <c r="AB105" i="41"/>
  <c r="AA105" i="41"/>
  <c r="Z105" i="41"/>
  <c r="Y105" i="41"/>
  <c r="X105" i="41"/>
  <c r="BG104" i="41"/>
  <c r="BG151" i="41" s="1"/>
  <c r="BF104" i="41"/>
  <c r="BF151" i="41" s="1"/>
  <c r="AV104" i="41"/>
  <c r="AM104" i="41"/>
  <c r="AM151" i="41" s="1"/>
  <c r="AL104" i="41"/>
  <c r="AE104" i="41"/>
  <c r="AE151" i="41" s="1"/>
  <c r="W104" i="41"/>
  <c r="W151" i="41" s="1"/>
  <c r="V104" i="41"/>
  <c r="BU103" i="41"/>
  <c r="BT103" i="41"/>
  <c r="BN103" i="41"/>
  <c r="BG103" i="41"/>
  <c r="BH103" i="41" s="1"/>
  <c r="BS103" i="41" s="1"/>
  <c r="BF103" i="41"/>
  <c r="AV103" i="41"/>
  <c r="BR103" i="41" s="1"/>
  <c r="AM103" i="41"/>
  <c r="BO103" i="41" s="1"/>
  <c r="AL103" i="41"/>
  <c r="AF103" i="41"/>
  <c r="AD103" i="41"/>
  <c r="W103" i="41"/>
  <c r="AE103" i="41" s="1"/>
  <c r="V103" i="41"/>
  <c r="BT102" i="41"/>
  <c r="BR102" i="41"/>
  <c r="BG102" i="41"/>
  <c r="BU102" i="41" s="1"/>
  <c r="BF102" i="41"/>
  <c r="AV102" i="41"/>
  <c r="AM102" i="41"/>
  <c r="BO102" i="41" s="1"/>
  <c r="AL102" i="41"/>
  <c r="BN102" i="41" s="1"/>
  <c r="AD102" i="41"/>
  <c r="W102" i="41"/>
  <c r="AE102" i="41" s="1"/>
  <c r="BL102" i="41" s="1"/>
  <c r="V102" i="41"/>
  <c r="BO101" i="41"/>
  <c r="BG101" i="41"/>
  <c r="BU101" i="41" s="1"/>
  <c r="BF101" i="41"/>
  <c r="AV101" i="41"/>
  <c r="BR101" i="41" s="1"/>
  <c r="AP101" i="41"/>
  <c r="AN101" i="41"/>
  <c r="BM101" i="41" s="1"/>
  <c r="AM101" i="41"/>
  <c r="AL101" i="41"/>
  <c r="BN101" i="41" s="1"/>
  <c r="AE101" i="41"/>
  <c r="BL101" i="41" s="1"/>
  <c r="AD101" i="41"/>
  <c r="W101" i="41"/>
  <c r="V101" i="41"/>
  <c r="BT100" i="41"/>
  <c r="BR100" i="41"/>
  <c r="BL100" i="41"/>
  <c r="BG100" i="41"/>
  <c r="BU100" i="41" s="1"/>
  <c r="BF100" i="41"/>
  <c r="AV100" i="41"/>
  <c r="AM100" i="41"/>
  <c r="BO100" i="41" s="1"/>
  <c r="AL100" i="41"/>
  <c r="BN100" i="41" s="1"/>
  <c r="AD100" i="41"/>
  <c r="W100" i="41"/>
  <c r="AE100" i="41" s="1"/>
  <c r="AP100" i="41" s="1"/>
  <c r="V100" i="41"/>
  <c r="BU99" i="41"/>
  <c r="BT99" i="41"/>
  <c r="BR99" i="41"/>
  <c r="BO99" i="41"/>
  <c r="BG99" i="41"/>
  <c r="BH99" i="41" s="1"/>
  <c r="BS99" i="41" s="1"/>
  <c r="BF99" i="41"/>
  <c r="AV99" i="41"/>
  <c r="AM99" i="41"/>
  <c r="AL99" i="41"/>
  <c r="AE99" i="41"/>
  <c r="AD99" i="41"/>
  <c r="W99" i="41"/>
  <c r="V99" i="41"/>
  <c r="BT98" i="41"/>
  <c r="BO98" i="41"/>
  <c r="BG98" i="41"/>
  <c r="BH98" i="41" s="1"/>
  <c r="BS98" i="41" s="1"/>
  <c r="BF98" i="41"/>
  <c r="AV98" i="41"/>
  <c r="AV105" i="41" s="1"/>
  <c r="AM98" i="41"/>
  <c r="AL98" i="41"/>
  <c r="W98" i="41"/>
  <c r="V98" i="41"/>
  <c r="CA97" i="41"/>
  <c r="BZ97" i="41"/>
  <c r="BY97" i="41"/>
  <c r="BX97" i="41"/>
  <c r="BW97" i="41"/>
  <c r="BV97" i="41"/>
  <c r="BD97" i="41"/>
  <c r="BC97" i="41"/>
  <c r="BA97" i="41"/>
  <c r="AZ97" i="41"/>
  <c r="AY97" i="41"/>
  <c r="AX97" i="41"/>
  <c r="AU97" i="41"/>
  <c r="AT97" i="41"/>
  <c r="AK97" i="41"/>
  <c r="AJ97" i="41"/>
  <c r="AI97" i="41"/>
  <c r="AH97" i="41"/>
  <c r="AG97" i="41"/>
  <c r="AC97" i="41"/>
  <c r="AB97" i="41"/>
  <c r="AA97" i="41"/>
  <c r="Z97" i="41"/>
  <c r="Y97" i="41"/>
  <c r="X97" i="41"/>
  <c r="BT96" i="41"/>
  <c r="BR96" i="41"/>
  <c r="BO96" i="41"/>
  <c r="BG96" i="41"/>
  <c r="BU96" i="41" s="1"/>
  <c r="BF96" i="41"/>
  <c r="AV96" i="41"/>
  <c r="AP96" i="41"/>
  <c r="AM96" i="41"/>
  <c r="AL96" i="41"/>
  <c r="AN96" i="41" s="1"/>
  <c r="BM96" i="41" s="1"/>
  <c r="AE96" i="41"/>
  <c r="BL96" i="41" s="1"/>
  <c r="AD96" i="41"/>
  <c r="W96" i="41"/>
  <c r="V96" i="41"/>
  <c r="BN95" i="41"/>
  <c r="BJ95" i="41"/>
  <c r="BG95" i="41"/>
  <c r="BU95" i="41" s="1"/>
  <c r="BF95" i="41"/>
  <c r="BT95" i="41" s="1"/>
  <c r="AV95" i="41"/>
  <c r="AV97" i="41" s="1"/>
  <c r="AM95" i="41"/>
  <c r="AL95" i="41"/>
  <c r="W95" i="41"/>
  <c r="AE95" i="41" s="1"/>
  <c r="AF95" i="41" s="1"/>
  <c r="AR95" i="41" s="1"/>
  <c r="BP95" i="41" s="1"/>
  <c r="V95" i="41"/>
  <c r="AD95" i="41" s="1"/>
  <c r="BT94" i="41"/>
  <c r="BO94" i="41"/>
  <c r="BG94" i="41"/>
  <c r="BH94" i="41" s="1"/>
  <c r="BS94" i="41" s="1"/>
  <c r="BF94" i="41"/>
  <c r="BF97" i="41" s="1"/>
  <c r="AV94" i="41"/>
  <c r="BR94" i="41" s="1"/>
  <c r="AM94" i="41"/>
  <c r="AL94" i="41"/>
  <c r="AD94" i="41"/>
  <c r="AD97" i="41" s="1"/>
  <c r="W94" i="41"/>
  <c r="V94" i="41"/>
  <c r="V97" i="41" s="1"/>
  <c r="CA93" i="41"/>
  <c r="BZ93" i="41"/>
  <c r="BY93" i="41"/>
  <c r="BX93" i="41"/>
  <c r="BW93" i="41"/>
  <c r="BV93" i="41"/>
  <c r="BD93" i="41"/>
  <c r="BC93" i="41"/>
  <c r="BA93" i="41"/>
  <c r="AZ93" i="41"/>
  <c r="AY93" i="41"/>
  <c r="AX93" i="41"/>
  <c r="AU93" i="41"/>
  <c r="AT93" i="41"/>
  <c r="AK93" i="41"/>
  <c r="AJ93" i="41"/>
  <c r="AI93" i="41"/>
  <c r="AH93" i="41"/>
  <c r="AG93" i="41"/>
  <c r="AC93" i="41"/>
  <c r="AB93" i="41"/>
  <c r="AA93" i="41"/>
  <c r="Z93" i="41"/>
  <c r="Y93" i="41"/>
  <c r="X93" i="41"/>
  <c r="BO92" i="41"/>
  <c r="BN92" i="41"/>
  <c r="BL92" i="41"/>
  <c r="BG92" i="41"/>
  <c r="BU92" i="41" s="1"/>
  <c r="BF92" i="41"/>
  <c r="BT92" i="41" s="1"/>
  <c r="AV92" i="41"/>
  <c r="BR92" i="41" s="1"/>
  <c r="AM92" i="41"/>
  <c r="AL92" i="41"/>
  <c r="AN92" i="41" s="1"/>
  <c r="BM92" i="41" s="1"/>
  <c r="AF92" i="41"/>
  <c r="AE92" i="41"/>
  <c r="W92" i="41"/>
  <c r="V92" i="41"/>
  <c r="AD92" i="41" s="1"/>
  <c r="BT91" i="41"/>
  <c r="BN91" i="41"/>
  <c r="BG91" i="41"/>
  <c r="BH91" i="41" s="1"/>
  <c r="BS91" i="41" s="1"/>
  <c r="BF91" i="41"/>
  <c r="AV91" i="41"/>
  <c r="BR91" i="41" s="1"/>
  <c r="AM91" i="41"/>
  <c r="BO91" i="41" s="1"/>
  <c r="AL91" i="41"/>
  <c r="W91" i="41"/>
  <c r="AE91" i="41" s="1"/>
  <c r="V91" i="41"/>
  <c r="AD91" i="41" s="1"/>
  <c r="BU90" i="41"/>
  <c r="BO90" i="41"/>
  <c r="BN90" i="41"/>
  <c r="BH90" i="41"/>
  <c r="BS90" i="41" s="1"/>
  <c r="BG90" i="41"/>
  <c r="BF90" i="41"/>
  <c r="BT90" i="41" s="1"/>
  <c r="AV90" i="41"/>
  <c r="BR90" i="41" s="1"/>
  <c r="AO90" i="41"/>
  <c r="AM90" i="41"/>
  <c r="AL90" i="41"/>
  <c r="AN90" i="41" s="1"/>
  <c r="BM90" i="41" s="1"/>
  <c r="AE90" i="41"/>
  <c r="AD90" i="41"/>
  <c r="W90" i="41"/>
  <c r="V90" i="41"/>
  <c r="BK89" i="41"/>
  <c r="BG89" i="41"/>
  <c r="BU89" i="41" s="1"/>
  <c r="BF89" i="41"/>
  <c r="BT89" i="41" s="1"/>
  <c r="AV89" i="41"/>
  <c r="BR89" i="41" s="1"/>
  <c r="AO89" i="41"/>
  <c r="AM89" i="41"/>
  <c r="BO89" i="41" s="1"/>
  <c r="AL89" i="41"/>
  <c r="BN89" i="41" s="1"/>
  <c r="AD89" i="41"/>
  <c r="AF89" i="41" s="1"/>
  <c r="W89" i="41"/>
  <c r="AE89" i="41" s="1"/>
  <c r="V89" i="41"/>
  <c r="BT88" i="41"/>
  <c r="BT93" i="41" s="1"/>
  <c r="BN88" i="41"/>
  <c r="BN93" i="41" s="1"/>
  <c r="BK88" i="41"/>
  <c r="BG88" i="41"/>
  <c r="BF88" i="41"/>
  <c r="BF93" i="41" s="1"/>
  <c r="AV88" i="41"/>
  <c r="AV93" i="41" s="1"/>
  <c r="AP88" i="41"/>
  <c r="AN88" i="41"/>
  <c r="AM88" i="41"/>
  <c r="AM93" i="41" s="1"/>
  <c r="AL88" i="41"/>
  <c r="AL93" i="41" s="1"/>
  <c r="AE88" i="41"/>
  <c r="AD88" i="41"/>
  <c r="AO88" i="41" s="1"/>
  <c r="W88" i="41"/>
  <c r="V88" i="41"/>
  <c r="CA87" i="41"/>
  <c r="BZ87" i="41"/>
  <c r="BY87" i="41"/>
  <c r="BX87" i="41"/>
  <c r="BW87" i="41"/>
  <c r="BV87" i="41"/>
  <c r="BD87" i="41"/>
  <c r="BC87" i="41"/>
  <c r="BA87" i="41"/>
  <c r="AZ87" i="41"/>
  <c r="AY87" i="41"/>
  <c r="AX87" i="41"/>
  <c r="AU87" i="41"/>
  <c r="AT87" i="41"/>
  <c r="AK87" i="41"/>
  <c r="AJ87" i="41"/>
  <c r="AI87" i="41"/>
  <c r="AH87" i="41"/>
  <c r="AG87" i="41"/>
  <c r="AC87" i="41"/>
  <c r="AB87" i="41"/>
  <c r="AA87" i="41"/>
  <c r="Z87" i="41"/>
  <c r="Y87" i="41"/>
  <c r="X87" i="41"/>
  <c r="BO86" i="41"/>
  <c r="BJ86" i="41"/>
  <c r="BG86" i="41"/>
  <c r="BU86" i="41" s="1"/>
  <c r="BF86" i="41"/>
  <c r="AV86" i="41"/>
  <c r="BR86" i="41" s="1"/>
  <c r="AS86" i="41"/>
  <c r="BQ86" i="41" s="1"/>
  <c r="AM86" i="41"/>
  <c r="AN86" i="41" s="1"/>
  <c r="BM86" i="41" s="1"/>
  <c r="AL86" i="41"/>
  <c r="BN86" i="41" s="1"/>
  <c r="AE86" i="41"/>
  <c r="AP86" i="41" s="1"/>
  <c r="AD86" i="41"/>
  <c r="AF86" i="41" s="1"/>
  <c r="AR86" i="41" s="1"/>
  <c r="BP86" i="41" s="1"/>
  <c r="W86" i="41"/>
  <c r="V86" i="41"/>
  <c r="BT85" i="41"/>
  <c r="BG85" i="41"/>
  <c r="BU85" i="41" s="1"/>
  <c r="BF85" i="41"/>
  <c r="AV85" i="41"/>
  <c r="BR85" i="41" s="1"/>
  <c r="AO85" i="41"/>
  <c r="AM85" i="41"/>
  <c r="BO85" i="41" s="1"/>
  <c r="AL85" i="41"/>
  <c r="AN85" i="41" s="1"/>
  <c r="BM85" i="41" s="1"/>
  <c r="AD85" i="41"/>
  <c r="W85" i="41"/>
  <c r="W87" i="41" s="1"/>
  <c r="V85" i="41"/>
  <c r="BR84" i="41"/>
  <c r="BN84" i="41"/>
  <c r="BG84" i="41"/>
  <c r="BH84" i="41" s="1"/>
  <c r="BF84" i="41"/>
  <c r="BT84" i="41" s="1"/>
  <c r="AV84" i="41"/>
  <c r="AM84" i="41"/>
  <c r="AL84" i="41"/>
  <c r="AE84" i="41"/>
  <c r="AP84" i="41" s="1"/>
  <c r="W84" i="41"/>
  <c r="V84" i="41"/>
  <c r="CA83" i="41"/>
  <c r="BZ83" i="41"/>
  <c r="BY83" i="41"/>
  <c r="BX83" i="41"/>
  <c r="BW83" i="41"/>
  <c r="BV83" i="41"/>
  <c r="BD83" i="41"/>
  <c r="BC83" i="41"/>
  <c r="BA83" i="41"/>
  <c r="AZ83" i="41"/>
  <c r="AY83" i="41"/>
  <c r="AX83" i="41"/>
  <c r="AV83" i="41"/>
  <c r="AU83" i="41"/>
  <c r="AT83" i="41"/>
  <c r="AK83" i="41"/>
  <c r="AJ83" i="41"/>
  <c r="AI83" i="41"/>
  <c r="AH83" i="41"/>
  <c r="AG83" i="41"/>
  <c r="AC83" i="41"/>
  <c r="AB83" i="41"/>
  <c r="AA83" i="41"/>
  <c r="Z83" i="41"/>
  <c r="Y83" i="41"/>
  <c r="X83" i="41"/>
  <c r="W83" i="41"/>
  <c r="BR82" i="41"/>
  <c r="BL82" i="41"/>
  <c r="BG82" i="41"/>
  <c r="BU82" i="41" s="1"/>
  <c r="BF82" i="41"/>
  <c r="AV82" i="41"/>
  <c r="AP82" i="41"/>
  <c r="AM82" i="41"/>
  <c r="AN82" i="41" s="1"/>
  <c r="BM82" i="41" s="1"/>
  <c r="AL82" i="41"/>
  <c r="BN82" i="41" s="1"/>
  <c r="AE82" i="41"/>
  <c r="AD82" i="41"/>
  <c r="AF82" i="41" s="1"/>
  <c r="W82" i="41"/>
  <c r="V82" i="41"/>
  <c r="V83" i="41" s="1"/>
  <c r="BR81" i="41"/>
  <c r="BM81" i="41"/>
  <c r="BG81" i="41"/>
  <c r="BU81" i="41" s="1"/>
  <c r="BF81" i="41"/>
  <c r="AV81" i="41"/>
  <c r="AN81" i="41"/>
  <c r="AM81" i="41"/>
  <c r="BO81" i="41" s="1"/>
  <c r="AL81" i="41"/>
  <c r="BN81" i="41" s="1"/>
  <c r="AE81" i="41"/>
  <c r="AD81" i="41"/>
  <c r="BK81" i="41" s="1"/>
  <c r="W81" i="41"/>
  <c r="V81" i="41"/>
  <c r="BT80" i="41"/>
  <c r="BR80" i="41"/>
  <c r="BN80" i="41"/>
  <c r="BG80" i="41"/>
  <c r="BU80" i="41" s="1"/>
  <c r="BF80" i="41"/>
  <c r="AV80" i="41"/>
  <c r="AR80" i="41"/>
  <c r="AM80" i="41"/>
  <c r="BO80" i="41" s="1"/>
  <c r="AL80" i="41"/>
  <c r="AF80" i="41"/>
  <c r="AE80" i="41"/>
  <c r="BL80" i="41" s="1"/>
  <c r="AD80" i="41"/>
  <c r="BK80" i="41" s="1"/>
  <c r="W80" i="41"/>
  <c r="V80" i="41"/>
  <c r="CA79" i="41"/>
  <c r="BZ79" i="41"/>
  <c r="BY79" i="41"/>
  <c r="BX79" i="41"/>
  <c r="BW79" i="41"/>
  <c r="BV79" i="41"/>
  <c r="BD79" i="41"/>
  <c r="BC79" i="41"/>
  <c r="BA79" i="41"/>
  <c r="AZ79" i="41"/>
  <c r="AY79" i="41"/>
  <c r="AX79" i="41"/>
  <c r="AU79" i="41"/>
  <c r="AT79" i="41"/>
  <c r="AK79" i="41"/>
  <c r="AJ79" i="41"/>
  <c r="AI79" i="41"/>
  <c r="AH79" i="41"/>
  <c r="AG79" i="41"/>
  <c r="AD79" i="41"/>
  <c r="AC79" i="41"/>
  <c r="AB79" i="41"/>
  <c r="AA79" i="41"/>
  <c r="Z79" i="41"/>
  <c r="Y79" i="41"/>
  <c r="X79" i="41"/>
  <c r="BR78" i="41"/>
  <c r="BM78" i="41"/>
  <c r="BG78" i="41"/>
  <c r="BU78" i="41" s="1"/>
  <c r="BF78" i="41"/>
  <c r="AV78" i="41"/>
  <c r="AP78" i="41"/>
  <c r="AN78" i="41"/>
  <c r="AM78" i="41"/>
  <c r="BO78" i="41" s="1"/>
  <c r="AL78" i="41"/>
  <c r="BN78" i="41" s="1"/>
  <c r="AE78" i="41"/>
  <c r="AF78" i="41" s="1"/>
  <c r="AD78" i="41"/>
  <c r="BK78" i="41" s="1"/>
  <c r="W78" i="41"/>
  <c r="V78" i="41"/>
  <c r="BT77" i="41"/>
  <c r="BR77" i="41"/>
  <c r="BG77" i="41"/>
  <c r="BF77" i="41"/>
  <c r="AV77" i="41"/>
  <c r="AR77" i="41"/>
  <c r="BP77" i="41" s="1"/>
  <c r="AM77" i="41"/>
  <c r="BO77" i="41" s="1"/>
  <c r="AL77" i="41"/>
  <c r="AF77" i="41"/>
  <c r="AE77" i="41"/>
  <c r="BL77" i="41" s="1"/>
  <c r="AD77" i="41"/>
  <c r="BK77" i="41" s="1"/>
  <c r="W77" i="41"/>
  <c r="V77" i="41"/>
  <c r="BU76" i="41"/>
  <c r="BT76" i="41"/>
  <c r="BR76" i="41"/>
  <c r="BG76" i="41"/>
  <c r="BH76" i="41" s="1"/>
  <c r="BS76" i="41" s="1"/>
  <c r="BF76" i="41"/>
  <c r="AV76" i="41"/>
  <c r="AM76" i="41"/>
  <c r="BO76" i="41" s="1"/>
  <c r="AL76" i="41"/>
  <c r="BN76" i="41" s="1"/>
  <c r="AE76" i="41"/>
  <c r="BL76" i="41" s="1"/>
  <c r="W76" i="41"/>
  <c r="V76" i="41"/>
  <c r="AD76" i="41" s="1"/>
  <c r="BT75" i="41"/>
  <c r="BO75" i="41"/>
  <c r="BG75" i="41"/>
  <c r="BU75" i="41" s="1"/>
  <c r="BF75" i="41"/>
  <c r="AV75" i="41"/>
  <c r="BR75" i="41" s="1"/>
  <c r="AM75" i="41"/>
  <c r="AN75" i="41" s="1"/>
  <c r="BM75" i="41" s="1"/>
  <c r="AL75" i="41"/>
  <c r="BN75" i="41" s="1"/>
  <c r="W75" i="41"/>
  <c r="AE75" i="41" s="1"/>
  <c r="V75" i="41"/>
  <c r="AD75" i="41" s="1"/>
  <c r="BT74" i="41"/>
  <c r="BQ74" i="41"/>
  <c r="BG74" i="41"/>
  <c r="BH74" i="41" s="1"/>
  <c r="BS74" i="41" s="1"/>
  <c r="BF74" i="41"/>
  <c r="AV74" i="41"/>
  <c r="BR74" i="41" s="1"/>
  <c r="AN74" i="41"/>
  <c r="BM74" i="41" s="1"/>
  <c r="AM74" i="41"/>
  <c r="BO74" i="41" s="1"/>
  <c r="AL74" i="41"/>
  <c r="BN74" i="41" s="1"/>
  <c r="AD74" i="41"/>
  <c r="AF74" i="41" s="1"/>
  <c r="AS74" i="41" s="1"/>
  <c r="W74" i="41"/>
  <c r="AE74" i="41" s="1"/>
  <c r="V74" i="41"/>
  <c r="BK73" i="41"/>
  <c r="BG73" i="41"/>
  <c r="BU73" i="41" s="1"/>
  <c r="BF73" i="41"/>
  <c r="AV73" i="41"/>
  <c r="AO73" i="41"/>
  <c r="AM73" i="41"/>
  <c r="AL73" i="41"/>
  <c r="BN73" i="41" s="1"/>
  <c r="AD73" i="41"/>
  <c r="W73" i="41"/>
  <c r="W79" i="41" s="1"/>
  <c r="V73" i="41"/>
  <c r="CA72" i="41"/>
  <c r="BZ72" i="41"/>
  <c r="BY72" i="41"/>
  <c r="BX72" i="41"/>
  <c r="BW72" i="41"/>
  <c r="BV72" i="41"/>
  <c r="BD72" i="41"/>
  <c r="BC72" i="41"/>
  <c r="BA72" i="41"/>
  <c r="AZ72" i="41"/>
  <c r="AY72" i="41"/>
  <c r="AX72" i="41"/>
  <c r="AU72" i="41"/>
  <c r="AT72" i="41"/>
  <c r="AK72" i="41"/>
  <c r="AJ72" i="41"/>
  <c r="AI72" i="41"/>
  <c r="AH72" i="41"/>
  <c r="AG72" i="41"/>
  <c r="AC72" i="41"/>
  <c r="AB72" i="41"/>
  <c r="AA72" i="41"/>
  <c r="Z72" i="41"/>
  <c r="Y72" i="41"/>
  <c r="X72" i="41"/>
  <c r="BT71" i="41"/>
  <c r="BN71" i="41"/>
  <c r="BG71" i="41"/>
  <c r="BH71" i="41" s="1"/>
  <c r="BS71" i="41" s="1"/>
  <c r="BF71" i="41"/>
  <c r="AV71" i="41"/>
  <c r="BR71" i="41" s="1"/>
  <c r="AM71" i="41"/>
  <c r="BO71" i="41" s="1"/>
  <c r="AL71" i="41"/>
  <c r="W71" i="41"/>
  <c r="AE71" i="41" s="1"/>
  <c r="V71" i="41"/>
  <c r="AD71" i="41" s="1"/>
  <c r="BR70" i="41"/>
  <c r="BO70" i="41"/>
  <c r="BG70" i="41"/>
  <c r="BU70" i="41" s="1"/>
  <c r="BF70" i="41"/>
  <c r="AV70" i="41"/>
  <c r="AN70" i="41"/>
  <c r="BM70" i="41" s="1"/>
  <c r="AM70" i="41"/>
  <c r="AL70" i="41"/>
  <c r="BN70" i="41" s="1"/>
  <c r="AE70" i="41"/>
  <c r="BL70" i="41" s="1"/>
  <c r="W70" i="41"/>
  <c r="V70" i="41"/>
  <c r="AD70" i="41" s="1"/>
  <c r="BM69" i="41"/>
  <c r="BL69" i="41"/>
  <c r="BG69" i="41"/>
  <c r="BU69" i="41" s="1"/>
  <c r="BF69" i="41"/>
  <c r="AV69" i="41"/>
  <c r="BR69" i="41" s="1"/>
  <c r="AN69" i="41"/>
  <c r="AM69" i="41"/>
  <c r="BO69" i="41" s="1"/>
  <c r="AL69" i="41"/>
  <c r="BN69" i="41" s="1"/>
  <c r="AE69" i="41"/>
  <c r="AP69" i="41" s="1"/>
  <c r="AD69" i="41"/>
  <c r="BK69" i="41" s="1"/>
  <c r="W69" i="41"/>
  <c r="V69" i="41"/>
  <c r="BT68" i="41"/>
  <c r="BR68" i="41"/>
  <c r="BL68" i="41"/>
  <c r="BG68" i="41"/>
  <c r="BU68" i="41" s="1"/>
  <c r="BF68" i="41"/>
  <c r="AV68" i="41"/>
  <c r="AP68" i="41"/>
  <c r="AM68" i="41"/>
  <c r="BO68" i="41" s="1"/>
  <c r="AL68" i="41"/>
  <c r="AE68" i="41"/>
  <c r="AD68" i="41"/>
  <c r="BK68" i="41" s="1"/>
  <c r="W68" i="41"/>
  <c r="V68" i="41"/>
  <c r="BT67" i="41"/>
  <c r="BR67" i="41"/>
  <c r="BG67" i="41"/>
  <c r="BH67" i="41" s="1"/>
  <c r="BS67" i="41" s="1"/>
  <c r="BF67" i="41"/>
  <c r="AV67" i="41"/>
  <c r="AM67" i="41"/>
  <c r="BO67" i="41" s="1"/>
  <c r="AL67" i="41"/>
  <c r="AE67" i="41"/>
  <c r="BL67" i="41" s="1"/>
  <c r="W67" i="41"/>
  <c r="V67" i="41"/>
  <c r="AD67" i="41" s="1"/>
  <c r="BT66" i="41"/>
  <c r="BO66" i="41"/>
  <c r="BJ66" i="41"/>
  <c r="BG66" i="41"/>
  <c r="BF66" i="41"/>
  <c r="AV66" i="41"/>
  <c r="AN66" i="41"/>
  <c r="AM66" i="41"/>
  <c r="AM72" i="41" s="1"/>
  <c r="AL66" i="41"/>
  <c r="BN66" i="41" s="1"/>
  <c r="AF66" i="41"/>
  <c r="AR66" i="41" s="1"/>
  <c r="W66" i="41"/>
  <c r="AE66" i="41" s="1"/>
  <c r="V66" i="41"/>
  <c r="AD66" i="41" s="1"/>
  <c r="CA65" i="41"/>
  <c r="BZ65" i="41"/>
  <c r="BY65" i="41"/>
  <c r="BX65" i="41"/>
  <c r="BW65" i="41"/>
  <c r="BV65" i="41"/>
  <c r="BD65" i="41"/>
  <c r="BC65" i="41"/>
  <c r="BA65" i="41"/>
  <c r="AZ65" i="41"/>
  <c r="AY65" i="41"/>
  <c r="AX65" i="41"/>
  <c r="AU65" i="41"/>
  <c r="AT65" i="41"/>
  <c r="AL65" i="41"/>
  <c r="AK65" i="41"/>
  <c r="AJ65" i="41"/>
  <c r="AI65" i="41"/>
  <c r="AH65" i="41"/>
  <c r="AG65" i="41"/>
  <c r="AC65" i="41"/>
  <c r="AB65" i="41"/>
  <c r="AA65" i="41"/>
  <c r="Z65" i="41"/>
  <c r="Y65" i="41"/>
  <c r="X65" i="41"/>
  <c r="BR64" i="41"/>
  <c r="BG64" i="41"/>
  <c r="BH64" i="41" s="1"/>
  <c r="BS64" i="41" s="1"/>
  <c r="BF64" i="41"/>
  <c r="BT64" i="41" s="1"/>
  <c r="AV64" i="41"/>
  <c r="AM64" i="41"/>
  <c r="BO64" i="41" s="1"/>
  <c r="AL64" i="41"/>
  <c r="AN64" i="41" s="1"/>
  <c r="BM64" i="41" s="1"/>
  <c r="AE64" i="41"/>
  <c r="BL64" i="41" s="1"/>
  <c r="W64" i="41"/>
  <c r="V64" i="41"/>
  <c r="AD64" i="41" s="1"/>
  <c r="AF64" i="41" s="1"/>
  <c r="BT63" i="41"/>
  <c r="BO63" i="41"/>
  <c r="BG63" i="41"/>
  <c r="BF63" i="41"/>
  <c r="AV63" i="41"/>
  <c r="BR63" i="41" s="1"/>
  <c r="AN63" i="41"/>
  <c r="BM63" i="41" s="1"/>
  <c r="AM63" i="41"/>
  <c r="AL63" i="41"/>
  <c r="BN63" i="41" s="1"/>
  <c r="AF63" i="41"/>
  <c r="BJ63" i="41" s="1"/>
  <c r="W63" i="41"/>
  <c r="AE63" i="41" s="1"/>
  <c r="V63" i="41"/>
  <c r="AD63" i="41" s="1"/>
  <c r="BT62" i="41"/>
  <c r="BT65" i="41" s="1"/>
  <c r="BK62" i="41"/>
  <c r="BG62" i="41"/>
  <c r="BU62" i="41" s="1"/>
  <c r="BF62" i="41"/>
  <c r="AV62" i="41"/>
  <c r="BR62" i="41" s="1"/>
  <c r="AM62" i="41"/>
  <c r="AL62" i="41"/>
  <c r="BN62" i="41" s="1"/>
  <c r="AD62" i="41"/>
  <c r="AO62" i="41" s="1"/>
  <c r="W62" i="41"/>
  <c r="V62" i="41"/>
  <c r="CA61" i="41"/>
  <c r="BZ61" i="41"/>
  <c r="BY61" i="41"/>
  <c r="BX61" i="41"/>
  <c r="BW61" i="41"/>
  <c r="BV61" i="41"/>
  <c r="BF61" i="41"/>
  <c r="BD61" i="41"/>
  <c r="BC61" i="41"/>
  <c r="BA61" i="41"/>
  <c r="AZ61" i="41"/>
  <c r="AY61" i="41"/>
  <c r="AX61" i="41"/>
  <c r="AU61" i="41"/>
  <c r="AT61" i="41"/>
  <c r="AM61" i="41"/>
  <c r="AK61" i="41"/>
  <c r="AJ61" i="41"/>
  <c r="AI61" i="41"/>
  <c r="AH61" i="41"/>
  <c r="AG61" i="41"/>
  <c r="AC61" i="41"/>
  <c r="AB61" i="41"/>
  <c r="AA61" i="41"/>
  <c r="Z61" i="41"/>
  <c r="Y61" i="41"/>
  <c r="X61" i="41"/>
  <c r="BT60" i="41"/>
  <c r="BN60" i="41"/>
  <c r="BG60" i="41"/>
  <c r="BH60" i="41" s="1"/>
  <c r="BS60" i="41" s="1"/>
  <c r="BF60" i="41"/>
  <c r="AV60" i="41"/>
  <c r="BR60" i="41" s="1"/>
  <c r="AM60" i="41"/>
  <c r="BO60" i="41" s="1"/>
  <c r="AL60" i="41"/>
  <c r="W60" i="41"/>
  <c r="AE60" i="41" s="1"/>
  <c r="V60" i="41"/>
  <c r="AD60" i="41" s="1"/>
  <c r="AF60" i="41" s="1"/>
  <c r="BT59" i="41"/>
  <c r="BT61" i="41" s="1"/>
  <c r="BO59" i="41"/>
  <c r="BO61" i="41" s="1"/>
  <c r="BG59" i="41"/>
  <c r="BF59" i="41"/>
  <c r="AV59" i="41"/>
  <c r="AM59" i="41"/>
  <c r="AL59" i="41"/>
  <c r="AL61" i="41" s="1"/>
  <c r="W59" i="41"/>
  <c r="V59" i="41"/>
  <c r="CA58" i="41"/>
  <c r="BZ58" i="41"/>
  <c r="BY58" i="41"/>
  <c r="BX58" i="41"/>
  <c r="BW58" i="41"/>
  <c r="BV58" i="41"/>
  <c r="BD58" i="41"/>
  <c r="BC58" i="41"/>
  <c r="BA58" i="41"/>
  <c r="AZ58" i="41"/>
  <c r="AY58" i="41"/>
  <c r="AX58" i="41"/>
  <c r="AT58" i="41"/>
  <c r="AK58" i="41"/>
  <c r="AJ58" i="41"/>
  <c r="AI58" i="41"/>
  <c r="AH58" i="41"/>
  <c r="AG58" i="41"/>
  <c r="AC58" i="41"/>
  <c r="AB58" i="41"/>
  <c r="AA58" i="41"/>
  <c r="Z58" i="41"/>
  <c r="Y58" i="41"/>
  <c r="X58" i="41"/>
  <c r="BT57" i="41"/>
  <c r="BO57" i="41"/>
  <c r="BJ57" i="41"/>
  <c r="BG57" i="41"/>
  <c r="BH57" i="41" s="1"/>
  <c r="BS57" i="41" s="1"/>
  <c r="BF57" i="41"/>
  <c r="AV57" i="41"/>
  <c r="BR57" i="41" s="1"/>
  <c r="AN57" i="41"/>
  <c r="BM57" i="41" s="1"/>
  <c r="AM57" i="41"/>
  <c r="AL57" i="41"/>
  <c r="BN57" i="41" s="1"/>
  <c r="AF57" i="41"/>
  <c r="AR57" i="41" s="1"/>
  <c r="BP57" i="41" s="1"/>
  <c r="W57" i="41"/>
  <c r="AE57" i="41" s="1"/>
  <c r="V57" i="41"/>
  <c r="AD57" i="41" s="1"/>
  <c r="BM56" i="41"/>
  <c r="BG56" i="41"/>
  <c r="BU56" i="41" s="1"/>
  <c r="BF56" i="41"/>
  <c r="BT56" i="41" s="1"/>
  <c r="AV56" i="41"/>
  <c r="BR56" i="41" s="1"/>
  <c r="AN56" i="41"/>
  <c r="AM56" i="41"/>
  <c r="BO56" i="41" s="1"/>
  <c r="AL56" i="41"/>
  <c r="BN56" i="41" s="1"/>
  <c r="AF56" i="41"/>
  <c r="AD56" i="41"/>
  <c r="BK56" i="41" s="1"/>
  <c r="W56" i="41"/>
  <c r="AE56" i="41" s="1"/>
  <c r="V56" i="41"/>
  <c r="BT55" i="41"/>
  <c r="BR55" i="41"/>
  <c r="BN55" i="41"/>
  <c r="BG55" i="41"/>
  <c r="BU55" i="41" s="1"/>
  <c r="BF55" i="41"/>
  <c r="AV55" i="41"/>
  <c r="AR55" i="41"/>
  <c r="BP55" i="41" s="1"/>
  <c r="AM55" i="41"/>
  <c r="BO55" i="41" s="1"/>
  <c r="AL55" i="41"/>
  <c r="AN55" i="41" s="1"/>
  <c r="BM55" i="41" s="1"/>
  <c r="AE55" i="41"/>
  <c r="BL55" i="41" s="1"/>
  <c r="AD55" i="41"/>
  <c r="AF55" i="41" s="1"/>
  <c r="W55" i="41"/>
  <c r="V55" i="41"/>
  <c r="BO54" i="41"/>
  <c r="BG54" i="41"/>
  <c r="BU54" i="41" s="1"/>
  <c r="BF54" i="41"/>
  <c r="BT54" i="41" s="1"/>
  <c r="AV54" i="41"/>
  <c r="BR54" i="41" s="1"/>
  <c r="AU54" i="41"/>
  <c r="AU58" i="41" s="1"/>
  <c r="AM54" i="41"/>
  <c r="AL54" i="41"/>
  <c r="BN54" i="41" s="1"/>
  <c r="AD54" i="41"/>
  <c r="AO54" i="41" s="1"/>
  <c r="AA54" i="41"/>
  <c r="W54" i="41"/>
  <c r="AE54" i="41" s="1"/>
  <c r="V54" i="41"/>
  <c r="BM53" i="41"/>
  <c r="BG53" i="41"/>
  <c r="BU53" i="41" s="1"/>
  <c r="BF53" i="41"/>
  <c r="BT53" i="41" s="1"/>
  <c r="AV53" i="41"/>
  <c r="BR53" i="41" s="1"/>
  <c r="AN53" i="41"/>
  <c r="AM53" i="41"/>
  <c r="BO53" i="41" s="1"/>
  <c r="AL53" i="41"/>
  <c r="BN53" i="41" s="1"/>
  <c r="AF53" i="41"/>
  <c r="AD53" i="41"/>
  <c r="BK53" i="41" s="1"/>
  <c r="W53" i="41"/>
  <c r="AE53" i="41" s="1"/>
  <c r="V53" i="41"/>
  <c r="BT52" i="41"/>
  <c r="BR52" i="41"/>
  <c r="BN52" i="41"/>
  <c r="BG52" i="41"/>
  <c r="BU52" i="41" s="1"/>
  <c r="BF52" i="41"/>
  <c r="AV52" i="41"/>
  <c r="AR52" i="41"/>
  <c r="BP52" i="41" s="1"/>
  <c r="AM52" i="41"/>
  <c r="BO52" i="41" s="1"/>
  <c r="AL52" i="41"/>
  <c r="AN52" i="41" s="1"/>
  <c r="BM52" i="41" s="1"/>
  <c r="AE52" i="41"/>
  <c r="BL52" i="41" s="1"/>
  <c r="AD52" i="41"/>
  <c r="AF52" i="41" s="1"/>
  <c r="W52" i="41"/>
  <c r="V52" i="41"/>
  <c r="BR51" i="41"/>
  <c r="BG51" i="41"/>
  <c r="BU51" i="41" s="1"/>
  <c r="BF51" i="41"/>
  <c r="BT51" i="41" s="1"/>
  <c r="AV51" i="41"/>
  <c r="AM51" i="41"/>
  <c r="AM58" i="41" s="1"/>
  <c r="AL51" i="41"/>
  <c r="BN51" i="41" s="1"/>
  <c r="AE51" i="41"/>
  <c r="AE58" i="41" s="1"/>
  <c r="W51" i="41"/>
  <c r="V51" i="41"/>
  <c r="CA50" i="41"/>
  <c r="BZ50" i="41"/>
  <c r="BY50" i="41"/>
  <c r="BX50" i="41"/>
  <c r="BW50" i="41"/>
  <c r="BV50" i="41"/>
  <c r="BD50" i="41"/>
  <c r="BC50" i="41"/>
  <c r="BA50" i="41"/>
  <c r="AZ50" i="41"/>
  <c r="AY50" i="41"/>
  <c r="AX50" i="41"/>
  <c r="AU50" i="41"/>
  <c r="AT50" i="41"/>
  <c r="AK50" i="41"/>
  <c r="AJ50" i="41"/>
  <c r="AI50" i="41"/>
  <c r="AH50" i="41"/>
  <c r="AG50" i="41"/>
  <c r="AC50" i="41"/>
  <c r="AB50" i="41"/>
  <c r="Z50" i="41"/>
  <c r="Y50" i="41"/>
  <c r="X50" i="41"/>
  <c r="BT49" i="41"/>
  <c r="BR49" i="41"/>
  <c r="BG49" i="41"/>
  <c r="BU49" i="41" s="1"/>
  <c r="BF49" i="41"/>
  <c r="AV49" i="41"/>
  <c r="AM49" i="41"/>
  <c r="BO49" i="41" s="1"/>
  <c r="AL49" i="41"/>
  <c r="AN49" i="41" s="1"/>
  <c r="BM49" i="41" s="1"/>
  <c r="AE49" i="41"/>
  <c r="BL49" i="41" s="1"/>
  <c r="AD49" i="41"/>
  <c r="AF49" i="41" s="1"/>
  <c r="AR49" i="41" s="1"/>
  <c r="BP49" i="41" s="1"/>
  <c r="W49" i="41"/>
  <c r="V49" i="41"/>
  <c r="BR48" i="41"/>
  <c r="BG48" i="41"/>
  <c r="BU48" i="41" s="1"/>
  <c r="BF48" i="41"/>
  <c r="BT48" i="41" s="1"/>
  <c r="AV48" i="41"/>
  <c r="AM48" i="41"/>
  <c r="BO48" i="41" s="1"/>
  <c r="AL48" i="41"/>
  <c r="BN48" i="41" s="1"/>
  <c r="AE48" i="41"/>
  <c r="BL48" i="41" s="1"/>
  <c r="W48" i="41"/>
  <c r="V48" i="41"/>
  <c r="AD48" i="41" s="1"/>
  <c r="BT47" i="41"/>
  <c r="BN47" i="41"/>
  <c r="BG47" i="41"/>
  <c r="BU47" i="41" s="1"/>
  <c r="BF47" i="41"/>
  <c r="BE148" i="41"/>
  <c r="BE141" i="41" s="1"/>
  <c r="AU47" i="41"/>
  <c r="AV47" i="41" s="1"/>
  <c r="BR47" i="41" s="1"/>
  <c r="AM47" i="41"/>
  <c r="BO47" i="41" s="1"/>
  <c r="AL47" i="41"/>
  <c r="AE47" i="41"/>
  <c r="BL47" i="41" s="1"/>
  <c r="AD47" i="41"/>
  <c r="AO47" i="41" s="1"/>
  <c r="AA47" i="41"/>
  <c r="AA50" i="41" s="1"/>
  <c r="W47" i="41"/>
  <c r="V47" i="41"/>
  <c r="BT46" i="41"/>
  <c r="BR46" i="41"/>
  <c r="BH46" i="41"/>
  <c r="BS46" i="41" s="1"/>
  <c r="BG46" i="41"/>
  <c r="BU46" i="41" s="1"/>
  <c r="BF46" i="41"/>
  <c r="AV46" i="41"/>
  <c r="AR46" i="41"/>
  <c r="BP46" i="41" s="1"/>
  <c r="AM46" i="41"/>
  <c r="BO46" i="41" s="1"/>
  <c r="AL46" i="41"/>
  <c r="AN46" i="41" s="1"/>
  <c r="BM46" i="41" s="1"/>
  <c r="AE46" i="41"/>
  <c r="BL46" i="41" s="1"/>
  <c r="AD46" i="41"/>
  <c r="AF46" i="41" s="1"/>
  <c r="W46" i="41"/>
  <c r="V46" i="41"/>
  <c r="BR45" i="41"/>
  <c r="BG45" i="41"/>
  <c r="BU45" i="41" s="1"/>
  <c r="BF45" i="41"/>
  <c r="BT45" i="41" s="1"/>
  <c r="AV45" i="41"/>
  <c r="AM45" i="41"/>
  <c r="BO45" i="41" s="1"/>
  <c r="AL45" i="41"/>
  <c r="BN45" i="41" s="1"/>
  <c r="AE45" i="41"/>
  <c r="BL45" i="41" s="1"/>
  <c r="W45" i="41"/>
  <c r="V45" i="41"/>
  <c r="AD45" i="41" s="1"/>
  <c r="BT44" i="41"/>
  <c r="BG44" i="41"/>
  <c r="BU44" i="41" s="1"/>
  <c r="BF44" i="41"/>
  <c r="BF50" i="41" s="1"/>
  <c r="AV44" i="41"/>
  <c r="AN44" i="41"/>
  <c r="AM44" i="41"/>
  <c r="BO44" i="41" s="1"/>
  <c r="AL44" i="41"/>
  <c r="BN44" i="41" s="1"/>
  <c r="W44" i="41"/>
  <c r="V44" i="41"/>
  <c r="V50" i="41" s="1"/>
  <c r="CA43" i="41"/>
  <c r="BZ43" i="41"/>
  <c r="BY43" i="41"/>
  <c r="BX43" i="41"/>
  <c r="BW43" i="41"/>
  <c r="BV43" i="41"/>
  <c r="BD43" i="41"/>
  <c r="BC43" i="41"/>
  <c r="BA43" i="41"/>
  <c r="AZ43" i="41"/>
  <c r="AY43" i="41"/>
  <c r="AX43" i="41"/>
  <c r="AU43" i="41"/>
  <c r="AT43" i="41"/>
  <c r="AM43" i="41"/>
  <c r="AK43" i="41"/>
  <c r="AJ43" i="41"/>
  <c r="AI43" i="41"/>
  <c r="AH43" i="41"/>
  <c r="AG43" i="41"/>
  <c r="AC43" i="41"/>
  <c r="AB43" i="41"/>
  <c r="AA43" i="41"/>
  <c r="Z43" i="41"/>
  <c r="Y43" i="41"/>
  <c r="X43" i="41"/>
  <c r="BR42" i="41"/>
  <c r="BG42" i="41"/>
  <c r="BU42" i="41" s="1"/>
  <c r="BF42" i="41"/>
  <c r="BT42" i="41" s="1"/>
  <c r="AV42" i="41"/>
  <c r="AM42" i="41"/>
  <c r="BO42" i="41" s="1"/>
  <c r="AL42" i="41"/>
  <c r="BN42" i="41" s="1"/>
  <c r="AE42" i="41"/>
  <c r="BL42" i="41" s="1"/>
  <c r="W42" i="41"/>
  <c r="V42" i="41"/>
  <c r="AD42" i="41" s="1"/>
  <c r="BT41" i="41"/>
  <c r="BG41" i="41"/>
  <c r="BU41" i="41" s="1"/>
  <c r="BF41" i="41"/>
  <c r="AV41" i="41"/>
  <c r="BR41" i="41" s="1"/>
  <c r="AN41" i="41"/>
  <c r="BM41" i="41" s="1"/>
  <c r="AM41" i="41"/>
  <c r="BO41" i="41" s="1"/>
  <c r="AL41" i="41"/>
  <c r="BN41" i="41" s="1"/>
  <c r="W41" i="41"/>
  <c r="AE41" i="41" s="1"/>
  <c r="V41" i="41"/>
  <c r="AD41" i="41" s="1"/>
  <c r="BT40" i="41"/>
  <c r="BN40" i="41"/>
  <c r="BG40" i="41"/>
  <c r="BU40" i="41" s="1"/>
  <c r="BF40" i="41"/>
  <c r="AV40" i="41"/>
  <c r="BR40" i="41" s="1"/>
  <c r="AM40" i="41"/>
  <c r="BO40" i="41" s="1"/>
  <c r="AL40" i="41"/>
  <c r="AN40" i="41" s="1"/>
  <c r="BM40" i="41" s="1"/>
  <c r="AD40" i="41"/>
  <c r="W40" i="41"/>
  <c r="AE40" i="41" s="1"/>
  <c r="V40" i="41"/>
  <c r="BR39" i="41"/>
  <c r="BL39" i="41"/>
  <c r="BG39" i="41"/>
  <c r="BU39" i="41" s="1"/>
  <c r="BF39" i="41"/>
  <c r="AV39" i="41"/>
  <c r="AP39" i="41"/>
  <c r="AM39" i="41"/>
  <c r="AN39" i="41" s="1"/>
  <c r="BM39" i="41" s="1"/>
  <c r="AL39" i="41"/>
  <c r="BN39" i="41" s="1"/>
  <c r="AE39" i="41"/>
  <c r="W39" i="41"/>
  <c r="V39" i="41"/>
  <c r="AD39" i="41" s="1"/>
  <c r="BG38" i="41"/>
  <c r="BU38" i="41" s="1"/>
  <c r="BF38" i="41"/>
  <c r="BT38" i="41" s="1"/>
  <c r="AV38" i="41"/>
  <c r="AN38" i="41"/>
  <c r="BM38" i="41" s="1"/>
  <c r="AM38" i="41"/>
  <c r="BO38" i="41" s="1"/>
  <c r="AL38" i="41"/>
  <c r="BN38" i="41" s="1"/>
  <c r="AD38" i="41"/>
  <c r="BK38" i="41" s="1"/>
  <c r="W38" i="41"/>
  <c r="AE38" i="41" s="1"/>
  <c r="AF38" i="41" s="1"/>
  <c r="V38" i="41"/>
  <c r="BT37" i="41"/>
  <c r="BR37" i="41"/>
  <c r="BN37" i="41"/>
  <c r="BN43" i="41" s="1"/>
  <c r="BH37" i="41"/>
  <c r="BG37" i="41"/>
  <c r="BF37" i="41"/>
  <c r="AV37" i="41"/>
  <c r="AO37" i="41"/>
  <c r="AM37" i="41"/>
  <c r="BO37" i="41" s="1"/>
  <c r="AL37" i="41"/>
  <c r="AE37" i="41"/>
  <c r="AD37" i="41"/>
  <c r="W37" i="41"/>
  <c r="W43" i="41" s="1"/>
  <c r="V37" i="41"/>
  <c r="CA36" i="41"/>
  <c r="BZ36" i="41"/>
  <c r="BY36" i="41"/>
  <c r="BX36" i="41"/>
  <c r="BW36" i="41"/>
  <c r="BV36" i="41"/>
  <c r="BF36" i="41"/>
  <c r="BD36" i="41"/>
  <c r="BC36" i="41"/>
  <c r="BA36" i="41"/>
  <c r="AZ36" i="41"/>
  <c r="AY36" i="41"/>
  <c r="AX36" i="41"/>
  <c r="AU36" i="41"/>
  <c r="AT36" i="41"/>
  <c r="AK36" i="41"/>
  <c r="AJ36" i="41"/>
  <c r="AI36" i="41"/>
  <c r="AH36" i="41"/>
  <c r="AG36" i="41"/>
  <c r="AC36" i="41"/>
  <c r="AB36" i="41"/>
  <c r="Z36" i="41"/>
  <c r="Y36" i="41"/>
  <c r="X36" i="41"/>
  <c r="BM35" i="41"/>
  <c r="BG35" i="41"/>
  <c r="BU35" i="41" s="1"/>
  <c r="BF35" i="41"/>
  <c r="BT35" i="41" s="1"/>
  <c r="AV35" i="41"/>
  <c r="BR35" i="41" s="1"/>
  <c r="AN35" i="41"/>
  <c r="AM35" i="41"/>
  <c r="BO35" i="41" s="1"/>
  <c r="AL35" i="41"/>
  <c r="BN35" i="41" s="1"/>
  <c r="AD35" i="41"/>
  <c r="AA35" i="41"/>
  <c r="W35" i="41"/>
  <c r="V35" i="41"/>
  <c r="BR34" i="41"/>
  <c r="BO34" i="41"/>
  <c r="BL34" i="41"/>
  <c r="BG34" i="41"/>
  <c r="BU34" i="41" s="1"/>
  <c r="BF34" i="41"/>
  <c r="AV34" i="41"/>
  <c r="AP34" i="41"/>
  <c r="AM34" i="41"/>
  <c r="AL34" i="41"/>
  <c r="BN34" i="41" s="1"/>
  <c r="AE34" i="41"/>
  <c r="W34" i="41"/>
  <c r="V34" i="41"/>
  <c r="AD34" i="41" s="1"/>
  <c r="BT33" i="41"/>
  <c r="BG33" i="41"/>
  <c r="BU33" i="41" s="1"/>
  <c r="BF33" i="41"/>
  <c r="AV33" i="41"/>
  <c r="BR33" i="41" s="1"/>
  <c r="AM33" i="41"/>
  <c r="BO33" i="41" s="1"/>
  <c r="AL33" i="41"/>
  <c r="AN33" i="41" s="1"/>
  <c r="BM33" i="41" s="1"/>
  <c r="W33" i="41"/>
  <c r="AE33" i="41" s="1"/>
  <c r="V33" i="41"/>
  <c r="AD33" i="41" s="1"/>
  <c r="BT32" i="41"/>
  <c r="BO32" i="41"/>
  <c r="BG32" i="41"/>
  <c r="BH32" i="41" s="1"/>
  <c r="BS32" i="41" s="1"/>
  <c r="BF32" i="41"/>
  <c r="AV32" i="41"/>
  <c r="BR32" i="41" s="1"/>
  <c r="AM32" i="41"/>
  <c r="AL32" i="41"/>
  <c r="BN32" i="41" s="1"/>
  <c r="AD32" i="41"/>
  <c r="AO32" i="41" s="1"/>
  <c r="W32" i="41"/>
  <c r="AE32" i="41" s="1"/>
  <c r="V32" i="41"/>
  <c r="BU31" i="41"/>
  <c r="BG31" i="41"/>
  <c r="BF31" i="41"/>
  <c r="AV31" i="41"/>
  <c r="AV145" i="41" s="1"/>
  <c r="AN31" i="41"/>
  <c r="AM31" i="41"/>
  <c r="AM145" i="41" s="1"/>
  <c r="AL31" i="41"/>
  <c r="W31" i="41"/>
  <c r="W145" i="41" s="1"/>
  <c r="V31" i="41"/>
  <c r="V145" i="41" s="1"/>
  <c r="BN30" i="41"/>
  <c r="BM30" i="41"/>
  <c r="BG30" i="41"/>
  <c r="BU30" i="41" s="1"/>
  <c r="BF30" i="41"/>
  <c r="BT30" i="41" s="1"/>
  <c r="AV30" i="41"/>
  <c r="AN30" i="41"/>
  <c r="AM30" i="41"/>
  <c r="AL30" i="41"/>
  <c r="AF30" i="41"/>
  <c r="AE30" i="41"/>
  <c r="AP30" i="41" s="1"/>
  <c r="AD30" i="41"/>
  <c r="BK30" i="41" s="1"/>
  <c r="W30" i="41"/>
  <c r="W36" i="41" s="1"/>
  <c r="V30" i="41"/>
  <c r="CA29" i="41"/>
  <c r="BZ29" i="41"/>
  <c r="BY29" i="41"/>
  <c r="BX29" i="41"/>
  <c r="BW29" i="41"/>
  <c r="BV29" i="41"/>
  <c r="BF29" i="41"/>
  <c r="BD29" i="41"/>
  <c r="BC29" i="41"/>
  <c r="BA29" i="41"/>
  <c r="AZ29" i="41"/>
  <c r="AY29" i="41"/>
  <c r="AX29" i="41"/>
  <c r="AU29" i="41"/>
  <c r="AT29" i="41"/>
  <c r="AK29" i="41"/>
  <c r="AJ29" i="41"/>
  <c r="AI29" i="41"/>
  <c r="AH29" i="41"/>
  <c r="AG29" i="41"/>
  <c r="AE29" i="41"/>
  <c r="AC29" i="41"/>
  <c r="AB29" i="41"/>
  <c r="AA29" i="41"/>
  <c r="Z29" i="41"/>
  <c r="Y29" i="41"/>
  <c r="X29" i="41"/>
  <c r="W29" i="41"/>
  <c r="BG28" i="41"/>
  <c r="BG150" i="41" s="1"/>
  <c r="BF28" i="41"/>
  <c r="AV28" i="41"/>
  <c r="AV150" i="41" s="1"/>
  <c r="AM28" i="41"/>
  <c r="AM150" i="41" s="1"/>
  <c r="AL28" i="41"/>
  <c r="AL150" i="41" s="1"/>
  <c r="AE28" i="41"/>
  <c r="AE150" i="41" s="1"/>
  <c r="W28" i="41"/>
  <c r="W150" i="41" s="1"/>
  <c r="V28" i="41"/>
  <c r="V150" i="41" s="1"/>
  <c r="CA27" i="41"/>
  <c r="BZ27" i="41"/>
  <c r="BY27" i="41"/>
  <c r="BX27" i="41"/>
  <c r="BW27" i="41"/>
  <c r="BV27" i="41"/>
  <c r="BD27" i="41"/>
  <c r="BC27" i="41"/>
  <c r="BA27" i="41"/>
  <c r="AZ27" i="41"/>
  <c r="AY27" i="41"/>
  <c r="AX27" i="41"/>
  <c r="AU27" i="41"/>
  <c r="AT27" i="41"/>
  <c r="AK27" i="41"/>
  <c r="AJ27" i="41"/>
  <c r="AI27" i="41"/>
  <c r="AH27" i="41"/>
  <c r="AG27" i="41"/>
  <c r="AC27" i="41"/>
  <c r="AB27" i="41"/>
  <c r="AA27" i="41"/>
  <c r="Z27" i="41"/>
  <c r="Y27" i="41"/>
  <c r="X27" i="41"/>
  <c r="BR26" i="41"/>
  <c r="BN26" i="41"/>
  <c r="BG26" i="41"/>
  <c r="BU26" i="41" s="1"/>
  <c r="BF26" i="41"/>
  <c r="AV26" i="41"/>
  <c r="AP26" i="41"/>
  <c r="AN26" i="41"/>
  <c r="BM26" i="41" s="1"/>
  <c r="AM26" i="41"/>
  <c r="BO26" i="41" s="1"/>
  <c r="AL26" i="41"/>
  <c r="AD26" i="41"/>
  <c r="W26" i="41"/>
  <c r="AE26" i="41" s="1"/>
  <c r="BL26" i="41" s="1"/>
  <c r="V26" i="41"/>
  <c r="BO25" i="41"/>
  <c r="BJ25" i="41"/>
  <c r="BG25" i="41"/>
  <c r="BU25" i="41" s="1"/>
  <c r="BF25" i="41"/>
  <c r="AV25" i="41"/>
  <c r="BR25" i="41" s="1"/>
  <c r="AS25" i="41"/>
  <c r="BQ25" i="41" s="1"/>
  <c r="AN25" i="41"/>
  <c r="BM25" i="41" s="1"/>
  <c r="AM25" i="41"/>
  <c r="AL25" i="41"/>
  <c r="BN25" i="41" s="1"/>
  <c r="AF25" i="41"/>
  <c r="AR25" i="41" s="1"/>
  <c r="BP25" i="41" s="1"/>
  <c r="AE25" i="41"/>
  <c r="AP25" i="41" s="1"/>
  <c r="AD25" i="41"/>
  <c r="AO25" i="41" s="1"/>
  <c r="W25" i="41"/>
  <c r="V25" i="41"/>
  <c r="BT24" i="41"/>
  <c r="BM24" i="41"/>
  <c r="BG24" i="41"/>
  <c r="BU24" i="41" s="1"/>
  <c r="BF24" i="41"/>
  <c r="AV24" i="41"/>
  <c r="BR24" i="41" s="1"/>
  <c r="AO24" i="41"/>
  <c r="AN24" i="41"/>
  <c r="AM24" i="41"/>
  <c r="BO24" i="41" s="1"/>
  <c r="AL24" i="41"/>
  <c r="BN24" i="41" s="1"/>
  <c r="AD24" i="41"/>
  <c r="W24" i="41"/>
  <c r="AE24" i="41" s="1"/>
  <c r="V24" i="41"/>
  <c r="BR23" i="41"/>
  <c r="BG23" i="41"/>
  <c r="BU23" i="41" s="1"/>
  <c r="BF23" i="41"/>
  <c r="BT23" i="41" s="1"/>
  <c r="AV23" i="41"/>
  <c r="AM23" i="41"/>
  <c r="AL23" i="41"/>
  <c r="AE23" i="41"/>
  <c r="BL23" i="41" s="1"/>
  <c r="W23" i="41"/>
  <c r="V23" i="41"/>
  <c r="AD23" i="41" s="1"/>
  <c r="BK23" i="41" s="1"/>
  <c r="BR22" i="41"/>
  <c r="BO22" i="41"/>
  <c r="BN22" i="41"/>
  <c r="BG22" i="41"/>
  <c r="BH22" i="41" s="1"/>
  <c r="BS22" i="41" s="1"/>
  <c r="BF22" i="41"/>
  <c r="BF27" i="41" s="1"/>
  <c r="AV22" i="41"/>
  <c r="AV27" i="41" s="1"/>
  <c r="AN22" i="41"/>
  <c r="BM22" i="41" s="1"/>
  <c r="AM22" i="41"/>
  <c r="AL22" i="41"/>
  <c r="AL27" i="41" s="1"/>
  <c r="AE22" i="41"/>
  <c r="W22" i="41"/>
  <c r="W27" i="41" s="1"/>
  <c r="V22" i="41"/>
  <c r="AD22" i="41" s="1"/>
  <c r="AD27" i="41" s="1"/>
  <c r="CA21" i="41"/>
  <c r="BZ21" i="41"/>
  <c r="BY21" i="41"/>
  <c r="BX21" i="41"/>
  <c r="BW21" i="41"/>
  <c r="BV21" i="41"/>
  <c r="BD21" i="41"/>
  <c r="BC21" i="41"/>
  <c r="BA21" i="41"/>
  <c r="AZ21" i="41"/>
  <c r="AY21" i="41"/>
  <c r="AX21" i="41"/>
  <c r="AV21" i="41"/>
  <c r="AU21" i="41"/>
  <c r="AT21" i="41"/>
  <c r="AK21" i="41"/>
  <c r="AJ21" i="41"/>
  <c r="AI21" i="41"/>
  <c r="AH21" i="41"/>
  <c r="AG21" i="41"/>
  <c r="AC21" i="41"/>
  <c r="AB21" i="41"/>
  <c r="AA21" i="41"/>
  <c r="Z21" i="41"/>
  <c r="Y21" i="41"/>
  <c r="X21" i="41"/>
  <c r="W21" i="41"/>
  <c r="BR20" i="41"/>
  <c r="BL20" i="41"/>
  <c r="BG20" i="41"/>
  <c r="BU20" i="41" s="1"/>
  <c r="BF20" i="41"/>
  <c r="AV20" i="41"/>
  <c r="AP20" i="41"/>
  <c r="AN20" i="41"/>
  <c r="BM20" i="41" s="1"/>
  <c r="AM20" i="41"/>
  <c r="BO20" i="41" s="1"/>
  <c r="AL20" i="41"/>
  <c r="BN20" i="41" s="1"/>
  <c r="AE20" i="41"/>
  <c r="AD20" i="41"/>
  <c r="AF20" i="41" s="1"/>
  <c r="W20" i="41"/>
  <c r="V20" i="41"/>
  <c r="BR19" i="41"/>
  <c r="BG19" i="41"/>
  <c r="BF19" i="41"/>
  <c r="AV19" i="41"/>
  <c r="AM19" i="41"/>
  <c r="AM149" i="41" s="1"/>
  <c r="AL19" i="41"/>
  <c r="AE19" i="41"/>
  <c r="W19" i="41"/>
  <c r="V19" i="41"/>
  <c r="BT18" i="41"/>
  <c r="BH18" i="41"/>
  <c r="BS18" i="41" s="1"/>
  <c r="BG18" i="41"/>
  <c r="BU18" i="41" s="1"/>
  <c r="BF18" i="41"/>
  <c r="AV18" i="41"/>
  <c r="BR18" i="41" s="1"/>
  <c r="AM18" i="41"/>
  <c r="BO18" i="41" s="1"/>
  <c r="AL18" i="41"/>
  <c r="AN18" i="41" s="1"/>
  <c r="BM18" i="41" s="1"/>
  <c r="AD18" i="41"/>
  <c r="BK18" i="41" s="1"/>
  <c r="W18" i="41"/>
  <c r="AE18" i="41" s="1"/>
  <c r="V18" i="41"/>
  <c r="BT17" i="41"/>
  <c r="BR17" i="41"/>
  <c r="BG17" i="41"/>
  <c r="BG21" i="41" s="1"/>
  <c r="BF17" i="41"/>
  <c r="AV17" i="41"/>
  <c r="AM17" i="41"/>
  <c r="AL17" i="41"/>
  <c r="AE17" i="41"/>
  <c r="AE21" i="41" s="1"/>
  <c r="W17" i="41"/>
  <c r="V17" i="41"/>
  <c r="CA16" i="41"/>
  <c r="CA138" i="41" s="1"/>
  <c r="BZ16" i="41"/>
  <c r="BY16" i="41"/>
  <c r="BX16" i="41"/>
  <c r="BX138" i="41" s="1"/>
  <c r="BW16" i="41"/>
  <c r="BV16" i="41"/>
  <c r="BV138" i="41" s="1"/>
  <c r="BD16" i="41"/>
  <c r="BD138" i="41" s="1"/>
  <c r="BC16" i="41"/>
  <c r="BA16" i="41"/>
  <c r="AZ16" i="41"/>
  <c r="AY16" i="41"/>
  <c r="AX16" i="41"/>
  <c r="AX138" i="41" s="1"/>
  <c r="AU16" i="41"/>
  <c r="AT16" i="41"/>
  <c r="AK16" i="41"/>
  <c r="AK138" i="41" s="1"/>
  <c r="AJ16" i="41"/>
  <c r="AI16" i="41"/>
  <c r="AH16" i="41"/>
  <c r="AG16" i="41"/>
  <c r="AC16" i="41"/>
  <c r="AB16" i="41"/>
  <c r="AB138" i="41" s="1"/>
  <c r="Z16" i="41"/>
  <c r="Z138" i="41" s="1"/>
  <c r="Y16" i="41"/>
  <c r="Y138" i="41" s="1"/>
  <c r="X16" i="41"/>
  <c r="BT15" i="41"/>
  <c r="BN15" i="41"/>
  <c r="BG15" i="41"/>
  <c r="BH15" i="41" s="1"/>
  <c r="BS15" i="41" s="1"/>
  <c r="BF15" i="41"/>
  <c r="BF148" i="41" s="1"/>
  <c r="AV15" i="41"/>
  <c r="AU15" i="41"/>
  <c r="AU148" i="41" s="1"/>
  <c r="AM15" i="41"/>
  <c r="AL15" i="41"/>
  <c r="AA15" i="41"/>
  <c r="AA148" i="41" s="1"/>
  <c r="W15" i="41"/>
  <c r="V15" i="41"/>
  <c r="BT14" i="41"/>
  <c r="BG14" i="41"/>
  <c r="BU14" i="41" s="1"/>
  <c r="BF14" i="41"/>
  <c r="AV14" i="41"/>
  <c r="BR14" i="41" s="1"/>
  <c r="AN14" i="41"/>
  <c r="BM14" i="41" s="1"/>
  <c r="AM14" i="41"/>
  <c r="BO14" i="41" s="1"/>
  <c r="AL14" i="41"/>
  <c r="BN14" i="41" s="1"/>
  <c r="AD14" i="41"/>
  <c r="BK14" i="41" s="1"/>
  <c r="W14" i="41"/>
  <c r="AE14" i="41" s="1"/>
  <c r="V14" i="41"/>
  <c r="BR13" i="41"/>
  <c r="BL13" i="41"/>
  <c r="BK13" i="41"/>
  <c r="BG13" i="41"/>
  <c r="BU13" i="41" s="1"/>
  <c r="BF13" i="41"/>
  <c r="AV13" i="41"/>
  <c r="AP13" i="41"/>
  <c r="AO13" i="41"/>
  <c r="AQ13" i="41" s="1"/>
  <c r="AM13" i="41"/>
  <c r="BO13" i="41" s="1"/>
  <c r="AL13" i="41"/>
  <c r="AN13" i="41" s="1"/>
  <c r="BM13" i="41" s="1"/>
  <c r="AE13" i="41"/>
  <c r="AD13" i="41"/>
  <c r="AF13" i="41" s="1"/>
  <c r="W13" i="41"/>
  <c r="V13" i="41"/>
  <c r="BR12" i="41"/>
  <c r="BL12" i="41"/>
  <c r="BG12" i="41"/>
  <c r="BF12" i="41"/>
  <c r="AV12" i="41"/>
  <c r="AM12" i="41"/>
  <c r="AM142" i="41" s="1"/>
  <c r="AL12" i="41"/>
  <c r="AE12" i="41"/>
  <c r="W12" i="41"/>
  <c r="V12" i="41"/>
  <c r="V142" i="41" s="1"/>
  <c r="CA179" i="40"/>
  <c r="BZ179" i="40"/>
  <c r="BY179" i="40"/>
  <c r="BX179" i="40"/>
  <c r="BW179" i="40"/>
  <c r="BV179" i="40"/>
  <c r="BE179" i="40"/>
  <c r="BD179" i="40"/>
  <c r="BC179" i="40"/>
  <c r="BB179" i="40"/>
  <c r="BA179" i="40"/>
  <c r="AZ179" i="40"/>
  <c r="AY179" i="40"/>
  <c r="AX179" i="40"/>
  <c r="AU179" i="40"/>
  <c r="AT179" i="40"/>
  <c r="AK179" i="40"/>
  <c r="AJ179" i="40"/>
  <c r="AI179" i="40"/>
  <c r="AH179" i="40"/>
  <c r="AG179" i="40"/>
  <c r="AC179" i="40"/>
  <c r="AB179" i="40"/>
  <c r="AA179" i="40"/>
  <c r="Z179" i="40"/>
  <c r="Y179" i="40"/>
  <c r="X179" i="40"/>
  <c r="U179" i="40"/>
  <c r="T179" i="40"/>
  <c r="S179" i="40"/>
  <c r="R179" i="40"/>
  <c r="Q179" i="40"/>
  <c r="P179" i="40"/>
  <c r="O179" i="40"/>
  <c r="N179" i="40"/>
  <c r="M179" i="40"/>
  <c r="L179" i="40"/>
  <c r="K179" i="40"/>
  <c r="J179" i="40"/>
  <c r="I179" i="40"/>
  <c r="CA178" i="40"/>
  <c r="BZ178" i="40"/>
  <c r="BY178" i="40"/>
  <c r="BX178" i="40"/>
  <c r="BW178" i="40"/>
  <c r="BV178" i="40"/>
  <c r="BE178" i="40"/>
  <c r="BD178" i="40"/>
  <c r="BC178" i="40"/>
  <c r="BB178" i="40"/>
  <c r="BA178" i="40"/>
  <c r="AZ178" i="40"/>
  <c r="AY178" i="40"/>
  <c r="AX178" i="40"/>
  <c r="AU178" i="40"/>
  <c r="AT178" i="40"/>
  <c r="AK178" i="40"/>
  <c r="AJ178" i="40"/>
  <c r="AI178" i="40"/>
  <c r="AH178" i="40"/>
  <c r="AG178" i="40"/>
  <c r="AC178" i="40"/>
  <c r="AB178" i="40"/>
  <c r="AA178" i="40"/>
  <c r="Z178" i="40"/>
  <c r="Y178" i="40"/>
  <c r="X178" i="40"/>
  <c r="U178" i="40"/>
  <c r="T178" i="40"/>
  <c r="S178" i="40"/>
  <c r="R178" i="40"/>
  <c r="Q178" i="40"/>
  <c r="P178" i="40"/>
  <c r="O178" i="40"/>
  <c r="N178" i="40"/>
  <c r="M178" i="40"/>
  <c r="L178" i="40"/>
  <c r="K178" i="40"/>
  <c r="J178" i="40"/>
  <c r="I178" i="40"/>
  <c r="CA177" i="40"/>
  <c r="BZ177" i="40"/>
  <c r="BY177" i="40"/>
  <c r="BX177" i="40"/>
  <c r="BW177" i="40"/>
  <c r="BV177" i="40"/>
  <c r="BE177" i="40"/>
  <c r="BD177" i="40"/>
  <c r="BC177" i="40"/>
  <c r="BB177" i="40"/>
  <c r="BA177" i="40"/>
  <c r="AZ177" i="40"/>
  <c r="AY177" i="40"/>
  <c r="AX177" i="40"/>
  <c r="AU177" i="40"/>
  <c r="AT177" i="40"/>
  <c r="AK177" i="40"/>
  <c r="AJ177" i="40"/>
  <c r="AI177" i="40"/>
  <c r="AH177" i="40"/>
  <c r="AG177" i="40"/>
  <c r="AC177" i="40"/>
  <c r="AB177" i="40"/>
  <c r="AA177" i="40"/>
  <c r="Z177" i="40"/>
  <c r="Y177" i="40"/>
  <c r="X177" i="40"/>
  <c r="U177" i="40"/>
  <c r="T177" i="40"/>
  <c r="S177" i="40"/>
  <c r="R177" i="40"/>
  <c r="Q177" i="40"/>
  <c r="P177" i="40"/>
  <c r="O177" i="40"/>
  <c r="N177" i="40"/>
  <c r="M177" i="40"/>
  <c r="L177" i="40"/>
  <c r="K177" i="40"/>
  <c r="J177" i="40"/>
  <c r="I177" i="40"/>
  <c r="CA176" i="40"/>
  <c r="BZ176" i="40"/>
  <c r="BY176" i="40"/>
  <c r="BX176" i="40"/>
  <c r="BW176" i="40"/>
  <c r="BV176" i="40"/>
  <c r="BD176" i="40"/>
  <c r="BC176" i="40"/>
  <c r="BB176" i="40"/>
  <c r="BA176" i="40"/>
  <c r="AZ176" i="40"/>
  <c r="AY176" i="40"/>
  <c r="AX176" i="40"/>
  <c r="AT176" i="40"/>
  <c r="AK176" i="40"/>
  <c r="AJ176" i="40"/>
  <c r="AI176" i="40"/>
  <c r="AH176" i="40"/>
  <c r="AG176" i="40"/>
  <c r="AC176" i="40"/>
  <c r="AB176" i="40"/>
  <c r="Z176" i="40"/>
  <c r="Y176" i="40"/>
  <c r="X176" i="40"/>
  <c r="U176" i="40"/>
  <c r="T176" i="40"/>
  <c r="S176" i="40"/>
  <c r="R176" i="40"/>
  <c r="Q176" i="40"/>
  <c r="P176" i="40"/>
  <c r="O176" i="40"/>
  <c r="N176" i="40"/>
  <c r="M176" i="40"/>
  <c r="L176" i="40"/>
  <c r="K176" i="40"/>
  <c r="J176" i="40"/>
  <c r="I176" i="40"/>
  <c r="CA175" i="40"/>
  <c r="BZ175" i="40"/>
  <c r="BY175" i="40"/>
  <c r="BX175" i="40"/>
  <c r="BW175" i="40"/>
  <c r="BV175" i="40"/>
  <c r="BU175" i="40"/>
  <c r="BT175" i="40"/>
  <c r="BS175" i="40"/>
  <c r="BR175" i="40"/>
  <c r="BQ175" i="40"/>
  <c r="BP175" i="40"/>
  <c r="BO175" i="40"/>
  <c r="BN175" i="40"/>
  <c r="BM175" i="40"/>
  <c r="BL175" i="40"/>
  <c r="BK175" i="40"/>
  <c r="BJ175" i="40"/>
  <c r="BI175" i="40"/>
  <c r="BH175" i="40"/>
  <c r="BG175" i="40"/>
  <c r="BF175" i="40"/>
  <c r="BE175" i="40"/>
  <c r="BD175" i="40"/>
  <c r="BC175" i="40"/>
  <c r="BB175" i="40"/>
  <c r="BA175" i="40"/>
  <c r="AZ175" i="40"/>
  <c r="AY175" i="40"/>
  <c r="AX175" i="40"/>
  <c r="AW175" i="40"/>
  <c r="AV175" i="40"/>
  <c r="AU175" i="40"/>
  <c r="AT175" i="40"/>
  <c r="AT169" i="40" s="1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H169" i="40" s="1"/>
  <c r="AG175" i="40"/>
  <c r="AF175" i="40"/>
  <c r="AE175" i="40"/>
  <c r="AD175" i="40"/>
  <c r="AC175" i="40"/>
  <c r="AB175" i="40"/>
  <c r="AB169" i="40" s="1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J169" i="40" s="1"/>
  <c r="I175" i="40"/>
  <c r="CA174" i="40"/>
  <c r="BZ174" i="40"/>
  <c r="BY174" i="40"/>
  <c r="BX174" i="40"/>
  <c r="BW174" i="40"/>
  <c r="BW169" i="40" s="1"/>
  <c r="BV168" i="40" s="1"/>
  <c r="BV174" i="40"/>
  <c r="BE174" i="40"/>
  <c r="BD174" i="40"/>
  <c r="BC174" i="40"/>
  <c r="BB174" i="40"/>
  <c r="BA174" i="40"/>
  <c r="AZ174" i="40"/>
  <c r="AY174" i="40"/>
  <c r="AY169" i="40" s="1"/>
  <c r="AX174" i="40"/>
  <c r="AU174" i="40"/>
  <c r="AT174" i="40"/>
  <c r="AK174" i="40"/>
  <c r="AJ174" i="40"/>
  <c r="AI174" i="40"/>
  <c r="AH174" i="40"/>
  <c r="AG174" i="40"/>
  <c r="AG169" i="40" s="1"/>
  <c r="V168" i="40" s="1"/>
  <c r="AC174" i="40"/>
  <c r="AB174" i="40"/>
  <c r="AA174" i="40"/>
  <c r="Z174" i="40"/>
  <c r="Y174" i="40"/>
  <c r="X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CA173" i="40"/>
  <c r="BZ173" i="40"/>
  <c r="BY173" i="40"/>
  <c r="BX173" i="40"/>
  <c r="BW173" i="40"/>
  <c r="BV173" i="40"/>
  <c r="BE173" i="40"/>
  <c r="BD173" i="40"/>
  <c r="BC173" i="40"/>
  <c r="BB173" i="40"/>
  <c r="BA173" i="40"/>
  <c r="AZ173" i="40"/>
  <c r="AY173" i="40"/>
  <c r="AX173" i="40"/>
  <c r="AU173" i="40"/>
  <c r="AT173" i="40"/>
  <c r="AK173" i="40"/>
  <c r="AJ173" i="40"/>
  <c r="AI173" i="40"/>
  <c r="AH173" i="40"/>
  <c r="AG173" i="40"/>
  <c r="AC173" i="40"/>
  <c r="AB173" i="40"/>
  <c r="AA173" i="40"/>
  <c r="Z173" i="40"/>
  <c r="Y173" i="40"/>
  <c r="X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CA172" i="40"/>
  <c r="BZ172" i="40"/>
  <c r="BY172" i="40"/>
  <c r="BX172" i="40"/>
  <c r="BW172" i="40"/>
  <c r="BV172" i="40"/>
  <c r="BE172" i="40"/>
  <c r="BD172" i="40"/>
  <c r="BC172" i="40"/>
  <c r="BB172" i="40"/>
  <c r="BA172" i="40"/>
  <c r="AZ172" i="40"/>
  <c r="AY172" i="40"/>
  <c r="AX172" i="40"/>
  <c r="AU172" i="40"/>
  <c r="AT172" i="40"/>
  <c r="AK172" i="40"/>
  <c r="AJ172" i="40"/>
  <c r="AI172" i="40"/>
  <c r="AH172" i="40"/>
  <c r="AG172" i="40"/>
  <c r="AC172" i="40"/>
  <c r="AB172" i="40"/>
  <c r="AA172" i="40"/>
  <c r="Z172" i="40"/>
  <c r="Y172" i="40"/>
  <c r="X172" i="40"/>
  <c r="U172" i="40"/>
  <c r="T172" i="40"/>
  <c r="S172" i="40"/>
  <c r="R172" i="40"/>
  <c r="Q172" i="40"/>
  <c r="P172" i="40"/>
  <c r="O172" i="40"/>
  <c r="N172" i="40"/>
  <c r="M172" i="40"/>
  <c r="L172" i="40"/>
  <c r="K172" i="40"/>
  <c r="J172" i="40"/>
  <c r="I172" i="40"/>
  <c r="CA171" i="40"/>
  <c r="BZ171" i="40"/>
  <c r="BZ169" i="40" s="1"/>
  <c r="BY171" i="40"/>
  <c r="BX171" i="40"/>
  <c r="BW171" i="40"/>
  <c r="BV171" i="40"/>
  <c r="BE171" i="40"/>
  <c r="BD171" i="40"/>
  <c r="BC171" i="40"/>
  <c r="BB171" i="40"/>
  <c r="BA171" i="40"/>
  <c r="AZ171" i="40"/>
  <c r="AY171" i="40"/>
  <c r="AX171" i="40"/>
  <c r="AU171" i="40"/>
  <c r="AT171" i="40"/>
  <c r="AK171" i="40"/>
  <c r="AJ171" i="40"/>
  <c r="AJ169" i="40" s="1"/>
  <c r="AI171" i="40"/>
  <c r="AH171" i="40"/>
  <c r="AG171" i="40"/>
  <c r="AC171" i="40"/>
  <c r="AB171" i="40"/>
  <c r="AA171" i="40"/>
  <c r="Z171" i="40"/>
  <c r="Y171" i="40"/>
  <c r="X171" i="40"/>
  <c r="U171" i="40"/>
  <c r="T171" i="40"/>
  <c r="S171" i="40"/>
  <c r="R171" i="40"/>
  <c r="R169" i="40" s="1"/>
  <c r="Q171" i="40"/>
  <c r="P171" i="40"/>
  <c r="O171" i="40"/>
  <c r="N171" i="40"/>
  <c r="M171" i="40"/>
  <c r="L171" i="40"/>
  <c r="L169" i="40" s="1"/>
  <c r="K171" i="40"/>
  <c r="J171" i="40"/>
  <c r="I171" i="40"/>
  <c r="CA170" i="40"/>
  <c r="BZ170" i="40"/>
  <c r="BY170" i="40"/>
  <c r="BY169" i="40" s="1"/>
  <c r="BX170" i="40"/>
  <c r="BW170" i="40"/>
  <c r="BV170" i="40"/>
  <c r="BV169" i="40" s="1"/>
  <c r="BE170" i="40"/>
  <c r="BD170" i="40"/>
  <c r="BD169" i="40" s="1"/>
  <c r="BC170" i="40"/>
  <c r="BB170" i="40"/>
  <c r="BA170" i="40"/>
  <c r="BA169" i="40" s="1"/>
  <c r="BF168" i="40" s="1"/>
  <c r="AZ170" i="40"/>
  <c r="AY170" i="40"/>
  <c r="AX170" i="40"/>
  <c r="AX169" i="40" s="1"/>
  <c r="AU170" i="40"/>
  <c r="AT170" i="40"/>
  <c r="AK170" i="40"/>
  <c r="AJ170" i="40"/>
  <c r="AI170" i="40"/>
  <c r="AI169" i="40" s="1"/>
  <c r="AH170" i="40"/>
  <c r="AG170" i="40"/>
  <c r="AC170" i="40"/>
  <c r="AC169" i="40" s="1"/>
  <c r="AB170" i="40"/>
  <c r="AA170" i="40"/>
  <c r="Z170" i="40"/>
  <c r="Z169" i="40" s="1"/>
  <c r="Y170" i="40"/>
  <c r="X170" i="40"/>
  <c r="U170" i="40"/>
  <c r="T170" i="40"/>
  <c r="T169" i="40" s="1"/>
  <c r="S168" i="40" s="1"/>
  <c r="S170" i="40"/>
  <c r="R170" i="40"/>
  <c r="Q170" i="40"/>
  <c r="Q169" i="40" s="1"/>
  <c r="P170" i="40"/>
  <c r="O170" i="40"/>
  <c r="N170" i="40"/>
  <c r="N169" i="40" s="1"/>
  <c r="M168" i="40" s="1"/>
  <c r="M170" i="40"/>
  <c r="L170" i="40"/>
  <c r="K170" i="40"/>
  <c r="K169" i="40" s="1"/>
  <c r="J168" i="40" s="1"/>
  <c r="J170" i="40"/>
  <c r="I170" i="40"/>
  <c r="CA169" i="40"/>
  <c r="BX169" i="40"/>
  <c r="BC169" i="40"/>
  <c r="AZ169" i="40"/>
  <c r="AK169" i="40"/>
  <c r="Y169" i="40"/>
  <c r="U169" i="40"/>
  <c r="S169" i="40"/>
  <c r="P169" i="40"/>
  <c r="O169" i="40"/>
  <c r="M169" i="40"/>
  <c r="I169" i="40"/>
  <c r="W168" i="40"/>
  <c r="J167" i="40"/>
  <c r="U166" i="40"/>
  <c r="T166" i="40"/>
  <c r="S166" i="40"/>
  <c r="R166" i="40"/>
  <c r="Q166" i="40"/>
  <c r="P166" i="40"/>
  <c r="O166" i="40"/>
  <c r="N166" i="40"/>
  <c r="M166" i="40"/>
  <c r="L166" i="40"/>
  <c r="K166" i="40"/>
  <c r="J166" i="40"/>
  <c r="I167" i="40" s="1"/>
  <c r="I166" i="40"/>
  <c r="CA165" i="40"/>
  <c r="BZ165" i="40"/>
  <c r="BY165" i="40"/>
  <c r="BX165" i="40"/>
  <c r="BW165" i="40"/>
  <c r="BV165" i="40"/>
  <c r="BD165" i="40"/>
  <c r="BC165" i="40"/>
  <c r="BA165" i="40"/>
  <c r="AZ165" i="40"/>
  <c r="AY165" i="40"/>
  <c r="AX165" i="40"/>
  <c r="AU165" i="40"/>
  <c r="AT165" i="40"/>
  <c r="AK165" i="40"/>
  <c r="AJ165" i="40"/>
  <c r="AI165" i="40"/>
  <c r="AH165" i="40"/>
  <c r="AG165" i="40"/>
  <c r="AC165" i="40"/>
  <c r="AB165" i="40"/>
  <c r="AA165" i="40"/>
  <c r="Z165" i="40"/>
  <c r="Y165" i="40"/>
  <c r="X165" i="40"/>
  <c r="BT164" i="40"/>
  <c r="BR164" i="40"/>
  <c r="BN164" i="40"/>
  <c r="BG164" i="40"/>
  <c r="BU164" i="40" s="1"/>
  <c r="BF164" i="40"/>
  <c r="AV164" i="40"/>
  <c r="AM164" i="40"/>
  <c r="BO164" i="40" s="1"/>
  <c r="AL164" i="40"/>
  <c r="AE164" i="40"/>
  <c r="BL164" i="40" s="1"/>
  <c r="W164" i="40"/>
  <c r="V164" i="40"/>
  <c r="AD164" i="40" s="1"/>
  <c r="BT163" i="40"/>
  <c r="BK163" i="40"/>
  <c r="BG163" i="40"/>
  <c r="BU163" i="40" s="1"/>
  <c r="BF163" i="40"/>
  <c r="AV163" i="40"/>
  <c r="AM163" i="40"/>
  <c r="BO163" i="40" s="1"/>
  <c r="AL163" i="40"/>
  <c r="AF163" i="40"/>
  <c r="AS163" i="40" s="1"/>
  <c r="BQ163" i="40" s="1"/>
  <c r="AD163" i="40"/>
  <c r="W163" i="40"/>
  <c r="AE163" i="40" s="1"/>
  <c r="V163" i="40"/>
  <c r="BT162" i="40"/>
  <c r="BT165" i="40" s="1"/>
  <c r="BR162" i="40"/>
  <c r="BL162" i="40"/>
  <c r="BK162" i="40"/>
  <c r="BH162" i="40"/>
  <c r="BG162" i="40"/>
  <c r="BU162" i="40" s="1"/>
  <c r="BF162" i="40"/>
  <c r="AV162" i="40"/>
  <c r="AM162" i="40"/>
  <c r="AL162" i="40"/>
  <c r="AE162" i="40"/>
  <c r="AE165" i="40" s="1"/>
  <c r="AD162" i="40"/>
  <c r="W162" i="40"/>
  <c r="V162" i="40"/>
  <c r="CA161" i="40"/>
  <c r="BZ161" i="40"/>
  <c r="BY161" i="40"/>
  <c r="BX161" i="40"/>
  <c r="BW161" i="40"/>
  <c r="BV161" i="40"/>
  <c r="BD161" i="40"/>
  <c r="BC161" i="40"/>
  <c r="BA161" i="40"/>
  <c r="AZ161" i="40"/>
  <c r="AY161" i="40"/>
  <c r="AX161" i="40"/>
  <c r="AU161" i="40"/>
  <c r="AT161" i="40"/>
  <c r="AK161" i="40"/>
  <c r="AJ161" i="40"/>
  <c r="AI161" i="40"/>
  <c r="AH161" i="40"/>
  <c r="AG161" i="40"/>
  <c r="AC161" i="40"/>
  <c r="AB161" i="40"/>
  <c r="AA161" i="40"/>
  <c r="Z161" i="40"/>
  <c r="Y161" i="40"/>
  <c r="X161" i="40"/>
  <c r="BT160" i="40"/>
  <c r="BK160" i="40"/>
  <c r="BG160" i="40"/>
  <c r="BU160" i="40" s="1"/>
  <c r="BF160" i="40"/>
  <c r="AV160" i="40"/>
  <c r="BR160" i="40" s="1"/>
  <c r="AM160" i="40"/>
  <c r="BO160" i="40" s="1"/>
  <c r="AL160" i="40"/>
  <c r="AF160" i="40"/>
  <c r="BJ160" i="40" s="1"/>
  <c r="AD160" i="40"/>
  <c r="W160" i="40"/>
  <c r="AE160" i="40" s="1"/>
  <c r="V160" i="40"/>
  <c r="BT159" i="40"/>
  <c r="BR159" i="40"/>
  <c r="BO159" i="40"/>
  <c r="BK159" i="40"/>
  <c r="BG159" i="40"/>
  <c r="BH159" i="40" s="1"/>
  <c r="BS159" i="40" s="1"/>
  <c r="BF159" i="40"/>
  <c r="AV159" i="40"/>
  <c r="AM159" i="40"/>
  <c r="AL159" i="40"/>
  <c r="AE159" i="40"/>
  <c r="AD159" i="40"/>
  <c r="W159" i="40"/>
  <c r="V159" i="40"/>
  <c r="BR158" i="40"/>
  <c r="BG158" i="40"/>
  <c r="BU158" i="40" s="1"/>
  <c r="BF158" i="40"/>
  <c r="AV158" i="40"/>
  <c r="AN158" i="40"/>
  <c r="BM158" i="40" s="1"/>
  <c r="AM158" i="40"/>
  <c r="BO158" i="40" s="1"/>
  <c r="AL158" i="40"/>
  <c r="BN158" i="40" s="1"/>
  <c r="AE158" i="40"/>
  <c r="W158" i="40"/>
  <c r="V158" i="40"/>
  <c r="AD158" i="40" s="1"/>
  <c r="BT157" i="40"/>
  <c r="BN157" i="40"/>
  <c r="BM157" i="40"/>
  <c r="BK157" i="40"/>
  <c r="BG157" i="40"/>
  <c r="BF157" i="40"/>
  <c r="AV157" i="40"/>
  <c r="BR157" i="40" s="1"/>
  <c r="AO157" i="40"/>
  <c r="AN157" i="40"/>
  <c r="AM157" i="40"/>
  <c r="BO157" i="40" s="1"/>
  <c r="AL157" i="40"/>
  <c r="AD157" i="40"/>
  <c r="W157" i="40"/>
  <c r="V157" i="40"/>
  <c r="BU156" i="40"/>
  <c r="BR156" i="40"/>
  <c r="BO156" i="40"/>
  <c r="BO161" i="40" s="1"/>
  <c r="BN156" i="40"/>
  <c r="BL156" i="40"/>
  <c r="BG156" i="40"/>
  <c r="BF156" i="40"/>
  <c r="AV156" i="40"/>
  <c r="AM156" i="40"/>
  <c r="AL156" i="40"/>
  <c r="AE156" i="40"/>
  <c r="W156" i="40"/>
  <c r="V156" i="40"/>
  <c r="CA155" i="40"/>
  <c r="BZ155" i="40"/>
  <c r="BY155" i="40"/>
  <c r="BX155" i="40"/>
  <c r="BW155" i="40"/>
  <c r="BV155" i="40"/>
  <c r="BF155" i="40"/>
  <c r="BD155" i="40"/>
  <c r="BC155" i="40"/>
  <c r="BA155" i="40"/>
  <c r="AZ155" i="40"/>
  <c r="AY155" i="40"/>
  <c r="AX155" i="40"/>
  <c r="AU155" i="40"/>
  <c r="AT155" i="40"/>
  <c r="AK155" i="40"/>
  <c r="AJ155" i="40"/>
  <c r="AI155" i="40"/>
  <c r="AH155" i="40"/>
  <c r="AG155" i="40"/>
  <c r="AC155" i="40"/>
  <c r="AB155" i="40"/>
  <c r="AA155" i="40"/>
  <c r="Z155" i="40"/>
  <c r="Y155" i="40"/>
  <c r="X155" i="40"/>
  <c r="W155" i="40"/>
  <c r="V155" i="40"/>
  <c r="BT154" i="40"/>
  <c r="BK154" i="40"/>
  <c r="BG154" i="40"/>
  <c r="BU154" i="40" s="1"/>
  <c r="BF154" i="40"/>
  <c r="AV154" i="40"/>
  <c r="BR154" i="40" s="1"/>
  <c r="AM154" i="40"/>
  <c r="BO154" i="40" s="1"/>
  <c r="AL154" i="40"/>
  <c r="AD154" i="40"/>
  <c r="AF154" i="40" s="1"/>
  <c r="W154" i="40"/>
  <c r="AE154" i="40" s="1"/>
  <c r="V154" i="40"/>
  <c r="BR153" i="40"/>
  <c r="BN153" i="40"/>
  <c r="BL153" i="40"/>
  <c r="BG153" i="40"/>
  <c r="BU153" i="40" s="1"/>
  <c r="BF153" i="40"/>
  <c r="AV153" i="40"/>
  <c r="AM153" i="40"/>
  <c r="BO153" i="40" s="1"/>
  <c r="AL153" i="40"/>
  <c r="AE153" i="40"/>
  <c r="AP153" i="40" s="1"/>
  <c r="W153" i="40"/>
  <c r="V153" i="40"/>
  <c r="AD153" i="40" s="1"/>
  <c r="BM152" i="40"/>
  <c r="BG152" i="40"/>
  <c r="BF152" i="40"/>
  <c r="AV152" i="40"/>
  <c r="AN152" i="40"/>
  <c r="AM152" i="40"/>
  <c r="AL152" i="40"/>
  <c r="BN152" i="40" s="1"/>
  <c r="AE152" i="40"/>
  <c r="AD152" i="40"/>
  <c r="W152" i="40"/>
  <c r="V152" i="40"/>
  <c r="CA151" i="40"/>
  <c r="BZ151" i="40"/>
  <c r="BY151" i="40"/>
  <c r="BX151" i="40"/>
  <c r="BW151" i="40"/>
  <c r="BV151" i="40"/>
  <c r="BD151" i="40"/>
  <c r="BC151" i="40"/>
  <c r="BA151" i="40"/>
  <c r="AZ151" i="40"/>
  <c r="AY151" i="40"/>
  <c r="AX151" i="40"/>
  <c r="AU151" i="40"/>
  <c r="AT151" i="40"/>
  <c r="AK151" i="40"/>
  <c r="AJ151" i="40"/>
  <c r="AI151" i="40"/>
  <c r="AH151" i="40"/>
  <c r="AG151" i="40"/>
  <c r="AC151" i="40"/>
  <c r="AB151" i="40"/>
  <c r="AA151" i="40"/>
  <c r="Z151" i="40"/>
  <c r="Y151" i="40"/>
  <c r="X151" i="40"/>
  <c r="BU150" i="40"/>
  <c r="BR150" i="40"/>
  <c r="BN150" i="40"/>
  <c r="BG150" i="40"/>
  <c r="BH150" i="40" s="1"/>
  <c r="BS150" i="40" s="1"/>
  <c r="BF150" i="40"/>
  <c r="BT150" i="40" s="1"/>
  <c r="AV150" i="40"/>
  <c r="AP150" i="40"/>
  <c r="AM150" i="40"/>
  <c r="BO150" i="40" s="1"/>
  <c r="AL150" i="40"/>
  <c r="AN150" i="40" s="1"/>
  <c r="BM150" i="40" s="1"/>
  <c r="AE150" i="40"/>
  <c r="BL150" i="40" s="1"/>
  <c r="W150" i="40"/>
  <c r="V150" i="40"/>
  <c r="AD150" i="40" s="1"/>
  <c r="AD151" i="40" s="1"/>
  <c r="BO149" i="40"/>
  <c r="BM149" i="40"/>
  <c r="BG149" i="40"/>
  <c r="BU149" i="40" s="1"/>
  <c r="BF149" i="40"/>
  <c r="AV149" i="40"/>
  <c r="BR149" i="40" s="1"/>
  <c r="AO149" i="40"/>
  <c r="AN149" i="40"/>
  <c r="AM149" i="40"/>
  <c r="AL149" i="40"/>
  <c r="BN149" i="40" s="1"/>
  <c r="AD149" i="40"/>
  <c r="W149" i="40"/>
  <c r="AE149" i="40" s="1"/>
  <c r="BL149" i="40" s="1"/>
  <c r="V149" i="40"/>
  <c r="BG148" i="40"/>
  <c r="BU148" i="40" s="1"/>
  <c r="BF148" i="40"/>
  <c r="AV148" i="40"/>
  <c r="BR148" i="40" s="1"/>
  <c r="AO148" i="40"/>
  <c r="AQ148" i="40" s="1"/>
  <c r="AM148" i="40"/>
  <c r="BO148" i="40" s="1"/>
  <c r="AL148" i="40"/>
  <c r="AF148" i="40"/>
  <c r="AE148" i="40"/>
  <c r="AP148" i="40" s="1"/>
  <c r="AD148" i="40"/>
  <c r="BK148" i="40" s="1"/>
  <c r="W148" i="40"/>
  <c r="V148" i="40"/>
  <c r="BT147" i="40"/>
  <c r="BR147" i="40"/>
  <c r="BO147" i="40"/>
  <c r="BN147" i="40"/>
  <c r="BG147" i="40"/>
  <c r="BU147" i="40" s="1"/>
  <c r="BF147" i="40"/>
  <c r="AV147" i="40"/>
  <c r="AP147" i="40"/>
  <c r="AM147" i="40"/>
  <c r="AL147" i="40"/>
  <c r="AF147" i="40"/>
  <c r="AR147" i="40" s="1"/>
  <c r="BP147" i="40" s="1"/>
  <c r="AE147" i="40"/>
  <c r="BL147" i="40" s="1"/>
  <c r="AD147" i="40"/>
  <c r="AO147" i="40" s="1"/>
  <c r="AQ147" i="40" s="1"/>
  <c r="W147" i="40"/>
  <c r="V147" i="40"/>
  <c r="BO146" i="40"/>
  <c r="BG146" i="40"/>
  <c r="BU146" i="40" s="1"/>
  <c r="BF146" i="40"/>
  <c r="AV146" i="40"/>
  <c r="BR146" i="40" s="1"/>
  <c r="AM146" i="40"/>
  <c r="AL146" i="40"/>
  <c r="AE146" i="40"/>
  <c r="W146" i="40"/>
  <c r="V146" i="40"/>
  <c r="AD146" i="40" s="1"/>
  <c r="BU145" i="40"/>
  <c r="BT145" i="40"/>
  <c r="BO145" i="40"/>
  <c r="BO151" i="40" s="1"/>
  <c r="BN145" i="40"/>
  <c r="BH145" i="40"/>
  <c r="BG145" i="40"/>
  <c r="BF145" i="40"/>
  <c r="AV145" i="40"/>
  <c r="AO145" i="40"/>
  <c r="AM145" i="40"/>
  <c r="AL145" i="40"/>
  <c r="AD145" i="40"/>
  <c r="BK145" i="40" s="1"/>
  <c r="W145" i="40"/>
  <c r="V145" i="40"/>
  <c r="V151" i="40" s="1"/>
  <c r="CA144" i="40"/>
  <c r="BZ144" i="40"/>
  <c r="BY144" i="40"/>
  <c r="BX144" i="40"/>
  <c r="BW144" i="40"/>
  <c r="BV144" i="40"/>
  <c r="BD144" i="40"/>
  <c r="BC144" i="40"/>
  <c r="BA144" i="40"/>
  <c r="AZ144" i="40"/>
  <c r="AY144" i="40"/>
  <c r="AX144" i="40"/>
  <c r="AU144" i="40"/>
  <c r="AT144" i="40"/>
  <c r="AM144" i="40"/>
  <c r="AK144" i="40"/>
  <c r="AJ144" i="40"/>
  <c r="AI144" i="40"/>
  <c r="AH144" i="40"/>
  <c r="AG144" i="40"/>
  <c r="AC144" i="40"/>
  <c r="AB144" i="40"/>
  <c r="AA144" i="40"/>
  <c r="Z144" i="40"/>
  <c r="Y144" i="40"/>
  <c r="X144" i="40"/>
  <c r="BT143" i="40"/>
  <c r="BR143" i="40"/>
  <c r="BO143" i="40"/>
  <c r="BM143" i="40"/>
  <c r="BG143" i="40"/>
  <c r="BU143" i="40" s="1"/>
  <c r="BF143" i="40"/>
  <c r="AV143" i="40"/>
  <c r="AN143" i="40"/>
  <c r="AM143" i="40"/>
  <c r="AL143" i="40"/>
  <c r="BN143" i="40" s="1"/>
  <c r="AE143" i="40"/>
  <c r="W143" i="40"/>
  <c r="V143" i="40"/>
  <c r="AD143" i="40" s="1"/>
  <c r="BT142" i="40"/>
  <c r="BM142" i="40"/>
  <c r="BG142" i="40"/>
  <c r="BU142" i="40" s="1"/>
  <c r="BF142" i="40"/>
  <c r="AV142" i="40"/>
  <c r="BR142" i="40" s="1"/>
  <c r="AM142" i="40"/>
  <c r="AN142" i="40" s="1"/>
  <c r="AL142" i="40"/>
  <c r="BN142" i="40" s="1"/>
  <c r="W142" i="40"/>
  <c r="AE142" i="40" s="1"/>
  <c r="V142" i="40"/>
  <c r="AD142" i="40" s="1"/>
  <c r="BR141" i="40"/>
  <c r="BO141" i="40"/>
  <c r="BN141" i="40"/>
  <c r="BG141" i="40"/>
  <c r="BH141" i="40" s="1"/>
  <c r="BS141" i="40" s="1"/>
  <c r="BF141" i="40"/>
  <c r="BT141" i="40" s="1"/>
  <c r="AV141" i="40"/>
  <c r="AP141" i="40"/>
  <c r="AM141" i="40"/>
  <c r="AL141" i="40"/>
  <c r="AN141" i="40" s="1"/>
  <c r="BM141" i="40" s="1"/>
  <c r="AE141" i="40"/>
  <c r="BL141" i="40" s="1"/>
  <c r="AD141" i="40"/>
  <c r="BK141" i="40" s="1"/>
  <c r="W141" i="40"/>
  <c r="V141" i="40"/>
  <c r="BO140" i="40"/>
  <c r="BL140" i="40"/>
  <c r="BK140" i="40"/>
  <c r="BG140" i="40"/>
  <c r="BU140" i="40" s="1"/>
  <c r="BF140" i="40"/>
  <c r="AV140" i="40"/>
  <c r="AN140" i="40"/>
  <c r="BM140" i="40" s="1"/>
  <c r="AM140" i="40"/>
  <c r="AL140" i="40"/>
  <c r="BN140" i="40" s="1"/>
  <c r="AF140" i="40"/>
  <c r="AE140" i="40"/>
  <c r="AP140" i="40" s="1"/>
  <c r="W140" i="40"/>
  <c r="V140" i="40"/>
  <c r="AD140" i="40" s="1"/>
  <c r="AO140" i="40" s="1"/>
  <c r="BR139" i="40"/>
  <c r="BN139" i="40"/>
  <c r="BG139" i="40"/>
  <c r="BU139" i="40" s="1"/>
  <c r="BF139" i="40"/>
  <c r="AV139" i="40"/>
  <c r="AN139" i="40"/>
  <c r="BM139" i="40" s="1"/>
  <c r="AM139" i="40"/>
  <c r="BO139" i="40" s="1"/>
  <c r="AL139" i="40"/>
  <c r="AD139" i="40"/>
  <c r="W139" i="40"/>
  <c r="AE139" i="40" s="1"/>
  <c r="V139" i="40"/>
  <c r="BR138" i="40"/>
  <c r="BO138" i="40"/>
  <c r="BL138" i="40"/>
  <c r="BG138" i="40"/>
  <c r="BF138" i="40"/>
  <c r="AV138" i="40"/>
  <c r="AP138" i="40"/>
  <c r="AO138" i="40"/>
  <c r="AM138" i="40"/>
  <c r="AL138" i="40"/>
  <c r="AE138" i="40"/>
  <c r="AD138" i="40"/>
  <c r="BK138" i="40" s="1"/>
  <c r="W138" i="40"/>
  <c r="V138" i="40"/>
  <c r="CA137" i="40"/>
  <c r="BZ137" i="40"/>
  <c r="BY137" i="40"/>
  <c r="BX137" i="40"/>
  <c r="BW137" i="40"/>
  <c r="BV137" i="40"/>
  <c r="BD137" i="40"/>
  <c r="BC137" i="40"/>
  <c r="BA137" i="40"/>
  <c r="AZ137" i="40"/>
  <c r="AY137" i="40"/>
  <c r="AX137" i="40"/>
  <c r="AU137" i="40"/>
  <c r="AT137" i="40"/>
  <c r="AK137" i="40"/>
  <c r="AJ137" i="40"/>
  <c r="AI137" i="40"/>
  <c r="AH137" i="40"/>
  <c r="AG137" i="40"/>
  <c r="AC137" i="40"/>
  <c r="AB137" i="40"/>
  <c r="AA137" i="40"/>
  <c r="Z137" i="40"/>
  <c r="Y137" i="40"/>
  <c r="X137" i="40"/>
  <c r="BT136" i="40"/>
  <c r="BL136" i="40"/>
  <c r="BH136" i="40"/>
  <c r="BS136" i="40" s="1"/>
  <c r="BG136" i="40"/>
  <c r="BU136" i="40" s="1"/>
  <c r="BF136" i="40"/>
  <c r="AV136" i="40"/>
  <c r="BR136" i="40" s="1"/>
  <c r="AM136" i="40"/>
  <c r="BO136" i="40" s="1"/>
  <c r="AL136" i="40"/>
  <c r="AF136" i="40"/>
  <c r="AD136" i="40"/>
  <c r="BK136" i="40" s="1"/>
  <c r="W136" i="40"/>
  <c r="AE136" i="40" s="1"/>
  <c r="AP136" i="40" s="1"/>
  <c r="V136" i="40"/>
  <c r="BT135" i="40"/>
  <c r="BR135" i="40"/>
  <c r="BL135" i="40"/>
  <c r="BG135" i="40"/>
  <c r="BU135" i="40" s="1"/>
  <c r="BF135" i="40"/>
  <c r="AV135" i="40"/>
  <c r="AO135" i="40"/>
  <c r="AM135" i="40"/>
  <c r="AL135" i="40"/>
  <c r="AE135" i="40"/>
  <c r="W135" i="40"/>
  <c r="V135" i="40"/>
  <c r="AD135" i="40" s="1"/>
  <c r="BO134" i="40"/>
  <c r="BN134" i="40"/>
  <c r="BL134" i="40"/>
  <c r="BG134" i="40"/>
  <c r="BH134" i="40" s="1"/>
  <c r="BS134" i="40" s="1"/>
  <c r="BF134" i="40"/>
  <c r="BT134" i="40" s="1"/>
  <c r="AV134" i="40"/>
  <c r="BR134" i="40" s="1"/>
  <c r="AS134" i="40"/>
  <c r="BQ134" i="40" s="1"/>
  <c r="AM134" i="40"/>
  <c r="AL134" i="40"/>
  <c r="AN134" i="40" s="1"/>
  <c r="BM134" i="40" s="1"/>
  <c r="AF134" i="40"/>
  <c r="W134" i="40"/>
  <c r="AE134" i="40" s="1"/>
  <c r="AP134" i="40" s="1"/>
  <c r="V134" i="40"/>
  <c r="AD134" i="40" s="1"/>
  <c r="BT133" i="40"/>
  <c r="BG133" i="40"/>
  <c r="BH133" i="40" s="1"/>
  <c r="BS133" i="40" s="1"/>
  <c r="BF133" i="40"/>
  <c r="AV133" i="40"/>
  <c r="BR133" i="40" s="1"/>
  <c r="AM133" i="40"/>
  <c r="BO133" i="40" s="1"/>
  <c r="AL133" i="40"/>
  <c r="AD133" i="40"/>
  <c r="W133" i="40"/>
  <c r="AE133" i="40" s="1"/>
  <c r="V133" i="40"/>
  <c r="BT132" i="40"/>
  <c r="BG132" i="40"/>
  <c r="BU132" i="40" s="1"/>
  <c r="BF132" i="40"/>
  <c r="AV132" i="40"/>
  <c r="BR132" i="40" s="1"/>
  <c r="AP132" i="40"/>
  <c r="AM132" i="40"/>
  <c r="BO132" i="40" s="1"/>
  <c r="AL132" i="40"/>
  <c r="AD132" i="40"/>
  <c r="W132" i="40"/>
  <c r="AE132" i="40" s="1"/>
  <c r="BL132" i="40" s="1"/>
  <c r="V132" i="40"/>
  <c r="BG131" i="40"/>
  <c r="BU131" i="40" s="1"/>
  <c r="BF131" i="40"/>
  <c r="AV131" i="40"/>
  <c r="AM131" i="40"/>
  <c r="AL131" i="40"/>
  <c r="BN131" i="40" s="1"/>
  <c r="W131" i="40"/>
  <c r="AE131" i="40" s="1"/>
  <c r="BL131" i="40" s="1"/>
  <c r="V131" i="40"/>
  <c r="AD131" i="40" s="1"/>
  <c r="CA130" i="40"/>
  <c r="BZ130" i="40"/>
  <c r="BY130" i="40"/>
  <c r="BX130" i="40"/>
  <c r="BW130" i="40"/>
  <c r="BV130" i="40"/>
  <c r="BD130" i="40"/>
  <c r="BC130" i="40"/>
  <c r="BA130" i="40"/>
  <c r="AZ130" i="40"/>
  <c r="AY130" i="40"/>
  <c r="AX130" i="40"/>
  <c r="AU130" i="40"/>
  <c r="AT130" i="40"/>
  <c r="AM130" i="40"/>
  <c r="AK130" i="40"/>
  <c r="AJ130" i="40"/>
  <c r="AI130" i="40"/>
  <c r="AH130" i="40"/>
  <c r="AG130" i="40"/>
  <c r="AC130" i="40"/>
  <c r="AB130" i="40"/>
  <c r="AA130" i="40"/>
  <c r="Z130" i="40"/>
  <c r="Y130" i="40"/>
  <c r="X130" i="40"/>
  <c r="BU129" i="40"/>
  <c r="BT129" i="40"/>
  <c r="BG129" i="40"/>
  <c r="BF129" i="40"/>
  <c r="BH129" i="40" s="1"/>
  <c r="BS129" i="40" s="1"/>
  <c r="AV129" i="40"/>
  <c r="BR129" i="40" s="1"/>
  <c r="AM129" i="40"/>
  <c r="BO129" i="40" s="1"/>
  <c r="AL129" i="40"/>
  <c r="AD129" i="40"/>
  <c r="W129" i="40"/>
  <c r="V129" i="40"/>
  <c r="BO128" i="40"/>
  <c r="BO130" i="40" s="1"/>
  <c r="BG128" i="40"/>
  <c r="BF128" i="40"/>
  <c r="AV128" i="40"/>
  <c r="AP128" i="40"/>
  <c r="AN128" i="40"/>
  <c r="BM128" i="40" s="1"/>
  <c r="AM128" i="40"/>
  <c r="AL128" i="40"/>
  <c r="BN128" i="40" s="1"/>
  <c r="AE128" i="40"/>
  <c r="AD128" i="40"/>
  <c r="W128" i="40"/>
  <c r="V128" i="40"/>
  <c r="V130" i="40" s="1"/>
  <c r="CA127" i="40"/>
  <c r="BZ127" i="40"/>
  <c r="BY127" i="40"/>
  <c r="BX127" i="40"/>
  <c r="BW127" i="40"/>
  <c r="BV127" i="40"/>
  <c r="BR127" i="40"/>
  <c r="BD127" i="40"/>
  <c r="BC127" i="40"/>
  <c r="BA127" i="40"/>
  <c r="AZ127" i="40"/>
  <c r="AY127" i="40"/>
  <c r="AX127" i="40"/>
  <c r="AU127" i="40"/>
  <c r="AT127" i="40"/>
  <c r="AK127" i="40"/>
  <c r="AJ127" i="40"/>
  <c r="AI127" i="40"/>
  <c r="AH127" i="40"/>
  <c r="AG127" i="40"/>
  <c r="AC127" i="40"/>
  <c r="AB127" i="40"/>
  <c r="AA127" i="40"/>
  <c r="Z127" i="40"/>
  <c r="Y127" i="40"/>
  <c r="X127" i="40"/>
  <c r="BU126" i="40"/>
  <c r="BT126" i="40"/>
  <c r="BN126" i="40"/>
  <c r="BK126" i="40"/>
  <c r="BG126" i="40"/>
  <c r="BH126" i="40" s="1"/>
  <c r="BS126" i="40" s="1"/>
  <c r="BF126" i="40"/>
  <c r="AV126" i="40"/>
  <c r="BR126" i="40" s="1"/>
  <c r="AM126" i="40"/>
  <c r="BO126" i="40" s="1"/>
  <c r="AL126" i="40"/>
  <c r="AD126" i="40"/>
  <c r="W126" i="40"/>
  <c r="AE126" i="40" s="1"/>
  <c r="V126" i="40"/>
  <c r="BR125" i="40"/>
  <c r="BO125" i="40"/>
  <c r="BG125" i="40"/>
  <c r="BG127" i="40" s="1"/>
  <c r="BF125" i="40"/>
  <c r="AV125" i="40"/>
  <c r="AV127" i="40" s="1"/>
  <c r="AN125" i="40"/>
  <c r="AM125" i="40"/>
  <c r="AL125" i="40"/>
  <c r="AL127" i="40" s="1"/>
  <c r="W125" i="40"/>
  <c r="W127" i="40" s="1"/>
  <c r="V125" i="40"/>
  <c r="V127" i="40" s="1"/>
  <c r="CA124" i="40"/>
  <c r="BZ124" i="40"/>
  <c r="BY124" i="40"/>
  <c r="BX124" i="40"/>
  <c r="BW124" i="40"/>
  <c r="BV124" i="40"/>
  <c r="BD124" i="40"/>
  <c r="BC124" i="40"/>
  <c r="BA124" i="40"/>
  <c r="AZ124" i="40"/>
  <c r="AY124" i="40"/>
  <c r="AX124" i="40"/>
  <c r="AV124" i="40"/>
  <c r="AU124" i="40"/>
  <c r="AT124" i="40"/>
  <c r="AK124" i="40"/>
  <c r="AJ124" i="40"/>
  <c r="AI124" i="40"/>
  <c r="AH124" i="40"/>
  <c r="AG124" i="40"/>
  <c r="AC124" i="40"/>
  <c r="AB124" i="40"/>
  <c r="AA124" i="40"/>
  <c r="Z124" i="40"/>
  <c r="Y124" i="40"/>
  <c r="X124" i="40"/>
  <c r="BT123" i="40"/>
  <c r="BR123" i="40"/>
  <c r="BO123" i="40"/>
  <c r="BG123" i="40"/>
  <c r="BU123" i="40" s="1"/>
  <c r="BF123" i="40"/>
  <c r="AV123" i="40"/>
  <c r="AO123" i="40"/>
  <c r="AM123" i="40"/>
  <c r="AL123" i="40"/>
  <c r="W123" i="40"/>
  <c r="AE123" i="40" s="1"/>
  <c r="V123" i="40"/>
  <c r="AD123" i="40" s="1"/>
  <c r="BR122" i="40"/>
  <c r="BG122" i="40"/>
  <c r="BU122" i="40" s="1"/>
  <c r="BF122" i="40"/>
  <c r="AV122" i="40"/>
  <c r="AM122" i="40"/>
  <c r="BO122" i="40" s="1"/>
  <c r="AL122" i="40"/>
  <c r="BN122" i="40" s="1"/>
  <c r="W122" i="40"/>
  <c r="AE122" i="40" s="1"/>
  <c r="V122" i="40"/>
  <c r="AD122" i="40" s="1"/>
  <c r="AO122" i="40" s="1"/>
  <c r="BN121" i="40"/>
  <c r="BK121" i="40"/>
  <c r="BH121" i="40"/>
  <c r="BS121" i="40" s="1"/>
  <c r="BG121" i="40"/>
  <c r="BU121" i="40" s="1"/>
  <c r="BF121" i="40"/>
  <c r="BT121" i="40" s="1"/>
  <c r="AV121" i="40"/>
  <c r="BR121" i="40" s="1"/>
  <c r="BR124" i="40" s="1"/>
  <c r="AP121" i="40"/>
  <c r="AN121" i="40"/>
  <c r="BM121" i="40" s="1"/>
  <c r="AM121" i="40"/>
  <c r="BO121" i="40" s="1"/>
  <c r="AL121" i="40"/>
  <c r="AE121" i="40"/>
  <c r="BL121" i="40" s="1"/>
  <c r="AD121" i="40"/>
  <c r="AO121" i="40" s="1"/>
  <c r="AQ121" i="40" s="1"/>
  <c r="W121" i="40"/>
  <c r="V121" i="40"/>
  <c r="BT120" i="40"/>
  <c r="BR120" i="40"/>
  <c r="BO120" i="40"/>
  <c r="BL120" i="40"/>
  <c r="BG120" i="40"/>
  <c r="BU120" i="40" s="1"/>
  <c r="BF120" i="40"/>
  <c r="AV120" i="40"/>
  <c r="AP120" i="40"/>
  <c r="AM120" i="40"/>
  <c r="AL120" i="40"/>
  <c r="AE120" i="40"/>
  <c r="AD120" i="40"/>
  <c r="W120" i="40"/>
  <c r="V120" i="40"/>
  <c r="BR119" i="40"/>
  <c r="BO119" i="40"/>
  <c r="BG119" i="40"/>
  <c r="BU119" i="40" s="1"/>
  <c r="BF119" i="40"/>
  <c r="AV119" i="40"/>
  <c r="AP119" i="40"/>
  <c r="AM119" i="40"/>
  <c r="AL119" i="40"/>
  <c r="AF119" i="40"/>
  <c r="W119" i="40"/>
  <c r="AE119" i="40" s="1"/>
  <c r="V119" i="40"/>
  <c r="AD119" i="40" s="1"/>
  <c r="CA118" i="40"/>
  <c r="BZ118" i="40"/>
  <c r="BY118" i="40"/>
  <c r="BX118" i="40"/>
  <c r="BW118" i="40"/>
  <c r="BV118" i="40"/>
  <c r="BD118" i="40"/>
  <c r="BC118" i="40"/>
  <c r="BA118" i="40"/>
  <c r="AZ118" i="40"/>
  <c r="AY118" i="40"/>
  <c r="AX118" i="40"/>
  <c r="AU118" i="40"/>
  <c r="AT118" i="40"/>
  <c r="AK118" i="40"/>
  <c r="AJ118" i="40"/>
  <c r="AI118" i="40"/>
  <c r="AH118" i="40"/>
  <c r="AG118" i="40"/>
  <c r="AE118" i="40"/>
  <c r="AC118" i="40"/>
  <c r="AB118" i="40"/>
  <c r="Z118" i="40"/>
  <c r="Y118" i="40"/>
  <c r="X118" i="40"/>
  <c r="W118" i="40"/>
  <c r="BO117" i="40"/>
  <c r="BO118" i="40" s="1"/>
  <c r="BF117" i="40"/>
  <c r="BT117" i="40" s="1"/>
  <c r="BG117" i="40"/>
  <c r="BU117" i="40" s="1"/>
  <c r="AV117" i="40"/>
  <c r="BR117" i="40" s="1"/>
  <c r="AU117" i="40"/>
  <c r="AO117" i="40"/>
  <c r="AQ117" i="40" s="1"/>
  <c r="AM117" i="40"/>
  <c r="AL117" i="40"/>
  <c r="BN117" i="40" s="1"/>
  <c r="AA117" i="40"/>
  <c r="AA118" i="40" s="1"/>
  <c r="W117" i="40"/>
  <c r="AE117" i="40" s="1"/>
  <c r="AP117" i="40" s="1"/>
  <c r="V117" i="40"/>
  <c r="AD117" i="40" s="1"/>
  <c r="BO116" i="40"/>
  <c r="BM116" i="40"/>
  <c r="BG116" i="40"/>
  <c r="BU116" i="40" s="1"/>
  <c r="BF116" i="40"/>
  <c r="AV116" i="40"/>
  <c r="BR116" i="40" s="1"/>
  <c r="AN116" i="40"/>
  <c r="AM116" i="40"/>
  <c r="AM118" i="40" s="1"/>
  <c r="AL116" i="40"/>
  <c r="BN116" i="40" s="1"/>
  <c r="AD116" i="40"/>
  <c r="W116" i="40"/>
  <c r="AE116" i="40" s="1"/>
  <c r="V116" i="40"/>
  <c r="BT115" i="40"/>
  <c r="BM115" i="40"/>
  <c r="BG115" i="40"/>
  <c r="BU115" i="40" s="1"/>
  <c r="BF115" i="40"/>
  <c r="AV115" i="40"/>
  <c r="BR115" i="40" s="1"/>
  <c r="BR118" i="40" s="1"/>
  <c r="AN115" i="40"/>
  <c r="AM115" i="40"/>
  <c r="BO115" i="40" s="1"/>
  <c r="AL115" i="40"/>
  <c r="BN115" i="40" s="1"/>
  <c r="AD115" i="40"/>
  <c r="W115" i="40"/>
  <c r="AE115" i="40" s="1"/>
  <c r="AP115" i="40" s="1"/>
  <c r="V115" i="40"/>
  <c r="V118" i="40" s="1"/>
  <c r="CA114" i="40"/>
  <c r="BZ114" i="40"/>
  <c r="BY114" i="40"/>
  <c r="BX114" i="40"/>
  <c r="BW114" i="40"/>
  <c r="BV114" i="40"/>
  <c r="BD114" i="40"/>
  <c r="BC114" i="40"/>
  <c r="BA114" i="40"/>
  <c r="AZ114" i="40"/>
  <c r="AY114" i="40"/>
  <c r="AX114" i="40"/>
  <c r="AU114" i="40"/>
  <c r="AT114" i="40"/>
  <c r="AM114" i="40"/>
  <c r="AK114" i="40"/>
  <c r="AJ114" i="40"/>
  <c r="AI114" i="40"/>
  <c r="AH114" i="40"/>
  <c r="AG114" i="40"/>
  <c r="AC114" i="40"/>
  <c r="AB114" i="40"/>
  <c r="AA114" i="40"/>
  <c r="Z114" i="40"/>
  <c r="Y114" i="40"/>
  <c r="X114" i="40"/>
  <c r="V114" i="40"/>
  <c r="BO113" i="40"/>
  <c r="BK113" i="40"/>
  <c r="BG113" i="40"/>
  <c r="BU113" i="40" s="1"/>
  <c r="BF113" i="40"/>
  <c r="AV113" i="40"/>
  <c r="BR113" i="40" s="1"/>
  <c r="AM113" i="40"/>
  <c r="AN113" i="40" s="1"/>
  <c r="BM113" i="40" s="1"/>
  <c r="AL113" i="40"/>
  <c r="BN113" i="40" s="1"/>
  <c r="W113" i="40"/>
  <c r="AE113" i="40" s="1"/>
  <c r="V113" i="40"/>
  <c r="AD113" i="40" s="1"/>
  <c r="AO113" i="40" s="1"/>
  <c r="BR112" i="40"/>
  <c r="BN112" i="40"/>
  <c r="BK112" i="40"/>
  <c r="BG112" i="40"/>
  <c r="BF112" i="40"/>
  <c r="BT112" i="40" s="1"/>
  <c r="AV112" i="40"/>
  <c r="AV114" i="40" s="1"/>
  <c r="AN112" i="40"/>
  <c r="BM112" i="40" s="1"/>
  <c r="AM112" i="40"/>
  <c r="BO112" i="40" s="1"/>
  <c r="AL112" i="40"/>
  <c r="AD112" i="40"/>
  <c r="AO112" i="40" s="1"/>
  <c r="W112" i="40"/>
  <c r="V112" i="40"/>
  <c r="BR111" i="40"/>
  <c r="BO111" i="40"/>
  <c r="BO114" i="40" s="1"/>
  <c r="BL111" i="40"/>
  <c r="BG111" i="40"/>
  <c r="BU111" i="40" s="1"/>
  <c r="BF111" i="40"/>
  <c r="AV111" i="40"/>
  <c r="AP111" i="40"/>
  <c r="AO111" i="40"/>
  <c r="AM111" i="40"/>
  <c r="AL111" i="40"/>
  <c r="AF111" i="40"/>
  <c r="AR111" i="40" s="1"/>
  <c r="AE111" i="40"/>
  <c r="AD111" i="40"/>
  <c r="W111" i="40"/>
  <c r="V111" i="40"/>
  <c r="CA110" i="40"/>
  <c r="BZ110" i="40"/>
  <c r="BY110" i="40"/>
  <c r="BX110" i="40"/>
  <c r="BW110" i="40"/>
  <c r="BV110" i="40"/>
  <c r="BN110" i="40"/>
  <c r="BG110" i="40"/>
  <c r="BD110" i="40"/>
  <c r="BC110" i="40"/>
  <c r="BA110" i="40"/>
  <c r="AZ110" i="40"/>
  <c r="AY110" i="40"/>
  <c r="AX110" i="40"/>
  <c r="AU110" i="40"/>
  <c r="AT110" i="40"/>
  <c r="AK110" i="40"/>
  <c r="AJ110" i="40"/>
  <c r="AI110" i="40"/>
  <c r="AH110" i="40"/>
  <c r="AG110" i="40"/>
  <c r="AD110" i="40"/>
  <c r="AC110" i="40"/>
  <c r="AB110" i="40"/>
  <c r="AA110" i="40"/>
  <c r="Z110" i="40"/>
  <c r="Y110" i="40"/>
  <c r="X110" i="40"/>
  <c r="V110" i="40"/>
  <c r="BT109" i="40"/>
  <c r="BT110" i="40" s="1"/>
  <c r="BL109" i="40"/>
  <c r="BL110" i="40" s="1"/>
  <c r="BJ109" i="40"/>
  <c r="BJ110" i="40" s="1"/>
  <c r="BG109" i="40"/>
  <c r="BU109" i="40" s="1"/>
  <c r="BU110" i="40" s="1"/>
  <c r="BF109" i="40"/>
  <c r="AV109" i="40"/>
  <c r="BR109" i="40" s="1"/>
  <c r="BR110" i="40" s="1"/>
  <c r="AR109" i="40"/>
  <c r="AN109" i="40"/>
  <c r="AN110" i="40" s="1"/>
  <c r="AM109" i="40"/>
  <c r="AM110" i="40" s="1"/>
  <c r="AL109" i="40"/>
  <c r="BN109" i="40" s="1"/>
  <c r="AF109" i="40"/>
  <c r="AD109" i="40"/>
  <c r="BK109" i="40" s="1"/>
  <c r="BK110" i="40" s="1"/>
  <c r="W109" i="40"/>
  <c r="AE109" i="40" s="1"/>
  <c r="V109" i="40"/>
  <c r="CA108" i="40"/>
  <c r="BZ108" i="40"/>
  <c r="BY108" i="40"/>
  <c r="BX108" i="40"/>
  <c r="BW108" i="40"/>
  <c r="BV108" i="40"/>
  <c r="BD108" i="40"/>
  <c r="BC108" i="40"/>
  <c r="BA108" i="40"/>
  <c r="AZ108" i="40"/>
  <c r="AY108" i="40"/>
  <c r="AX108" i="40"/>
  <c r="AU108" i="40"/>
  <c r="AT108" i="40"/>
  <c r="AK108" i="40"/>
  <c r="AJ108" i="40"/>
  <c r="AI108" i="40"/>
  <c r="AH108" i="40"/>
  <c r="AG108" i="40"/>
  <c r="AC108" i="40"/>
  <c r="AB108" i="40"/>
  <c r="AA108" i="40"/>
  <c r="Z108" i="40"/>
  <c r="Y108" i="40"/>
  <c r="X108" i="40"/>
  <c r="V108" i="40"/>
  <c r="BK107" i="40"/>
  <c r="BG107" i="40"/>
  <c r="BU107" i="40" s="1"/>
  <c r="BF107" i="40"/>
  <c r="AV107" i="40"/>
  <c r="BR107" i="40" s="1"/>
  <c r="BR108" i="40" s="1"/>
  <c r="AM107" i="40"/>
  <c r="AN107" i="40" s="1"/>
  <c r="BM107" i="40" s="1"/>
  <c r="AL107" i="40"/>
  <c r="BN107" i="40" s="1"/>
  <c r="AE107" i="40"/>
  <c r="W107" i="40"/>
  <c r="V107" i="40"/>
  <c r="AD107" i="40" s="1"/>
  <c r="AO107" i="40" s="1"/>
  <c r="BN106" i="40"/>
  <c r="BK106" i="40"/>
  <c r="BG106" i="40"/>
  <c r="BU106" i="40" s="1"/>
  <c r="BF106" i="40"/>
  <c r="BT106" i="40" s="1"/>
  <c r="AV106" i="40"/>
  <c r="BR106" i="40" s="1"/>
  <c r="AP106" i="40"/>
  <c r="AN106" i="40"/>
  <c r="BM106" i="40" s="1"/>
  <c r="AM106" i="40"/>
  <c r="BO106" i="40" s="1"/>
  <c r="AL106" i="40"/>
  <c r="AE106" i="40"/>
  <c r="BL106" i="40" s="1"/>
  <c r="AD106" i="40"/>
  <c r="AO106" i="40" s="1"/>
  <c r="AQ106" i="40" s="1"/>
  <c r="W106" i="40"/>
  <c r="V106" i="40"/>
  <c r="BT105" i="40"/>
  <c r="BR105" i="40"/>
  <c r="BO105" i="40"/>
  <c r="BG105" i="40"/>
  <c r="BU105" i="40" s="1"/>
  <c r="BF105" i="40"/>
  <c r="AV105" i="40"/>
  <c r="AO105" i="40"/>
  <c r="AM105" i="40"/>
  <c r="AL105" i="40"/>
  <c r="AE105" i="40"/>
  <c r="AD105" i="40"/>
  <c r="BK105" i="40" s="1"/>
  <c r="W105" i="40"/>
  <c r="V105" i="40"/>
  <c r="BN104" i="40"/>
  <c r="BG104" i="40"/>
  <c r="BU104" i="40" s="1"/>
  <c r="BF104" i="40"/>
  <c r="AV104" i="40"/>
  <c r="BR104" i="40" s="1"/>
  <c r="AM104" i="40"/>
  <c r="AL104" i="40"/>
  <c r="W104" i="40"/>
  <c r="V104" i="40"/>
  <c r="AD104" i="40" s="1"/>
  <c r="BT103" i="40"/>
  <c r="BO103" i="40"/>
  <c r="BG103" i="40"/>
  <c r="BF103" i="40"/>
  <c r="AV103" i="40"/>
  <c r="BR103" i="40" s="1"/>
  <c r="AN103" i="40"/>
  <c r="BM103" i="40" s="1"/>
  <c r="AM103" i="40"/>
  <c r="AL103" i="40"/>
  <c r="AL108" i="40" s="1"/>
  <c r="AD103" i="40"/>
  <c r="W103" i="40"/>
  <c r="AE103" i="40" s="1"/>
  <c r="V103" i="40"/>
  <c r="CA102" i="40"/>
  <c r="BZ102" i="40"/>
  <c r="BY102" i="40"/>
  <c r="BX102" i="40"/>
  <c r="BW102" i="40"/>
  <c r="BV102" i="40"/>
  <c r="BT102" i="40"/>
  <c r="BD102" i="40"/>
  <c r="BC102" i="40"/>
  <c r="BA102" i="40"/>
  <c r="AZ102" i="40"/>
  <c r="AY102" i="40"/>
  <c r="AX102" i="40"/>
  <c r="AU102" i="40"/>
  <c r="AT102" i="40"/>
  <c r="AL102" i="40"/>
  <c r="AK102" i="40"/>
  <c r="AJ102" i="40"/>
  <c r="AI102" i="40"/>
  <c r="AH102" i="40"/>
  <c r="AG102" i="40"/>
  <c r="AC102" i="40"/>
  <c r="AB102" i="40"/>
  <c r="AA102" i="40"/>
  <c r="Z102" i="40"/>
  <c r="Y102" i="40"/>
  <c r="X102" i="40"/>
  <c r="BR101" i="40"/>
  <c r="BN101" i="40"/>
  <c r="BG101" i="40"/>
  <c r="BU101" i="40" s="1"/>
  <c r="BF101" i="40"/>
  <c r="BT101" i="40" s="1"/>
  <c r="AV101" i="40"/>
  <c r="AM101" i="40"/>
  <c r="BO101" i="40" s="1"/>
  <c r="AL101" i="40"/>
  <c r="AE101" i="40"/>
  <c r="W101" i="40"/>
  <c r="V101" i="40"/>
  <c r="AD101" i="40" s="1"/>
  <c r="BN100" i="40"/>
  <c r="BL100" i="40"/>
  <c r="BG100" i="40"/>
  <c r="BU100" i="40" s="1"/>
  <c r="BF100" i="40"/>
  <c r="BT100" i="40" s="1"/>
  <c r="AV100" i="40"/>
  <c r="BR100" i="40" s="1"/>
  <c r="AM100" i="40"/>
  <c r="AN100" i="40" s="1"/>
  <c r="BM100" i="40" s="1"/>
  <c r="AL100" i="40"/>
  <c r="AE100" i="40"/>
  <c r="W100" i="40"/>
  <c r="V100" i="40"/>
  <c r="AD100" i="40" s="1"/>
  <c r="BT99" i="40"/>
  <c r="BN99" i="40"/>
  <c r="BG99" i="40"/>
  <c r="BU99" i="40" s="1"/>
  <c r="BF99" i="40"/>
  <c r="AV99" i="40"/>
  <c r="AM99" i="40"/>
  <c r="AL99" i="40"/>
  <c r="AD99" i="40"/>
  <c r="W99" i="40"/>
  <c r="V99" i="40"/>
  <c r="CA98" i="40"/>
  <c r="BZ98" i="40"/>
  <c r="BY98" i="40"/>
  <c r="BX98" i="40"/>
  <c r="BW98" i="40"/>
  <c r="BV98" i="40"/>
  <c r="BD98" i="40"/>
  <c r="BC98" i="40"/>
  <c r="BA98" i="40"/>
  <c r="AZ98" i="40"/>
  <c r="AY98" i="40"/>
  <c r="AX98" i="40"/>
  <c r="AU98" i="40"/>
  <c r="AT98" i="40"/>
  <c r="AK98" i="40"/>
  <c r="AJ98" i="40"/>
  <c r="AI98" i="40"/>
  <c r="AH98" i="40"/>
  <c r="AG98" i="40"/>
  <c r="AC98" i="40"/>
  <c r="AB98" i="40"/>
  <c r="AA98" i="40"/>
  <c r="Z98" i="40"/>
  <c r="Y98" i="40"/>
  <c r="X98" i="40"/>
  <c r="BN97" i="40"/>
  <c r="BG97" i="40"/>
  <c r="BU97" i="40" s="1"/>
  <c r="BF97" i="40"/>
  <c r="BH97" i="40" s="1"/>
  <c r="BS97" i="40" s="1"/>
  <c r="AV97" i="40"/>
  <c r="BR97" i="40" s="1"/>
  <c r="AP97" i="40"/>
  <c r="AN97" i="40"/>
  <c r="BM97" i="40" s="1"/>
  <c r="AM97" i="40"/>
  <c r="BO97" i="40" s="1"/>
  <c r="AL97" i="40"/>
  <c r="AF97" i="40"/>
  <c r="W97" i="40"/>
  <c r="AE97" i="40" s="1"/>
  <c r="BL97" i="40" s="1"/>
  <c r="V97" i="40"/>
  <c r="AD97" i="40" s="1"/>
  <c r="BT96" i="40"/>
  <c r="BO96" i="40"/>
  <c r="BG96" i="40"/>
  <c r="BU96" i="40" s="1"/>
  <c r="BF96" i="40"/>
  <c r="AV96" i="40"/>
  <c r="BR96" i="40" s="1"/>
  <c r="AM96" i="40"/>
  <c r="AL96" i="40"/>
  <c r="W96" i="40"/>
  <c r="AE96" i="40" s="1"/>
  <c r="V96" i="40"/>
  <c r="AD96" i="40" s="1"/>
  <c r="BR95" i="40"/>
  <c r="BO95" i="40"/>
  <c r="BK95" i="40"/>
  <c r="BG95" i="40"/>
  <c r="BU95" i="40" s="1"/>
  <c r="BF95" i="40"/>
  <c r="AV95" i="40"/>
  <c r="AN95" i="40"/>
  <c r="BM95" i="40" s="1"/>
  <c r="AM95" i="40"/>
  <c r="AL95" i="40"/>
  <c r="BN95" i="40" s="1"/>
  <c r="W95" i="40"/>
  <c r="AE95" i="40" s="1"/>
  <c r="V95" i="40"/>
  <c r="AD95" i="40" s="1"/>
  <c r="BR94" i="40"/>
  <c r="BG94" i="40"/>
  <c r="BU94" i="40" s="1"/>
  <c r="BF94" i="40"/>
  <c r="AV94" i="40"/>
  <c r="AM94" i="40"/>
  <c r="AL94" i="40"/>
  <c r="BN94" i="40" s="1"/>
  <c r="AE94" i="40"/>
  <c r="BL94" i="40" s="1"/>
  <c r="W94" i="40"/>
  <c r="V94" i="40"/>
  <c r="BR93" i="40"/>
  <c r="BL93" i="40"/>
  <c r="BK93" i="40"/>
  <c r="BG93" i="40"/>
  <c r="BH93" i="40" s="1"/>
  <c r="BF93" i="40"/>
  <c r="BT93" i="40" s="1"/>
  <c r="AV93" i="40"/>
  <c r="AM93" i="40"/>
  <c r="BO93" i="40" s="1"/>
  <c r="AL93" i="40"/>
  <c r="BN93" i="40" s="1"/>
  <c r="AE93" i="40"/>
  <c r="AP93" i="40" s="1"/>
  <c r="AD93" i="40"/>
  <c r="W93" i="40"/>
  <c r="V93" i="40"/>
  <c r="CA92" i="40"/>
  <c r="BZ92" i="40"/>
  <c r="BY92" i="40"/>
  <c r="BX92" i="40"/>
  <c r="BW92" i="40"/>
  <c r="BV92" i="40"/>
  <c r="BD92" i="40"/>
  <c r="BC92" i="40"/>
  <c r="BA92" i="40"/>
  <c r="AZ92" i="40"/>
  <c r="AY92" i="40"/>
  <c r="AX92" i="40"/>
  <c r="AU92" i="40"/>
  <c r="AT92" i="40"/>
  <c r="AL92" i="40"/>
  <c r="AK92" i="40"/>
  <c r="AJ92" i="40"/>
  <c r="AI92" i="40"/>
  <c r="AH92" i="40"/>
  <c r="AG92" i="40"/>
  <c r="AC92" i="40"/>
  <c r="AB92" i="40"/>
  <c r="AA92" i="40"/>
  <c r="Z92" i="40"/>
  <c r="Y92" i="40"/>
  <c r="X92" i="40"/>
  <c r="BR91" i="40"/>
  <c r="BN91" i="40"/>
  <c r="BG91" i="40"/>
  <c r="BU91" i="40" s="1"/>
  <c r="BF91" i="40"/>
  <c r="BT91" i="40" s="1"/>
  <c r="AV91" i="40"/>
  <c r="AM91" i="40"/>
  <c r="BO91" i="40" s="1"/>
  <c r="AL91" i="40"/>
  <c r="AE91" i="40"/>
  <c r="W91" i="40"/>
  <c r="V91" i="40"/>
  <c r="AD91" i="40" s="1"/>
  <c r="BL90" i="40"/>
  <c r="BH90" i="40"/>
  <c r="BS90" i="40" s="1"/>
  <c r="BG90" i="40"/>
  <c r="BU90" i="40" s="1"/>
  <c r="BF90" i="40"/>
  <c r="BT90" i="40" s="1"/>
  <c r="AV90" i="40"/>
  <c r="BR90" i="40" s="1"/>
  <c r="AM90" i="40"/>
  <c r="BO90" i="40" s="1"/>
  <c r="AL90" i="40"/>
  <c r="BN90" i="40" s="1"/>
  <c r="AE90" i="40"/>
  <c r="AF90" i="40" s="1"/>
  <c r="W90" i="40"/>
  <c r="V90" i="40"/>
  <c r="AD90" i="40" s="1"/>
  <c r="BT89" i="40"/>
  <c r="BT92" i="40" s="1"/>
  <c r="BN89" i="40"/>
  <c r="BN92" i="40" s="1"/>
  <c r="BG89" i="40"/>
  <c r="BU89" i="40" s="1"/>
  <c r="BF89" i="40"/>
  <c r="BF92" i="40" s="1"/>
  <c r="AV89" i="40"/>
  <c r="BR89" i="40" s="1"/>
  <c r="AM89" i="40"/>
  <c r="AM92" i="40" s="1"/>
  <c r="AL89" i="40"/>
  <c r="AD89" i="40"/>
  <c r="W89" i="40"/>
  <c r="AE89" i="40" s="1"/>
  <c r="V89" i="40"/>
  <c r="V92" i="40" s="1"/>
  <c r="CA88" i="40"/>
  <c r="BZ88" i="40"/>
  <c r="BY88" i="40"/>
  <c r="BX88" i="40"/>
  <c r="BW88" i="40"/>
  <c r="BV88" i="40"/>
  <c r="BD88" i="40"/>
  <c r="BC88" i="40"/>
  <c r="BA88" i="40"/>
  <c r="AZ88" i="40"/>
  <c r="AY88" i="40"/>
  <c r="AX88" i="40"/>
  <c r="AU88" i="40"/>
  <c r="AT88" i="40"/>
  <c r="AK88" i="40"/>
  <c r="AJ88" i="40"/>
  <c r="AI88" i="40"/>
  <c r="AH88" i="40"/>
  <c r="AG88" i="40"/>
  <c r="AC88" i="40"/>
  <c r="AB88" i="40"/>
  <c r="AA88" i="40"/>
  <c r="Z88" i="40"/>
  <c r="Y88" i="40"/>
  <c r="X88" i="40"/>
  <c r="BR87" i="40"/>
  <c r="BO87" i="40"/>
  <c r="BN87" i="40"/>
  <c r="BG87" i="40"/>
  <c r="BU87" i="40" s="1"/>
  <c r="BF87" i="40"/>
  <c r="AV87" i="40"/>
  <c r="AR87" i="40"/>
  <c r="BP87" i="40" s="1"/>
  <c r="AN87" i="40"/>
  <c r="BM87" i="40" s="1"/>
  <c r="AM87" i="40"/>
  <c r="AL87" i="40"/>
  <c r="AF87" i="40"/>
  <c r="W87" i="40"/>
  <c r="AE87" i="40" s="1"/>
  <c r="V87" i="40"/>
  <c r="AD87" i="40" s="1"/>
  <c r="BT86" i="40"/>
  <c r="BO86" i="40"/>
  <c r="BG86" i="40"/>
  <c r="BU86" i="40" s="1"/>
  <c r="BF86" i="40"/>
  <c r="AV86" i="40"/>
  <c r="BR86" i="40" s="1"/>
  <c r="AN86" i="40"/>
  <c r="BM86" i="40" s="1"/>
  <c r="AM86" i="40"/>
  <c r="AL86" i="40"/>
  <c r="BN86" i="40" s="1"/>
  <c r="W86" i="40"/>
  <c r="AE86" i="40" s="1"/>
  <c r="V86" i="40"/>
  <c r="AD86" i="40" s="1"/>
  <c r="BK86" i="40" s="1"/>
  <c r="BR85" i="40"/>
  <c r="BO85" i="40"/>
  <c r="BN85" i="40"/>
  <c r="BG85" i="40"/>
  <c r="BH85" i="40" s="1"/>
  <c r="BS85" i="40" s="1"/>
  <c r="BF85" i="40"/>
  <c r="BT85" i="40" s="1"/>
  <c r="AV85" i="40"/>
  <c r="AN85" i="40"/>
  <c r="BM85" i="40" s="1"/>
  <c r="AM85" i="40"/>
  <c r="AL85" i="40"/>
  <c r="AE85" i="40"/>
  <c r="W85" i="40"/>
  <c r="V85" i="40"/>
  <c r="AD85" i="40" s="1"/>
  <c r="BR84" i="40"/>
  <c r="BG84" i="40"/>
  <c r="BU84" i="40" s="1"/>
  <c r="BF84" i="40"/>
  <c r="AV84" i="40"/>
  <c r="AM84" i="40"/>
  <c r="AL84" i="40"/>
  <c r="BN84" i="40" s="1"/>
  <c r="AE84" i="40"/>
  <c r="AP84" i="40" s="1"/>
  <c r="W84" i="40"/>
  <c r="V84" i="40"/>
  <c r="AD84" i="40" s="1"/>
  <c r="BN83" i="40"/>
  <c r="BK83" i="40"/>
  <c r="BG83" i="40"/>
  <c r="BU83" i="40" s="1"/>
  <c r="BF83" i="40"/>
  <c r="BT83" i="40" s="1"/>
  <c r="AV83" i="40"/>
  <c r="AV88" i="40" s="1"/>
  <c r="AP83" i="40"/>
  <c r="AN83" i="40"/>
  <c r="BM83" i="40" s="1"/>
  <c r="AM83" i="40"/>
  <c r="BO83" i="40" s="1"/>
  <c r="AL83" i="40"/>
  <c r="AE83" i="40"/>
  <c r="AD83" i="40"/>
  <c r="AO83" i="40" s="1"/>
  <c r="W83" i="40"/>
  <c r="V83" i="40"/>
  <c r="BR82" i="40"/>
  <c r="BO82" i="40"/>
  <c r="BL82" i="40"/>
  <c r="BH82" i="40"/>
  <c r="BS82" i="40" s="1"/>
  <c r="BG82" i="40"/>
  <c r="BF82" i="40"/>
  <c r="BT82" i="40" s="1"/>
  <c r="AV82" i="40"/>
  <c r="AM82" i="40"/>
  <c r="AM88" i="40" s="1"/>
  <c r="AL82" i="40"/>
  <c r="AN82" i="40" s="1"/>
  <c r="AE82" i="40"/>
  <c r="W82" i="40"/>
  <c r="W88" i="40" s="1"/>
  <c r="V82" i="40"/>
  <c r="CA81" i="40"/>
  <c r="BZ81" i="40"/>
  <c r="BY81" i="40"/>
  <c r="BX81" i="40"/>
  <c r="BW81" i="40"/>
  <c r="BV81" i="40"/>
  <c r="BD81" i="40"/>
  <c r="BC81" i="40"/>
  <c r="BA81" i="40"/>
  <c r="AZ81" i="40"/>
  <c r="AY81" i="40"/>
  <c r="AX81" i="40"/>
  <c r="AU81" i="40"/>
  <c r="AT81" i="40"/>
  <c r="AK81" i="40"/>
  <c r="AJ81" i="40"/>
  <c r="AI81" i="40"/>
  <c r="AH81" i="40"/>
  <c r="AG81" i="40"/>
  <c r="AC81" i="40"/>
  <c r="AB81" i="40"/>
  <c r="AA81" i="40"/>
  <c r="Z81" i="40"/>
  <c r="Y81" i="40"/>
  <c r="X81" i="40"/>
  <c r="W81" i="40"/>
  <c r="BN80" i="40"/>
  <c r="BH80" i="40"/>
  <c r="BS80" i="40" s="1"/>
  <c r="BG80" i="40"/>
  <c r="BU80" i="40" s="1"/>
  <c r="BF80" i="40"/>
  <c r="BT80" i="40" s="1"/>
  <c r="AV80" i="40"/>
  <c r="BR80" i="40" s="1"/>
  <c r="AN80" i="40"/>
  <c r="BM80" i="40" s="1"/>
  <c r="AM80" i="40"/>
  <c r="BO80" i="40" s="1"/>
  <c r="AL80" i="40"/>
  <c r="AF80" i="40"/>
  <c r="AD80" i="40"/>
  <c r="AO80" i="40" s="1"/>
  <c r="W80" i="40"/>
  <c r="AE80" i="40" s="1"/>
  <c r="V80" i="40"/>
  <c r="BT79" i="40"/>
  <c r="BR79" i="40"/>
  <c r="BM79" i="40"/>
  <c r="BL79" i="40"/>
  <c r="BG79" i="40"/>
  <c r="BU79" i="40" s="1"/>
  <c r="BF79" i="40"/>
  <c r="BH79" i="40" s="1"/>
  <c r="BS79" i="40" s="1"/>
  <c r="AV79" i="40"/>
  <c r="AP79" i="40"/>
  <c r="AM79" i="40"/>
  <c r="BO79" i="40" s="1"/>
  <c r="AL79" i="40"/>
  <c r="AN79" i="40" s="1"/>
  <c r="AE79" i="40"/>
  <c r="AD79" i="40"/>
  <c r="W79" i="40"/>
  <c r="V79" i="40"/>
  <c r="BR78" i="40"/>
  <c r="BN78" i="40"/>
  <c r="BG78" i="40"/>
  <c r="BH78" i="40" s="1"/>
  <c r="BS78" i="40" s="1"/>
  <c r="BF78" i="40"/>
  <c r="BT78" i="40" s="1"/>
  <c r="AV78" i="40"/>
  <c r="AM78" i="40"/>
  <c r="BO78" i="40" s="1"/>
  <c r="AL78" i="40"/>
  <c r="AE78" i="40"/>
  <c r="W78" i="40"/>
  <c r="V78" i="40"/>
  <c r="AD78" i="40" s="1"/>
  <c r="BT77" i="40"/>
  <c r="BG77" i="40"/>
  <c r="BU77" i="40" s="1"/>
  <c r="BF77" i="40"/>
  <c r="AV77" i="40"/>
  <c r="BR77" i="40" s="1"/>
  <c r="AN77" i="40"/>
  <c r="BM77" i="40" s="1"/>
  <c r="AM77" i="40"/>
  <c r="BO77" i="40" s="1"/>
  <c r="AL77" i="40"/>
  <c r="BN77" i="40" s="1"/>
  <c r="W77" i="40"/>
  <c r="AE77" i="40" s="1"/>
  <c r="V77" i="40"/>
  <c r="AD77" i="40" s="1"/>
  <c r="BU76" i="40"/>
  <c r="BT76" i="40"/>
  <c r="BK76" i="40"/>
  <c r="BG76" i="40"/>
  <c r="BH76" i="40" s="1"/>
  <c r="BS76" i="40" s="1"/>
  <c r="BF76" i="40"/>
  <c r="AV76" i="40"/>
  <c r="BR76" i="40" s="1"/>
  <c r="AO76" i="40"/>
  <c r="AM76" i="40"/>
  <c r="BO76" i="40" s="1"/>
  <c r="AL76" i="40"/>
  <c r="AN76" i="40" s="1"/>
  <c r="BM76" i="40" s="1"/>
  <c r="AD76" i="40"/>
  <c r="W76" i="40"/>
  <c r="AE76" i="40" s="1"/>
  <c r="V76" i="40"/>
  <c r="BR75" i="40"/>
  <c r="BL75" i="40"/>
  <c r="BG75" i="40"/>
  <c r="BU75" i="40" s="1"/>
  <c r="BF75" i="40"/>
  <c r="AV75" i="40"/>
  <c r="AV81" i="40" s="1"/>
  <c r="AP75" i="40"/>
  <c r="AM75" i="40"/>
  <c r="AL75" i="40"/>
  <c r="BN75" i="40" s="1"/>
  <c r="AE75" i="40"/>
  <c r="W75" i="40"/>
  <c r="V75" i="40"/>
  <c r="V81" i="40" s="1"/>
  <c r="CA74" i="40"/>
  <c r="BZ74" i="40"/>
  <c r="BY74" i="40"/>
  <c r="BX74" i="40"/>
  <c r="BW74" i="40"/>
  <c r="BV74" i="40"/>
  <c r="BD74" i="40"/>
  <c r="BC74" i="40"/>
  <c r="BA74" i="40"/>
  <c r="AZ74" i="40"/>
  <c r="AY74" i="40"/>
  <c r="AX74" i="40"/>
  <c r="AU74" i="40"/>
  <c r="AT74" i="40"/>
  <c r="AK74" i="40"/>
  <c r="AJ74" i="40"/>
  <c r="AI74" i="40"/>
  <c r="AH74" i="40"/>
  <c r="AG74" i="40"/>
  <c r="AC74" i="40"/>
  <c r="AB74" i="40"/>
  <c r="AA74" i="40"/>
  <c r="Z74" i="40"/>
  <c r="Y74" i="40"/>
  <c r="X74" i="40"/>
  <c r="BT73" i="40"/>
  <c r="BK73" i="40"/>
  <c r="BG73" i="40"/>
  <c r="BU73" i="40" s="1"/>
  <c r="BF73" i="40"/>
  <c r="AV73" i="40"/>
  <c r="BR73" i="40" s="1"/>
  <c r="AO73" i="40"/>
  <c r="AM73" i="40"/>
  <c r="BO73" i="40" s="1"/>
  <c r="AL73" i="40"/>
  <c r="AN73" i="40" s="1"/>
  <c r="BM73" i="40" s="1"/>
  <c r="AD73" i="40"/>
  <c r="W73" i="40"/>
  <c r="AE73" i="40" s="1"/>
  <c r="V73" i="40"/>
  <c r="BR72" i="40"/>
  <c r="BL72" i="40"/>
  <c r="BG72" i="40"/>
  <c r="BU72" i="40" s="1"/>
  <c r="BF72" i="40"/>
  <c r="AV72" i="40"/>
  <c r="AP72" i="40"/>
  <c r="AM72" i="40"/>
  <c r="AN72" i="40" s="1"/>
  <c r="BM72" i="40" s="1"/>
  <c r="AL72" i="40"/>
  <c r="BN72" i="40" s="1"/>
  <c r="AE72" i="40"/>
  <c r="W72" i="40"/>
  <c r="V72" i="40"/>
  <c r="AD72" i="40" s="1"/>
  <c r="BG71" i="40"/>
  <c r="BU71" i="40" s="1"/>
  <c r="BF71" i="40"/>
  <c r="BT71" i="40" s="1"/>
  <c r="BE176" i="40"/>
  <c r="AU71" i="40"/>
  <c r="AU176" i="40" s="1"/>
  <c r="AM71" i="40"/>
  <c r="BO71" i="40" s="1"/>
  <c r="AL71" i="40"/>
  <c r="BN71" i="40" s="1"/>
  <c r="AA71" i="40"/>
  <c r="AA176" i="40" s="1"/>
  <c r="W71" i="40"/>
  <c r="AE71" i="40" s="1"/>
  <c r="V71" i="40"/>
  <c r="AD71" i="40" s="1"/>
  <c r="BT70" i="40"/>
  <c r="BH70" i="40"/>
  <c r="BS70" i="40" s="1"/>
  <c r="BG70" i="40"/>
  <c r="BU70" i="40" s="1"/>
  <c r="BF70" i="40"/>
  <c r="AV70" i="40"/>
  <c r="BR70" i="40" s="1"/>
  <c r="AM70" i="40"/>
  <c r="BO70" i="40" s="1"/>
  <c r="AL70" i="40"/>
  <c r="AN70" i="40" s="1"/>
  <c r="BM70" i="40" s="1"/>
  <c r="AD70" i="40"/>
  <c r="BK70" i="40" s="1"/>
  <c r="W70" i="40"/>
  <c r="AE70" i="40" s="1"/>
  <c r="V70" i="40"/>
  <c r="BU69" i="40"/>
  <c r="BR69" i="40"/>
  <c r="BG69" i="40"/>
  <c r="BF69" i="40"/>
  <c r="AV69" i="40"/>
  <c r="AN69" i="40"/>
  <c r="BM69" i="40" s="1"/>
  <c r="AM69" i="40"/>
  <c r="AL69" i="40"/>
  <c r="BN69" i="40" s="1"/>
  <c r="AE69" i="40"/>
  <c r="W69" i="40"/>
  <c r="V69" i="40"/>
  <c r="V74" i="40" s="1"/>
  <c r="BM68" i="40"/>
  <c r="BG68" i="40"/>
  <c r="BU68" i="40" s="1"/>
  <c r="BF68" i="40"/>
  <c r="BF74" i="40" s="1"/>
  <c r="AV68" i="40"/>
  <c r="BR68" i="40" s="1"/>
  <c r="AN68" i="40"/>
  <c r="AM68" i="40"/>
  <c r="BO68" i="40" s="1"/>
  <c r="AL68" i="40"/>
  <c r="BN68" i="40" s="1"/>
  <c r="AF68" i="40"/>
  <c r="AD68" i="40"/>
  <c r="BK68" i="40" s="1"/>
  <c r="W68" i="40"/>
  <c r="AE68" i="40" s="1"/>
  <c r="V68" i="40"/>
  <c r="CA67" i="40"/>
  <c r="BZ67" i="40"/>
  <c r="BY67" i="40"/>
  <c r="BX67" i="40"/>
  <c r="BW67" i="40"/>
  <c r="BV67" i="40"/>
  <c r="BD67" i="40"/>
  <c r="BC67" i="40"/>
  <c r="BA67" i="40"/>
  <c r="AZ67" i="40"/>
  <c r="AY67" i="40"/>
  <c r="AX67" i="40"/>
  <c r="AU67" i="40"/>
  <c r="AT67" i="40"/>
  <c r="AK67" i="40"/>
  <c r="AJ67" i="40"/>
  <c r="AI67" i="40"/>
  <c r="AH67" i="40"/>
  <c r="AG67" i="40"/>
  <c r="AD67" i="40"/>
  <c r="AC67" i="40"/>
  <c r="AB67" i="40"/>
  <c r="AA67" i="40"/>
  <c r="Z67" i="40"/>
  <c r="Y67" i="40"/>
  <c r="X67" i="40"/>
  <c r="BR66" i="40"/>
  <c r="BL66" i="40"/>
  <c r="BG66" i="40"/>
  <c r="BU66" i="40" s="1"/>
  <c r="BF66" i="40"/>
  <c r="AV66" i="40"/>
  <c r="AN66" i="40"/>
  <c r="BM66" i="40" s="1"/>
  <c r="AM66" i="40"/>
  <c r="BO66" i="40" s="1"/>
  <c r="AL66" i="40"/>
  <c r="BN66" i="40" s="1"/>
  <c r="AE66" i="40"/>
  <c r="AP66" i="40" s="1"/>
  <c r="W66" i="40"/>
  <c r="V66" i="40"/>
  <c r="AD66" i="40" s="1"/>
  <c r="BM65" i="40"/>
  <c r="BG65" i="40"/>
  <c r="BU65" i="40" s="1"/>
  <c r="BF65" i="40"/>
  <c r="BT65" i="40" s="1"/>
  <c r="AV65" i="40"/>
  <c r="BR65" i="40" s="1"/>
  <c r="AN65" i="40"/>
  <c r="AM65" i="40"/>
  <c r="BO65" i="40" s="1"/>
  <c r="AL65" i="40"/>
  <c r="BN65" i="40" s="1"/>
  <c r="AF65" i="40"/>
  <c r="AD65" i="40"/>
  <c r="BK65" i="40" s="1"/>
  <c r="W65" i="40"/>
  <c r="AE65" i="40" s="1"/>
  <c r="V65" i="40"/>
  <c r="BT64" i="40"/>
  <c r="BR64" i="40"/>
  <c r="BG64" i="40"/>
  <c r="BU64" i="40" s="1"/>
  <c r="BF64" i="40"/>
  <c r="AV64" i="40"/>
  <c r="AR64" i="40"/>
  <c r="BP64" i="40" s="1"/>
  <c r="AM64" i="40"/>
  <c r="BO64" i="40" s="1"/>
  <c r="AL64" i="40"/>
  <c r="AE64" i="40"/>
  <c r="BL64" i="40" s="1"/>
  <c r="AD64" i="40"/>
  <c r="AF64" i="40" s="1"/>
  <c r="W64" i="40"/>
  <c r="V64" i="40"/>
  <c r="BR63" i="40"/>
  <c r="BG63" i="40"/>
  <c r="BU63" i="40" s="1"/>
  <c r="BF63" i="40"/>
  <c r="BT63" i="40" s="1"/>
  <c r="AV63" i="40"/>
  <c r="AM63" i="40"/>
  <c r="BO63" i="40" s="1"/>
  <c r="AL63" i="40"/>
  <c r="BN63" i="40" s="1"/>
  <c r="AE63" i="40"/>
  <c r="BL63" i="40" s="1"/>
  <c r="W63" i="40"/>
  <c r="V63" i="40"/>
  <c r="AD63" i="40" s="1"/>
  <c r="BT62" i="40"/>
  <c r="BH62" i="40"/>
  <c r="BS62" i="40" s="1"/>
  <c r="BG62" i="40"/>
  <c r="BF62" i="40"/>
  <c r="AV62" i="40"/>
  <c r="AN62" i="40"/>
  <c r="BM62" i="40" s="1"/>
  <c r="AM62" i="40"/>
  <c r="BO62" i="40" s="1"/>
  <c r="AL62" i="40"/>
  <c r="BN62" i="40" s="1"/>
  <c r="W62" i="40"/>
  <c r="AE62" i="40" s="1"/>
  <c r="V62" i="40"/>
  <c r="AD62" i="40" s="1"/>
  <c r="BT61" i="40"/>
  <c r="BG61" i="40"/>
  <c r="BU61" i="40" s="1"/>
  <c r="BF61" i="40"/>
  <c r="AV61" i="40"/>
  <c r="BR61" i="40" s="1"/>
  <c r="AM61" i="40"/>
  <c r="AL61" i="40"/>
  <c r="W61" i="40"/>
  <c r="W67" i="40" s="1"/>
  <c r="V61" i="40"/>
  <c r="AD61" i="40" s="1"/>
  <c r="CA60" i="40"/>
  <c r="BZ60" i="40"/>
  <c r="BY60" i="40"/>
  <c r="BX60" i="40"/>
  <c r="BW60" i="40"/>
  <c r="BV60" i="40"/>
  <c r="BF60" i="40"/>
  <c r="BD60" i="40"/>
  <c r="BC60" i="40"/>
  <c r="BA60" i="40"/>
  <c r="AZ60" i="40"/>
  <c r="AY60" i="40"/>
  <c r="AX60" i="40"/>
  <c r="AU60" i="40"/>
  <c r="AT60" i="40"/>
  <c r="AK60" i="40"/>
  <c r="AJ60" i="40"/>
  <c r="AI60" i="40"/>
  <c r="AH60" i="40"/>
  <c r="AG60" i="40"/>
  <c r="AC60" i="40"/>
  <c r="AB60" i="40"/>
  <c r="AA60" i="40"/>
  <c r="Z60" i="40"/>
  <c r="Y60" i="40"/>
  <c r="X60" i="40"/>
  <c r="V60" i="40"/>
  <c r="BT59" i="40"/>
  <c r="BH59" i="40"/>
  <c r="BS59" i="40" s="1"/>
  <c r="BG59" i="40"/>
  <c r="BU59" i="40" s="1"/>
  <c r="BF59" i="40"/>
  <c r="AV59" i="40"/>
  <c r="BR59" i="40" s="1"/>
  <c r="AN59" i="40"/>
  <c r="BM59" i="40" s="1"/>
  <c r="AM59" i="40"/>
  <c r="BO59" i="40" s="1"/>
  <c r="AL59" i="40"/>
  <c r="BN59" i="40" s="1"/>
  <c r="W59" i="40"/>
  <c r="AE59" i="40" s="1"/>
  <c r="V59" i="40"/>
  <c r="AD59" i="40" s="1"/>
  <c r="BU58" i="40"/>
  <c r="BT58" i="40"/>
  <c r="BK58" i="40"/>
  <c r="BH58" i="40"/>
  <c r="BS58" i="40" s="1"/>
  <c r="BG58" i="40"/>
  <c r="BF58" i="40"/>
  <c r="AV58" i="40"/>
  <c r="BR58" i="40" s="1"/>
  <c r="AM58" i="40"/>
  <c r="BO58" i="40" s="1"/>
  <c r="AL58" i="40"/>
  <c r="AD58" i="40"/>
  <c r="AO58" i="40" s="1"/>
  <c r="W58" i="40"/>
  <c r="AE58" i="40" s="1"/>
  <c r="V58" i="40"/>
  <c r="BG57" i="40"/>
  <c r="BU57" i="40" s="1"/>
  <c r="BF57" i="40"/>
  <c r="AV57" i="40"/>
  <c r="BR57" i="40" s="1"/>
  <c r="AN57" i="40"/>
  <c r="BM57" i="40" s="1"/>
  <c r="AM57" i="40"/>
  <c r="BO57" i="40" s="1"/>
  <c r="AL57" i="40"/>
  <c r="BN57" i="40" s="1"/>
  <c r="W57" i="40"/>
  <c r="AE57" i="40" s="1"/>
  <c r="V57" i="40"/>
  <c r="AD57" i="40" s="1"/>
  <c r="BM56" i="40"/>
  <c r="BG56" i="40"/>
  <c r="BU56" i="40" s="1"/>
  <c r="BF56" i="40"/>
  <c r="BT56" i="40" s="1"/>
  <c r="AV56" i="40"/>
  <c r="BR56" i="40" s="1"/>
  <c r="AN56" i="40"/>
  <c r="AM56" i="40"/>
  <c r="BO56" i="40" s="1"/>
  <c r="AL56" i="40"/>
  <c r="BN56" i="40" s="1"/>
  <c r="AF56" i="40"/>
  <c r="AD56" i="40"/>
  <c r="BK56" i="40" s="1"/>
  <c r="W56" i="40"/>
  <c r="AE56" i="40" s="1"/>
  <c r="V56" i="40"/>
  <c r="BR55" i="40"/>
  <c r="BN55" i="40"/>
  <c r="BG55" i="40"/>
  <c r="BU55" i="40" s="1"/>
  <c r="BF55" i="40"/>
  <c r="BF173" i="40" s="1"/>
  <c r="AV55" i="40"/>
  <c r="AM55" i="40"/>
  <c r="AL55" i="40"/>
  <c r="AE55" i="40"/>
  <c r="AE173" i="40" s="1"/>
  <c r="AD55" i="40"/>
  <c r="W55" i="40"/>
  <c r="V55" i="40"/>
  <c r="BR54" i="40"/>
  <c r="BR60" i="40" s="1"/>
  <c r="BG54" i="40"/>
  <c r="BF54" i="40"/>
  <c r="AV54" i="40"/>
  <c r="AM54" i="40"/>
  <c r="AM60" i="40" s="1"/>
  <c r="AL54" i="40"/>
  <c r="BN54" i="40" s="1"/>
  <c r="AE54" i="40"/>
  <c r="W54" i="40"/>
  <c r="V54" i="40"/>
  <c r="AD54" i="40" s="1"/>
  <c r="CA53" i="40"/>
  <c r="BZ53" i="40"/>
  <c r="BY53" i="40"/>
  <c r="BX53" i="40"/>
  <c r="BW53" i="40"/>
  <c r="BV53" i="40"/>
  <c r="BN53" i="40"/>
  <c r="BD53" i="40"/>
  <c r="BC53" i="40"/>
  <c r="BA53" i="40"/>
  <c r="AZ53" i="40"/>
  <c r="AY53" i="40"/>
  <c r="AX53" i="40"/>
  <c r="AV53" i="40"/>
  <c r="AU53" i="40"/>
  <c r="AT53" i="40"/>
  <c r="AL53" i="40"/>
  <c r="AK53" i="40"/>
  <c r="AJ53" i="40"/>
  <c r="AI53" i="40"/>
  <c r="AH53" i="40"/>
  <c r="AG53" i="40"/>
  <c r="AD53" i="40"/>
  <c r="AC53" i="40"/>
  <c r="AB53" i="40"/>
  <c r="AA53" i="40"/>
  <c r="Z53" i="40"/>
  <c r="Y53" i="40"/>
  <c r="X53" i="40"/>
  <c r="W53" i="40"/>
  <c r="BR52" i="40"/>
  <c r="BN52" i="40"/>
  <c r="BK52" i="40"/>
  <c r="BG52" i="40"/>
  <c r="BF52" i="40"/>
  <c r="AV52" i="40"/>
  <c r="AV178" i="40" s="1"/>
  <c r="AO52" i="40"/>
  <c r="AM52" i="40"/>
  <c r="AM178" i="40" s="1"/>
  <c r="AL52" i="40"/>
  <c r="AF52" i="40"/>
  <c r="AE52" i="40"/>
  <c r="AE53" i="40" s="1"/>
  <c r="AD52" i="40"/>
  <c r="AD178" i="40" s="1"/>
  <c r="W52" i="40"/>
  <c r="W178" i="40" s="1"/>
  <c r="V52" i="40"/>
  <c r="V178" i="40" s="1"/>
  <c r="CA51" i="40"/>
  <c r="BZ51" i="40"/>
  <c r="BY51" i="40"/>
  <c r="BX51" i="40"/>
  <c r="BW51" i="40"/>
  <c r="BV51" i="40"/>
  <c r="BD51" i="40"/>
  <c r="BC51" i="40"/>
  <c r="BA51" i="40"/>
  <c r="AZ51" i="40"/>
  <c r="AY51" i="40"/>
  <c r="AX51" i="40"/>
  <c r="AU51" i="40"/>
  <c r="AT51" i="40"/>
  <c r="AK51" i="40"/>
  <c r="AJ51" i="40"/>
  <c r="AI51" i="40"/>
  <c r="AH51" i="40"/>
  <c r="AG51" i="40"/>
  <c r="AC51" i="40"/>
  <c r="AB51" i="40"/>
  <c r="AA51" i="40"/>
  <c r="Z51" i="40"/>
  <c r="Y51" i="40"/>
  <c r="X51" i="40"/>
  <c r="BK50" i="40"/>
  <c r="BH50" i="40"/>
  <c r="BS50" i="40" s="1"/>
  <c r="BG50" i="40"/>
  <c r="BU50" i="40" s="1"/>
  <c r="BF50" i="40"/>
  <c r="BT50" i="40" s="1"/>
  <c r="AV50" i="40"/>
  <c r="BR50" i="40" s="1"/>
  <c r="AN50" i="40"/>
  <c r="BM50" i="40" s="1"/>
  <c r="AM50" i="40"/>
  <c r="BO50" i="40" s="1"/>
  <c r="AL50" i="40"/>
  <c r="BN50" i="40" s="1"/>
  <c r="AD50" i="40"/>
  <c r="AO50" i="40" s="1"/>
  <c r="W50" i="40"/>
  <c r="AE50" i="40" s="1"/>
  <c r="AF50" i="40" s="1"/>
  <c r="V50" i="40"/>
  <c r="BT49" i="40"/>
  <c r="BR49" i="40"/>
  <c r="BO49" i="40"/>
  <c r="BM49" i="40"/>
  <c r="BG49" i="40"/>
  <c r="BU49" i="40" s="1"/>
  <c r="BF49" i="40"/>
  <c r="BH49" i="40" s="1"/>
  <c r="BS49" i="40" s="1"/>
  <c r="AV49" i="40"/>
  <c r="AP49" i="40"/>
  <c r="AM49" i="40"/>
  <c r="AL49" i="40"/>
  <c r="AN49" i="40" s="1"/>
  <c r="AE49" i="40"/>
  <c r="BL49" i="40" s="1"/>
  <c r="AD49" i="40"/>
  <c r="W49" i="40"/>
  <c r="V49" i="40"/>
  <c r="BR48" i="40"/>
  <c r="BG48" i="40"/>
  <c r="BU48" i="40" s="1"/>
  <c r="BF48" i="40"/>
  <c r="BT48" i="40" s="1"/>
  <c r="AV48" i="40"/>
  <c r="AM48" i="40"/>
  <c r="BO48" i="40" s="1"/>
  <c r="AL48" i="40"/>
  <c r="W48" i="40"/>
  <c r="AE48" i="40" s="1"/>
  <c r="V48" i="40"/>
  <c r="AD48" i="40" s="1"/>
  <c r="BT47" i="40"/>
  <c r="BO47" i="40"/>
  <c r="BG47" i="40"/>
  <c r="BU47" i="40" s="1"/>
  <c r="BF47" i="40"/>
  <c r="AV47" i="40"/>
  <c r="BR47" i="40" s="1"/>
  <c r="AO47" i="40"/>
  <c r="AM47" i="40"/>
  <c r="AL47" i="40"/>
  <c r="BN47" i="40" s="1"/>
  <c r="AD47" i="40"/>
  <c r="BK47" i="40" s="1"/>
  <c r="W47" i="40"/>
  <c r="AE47" i="40" s="1"/>
  <c r="V47" i="40"/>
  <c r="BR46" i="40"/>
  <c r="BG46" i="40"/>
  <c r="BU46" i="40" s="1"/>
  <c r="BF46" i="40"/>
  <c r="AV46" i="40"/>
  <c r="AM46" i="40"/>
  <c r="BO46" i="40" s="1"/>
  <c r="AL46" i="40"/>
  <c r="W46" i="40"/>
  <c r="AE46" i="40" s="1"/>
  <c r="V46" i="40"/>
  <c r="AD46" i="40" s="1"/>
  <c r="BO45" i="40"/>
  <c r="BO51" i="40" s="1"/>
  <c r="BG45" i="40"/>
  <c r="BU45" i="40" s="1"/>
  <c r="BF45" i="40"/>
  <c r="AV45" i="40"/>
  <c r="AV51" i="40" s="1"/>
  <c r="AN45" i="40"/>
  <c r="AM45" i="40"/>
  <c r="AL45" i="40"/>
  <c r="BN45" i="40" s="1"/>
  <c r="AD45" i="40"/>
  <c r="W45" i="40"/>
  <c r="AE45" i="40" s="1"/>
  <c r="BL45" i="40" s="1"/>
  <c r="V45" i="40"/>
  <c r="V51" i="40" s="1"/>
  <c r="CA44" i="40"/>
  <c r="BZ44" i="40"/>
  <c r="BY44" i="40"/>
  <c r="BX44" i="40"/>
  <c r="BW44" i="40"/>
  <c r="BV44" i="40"/>
  <c r="BD44" i="40"/>
  <c r="BC44" i="40"/>
  <c r="BA44" i="40"/>
  <c r="AZ44" i="40"/>
  <c r="AY44" i="40"/>
  <c r="AX44" i="40"/>
  <c r="AU44" i="40"/>
  <c r="AT44" i="40"/>
  <c r="AK44" i="40"/>
  <c r="AJ44" i="40"/>
  <c r="AI44" i="40"/>
  <c r="AH44" i="40"/>
  <c r="AG44" i="40"/>
  <c r="AC44" i="40"/>
  <c r="AB44" i="40"/>
  <c r="AA44" i="40"/>
  <c r="Z44" i="40"/>
  <c r="Y44" i="40"/>
  <c r="X44" i="40"/>
  <c r="BN43" i="40"/>
  <c r="BH43" i="40"/>
  <c r="BS43" i="40" s="1"/>
  <c r="BG43" i="40"/>
  <c r="BU43" i="40" s="1"/>
  <c r="BF43" i="40"/>
  <c r="BT43" i="40" s="1"/>
  <c r="AV43" i="40"/>
  <c r="BR43" i="40" s="1"/>
  <c r="AP43" i="40"/>
  <c r="AM43" i="40"/>
  <c r="BO43" i="40" s="1"/>
  <c r="AL43" i="40"/>
  <c r="AN43" i="40" s="1"/>
  <c r="BM43" i="40" s="1"/>
  <c r="AE43" i="40"/>
  <c r="BL43" i="40" s="1"/>
  <c r="AD43" i="40"/>
  <c r="W43" i="40"/>
  <c r="V43" i="40"/>
  <c r="BU42" i="40"/>
  <c r="BM42" i="40"/>
  <c r="BG42" i="40"/>
  <c r="BF42" i="40"/>
  <c r="AV42" i="40"/>
  <c r="BR42" i="40" s="1"/>
  <c r="AN42" i="40"/>
  <c r="AM42" i="40"/>
  <c r="BO42" i="40" s="1"/>
  <c r="AL42" i="40"/>
  <c r="BN42" i="40" s="1"/>
  <c r="AD42" i="40"/>
  <c r="BK42" i="40" s="1"/>
  <c r="W42" i="40"/>
  <c r="AE42" i="40" s="1"/>
  <c r="V42" i="40"/>
  <c r="BG41" i="40"/>
  <c r="BU41" i="40" s="1"/>
  <c r="BF41" i="40"/>
  <c r="AV41" i="40"/>
  <c r="BR41" i="40" s="1"/>
  <c r="AO41" i="40"/>
  <c r="AQ41" i="40" s="1"/>
  <c r="AM41" i="40"/>
  <c r="BO41" i="40" s="1"/>
  <c r="AL41" i="40"/>
  <c r="BN41" i="40" s="1"/>
  <c r="AE41" i="40"/>
  <c r="AP41" i="40" s="1"/>
  <c r="AD41" i="40"/>
  <c r="W41" i="40"/>
  <c r="V41" i="40"/>
  <c r="BU40" i="40"/>
  <c r="BR40" i="40"/>
  <c r="BG40" i="40"/>
  <c r="BF40" i="40"/>
  <c r="AV40" i="40"/>
  <c r="AM40" i="40"/>
  <c r="BO40" i="40" s="1"/>
  <c r="AL40" i="40"/>
  <c r="BN40" i="40" s="1"/>
  <c r="AE40" i="40"/>
  <c r="AP40" i="40" s="1"/>
  <c r="W40" i="40"/>
  <c r="V40" i="40"/>
  <c r="AD40" i="40" s="1"/>
  <c r="BT39" i="40"/>
  <c r="BM39" i="40"/>
  <c r="BG39" i="40"/>
  <c r="BF39" i="40"/>
  <c r="AV39" i="40"/>
  <c r="AV44" i="40" s="1"/>
  <c r="AN39" i="40"/>
  <c r="AM39" i="40"/>
  <c r="BO39" i="40" s="1"/>
  <c r="AL39" i="40"/>
  <c r="BN39" i="40" s="1"/>
  <c r="W39" i="40"/>
  <c r="W44" i="40" s="1"/>
  <c r="V39" i="40"/>
  <c r="V44" i="40" s="1"/>
  <c r="CA38" i="40"/>
  <c r="BZ38" i="40"/>
  <c r="BY38" i="40"/>
  <c r="BX38" i="40"/>
  <c r="BW38" i="40"/>
  <c r="BV38" i="40"/>
  <c r="BD38" i="40"/>
  <c r="BC38" i="40"/>
  <c r="BA38" i="40"/>
  <c r="AZ38" i="40"/>
  <c r="AY38" i="40"/>
  <c r="AX38" i="40"/>
  <c r="AU38" i="40"/>
  <c r="AT38" i="40"/>
  <c r="AK38" i="40"/>
  <c r="AJ38" i="40"/>
  <c r="AI38" i="40"/>
  <c r="AH38" i="40"/>
  <c r="AG38" i="40"/>
  <c r="AC38" i="40"/>
  <c r="AB38" i="40"/>
  <c r="AA38" i="40"/>
  <c r="Z38" i="40"/>
  <c r="Y38" i="40"/>
  <c r="X38" i="40"/>
  <c r="BR37" i="40"/>
  <c r="BG37" i="40"/>
  <c r="BU37" i="40" s="1"/>
  <c r="BF37" i="40"/>
  <c r="AV37" i="40"/>
  <c r="AM37" i="40"/>
  <c r="BO37" i="40" s="1"/>
  <c r="AL37" i="40"/>
  <c r="BN37" i="40" s="1"/>
  <c r="AE37" i="40"/>
  <c r="BL37" i="40" s="1"/>
  <c r="W37" i="40"/>
  <c r="V37" i="40"/>
  <c r="AD37" i="40" s="1"/>
  <c r="BT36" i="40"/>
  <c r="BM36" i="40"/>
  <c r="BG36" i="40"/>
  <c r="BF36" i="40"/>
  <c r="AV36" i="40"/>
  <c r="BR36" i="40" s="1"/>
  <c r="AN36" i="40"/>
  <c r="AM36" i="40"/>
  <c r="BO36" i="40" s="1"/>
  <c r="AL36" i="40"/>
  <c r="BN36" i="40" s="1"/>
  <c r="W36" i="40"/>
  <c r="AE36" i="40" s="1"/>
  <c r="V36" i="40"/>
  <c r="AD36" i="40" s="1"/>
  <c r="BU35" i="40"/>
  <c r="BT35" i="40"/>
  <c r="BN35" i="40"/>
  <c r="BG35" i="40"/>
  <c r="BH35" i="40" s="1"/>
  <c r="BS35" i="40" s="1"/>
  <c r="BF35" i="40"/>
  <c r="AV35" i="40"/>
  <c r="BR35" i="40" s="1"/>
  <c r="AM35" i="40"/>
  <c r="BO35" i="40" s="1"/>
  <c r="AL35" i="40"/>
  <c r="AD35" i="40"/>
  <c r="AF35" i="40" s="1"/>
  <c r="W35" i="40"/>
  <c r="AE35" i="40" s="1"/>
  <c r="V35" i="40"/>
  <c r="BR34" i="40"/>
  <c r="BG34" i="40"/>
  <c r="BU34" i="40" s="1"/>
  <c r="BF34" i="40"/>
  <c r="BT34" i="40" s="1"/>
  <c r="AV34" i="40"/>
  <c r="AM34" i="40"/>
  <c r="AL34" i="40"/>
  <c r="BN34" i="40" s="1"/>
  <c r="AE34" i="40"/>
  <c r="BL34" i="40" s="1"/>
  <c r="W34" i="40"/>
  <c r="V34" i="40"/>
  <c r="AD34" i="40" s="1"/>
  <c r="BG33" i="40"/>
  <c r="BF33" i="40"/>
  <c r="AV33" i="40"/>
  <c r="AN33" i="40"/>
  <c r="AM33" i="40"/>
  <c r="AL33" i="40"/>
  <c r="AD33" i="40"/>
  <c r="W33" i="40"/>
  <c r="V33" i="40"/>
  <c r="V38" i="40" s="1"/>
  <c r="CA32" i="40"/>
  <c r="BZ32" i="40"/>
  <c r="BY32" i="40"/>
  <c r="BX32" i="40"/>
  <c r="BW32" i="40"/>
  <c r="BV32" i="40"/>
  <c r="BD32" i="40"/>
  <c r="BC32" i="40"/>
  <c r="BA32" i="40"/>
  <c r="AZ32" i="40"/>
  <c r="AY32" i="40"/>
  <c r="AX32" i="40"/>
  <c r="AU32" i="40"/>
  <c r="AT32" i="40"/>
  <c r="AK32" i="40"/>
  <c r="AJ32" i="40"/>
  <c r="AI32" i="40"/>
  <c r="AH32" i="40"/>
  <c r="AG32" i="40"/>
  <c r="AC32" i="40"/>
  <c r="AB32" i="40"/>
  <c r="AA32" i="40"/>
  <c r="Z32" i="40"/>
  <c r="Y32" i="40"/>
  <c r="X32" i="40"/>
  <c r="BR31" i="40"/>
  <c r="BL31" i="40"/>
  <c r="BG31" i="40"/>
  <c r="BU31" i="40" s="1"/>
  <c r="BF31" i="40"/>
  <c r="AV31" i="40"/>
  <c r="AP31" i="40"/>
  <c r="AM31" i="40"/>
  <c r="AN31" i="40" s="1"/>
  <c r="BM31" i="40" s="1"/>
  <c r="AL31" i="40"/>
  <c r="BN31" i="40" s="1"/>
  <c r="AE31" i="40"/>
  <c r="W31" i="40"/>
  <c r="V31" i="40"/>
  <c r="AD31" i="40" s="1"/>
  <c r="BG30" i="40"/>
  <c r="BF30" i="40"/>
  <c r="BT30" i="40" s="1"/>
  <c r="AV30" i="40"/>
  <c r="AN30" i="40"/>
  <c r="AM30" i="40"/>
  <c r="AL30" i="40"/>
  <c r="AD30" i="40"/>
  <c r="W30" i="40"/>
  <c r="V30" i="40"/>
  <c r="BT29" i="40"/>
  <c r="BR29" i="40"/>
  <c r="BN29" i="40"/>
  <c r="BG29" i="40"/>
  <c r="BU29" i="40" s="1"/>
  <c r="BF29" i="40"/>
  <c r="AV29" i="40"/>
  <c r="AM29" i="40"/>
  <c r="BO29" i="40" s="1"/>
  <c r="AL29" i="40"/>
  <c r="AN29" i="40" s="1"/>
  <c r="BM29" i="40" s="1"/>
  <c r="AE29" i="40"/>
  <c r="BL29" i="40" s="1"/>
  <c r="AD29" i="40"/>
  <c r="AF29" i="40" s="1"/>
  <c r="W29" i="40"/>
  <c r="V29" i="40"/>
  <c r="BR28" i="40"/>
  <c r="BR174" i="40" s="1"/>
  <c r="BL28" i="40"/>
  <c r="BL174" i="40" s="1"/>
  <c r="BG28" i="40"/>
  <c r="BG174" i="40" s="1"/>
  <c r="BF28" i="40"/>
  <c r="AV28" i="40"/>
  <c r="AV174" i="40" s="1"/>
  <c r="AP28" i="40"/>
  <c r="AP174" i="40" s="1"/>
  <c r="AM28" i="40"/>
  <c r="AM174" i="40" s="1"/>
  <c r="AL28" i="40"/>
  <c r="AL174" i="40" s="1"/>
  <c r="AE28" i="40"/>
  <c r="AE174" i="40" s="1"/>
  <c r="W28" i="40"/>
  <c r="W174" i="40" s="1"/>
  <c r="V28" i="40"/>
  <c r="BT27" i="40"/>
  <c r="BG27" i="40"/>
  <c r="BF27" i="40"/>
  <c r="AV27" i="40"/>
  <c r="BR27" i="40" s="1"/>
  <c r="AM27" i="40"/>
  <c r="BO27" i="40" s="1"/>
  <c r="AL27" i="40"/>
  <c r="BN27" i="40" s="1"/>
  <c r="AF27" i="40"/>
  <c r="BJ27" i="40" s="1"/>
  <c r="W27" i="40"/>
  <c r="AE27" i="40" s="1"/>
  <c r="V27" i="40"/>
  <c r="AD27" i="40" s="1"/>
  <c r="BU26" i="40"/>
  <c r="BT26" i="40"/>
  <c r="BN26" i="40"/>
  <c r="BH26" i="40"/>
  <c r="BG26" i="40"/>
  <c r="BF26" i="40"/>
  <c r="AV26" i="40"/>
  <c r="AM26" i="40"/>
  <c r="AL26" i="40"/>
  <c r="W26" i="40"/>
  <c r="V26" i="40"/>
  <c r="AD26" i="40" s="1"/>
  <c r="CA25" i="40"/>
  <c r="BZ25" i="40"/>
  <c r="BY25" i="40"/>
  <c r="BX25" i="40"/>
  <c r="BW25" i="40"/>
  <c r="BV25" i="40"/>
  <c r="BF25" i="40"/>
  <c r="BD25" i="40"/>
  <c r="BC25" i="40"/>
  <c r="BA25" i="40"/>
  <c r="AZ25" i="40"/>
  <c r="AY25" i="40"/>
  <c r="AX25" i="40"/>
  <c r="AU25" i="40"/>
  <c r="AT25" i="40"/>
  <c r="AM25" i="40"/>
  <c r="AK25" i="40"/>
  <c r="AJ25" i="40"/>
  <c r="AI25" i="40"/>
  <c r="AH25" i="40"/>
  <c r="AG25" i="40"/>
  <c r="AC25" i="40"/>
  <c r="AB25" i="40"/>
  <c r="AA25" i="40"/>
  <c r="Z25" i="40"/>
  <c r="Y25" i="40"/>
  <c r="X25" i="40"/>
  <c r="BT24" i="40"/>
  <c r="BO24" i="40"/>
  <c r="BO25" i="40" s="1"/>
  <c r="BG24" i="40"/>
  <c r="BU24" i="40" s="1"/>
  <c r="BU179" i="40" s="1"/>
  <c r="BF24" i="40"/>
  <c r="BF179" i="40" s="1"/>
  <c r="AV24" i="40"/>
  <c r="AM24" i="40"/>
  <c r="AM179" i="40" s="1"/>
  <c r="AL24" i="40"/>
  <c r="AL179" i="40" s="1"/>
  <c r="W24" i="40"/>
  <c r="V24" i="40"/>
  <c r="V25" i="40" s="1"/>
  <c r="CA23" i="40"/>
  <c r="BZ23" i="40"/>
  <c r="BY23" i="40"/>
  <c r="BX23" i="40"/>
  <c r="BW23" i="40"/>
  <c r="BV23" i="40"/>
  <c r="BD23" i="40"/>
  <c r="BC23" i="40"/>
  <c r="BA23" i="40"/>
  <c r="AZ23" i="40"/>
  <c r="AY23" i="40"/>
  <c r="AX23" i="40"/>
  <c r="AU23" i="40"/>
  <c r="AT23" i="40"/>
  <c r="AM23" i="40"/>
  <c r="AK23" i="40"/>
  <c r="AJ23" i="40"/>
  <c r="AI23" i="40"/>
  <c r="AH23" i="40"/>
  <c r="AG23" i="40"/>
  <c r="AC23" i="40"/>
  <c r="AB23" i="40"/>
  <c r="AA23" i="40"/>
  <c r="Z23" i="40"/>
  <c r="Y23" i="40"/>
  <c r="X23" i="40"/>
  <c r="BR22" i="40"/>
  <c r="BO22" i="40"/>
  <c r="BG22" i="40"/>
  <c r="BH22" i="40" s="1"/>
  <c r="BS22" i="40" s="1"/>
  <c r="BF22" i="40"/>
  <c r="BT22" i="40" s="1"/>
  <c r="AV22" i="40"/>
  <c r="AM22" i="40"/>
  <c r="AL22" i="40"/>
  <c r="AN22" i="40" s="1"/>
  <c r="BM22" i="40" s="1"/>
  <c r="AE22" i="40"/>
  <c r="AP22" i="40" s="1"/>
  <c r="W22" i="40"/>
  <c r="V22" i="40"/>
  <c r="AD22" i="40" s="1"/>
  <c r="AF22" i="40" s="1"/>
  <c r="BT21" i="40"/>
  <c r="BN21" i="40"/>
  <c r="BG21" i="40"/>
  <c r="BU21" i="40" s="1"/>
  <c r="BF21" i="40"/>
  <c r="AV21" i="40"/>
  <c r="BR21" i="40" s="1"/>
  <c r="AM21" i="40"/>
  <c r="BO21" i="40" s="1"/>
  <c r="AL21" i="40"/>
  <c r="W21" i="40"/>
  <c r="AE21" i="40" s="1"/>
  <c r="V21" i="40"/>
  <c r="AD21" i="40" s="1"/>
  <c r="AF21" i="40" s="1"/>
  <c r="BT20" i="40"/>
  <c r="BT23" i="40" s="1"/>
  <c r="BN20" i="40"/>
  <c r="BK20" i="40"/>
  <c r="BG20" i="40"/>
  <c r="BU20" i="40" s="1"/>
  <c r="BF20" i="40"/>
  <c r="BF23" i="40" s="1"/>
  <c r="AV20" i="40"/>
  <c r="BR20" i="40" s="1"/>
  <c r="BR23" i="40" s="1"/>
  <c r="AN20" i="40"/>
  <c r="AM20" i="40"/>
  <c r="BO20" i="40" s="1"/>
  <c r="BO23" i="40" s="1"/>
  <c r="AL20" i="40"/>
  <c r="AL23" i="40" s="1"/>
  <c r="AD20" i="40"/>
  <c r="AO20" i="40" s="1"/>
  <c r="W20" i="40"/>
  <c r="V20" i="40"/>
  <c r="CA19" i="40"/>
  <c r="BZ19" i="40"/>
  <c r="BY19" i="40"/>
  <c r="BX19" i="40"/>
  <c r="BW19" i="40"/>
  <c r="BV19" i="40"/>
  <c r="BD19" i="40"/>
  <c r="BC19" i="40"/>
  <c r="BA19" i="40"/>
  <c r="AZ19" i="40"/>
  <c r="AY19" i="40"/>
  <c r="AX19" i="40"/>
  <c r="AU19" i="40"/>
  <c r="AT19" i="40"/>
  <c r="AK19" i="40"/>
  <c r="AJ19" i="40"/>
  <c r="AI19" i="40"/>
  <c r="AH19" i="40"/>
  <c r="AG19" i="40"/>
  <c r="AC19" i="40"/>
  <c r="AB19" i="40"/>
  <c r="AA19" i="40"/>
  <c r="Z19" i="40"/>
  <c r="Y19" i="40"/>
  <c r="X19" i="40"/>
  <c r="V19" i="40"/>
  <c r="BT18" i="40"/>
  <c r="BN18" i="40"/>
  <c r="BG18" i="40"/>
  <c r="BH18" i="40" s="1"/>
  <c r="BS18" i="40" s="1"/>
  <c r="BF18" i="40"/>
  <c r="AV18" i="40"/>
  <c r="BR18" i="40" s="1"/>
  <c r="AM18" i="40"/>
  <c r="BO18" i="40" s="1"/>
  <c r="AL18" i="40"/>
  <c r="AN18" i="40" s="1"/>
  <c r="BM18" i="40" s="1"/>
  <c r="W18" i="40"/>
  <c r="AE18" i="40" s="1"/>
  <c r="V18" i="40"/>
  <c r="AD18" i="40" s="1"/>
  <c r="BT17" i="40"/>
  <c r="BN17" i="40"/>
  <c r="BG17" i="40"/>
  <c r="BU17" i="40" s="1"/>
  <c r="BF17" i="40"/>
  <c r="AV17" i="40"/>
  <c r="BR17" i="40" s="1"/>
  <c r="AM17" i="40"/>
  <c r="BO17" i="40" s="1"/>
  <c r="AL17" i="40"/>
  <c r="AN17" i="40" s="1"/>
  <c r="BM17" i="40" s="1"/>
  <c r="AD17" i="40"/>
  <c r="AO17" i="40" s="1"/>
  <c r="W17" i="40"/>
  <c r="AE17" i="40" s="1"/>
  <c r="V17" i="40"/>
  <c r="BU16" i="40"/>
  <c r="BG16" i="40"/>
  <c r="BF16" i="40"/>
  <c r="AV16" i="40"/>
  <c r="AV19" i="40" s="1"/>
  <c r="AO16" i="40"/>
  <c r="AM16" i="40"/>
  <c r="AM19" i="40" s="1"/>
  <c r="AL16" i="40"/>
  <c r="AL19" i="40" s="1"/>
  <c r="AD16" i="40"/>
  <c r="BK16" i="40" s="1"/>
  <c r="W16" i="40"/>
  <c r="W19" i="40" s="1"/>
  <c r="V16" i="40"/>
  <c r="CA15" i="40"/>
  <c r="BZ15" i="40"/>
  <c r="BY15" i="40"/>
  <c r="BX15" i="40"/>
  <c r="BW15" i="40"/>
  <c r="BV15" i="40"/>
  <c r="BF15" i="40"/>
  <c r="BD15" i="40"/>
  <c r="BC15" i="40"/>
  <c r="BA15" i="40"/>
  <c r="AZ15" i="40"/>
  <c r="AY15" i="40"/>
  <c r="AX15" i="40"/>
  <c r="AU15" i="40"/>
  <c r="AT15" i="40"/>
  <c r="AL15" i="40"/>
  <c r="AK15" i="40"/>
  <c r="AJ15" i="40"/>
  <c r="AI15" i="40"/>
  <c r="AH15" i="40"/>
  <c r="AG15" i="40"/>
  <c r="AC15" i="40"/>
  <c r="AB15" i="40"/>
  <c r="AA15" i="40"/>
  <c r="Z15" i="40"/>
  <c r="Y15" i="40"/>
  <c r="X15" i="40"/>
  <c r="BT14" i="40"/>
  <c r="BN14" i="40"/>
  <c r="BG14" i="40"/>
  <c r="BG176" i="40" s="1"/>
  <c r="BF14" i="40"/>
  <c r="AV14" i="40"/>
  <c r="AN14" i="40"/>
  <c r="BM14" i="40" s="1"/>
  <c r="AM14" i="40"/>
  <c r="BO14" i="40" s="1"/>
  <c r="BO176" i="40" s="1"/>
  <c r="AL14" i="40"/>
  <c r="W14" i="40"/>
  <c r="V14" i="40"/>
  <c r="V176" i="40" s="1"/>
  <c r="BU13" i="40"/>
  <c r="BO13" i="40"/>
  <c r="BN13" i="40"/>
  <c r="BG13" i="40"/>
  <c r="BH13" i="40" s="1"/>
  <c r="BS13" i="40" s="1"/>
  <c r="BF13" i="40"/>
  <c r="BT13" i="40" s="1"/>
  <c r="AV13" i="40"/>
  <c r="BR13" i="40" s="1"/>
  <c r="AO13" i="40"/>
  <c r="AM13" i="40"/>
  <c r="AN13" i="40" s="1"/>
  <c r="BM13" i="40" s="1"/>
  <c r="AL13" i="40"/>
  <c r="AE13" i="40"/>
  <c r="AD13" i="40"/>
  <c r="BK13" i="40" s="1"/>
  <c r="W13" i="40"/>
  <c r="W15" i="40" s="1"/>
  <c r="V13" i="40"/>
  <c r="BG12" i="40"/>
  <c r="BF12" i="40"/>
  <c r="AV12" i="40"/>
  <c r="AM12" i="40"/>
  <c r="AM170" i="40" s="1"/>
  <c r="AL12" i="40"/>
  <c r="AE12" i="40"/>
  <c r="BL12" i="40" s="1"/>
  <c r="W12" i="40"/>
  <c r="V12" i="40"/>
  <c r="V170" i="40" s="1"/>
  <c r="CA137" i="39"/>
  <c r="BZ137" i="39"/>
  <c r="BY137" i="39"/>
  <c r="BX137" i="39"/>
  <c r="BW137" i="39"/>
  <c r="BV137" i="39"/>
  <c r="BE137" i="39"/>
  <c r="BD137" i="39"/>
  <c r="BC137" i="39"/>
  <c r="BB137" i="39"/>
  <c r="BA137" i="39"/>
  <c r="AZ137" i="39"/>
  <c r="AY137" i="39"/>
  <c r="AX137" i="39"/>
  <c r="AU137" i="39"/>
  <c r="AT137" i="39"/>
  <c r="AK137" i="39"/>
  <c r="AJ137" i="39"/>
  <c r="AI137" i="39"/>
  <c r="AH137" i="39"/>
  <c r="AG137" i="39"/>
  <c r="AC137" i="39"/>
  <c r="AB137" i="39"/>
  <c r="AA137" i="39"/>
  <c r="Z137" i="39"/>
  <c r="Y137" i="39"/>
  <c r="X137" i="39"/>
  <c r="U137" i="39"/>
  <c r="T137" i="39"/>
  <c r="S137" i="39"/>
  <c r="R137" i="39"/>
  <c r="R127" i="39" s="1"/>
  <c r="Q137" i="39"/>
  <c r="P137" i="39"/>
  <c r="O137" i="39"/>
  <c r="N137" i="39"/>
  <c r="M137" i="39"/>
  <c r="L137" i="39"/>
  <c r="L127" i="39" s="1"/>
  <c r="J126" i="39" s="1"/>
  <c r="K137" i="39"/>
  <c r="J137" i="39"/>
  <c r="I137" i="39"/>
  <c r="CA136" i="39"/>
  <c r="BZ136" i="39"/>
  <c r="BY136" i="39"/>
  <c r="BX136" i="39"/>
  <c r="BW136" i="39"/>
  <c r="BV136" i="39"/>
  <c r="BE136" i="39"/>
  <c r="BD136" i="39"/>
  <c r="BC136" i="39"/>
  <c r="BB136" i="39"/>
  <c r="BA136" i="39"/>
  <c r="AZ136" i="39"/>
  <c r="AY136" i="39"/>
  <c r="AX136" i="39"/>
  <c r="AU136" i="39"/>
  <c r="AT136" i="39"/>
  <c r="AK136" i="39"/>
  <c r="AJ136" i="39"/>
  <c r="AI136" i="39"/>
  <c r="AH136" i="39"/>
  <c r="AG136" i="39"/>
  <c r="AC136" i="39"/>
  <c r="AB136" i="39"/>
  <c r="AA136" i="39"/>
  <c r="Z136" i="39"/>
  <c r="Y136" i="39"/>
  <c r="X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CA135" i="39"/>
  <c r="BZ135" i="39"/>
  <c r="BY135" i="39"/>
  <c r="BX135" i="39"/>
  <c r="BW135" i="39"/>
  <c r="BV135" i="39"/>
  <c r="BE135" i="39"/>
  <c r="BD135" i="39"/>
  <c r="BC135" i="39"/>
  <c r="BB135" i="39"/>
  <c r="BA135" i="39"/>
  <c r="AZ135" i="39"/>
  <c r="AY135" i="39"/>
  <c r="AX135" i="39"/>
  <c r="AU135" i="39"/>
  <c r="AT135" i="39"/>
  <c r="AK135" i="39"/>
  <c r="AJ135" i="39"/>
  <c r="AI135" i="39"/>
  <c r="AH135" i="39"/>
  <c r="AG135" i="39"/>
  <c r="AC135" i="39"/>
  <c r="AB135" i="39"/>
  <c r="AA135" i="39"/>
  <c r="Z135" i="39"/>
  <c r="Y135" i="39"/>
  <c r="X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CA134" i="39"/>
  <c r="BZ134" i="39"/>
  <c r="BY134" i="39"/>
  <c r="BX134" i="39"/>
  <c r="BW134" i="39"/>
  <c r="BV134" i="39"/>
  <c r="BD134" i="39"/>
  <c r="BC134" i="39"/>
  <c r="BB134" i="39"/>
  <c r="BA134" i="39"/>
  <c r="AZ134" i="39"/>
  <c r="AY134" i="39"/>
  <c r="AX134" i="39"/>
  <c r="AT134" i="39"/>
  <c r="AK134" i="39"/>
  <c r="AJ134" i="39"/>
  <c r="AI134" i="39"/>
  <c r="AH134" i="39"/>
  <c r="AG134" i="39"/>
  <c r="AC134" i="39"/>
  <c r="AB134" i="39"/>
  <c r="Z134" i="39"/>
  <c r="Y134" i="39"/>
  <c r="X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CA133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CA132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K127" i="39" s="1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Y127" i="39" s="1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CA131" i="39"/>
  <c r="BZ131" i="39"/>
  <c r="BZ127" i="39" s="1"/>
  <c r="BY131" i="39"/>
  <c r="BX131" i="39"/>
  <c r="BW131" i="39"/>
  <c r="BV131" i="39"/>
  <c r="BE131" i="39"/>
  <c r="BD131" i="39"/>
  <c r="BC131" i="39"/>
  <c r="BB131" i="39"/>
  <c r="BA131" i="39"/>
  <c r="AZ131" i="39"/>
  <c r="AY131" i="39"/>
  <c r="AX131" i="39"/>
  <c r="AU131" i="39"/>
  <c r="AT131" i="39"/>
  <c r="AK131" i="39"/>
  <c r="AJ131" i="39"/>
  <c r="AI131" i="39"/>
  <c r="AH131" i="39"/>
  <c r="AG131" i="39"/>
  <c r="AC131" i="39"/>
  <c r="AB131" i="39"/>
  <c r="AA131" i="39"/>
  <c r="Z131" i="39"/>
  <c r="Y131" i="39"/>
  <c r="X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CA130" i="39"/>
  <c r="BZ130" i="39"/>
  <c r="BY130" i="39"/>
  <c r="BX130" i="39"/>
  <c r="BW130" i="39"/>
  <c r="BV130" i="39"/>
  <c r="BE130" i="39"/>
  <c r="BD130" i="39"/>
  <c r="BC130" i="39"/>
  <c r="BB130" i="39"/>
  <c r="BA130" i="39"/>
  <c r="BA127" i="39" s="1"/>
  <c r="AZ130" i="39"/>
  <c r="AY130" i="39"/>
  <c r="AX130" i="39"/>
  <c r="AU130" i="39"/>
  <c r="AT130" i="39"/>
  <c r="AK130" i="39"/>
  <c r="AJ130" i="39"/>
  <c r="AI130" i="39"/>
  <c r="AI127" i="39" s="1"/>
  <c r="AH130" i="39"/>
  <c r="AG130" i="39"/>
  <c r="AC130" i="39"/>
  <c r="AC127" i="39" s="1"/>
  <c r="AB130" i="39"/>
  <c r="AA130" i="39"/>
  <c r="Z130" i="39"/>
  <c r="Y130" i="39"/>
  <c r="X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CA129" i="39"/>
  <c r="BZ129" i="39"/>
  <c r="BY129" i="39"/>
  <c r="BX129" i="39"/>
  <c r="BX127" i="39" s="1"/>
  <c r="BW129" i="39"/>
  <c r="BV129" i="39"/>
  <c r="BE129" i="39"/>
  <c r="BD129" i="39"/>
  <c r="BC129" i="39"/>
  <c r="BB129" i="39"/>
  <c r="BA129" i="39"/>
  <c r="AZ129" i="39"/>
  <c r="AZ127" i="39" s="1"/>
  <c r="AY129" i="39"/>
  <c r="AX129" i="39"/>
  <c r="AU129" i="39"/>
  <c r="AT129" i="39"/>
  <c r="AT127" i="39" s="1"/>
  <c r="AK129" i="39"/>
  <c r="AJ129" i="39"/>
  <c r="AI129" i="39"/>
  <c r="AH129" i="39"/>
  <c r="AG129" i="39"/>
  <c r="AC129" i="39"/>
  <c r="AB129" i="39"/>
  <c r="AB127" i="39" s="1"/>
  <c r="AA129" i="39"/>
  <c r="Z129" i="39"/>
  <c r="Y129" i="39"/>
  <c r="X129" i="39"/>
  <c r="U129" i="39"/>
  <c r="T129" i="39"/>
  <c r="S129" i="39"/>
  <c r="R129" i="39"/>
  <c r="Q129" i="39"/>
  <c r="P129" i="39"/>
  <c r="P127" i="39" s="1"/>
  <c r="O129" i="39"/>
  <c r="N129" i="39"/>
  <c r="M129" i="39"/>
  <c r="L129" i="39"/>
  <c r="K129" i="39"/>
  <c r="J129" i="39"/>
  <c r="J127" i="39" s="1"/>
  <c r="I129" i="39"/>
  <c r="CA128" i="39"/>
  <c r="BZ128" i="39"/>
  <c r="BY128" i="39"/>
  <c r="BX128" i="39"/>
  <c r="BW128" i="39"/>
  <c r="BW127" i="39" s="1"/>
  <c r="BV128" i="39"/>
  <c r="BE128" i="39"/>
  <c r="BD128" i="39"/>
  <c r="BC128" i="39"/>
  <c r="BB128" i="39"/>
  <c r="BA128" i="39"/>
  <c r="AZ128" i="39"/>
  <c r="AY128" i="39"/>
  <c r="AX128" i="39"/>
  <c r="AU128" i="39"/>
  <c r="AT128" i="39"/>
  <c r="AK128" i="39"/>
  <c r="AJ128" i="39"/>
  <c r="AI128" i="39"/>
  <c r="AH128" i="39"/>
  <c r="AG128" i="39"/>
  <c r="AG127" i="39" s="1"/>
  <c r="AC128" i="39"/>
  <c r="AB128" i="39"/>
  <c r="AA128" i="39"/>
  <c r="Z128" i="39"/>
  <c r="Y128" i="39"/>
  <c r="X128" i="39"/>
  <c r="U128" i="39"/>
  <c r="U127" i="39" s="1"/>
  <c r="T128" i="39"/>
  <c r="S128" i="39"/>
  <c r="R128" i="39"/>
  <c r="Q128" i="39"/>
  <c r="Q127" i="39" s="1"/>
  <c r="P128" i="39"/>
  <c r="O128" i="39"/>
  <c r="O127" i="39" s="1"/>
  <c r="N128" i="39"/>
  <c r="N127" i="39" s="1"/>
  <c r="M126" i="39" s="1"/>
  <c r="M128" i="39"/>
  <c r="L128" i="39"/>
  <c r="K128" i="39"/>
  <c r="K127" i="39" s="1"/>
  <c r="J128" i="39"/>
  <c r="I128" i="39"/>
  <c r="I127" i="39" s="1"/>
  <c r="CA127" i="39"/>
  <c r="BV127" i="39"/>
  <c r="BD127" i="39"/>
  <c r="BC127" i="39"/>
  <c r="AX127" i="39"/>
  <c r="AJ127" i="39"/>
  <c r="Z127" i="39"/>
  <c r="X127" i="39"/>
  <c r="T127" i="39"/>
  <c r="S126" i="39" s="1"/>
  <c r="S127" i="39"/>
  <c r="V126" i="39"/>
  <c r="U124" i="39"/>
  <c r="T124" i="39"/>
  <c r="S124" i="39"/>
  <c r="R124" i="39"/>
  <c r="Q124" i="39"/>
  <c r="P124" i="39"/>
  <c r="O124" i="39"/>
  <c r="N124" i="39"/>
  <c r="M124" i="39"/>
  <c r="I125" i="39" s="1"/>
  <c r="L124" i="39"/>
  <c r="J125" i="39" s="1"/>
  <c r="K124" i="39"/>
  <c r="J124" i="39"/>
  <c r="I124" i="39"/>
  <c r="CA123" i="39"/>
  <c r="BZ123" i="39"/>
  <c r="BY123" i="39"/>
  <c r="BX123" i="39"/>
  <c r="BW123" i="39"/>
  <c r="BV123" i="39"/>
  <c r="BD123" i="39"/>
  <c r="BC123" i="39"/>
  <c r="BA123" i="39"/>
  <c r="AZ123" i="39"/>
  <c r="AY123" i="39"/>
  <c r="AX123" i="39"/>
  <c r="AU123" i="39"/>
  <c r="AT123" i="39"/>
  <c r="AK123" i="39"/>
  <c r="AJ123" i="39"/>
  <c r="AI123" i="39"/>
  <c r="AH123" i="39"/>
  <c r="AG123" i="39"/>
  <c r="AC123" i="39"/>
  <c r="AB123" i="39"/>
  <c r="AA123" i="39"/>
  <c r="Z123" i="39"/>
  <c r="Y123" i="39"/>
  <c r="X123" i="39"/>
  <c r="BT122" i="39"/>
  <c r="BR122" i="39"/>
  <c r="BL122" i="39"/>
  <c r="BK122" i="39"/>
  <c r="BG122" i="39"/>
  <c r="BF122" i="39"/>
  <c r="AV122" i="39"/>
  <c r="AP122" i="39"/>
  <c r="AM122" i="39"/>
  <c r="BO122" i="39" s="1"/>
  <c r="AL122" i="39"/>
  <c r="AF122" i="39"/>
  <c r="AE122" i="39"/>
  <c r="AD122" i="39"/>
  <c r="W122" i="39"/>
  <c r="V122" i="39"/>
  <c r="BU121" i="39"/>
  <c r="BT121" i="39"/>
  <c r="BR121" i="39"/>
  <c r="BN121" i="39"/>
  <c r="BG121" i="39"/>
  <c r="BH121" i="39" s="1"/>
  <c r="BS121" i="39" s="1"/>
  <c r="BF121" i="39"/>
  <c r="AV121" i="39"/>
  <c r="AM121" i="39"/>
  <c r="AL121" i="39"/>
  <c r="W121" i="39"/>
  <c r="AE121" i="39" s="1"/>
  <c r="V121" i="39"/>
  <c r="AD121" i="39" s="1"/>
  <c r="BT120" i="39"/>
  <c r="BN120" i="39"/>
  <c r="BG120" i="39"/>
  <c r="BU120" i="39" s="1"/>
  <c r="BF120" i="39"/>
  <c r="AV120" i="39"/>
  <c r="BR120" i="39" s="1"/>
  <c r="AM120" i="39"/>
  <c r="BO120" i="39" s="1"/>
  <c r="AL120" i="39"/>
  <c r="AN120" i="39" s="1"/>
  <c r="BM120" i="39" s="1"/>
  <c r="AD120" i="39"/>
  <c r="W120" i="39"/>
  <c r="AE120" i="39" s="1"/>
  <c r="V120" i="39"/>
  <c r="BR119" i="39"/>
  <c r="BO119" i="39"/>
  <c r="BG119" i="39"/>
  <c r="BU119" i="39" s="1"/>
  <c r="BF119" i="39"/>
  <c r="AV119" i="39"/>
  <c r="AM119" i="39"/>
  <c r="AL119" i="39"/>
  <c r="BN119" i="39" s="1"/>
  <c r="AE119" i="39"/>
  <c r="AD119" i="39"/>
  <c r="W119" i="39"/>
  <c r="V119" i="39"/>
  <c r="CA118" i="39"/>
  <c r="BZ118" i="39"/>
  <c r="BY118" i="39"/>
  <c r="BX118" i="39"/>
  <c r="BW118" i="39"/>
  <c r="BV118" i="39"/>
  <c r="BD118" i="39"/>
  <c r="BC118" i="39"/>
  <c r="BA118" i="39"/>
  <c r="AZ118" i="39"/>
  <c r="AY118" i="39"/>
  <c r="AX118" i="39"/>
  <c r="AU118" i="39"/>
  <c r="AT118" i="39"/>
  <c r="AK118" i="39"/>
  <c r="AJ118" i="39"/>
  <c r="AI118" i="39"/>
  <c r="AH118" i="39"/>
  <c r="AG118" i="39"/>
  <c r="AC118" i="39"/>
  <c r="AB118" i="39"/>
  <c r="AA118" i="39"/>
  <c r="Z118" i="39"/>
  <c r="Y118" i="39"/>
  <c r="X118" i="39"/>
  <c r="W118" i="39"/>
  <c r="BT117" i="39"/>
  <c r="BG117" i="39"/>
  <c r="BU117" i="39" s="1"/>
  <c r="BF117" i="39"/>
  <c r="AV117" i="39"/>
  <c r="BR117" i="39" s="1"/>
  <c r="AM117" i="39"/>
  <c r="BO117" i="39" s="1"/>
  <c r="AL117" i="39"/>
  <c r="AD117" i="39"/>
  <c r="W117" i="39"/>
  <c r="AE117" i="39" s="1"/>
  <c r="V117" i="39"/>
  <c r="BU116" i="39"/>
  <c r="BR116" i="39"/>
  <c r="BG116" i="39"/>
  <c r="BF116" i="39"/>
  <c r="AV116" i="39"/>
  <c r="AM116" i="39"/>
  <c r="AL116" i="39"/>
  <c r="BN116" i="39" s="1"/>
  <c r="AE116" i="39"/>
  <c r="AD116" i="39"/>
  <c r="W116" i="39"/>
  <c r="V116" i="39"/>
  <c r="V118" i="39" s="1"/>
  <c r="BL115" i="39"/>
  <c r="BG115" i="39"/>
  <c r="BU115" i="39" s="1"/>
  <c r="BF115" i="39"/>
  <c r="AV115" i="39"/>
  <c r="AP115" i="39"/>
  <c r="AN115" i="39"/>
  <c r="AM115" i="39"/>
  <c r="BO115" i="39" s="1"/>
  <c r="AL115" i="39"/>
  <c r="BN115" i="39" s="1"/>
  <c r="AD115" i="39"/>
  <c r="W115" i="39"/>
  <c r="AE115" i="39" s="1"/>
  <c r="V115" i="39"/>
  <c r="CA114" i="39"/>
  <c r="BZ114" i="39"/>
  <c r="BY114" i="39"/>
  <c r="BX114" i="39"/>
  <c r="BW114" i="39"/>
  <c r="BV114" i="39"/>
  <c r="BD114" i="39"/>
  <c r="BC114" i="39"/>
  <c r="BA114" i="39"/>
  <c r="AZ114" i="39"/>
  <c r="AY114" i="39"/>
  <c r="AX114" i="39"/>
  <c r="AV114" i="39"/>
  <c r="AU114" i="39"/>
  <c r="AT114" i="39"/>
  <c r="AK114" i="39"/>
  <c r="AJ114" i="39"/>
  <c r="AI114" i="39"/>
  <c r="AH114" i="39"/>
  <c r="AG114" i="39"/>
  <c r="AC114" i="39"/>
  <c r="AB114" i="39"/>
  <c r="AA114" i="39"/>
  <c r="Z114" i="39"/>
  <c r="Y114" i="39"/>
  <c r="X114" i="39"/>
  <c r="BR113" i="39"/>
  <c r="BL113" i="39"/>
  <c r="BG113" i="39"/>
  <c r="BU113" i="39" s="1"/>
  <c r="BF113" i="39"/>
  <c r="AV113" i="39"/>
  <c r="AM113" i="39"/>
  <c r="AM114" i="39" s="1"/>
  <c r="AL113" i="39"/>
  <c r="BN113" i="39" s="1"/>
  <c r="AE113" i="39"/>
  <c r="W113" i="39"/>
  <c r="V113" i="39"/>
  <c r="AD113" i="39" s="1"/>
  <c r="BG112" i="39"/>
  <c r="BU112" i="39" s="1"/>
  <c r="BF112" i="39"/>
  <c r="AV112" i="39"/>
  <c r="BR112" i="39" s="1"/>
  <c r="AN112" i="39"/>
  <c r="BM112" i="39" s="1"/>
  <c r="AM112" i="39"/>
  <c r="BO112" i="39" s="1"/>
  <c r="AL112" i="39"/>
  <c r="BN112" i="39" s="1"/>
  <c r="AD112" i="39"/>
  <c r="BK112" i="39" s="1"/>
  <c r="W112" i="39"/>
  <c r="AE112" i="39" s="1"/>
  <c r="V112" i="39"/>
  <c r="BT111" i="39"/>
  <c r="BR111" i="39"/>
  <c r="BM111" i="39"/>
  <c r="BK111" i="39"/>
  <c r="BH111" i="39"/>
  <c r="BS111" i="39" s="1"/>
  <c r="BG111" i="39"/>
  <c r="BU111" i="39" s="1"/>
  <c r="BF111" i="39"/>
  <c r="AV111" i="39"/>
  <c r="AO111" i="39"/>
  <c r="AM111" i="39"/>
  <c r="BO111" i="39" s="1"/>
  <c r="AL111" i="39"/>
  <c r="AN111" i="39" s="1"/>
  <c r="AE111" i="39"/>
  <c r="BL111" i="39" s="1"/>
  <c r="AD111" i="39"/>
  <c r="AF111" i="39" s="1"/>
  <c r="W111" i="39"/>
  <c r="V111" i="39"/>
  <c r="BT110" i="39"/>
  <c r="BR110" i="39"/>
  <c r="BO110" i="39"/>
  <c r="BG110" i="39"/>
  <c r="BU110" i="39" s="1"/>
  <c r="BF110" i="39"/>
  <c r="AV110" i="39"/>
  <c r="AP110" i="39"/>
  <c r="AN110" i="39"/>
  <c r="BM110" i="39" s="1"/>
  <c r="AM110" i="39"/>
  <c r="AL110" i="39"/>
  <c r="BN110" i="39" s="1"/>
  <c r="W110" i="39"/>
  <c r="AE110" i="39" s="1"/>
  <c r="BL110" i="39" s="1"/>
  <c r="V110" i="39"/>
  <c r="AD110" i="39" s="1"/>
  <c r="BT109" i="39"/>
  <c r="BN109" i="39"/>
  <c r="BK109" i="39"/>
  <c r="BG109" i="39"/>
  <c r="BU109" i="39" s="1"/>
  <c r="BF109" i="39"/>
  <c r="AV109" i="39"/>
  <c r="BR109" i="39" s="1"/>
  <c r="AM109" i="39"/>
  <c r="AN109" i="39" s="1"/>
  <c r="BM109" i="39" s="1"/>
  <c r="AL109" i="39"/>
  <c r="AD109" i="39"/>
  <c r="W109" i="39"/>
  <c r="AE109" i="39" s="1"/>
  <c r="V109" i="39"/>
  <c r="BN108" i="39"/>
  <c r="BG108" i="39"/>
  <c r="BU108" i="39" s="1"/>
  <c r="BF108" i="39"/>
  <c r="AV108" i="39"/>
  <c r="BR108" i="39" s="1"/>
  <c r="BR114" i="39" s="1"/>
  <c r="AM108" i="39"/>
  <c r="AN108" i="39" s="1"/>
  <c r="AL108" i="39"/>
  <c r="W108" i="39"/>
  <c r="V108" i="39"/>
  <c r="AD108" i="39" s="1"/>
  <c r="CA107" i="39"/>
  <c r="BZ107" i="39"/>
  <c r="BY107" i="39"/>
  <c r="BX107" i="39"/>
  <c r="BW107" i="39"/>
  <c r="BV107" i="39"/>
  <c r="BD107" i="39"/>
  <c r="BC107" i="39"/>
  <c r="BA107" i="39"/>
  <c r="AZ107" i="39"/>
  <c r="AY107" i="39"/>
  <c r="AX107" i="39"/>
  <c r="AU107" i="39"/>
  <c r="AT107" i="39"/>
  <c r="AM107" i="39"/>
  <c r="AK107" i="39"/>
  <c r="AJ107" i="39"/>
  <c r="AI107" i="39"/>
  <c r="AH107" i="39"/>
  <c r="AG107" i="39"/>
  <c r="AC107" i="39"/>
  <c r="AB107" i="39"/>
  <c r="AA107" i="39"/>
  <c r="Z107" i="39"/>
  <c r="Y107" i="39"/>
  <c r="X107" i="39"/>
  <c r="BT106" i="39"/>
  <c r="BO106" i="39"/>
  <c r="BN106" i="39"/>
  <c r="BG106" i="39"/>
  <c r="BU106" i="39" s="1"/>
  <c r="BF106" i="39"/>
  <c r="AV106" i="39"/>
  <c r="BR106" i="39" s="1"/>
  <c r="AN106" i="39"/>
  <c r="BM106" i="39" s="1"/>
  <c r="AM106" i="39"/>
  <c r="AL106" i="39"/>
  <c r="W106" i="39"/>
  <c r="AE106" i="39" s="1"/>
  <c r="V106" i="39"/>
  <c r="AD106" i="39" s="1"/>
  <c r="BU105" i="39"/>
  <c r="BR105" i="39"/>
  <c r="BK105" i="39"/>
  <c r="BH105" i="39"/>
  <c r="BS105" i="39" s="1"/>
  <c r="BG105" i="39"/>
  <c r="BF105" i="39"/>
  <c r="BT105" i="39" s="1"/>
  <c r="AV105" i="39"/>
  <c r="AN105" i="39"/>
  <c r="BM105" i="39" s="1"/>
  <c r="AM105" i="39"/>
  <c r="BO105" i="39" s="1"/>
  <c r="BO107" i="39" s="1"/>
  <c r="AL105" i="39"/>
  <c r="BN105" i="39" s="1"/>
  <c r="AE105" i="39"/>
  <c r="W105" i="39"/>
  <c r="V105" i="39"/>
  <c r="AD105" i="39" s="1"/>
  <c r="BR104" i="39"/>
  <c r="BG104" i="39"/>
  <c r="BU104" i="39" s="1"/>
  <c r="BF104" i="39"/>
  <c r="AV104" i="39"/>
  <c r="AN104" i="39"/>
  <c r="BM104" i="39" s="1"/>
  <c r="AM104" i="39"/>
  <c r="BO104" i="39" s="1"/>
  <c r="AL104" i="39"/>
  <c r="BN104" i="39" s="1"/>
  <c r="W104" i="39"/>
  <c r="AE104" i="39" s="1"/>
  <c r="V104" i="39"/>
  <c r="BR103" i="39"/>
  <c r="BK103" i="39"/>
  <c r="BG103" i="39"/>
  <c r="BU103" i="39" s="1"/>
  <c r="BF103" i="39"/>
  <c r="BT103" i="39" s="1"/>
  <c r="AV103" i="39"/>
  <c r="AP103" i="39"/>
  <c r="AM103" i="39"/>
  <c r="BO103" i="39" s="1"/>
  <c r="AL103" i="39"/>
  <c r="AN103" i="39" s="1"/>
  <c r="BM103" i="39" s="1"/>
  <c r="AE103" i="39"/>
  <c r="AD103" i="39"/>
  <c r="AO103" i="39" s="1"/>
  <c r="AQ103" i="39" s="1"/>
  <c r="W103" i="39"/>
  <c r="V103" i="39"/>
  <c r="BR102" i="39"/>
  <c r="BO102" i="39"/>
  <c r="BN102" i="39"/>
  <c r="BG102" i="39"/>
  <c r="BF102" i="39"/>
  <c r="BT102" i="39" s="1"/>
  <c r="AV102" i="39"/>
  <c r="AM102" i="39"/>
  <c r="AL102" i="39"/>
  <c r="AE102" i="39"/>
  <c r="BL102" i="39" s="1"/>
  <c r="AD102" i="39"/>
  <c r="AO102" i="39" s="1"/>
  <c r="W102" i="39"/>
  <c r="V102" i="39"/>
  <c r="BL101" i="39"/>
  <c r="BG101" i="39"/>
  <c r="BU101" i="39" s="1"/>
  <c r="BF101" i="39"/>
  <c r="AV101" i="39"/>
  <c r="AV107" i="39" s="1"/>
  <c r="AM101" i="39"/>
  <c r="BO101" i="39" s="1"/>
  <c r="AL101" i="39"/>
  <c r="AF101" i="39"/>
  <c r="AE101" i="39"/>
  <c r="W101" i="39"/>
  <c r="V101" i="39"/>
  <c r="AD101" i="39" s="1"/>
  <c r="CA100" i="39"/>
  <c r="BZ100" i="39"/>
  <c r="BY100" i="39"/>
  <c r="BX100" i="39"/>
  <c r="BW100" i="39"/>
  <c r="BV100" i="39"/>
  <c r="BD100" i="39"/>
  <c r="BC100" i="39"/>
  <c r="BA100" i="39"/>
  <c r="AZ100" i="39"/>
  <c r="AY100" i="39"/>
  <c r="AX100" i="39"/>
  <c r="AU100" i="39"/>
  <c r="AT100" i="39"/>
  <c r="AK100" i="39"/>
  <c r="AJ100" i="39"/>
  <c r="AI100" i="39"/>
  <c r="AH100" i="39"/>
  <c r="AG100" i="39"/>
  <c r="AC100" i="39"/>
  <c r="AB100" i="39"/>
  <c r="AA100" i="39"/>
  <c r="Z100" i="39"/>
  <c r="Y100" i="39"/>
  <c r="X100" i="39"/>
  <c r="BR99" i="39"/>
  <c r="BN99" i="39"/>
  <c r="BK99" i="39"/>
  <c r="BG99" i="39"/>
  <c r="BU99" i="39" s="1"/>
  <c r="BF99" i="39"/>
  <c r="BH99" i="39" s="1"/>
  <c r="BS99" i="39" s="1"/>
  <c r="AV99" i="39"/>
  <c r="AM99" i="39"/>
  <c r="BO99" i="39" s="1"/>
  <c r="AL99" i="39"/>
  <c r="AD99" i="39"/>
  <c r="W99" i="39"/>
  <c r="AE99" i="39" s="1"/>
  <c r="V99" i="39"/>
  <c r="BK98" i="39"/>
  <c r="BG98" i="39"/>
  <c r="BU98" i="39" s="1"/>
  <c r="BF98" i="39"/>
  <c r="AV98" i="39"/>
  <c r="BR98" i="39" s="1"/>
  <c r="AO98" i="39"/>
  <c r="AN98" i="39"/>
  <c r="BM98" i="39" s="1"/>
  <c r="AM98" i="39"/>
  <c r="BO98" i="39" s="1"/>
  <c r="AL98" i="39"/>
  <c r="BN98" i="39" s="1"/>
  <c r="AD98" i="39"/>
  <c r="W98" i="39"/>
  <c r="AE98" i="39" s="1"/>
  <c r="V98" i="39"/>
  <c r="BT97" i="39"/>
  <c r="BR97" i="39"/>
  <c r="BN97" i="39"/>
  <c r="BL97" i="39"/>
  <c r="BG97" i="39"/>
  <c r="BU97" i="39" s="1"/>
  <c r="BF97" i="39"/>
  <c r="AV97" i="39"/>
  <c r="AP97" i="39"/>
  <c r="AM97" i="39"/>
  <c r="BO97" i="39" s="1"/>
  <c r="AL97" i="39"/>
  <c r="AE97" i="39"/>
  <c r="AD97" i="39"/>
  <c r="AF97" i="39" s="1"/>
  <c r="W97" i="39"/>
  <c r="V97" i="39"/>
  <c r="BR96" i="39"/>
  <c r="BN96" i="39"/>
  <c r="BL96" i="39"/>
  <c r="BG96" i="39"/>
  <c r="BU96" i="39" s="1"/>
  <c r="BF96" i="39"/>
  <c r="BT96" i="39" s="1"/>
  <c r="AV96" i="39"/>
  <c r="AM96" i="39"/>
  <c r="AP96" i="39" s="1"/>
  <c r="AL96" i="39"/>
  <c r="AF96" i="39"/>
  <c r="AS96" i="39" s="1"/>
  <c r="BQ96" i="39" s="1"/>
  <c r="AE96" i="39"/>
  <c r="W96" i="39"/>
  <c r="V96" i="39"/>
  <c r="AD96" i="39" s="1"/>
  <c r="BT95" i="39"/>
  <c r="BN95" i="39"/>
  <c r="BG95" i="39"/>
  <c r="BH95" i="39" s="1"/>
  <c r="BS95" i="39" s="1"/>
  <c r="BF95" i="39"/>
  <c r="AV95" i="39"/>
  <c r="BR95" i="39" s="1"/>
  <c r="AM95" i="39"/>
  <c r="AN95" i="39" s="1"/>
  <c r="BM95" i="39" s="1"/>
  <c r="AL95" i="39"/>
  <c r="AF95" i="39"/>
  <c r="W95" i="39"/>
  <c r="AE95" i="39" s="1"/>
  <c r="V95" i="39"/>
  <c r="AD95" i="39" s="1"/>
  <c r="BU94" i="39"/>
  <c r="BT94" i="39"/>
  <c r="BK94" i="39"/>
  <c r="BG94" i="39"/>
  <c r="BH94" i="39" s="1"/>
  <c r="BS94" i="39" s="1"/>
  <c r="BF94" i="39"/>
  <c r="AV94" i="39"/>
  <c r="AO94" i="39"/>
  <c r="AM94" i="39"/>
  <c r="AM100" i="39" s="1"/>
  <c r="AL94" i="39"/>
  <c r="AD94" i="39"/>
  <c r="W94" i="39"/>
  <c r="V94" i="39"/>
  <c r="CA93" i="39"/>
  <c r="BZ93" i="39"/>
  <c r="BY93" i="39"/>
  <c r="BX93" i="39"/>
  <c r="BW93" i="39"/>
  <c r="BV93" i="39"/>
  <c r="BD93" i="39"/>
  <c r="BC93" i="39"/>
  <c r="BA93" i="39"/>
  <c r="AZ93" i="39"/>
  <c r="AY93" i="39"/>
  <c r="AX93" i="39"/>
  <c r="AU93" i="39"/>
  <c r="AT93" i="39"/>
  <c r="AK93" i="39"/>
  <c r="AJ93" i="39"/>
  <c r="AI93" i="39"/>
  <c r="AH93" i="39"/>
  <c r="AG93" i="39"/>
  <c r="AC93" i="39"/>
  <c r="AB93" i="39"/>
  <c r="AA93" i="39"/>
  <c r="Z93" i="39"/>
  <c r="Y93" i="39"/>
  <c r="X93" i="39"/>
  <c r="V93" i="39"/>
  <c r="BO92" i="39"/>
  <c r="BG92" i="39"/>
  <c r="BU92" i="39" s="1"/>
  <c r="BF92" i="39"/>
  <c r="BT92" i="39" s="1"/>
  <c r="AV92" i="39"/>
  <c r="BR92" i="39" s="1"/>
  <c r="AM92" i="39"/>
  <c r="AL92" i="39"/>
  <c r="BN92" i="39" s="1"/>
  <c r="W92" i="39"/>
  <c r="AE92" i="39" s="1"/>
  <c r="V92" i="39"/>
  <c r="AD92" i="39" s="1"/>
  <c r="BT91" i="39"/>
  <c r="BK91" i="39"/>
  <c r="BG91" i="39"/>
  <c r="BU91" i="39" s="1"/>
  <c r="BF91" i="39"/>
  <c r="AV91" i="39"/>
  <c r="BR91" i="39" s="1"/>
  <c r="AM91" i="39"/>
  <c r="AL91" i="39"/>
  <c r="BN91" i="39" s="1"/>
  <c r="AF91" i="39"/>
  <c r="BJ91" i="39" s="1"/>
  <c r="W91" i="39"/>
  <c r="AE91" i="39" s="1"/>
  <c r="V91" i="39"/>
  <c r="AD91" i="39" s="1"/>
  <c r="AO91" i="39" s="1"/>
  <c r="BT90" i="39"/>
  <c r="BR90" i="39"/>
  <c r="BO90" i="39"/>
  <c r="BN90" i="39"/>
  <c r="BK90" i="39"/>
  <c r="BG90" i="39"/>
  <c r="BH90" i="39" s="1"/>
  <c r="BS90" i="39" s="1"/>
  <c r="BF90" i="39"/>
  <c r="AV90" i="39"/>
  <c r="AO90" i="39"/>
  <c r="AM90" i="39"/>
  <c r="AL90" i="39"/>
  <c r="AN90" i="39" s="1"/>
  <c r="BM90" i="39" s="1"/>
  <c r="AE90" i="39"/>
  <c r="AP90" i="39" s="1"/>
  <c r="AD90" i="39"/>
  <c r="W90" i="39"/>
  <c r="V90" i="39"/>
  <c r="BO89" i="39"/>
  <c r="BK89" i="39"/>
  <c r="BG89" i="39"/>
  <c r="BU89" i="39" s="1"/>
  <c r="BF89" i="39"/>
  <c r="AV89" i="39"/>
  <c r="BR89" i="39" s="1"/>
  <c r="BR93" i="39" s="1"/>
  <c r="AN89" i="39"/>
  <c r="BM89" i="39" s="1"/>
  <c r="AM89" i="39"/>
  <c r="AL89" i="39"/>
  <c r="BN89" i="39" s="1"/>
  <c r="AE89" i="39"/>
  <c r="AP89" i="39" s="1"/>
  <c r="W89" i="39"/>
  <c r="V89" i="39"/>
  <c r="AD89" i="39" s="1"/>
  <c r="AO89" i="39" s="1"/>
  <c r="AQ89" i="39" s="1"/>
  <c r="BR88" i="39"/>
  <c r="BN88" i="39"/>
  <c r="BM88" i="39"/>
  <c r="BK88" i="39"/>
  <c r="BG88" i="39"/>
  <c r="BU88" i="39" s="1"/>
  <c r="BF88" i="39"/>
  <c r="BH88" i="39" s="1"/>
  <c r="BS88" i="39" s="1"/>
  <c r="AV88" i="39"/>
  <c r="AN88" i="39"/>
  <c r="AM88" i="39"/>
  <c r="BO88" i="39" s="1"/>
  <c r="AL88" i="39"/>
  <c r="AF88" i="39"/>
  <c r="AD88" i="39"/>
  <c r="AO88" i="39" s="1"/>
  <c r="W88" i="39"/>
  <c r="AE88" i="39" s="1"/>
  <c r="V88" i="39"/>
  <c r="BR87" i="39"/>
  <c r="BO87" i="39"/>
  <c r="BL87" i="39"/>
  <c r="BK87" i="39"/>
  <c r="BH87" i="39"/>
  <c r="BS87" i="39" s="1"/>
  <c r="BG87" i="39"/>
  <c r="BF87" i="39"/>
  <c r="BF93" i="39" s="1"/>
  <c r="AV87" i="39"/>
  <c r="AP87" i="39"/>
  <c r="AM87" i="39"/>
  <c r="AL87" i="39"/>
  <c r="AE87" i="39"/>
  <c r="AD87" i="39"/>
  <c r="W87" i="39"/>
  <c r="W93" i="39" s="1"/>
  <c r="V87" i="39"/>
  <c r="CA86" i="39"/>
  <c r="BZ86" i="39"/>
  <c r="BY86" i="39"/>
  <c r="BX86" i="39"/>
  <c r="BW86" i="39"/>
  <c r="BV86" i="39"/>
  <c r="BD86" i="39"/>
  <c r="BC86" i="39"/>
  <c r="BA86" i="39"/>
  <c r="AZ86" i="39"/>
  <c r="AY86" i="39"/>
  <c r="AX86" i="39"/>
  <c r="AU86" i="39"/>
  <c r="AT86" i="39"/>
  <c r="AL86" i="39"/>
  <c r="AK86" i="39"/>
  <c r="AJ86" i="39"/>
  <c r="AI86" i="39"/>
  <c r="AH86" i="39"/>
  <c r="AG86" i="39"/>
  <c r="AC86" i="39"/>
  <c r="AB86" i="39"/>
  <c r="AA86" i="39"/>
  <c r="Z86" i="39"/>
  <c r="Y86" i="39"/>
  <c r="X86" i="39"/>
  <c r="BR85" i="39"/>
  <c r="BO85" i="39"/>
  <c r="BL85" i="39"/>
  <c r="BG85" i="39"/>
  <c r="BH85" i="39" s="1"/>
  <c r="BS85" i="39" s="1"/>
  <c r="BF85" i="39"/>
  <c r="BT85" i="39" s="1"/>
  <c r="AV85" i="39"/>
  <c r="AM85" i="39"/>
  <c r="AL85" i="39"/>
  <c r="AN85" i="39" s="1"/>
  <c r="BM85" i="39" s="1"/>
  <c r="AE85" i="39"/>
  <c r="AP85" i="39" s="1"/>
  <c r="W85" i="39"/>
  <c r="V85" i="39"/>
  <c r="AD85" i="39" s="1"/>
  <c r="BN84" i="39"/>
  <c r="BG84" i="39"/>
  <c r="BU84" i="39" s="1"/>
  <c r="BF84" i="39"/>
  <c r="AV84" i="39"/>
  <c r="BR84" i="39" s="1"/>
  <c r="AM84" i="39"/>
  <c r="BO84" i="39" s="1"/>
  <c r="AL84" i="39"/>
  <c r="W84" i="39"/>
  <c r="AE84" i="39" s="1"/>
  <c r="V84" i="39"/>
  <c r="AD84" i="39" s="1"/>
  <c r="BT83" i="39"/>
  <c r="BO83" i="39"/>
  <c r="BG83" i="39"/>
  <c r="BH83" i="39" s="1"/>
  <c r="BS83" i="39" s="1"/>
  <c r="BF83" i="39"/>
  <c r="AV83" i="39"/>
  <c r="BR83" i="39" s="1"/>
  <c r="AN83" i="39"/>
  <c r="BM83" i="39" s="1"/>
  <c r="AM83" i="39"/>
  <c r="AL83" i="39"/>
  <c r="BN83" i="39" s="1"/>
  <c r="W83" i="39"/>
  <c r="AE83" i="39" s="1"/>
  <c r="V83" i="39"/>
  <c r="AD83" i="39" s="1"/>
  <c r="BK83" i="39" s="1"/>
  <c r="BO82" i="39"/>
  <c r="BN82" i="39"/>
  <c r="BG82" i="39"/>
  <c r="BH82" i="39" s="1"/>
  <c r="BS82" i="39" s="1"/>
  <c r="BF82" i="39"/>
  <c r="BT82" i="39" s="1"/>
  <c r="AV82" i="39"/>
  <c r="BR82" i="39" s="1"/>
  <c r="AM82" i="39"/>
  <c r="AN82" i="39" s="1"/>
  <c r="BM82" i="39" s="1"/>
  <c r="AL82" i="39"/>
  <c r="AE82" i="39"/>
  <c r="W82" i="39"/>
  <c r="V82" i="39"/>
  <c r="AD82" i="39" s="1"/>
  <c r="BU81" i="39"/>
  <c r="BG81" i="39"/>
  <c r="BF81" i="39"/>
  <c r="AV81" i="39"/>
  <c r="BR81" i="39" s="1"/>
  <c r="AM81" i="39"/>
  <c r="AL81" i="39"/>
  <c r="BN81" i="39" s="1"/>
  <c r="AE81" i="39"/>
  <c r="W81" i="39"/>
  <c r="V81" i="39"/>
  <c r="AD81" i="39" s="1"/>
  <c r="BK81" i="39" s="1"/>
  <c r="BN80" i="39"/>
  <c r="BK80" i="39"/>
  <c r="BG80" i="39"/>
  <c r="BF80" i="39"/>
  <c r="AV80" i="39"/>
  <c r="AV86" i="39" s="1"/>
  <c r="AP80" i="39"/>
  <c r="AN80" i="39"/>
  <c r="AM80" i="39"/>
  <c r="BO80" i="39" s="1"/>
  <c r="AL80" i="39"/>
  <c r="AE80" i="39"/>
  <c r="AD80" i="39"/>
  <c r="AO80" i="39" s="1"/>
  <c r="W80" i="39"/>
  <c r="W86" i="39" s="1"/>
  <c r="V80" i="39"/>
  <c r="CA79" i="39"/>
  <c r="BZ79" i="39"/>
  <c r="BY79" i="39"/>
  <c r="BX79" i="39"/>
  <c r="BW79" i="39"/>
  <c r="BV79" i="39"/>
  <c r="BD79" i="39"/>
  <c r="BC79" i="39"/>
  <c r="BA79" i="39"/>
  <c r="AZ79" i="39"/>
  <c r="AY79" i="39"/>
  <c r="AX79" i="39"/>
  <c r="AU79" i="39"/>
  <c r="AT79" i="39"/>
  <c r="AK79" i="39"/>
  <c r="AJ79" i="39"/>
  <c r="AI79" i="39"/>
  <c r="AH79" i="39"/>
  <c r="AG79" i="39"/>
  <c r="AC79" i="39"/>
  <c r="AB79" i="39"/>
  <c r="AA79" i="39"/>
  <c r="Z79" i="39"/>
  <c r="Y79" i="39"/>
  <c r="X79" i="39"/>
  <c r="BO78" i="39"/>
  <c r="BG78" i="39"/>
  <c r="BU78" i="39" s="1"/>
  <c r="BF78" i="39"/>
  <c r="AV78" i="39"/>
  <c r="BR78" i="39" s="1"/>
  <c r="AN78" i="39"/>
  <c r="BM78" i="39" s="1"/>
  <c r="AM78" i="39"/>
  <c r="AL78" i="39"/>
  <c r="BN78" i="39" s="1"/>
  <c r="AE78" i="39"/>
  <c r="BL78" i="39" s="1"/>
  <c r="AD78" i="39"/>
  <c r="W78" i="39"/>
  <c r="V78" i="39"/>
  <c r="BM77" i="39"/>
  <c r="BG77" i="39"/>
  <c r="BU77" i="39" s="1"/>
  <c r="BF77" i="39"/>
  <c r="AV77" i="39"/>
  <c r="BR77" i="39" s="1"/>
  <c r="AO77" i="39"/>
  <c r="AM77" i="39"/>
  <c r="BO77" i="39" s="1"/>
  <c r="AL77" i="39"/>
  <c r="AN77" i="39" s="1"/>
  <c r="AD77" i="39"/>
  <c r="W77" i="39"/>
  <c r="AE77" i="39" s="1"/>
  <c r="V77" i="39"/>
  <c r="BR76" i="39"/>
  <c r="BN76" i="39"/>
  <c r="BG76" i="39"/>
  <c r="BU76" i="39" s="1"/>
  <c r="BF76" i="39"/>
  <c r="BT76" i="39" s="1"/>
  <c r="AV76" i="39"/>
  <c r="AP76" i="39"/>
  <c r="AM76" i="39"/>
  <c r="BO76" i="39" s="1"/>
  <c r="AL76" i="39"/>
  <c r="AE76" i="39"/>
  <c r="BL76" i="39" s="1"/>
  <c r="W76" i="39"/>
  <c r="V76" i="39"/>
  <c r="AD76" i="39" s="1"/>
  <c r="BT75" i="39"/>
  <c r="BO75" i="39"/>
  <c r="BM75" i="39"/>
  <c r="BG75" i="39"/>
  <c r="BU75" i="39" s="1"/>
  <c r="BF75" i="39"/>
  <c r="AV75" i="39"/>
  <c r="BR75" i="39" s="1"/>
  <c r="AN75" i="39"/>
  <c r="AM75" i="39"/>
  <c r="AL75" i="39"/>
  <c r="BN75" i="39" s="1"/>
  <c r="AE75" i="39"/>
  <c r="W75" i="39"/>
  <c r="V75" i="39"/>
  <c r="AD75" i="39" s="1"/>
  <c r="BU74" i="39"/>
  <c r="BT74" i="39"/>
  <c r="BO74" i="39"/>
  <c r="BN74" i="39"/>
  <c r="BG74" i="39"/>
  <c r="BF74" i="39"/>
  <c r="AV74" i="39"/>
  <c r="BR74" i="39" s="1"/>
  <c r="AM74" i="39"/>
  <c r="AL74" i="39"/>
  <c r="AN74" i="39" s="1"/>
  <c r="BM74" i="39" s="1"/>
  <c r="AD74" i="39"/>
  <c r="BK74" i="39" s="1"/>
  <c r="W74" i="39"/>
  <c r="AE74" i="39" s="1"/>
  <c r="V74" i="39"/>
  <c r="BR73" i="39"/>
  <c r="BG73" i="39"/>
  <c r="BU73" i="39" s="1"/>
  <c r="BF73" i="39"/>
  <c r="BT73" i="39" s="1"/>
  <c r="AV73" i="39"/>
  <c r="AM73" i="39"/>
  <c r="AL73" i="39"/>
  <c r="AL79" i="39" s="1"/>
  <c r="W73" i="39"/>
  <c r="V73" i="39"/>
  <c r="CA72" i="39"/>
  <c r="BZ72" i="39"/>
  <c r="BY72" i="39"/>
  <c r="BX72" i="39"/>
  <c r="BW72" i="39"/>
  <c r="BV72" i="39"/>
  <c r="BD72" i="39"/>
  <c r="BC72" i="39"/>
  <c r="BA72" i="39"/>
  <c r="AZ72" i="39"/>
  <c r="AY72" i="39"/>
  <c r="AX72" i="39"/>
  <c r="AU72" i="39"/>
  <c r="AT72" i="39"/>
  <c r="AM72" i="39"/>
  <c r="AK72" i="39"/>
  <c r="AJ72" i="39"/>
  <c r="AI72" i="39"/>
  <c r="AH72" i="39"/>
  <c r="AG72" i="39"/>
  <c r="AC72" i="39"/>
  <c r="AB72" i="39"/>
  <c r="AA72" i="39"/>
  <c r="Z72" i="39"/>
  <c r="Y72" i="39"/>
  <c r="X72" i="39"/>
  <c r="BT71" i="39"/>
  <c r="BN71" i="39"/>
  <c r="BG71" i="39"/>
  <c r="BU71" i="39" s="1"/>
  <c r="BF71" i="39"/>
  <c r="AV71" i="39"/>
  <c r="BR71" i="39" s="1"/>
  <c r="AO71" i="39"/>
  <c r="AM71" i="39"/>
  <c r="BO71" i="39" s="1"/>
  <c r="AL71" i="39"/>
  <c r="W71" i="39"/>
  <c r="AE71" i="39" s="1"/>
  <c r="V71" i="39"/>
  <c r="AD71" i="39" s="1"/>
  <c r="BR70" i="39"/>
  <c r="BO70" i="39"/>
  <c r="BK70" i="39"/>
  <c r="BG70" i="39"/>
  <c r="BU70" i="39" s="1"/>
  <c r="BF70" i="39"/>
  <c r="BT70" i="39" s="1"/>
  <c r="AV70" i="39"/>
  <c r="AM70" i="39"/>
  <c r="AL70" i="39"/>
  <c r="AE70" i="39"/>
  <c r="BL70" i="39" s="1"/>
  <c r="AD70" i="39"/>
  <c r="W70" i="39"/>
  <c r="V70" i="39"/>
  <c r="BR69" i="39"/>
  <c r="BO69" i="39"/>
  <c r="BG69" i="39"/>
  <c r="BU69" i="39" s="1"/>
  <c r="BF69" i="39"/>
  <c r="AV69" i="39"/>
  <c r="AN69" i="39"/>
  <c r="BM69" i="39" s="1"/>
  <c r="AM69" i="39"/>
  <c r="AL69" i="39"/>
  <c r="BN69" i="39" s="1"/>
  <c r="AE69" i="39"/>
  <c r="BL69" i="39" s="1"/>
  <c r="W69" i="39"/>
  <c r="V69" i="39"/>
  <c r="AD69" i="39" s="1"/>
  <c r="BT68" i="39"/>
  <c r="BR68" i="39"/>
  <c r="BN68" i="39"/>
  <c r="BG68" i="39"/>
  <c r="BU68" i="39" s="1"/>
  <c r="BF68" i="39"/>
  <c r="BF72" i="39" s="1"/>
  <c r="AV68" i="39"/>
  <c r="AP68" i="39"/>
  <c r="AO68" i="39"/>
  <c r="AQ68" i="39" s="1"/>
  <c r="AM68" i="39"/>
  <c r="BO68" i="39" s="1"/>
  <c r="AL68" i="39"/>
  <c r="AN68" i="39" s="1"/>
  <c r="BM68" i="39" s="1"/>
  <c r="AF68" i="39"/>
  <c r="AE68" i="39"/>
  <c r="BL68" i="39" s="1"/>
  <c r="AD68" i="39"/>
  <c r="BK68" i="39" s="1"/>
  <c r="W68" i="39"/>
  <c r="V68" i="39"/>
  <c r="BT67" i="39"/>
  <c r="BR67" i="39"/>
  <c r="BL67" i="39"/>
  <c r="BG67" i="39"/>
  <c r="BU67" i="39" s="1"/>
  <c r="BF67" i="39"/>
  <c r="AV67" i="39"/>
  <c r="AM67" i="39"/>
  <c r="BO67" i="39" s="1"/>
  <c r="AL67" i="39"/>
  <c r="BN67" i="39" s="1"/>
  <c r="AE67" i="39"/>
  <c r="AP67" i="39" s="1"/>
  <c r="W67" i="39"/>
  <c r="V67" i="39"/>
  <c r="BT66" i="39"/>
  <c r="BH66" i="39"/>
  <c r="BS66" i="39" s="1"/>
  <c r="BG66" i="39"/>
  <c r="BU66" i="39" s="1"/>
  <c r="BF66" i="39"/>
  <c r="AV66" i="39"/>
  <c r="AM66" i="39"/>
  <c r="BO66" i="39" s="1"/>
  <c r="BO72" i="39" s="1"/>
  <c r="AL66" i="39"/>
  <c r="AE66" i="39"/>
  <c r="BL66" i="39" s="1"/>
  <c r="W66" i="39"/>
  <c r="W72" i="39" s="1"/>
  <c r="V66" i="39"/>
  <c r="AD66" i="39" s="1"/>
  <c r="CA65" i="39"/>
  <c r="BZ65" i="39"/>
  <c r="BY65" i="39"/>
  <c r="BX65" i="39"/>
  <c r="BW65" i="39"/>
  <c r="BV65" i="39"/>
  <c r="BD65" i="39"/>
  <c r="BC65" i="39"/>
  <c r="BA65" i="39"/>
  <c r="AZ65" i="39"/>
  <c r="AY65" i="39"/>
  <c r="AX65" i="39"/>
  <c r="AU65" i="39"/>
  <c r="AT65" i="39"/>
  <c r="AK65" i="39"/>
  <c r="AJ65" i="39"/>
  <c r="AI65" i="39"/>
  <c r="AH65" i="39"/>
  <c r="AG65" i="39"/>
  <c r="AC65" i="39"/>
  <c r="AB65" i="39"/>
  <c r="AA65" i="39"/>
  <c r="Z65" i="39"/>
  <c r="Y65" i="39"/>
  <c r="X65" i="39"/>
  <c r="BR64" i="39"/>
  <c r="BO64" i="39"/>
  <c r="BK64" i="39"/>
  <c r="BG64" i="39"/>
  <c r="BU64" i="39" s="1"/>
  <c r="BF64" i="39"/>
  <c r="AV64" i="39"/>
  <c r="AM64" i="39"/>
  <c r="AL64" i="39"/>
  <c r="BN64" i="39" s="1"/>
  <c r="AF64" i="39"/>
  <c r="AS64" i="39" s="1"/>
  <c r="BQ64" i="39" s="1"/>
  <c r="AE64" i="39"/>
  <c r="AP64" i="39" s="1"/>
  <c r="AD64" i="39"/>
  <c r="AO64" i="39" s="1"/>
  <c r="W64" i="39"/>
  <c r="V64" i="39"/>
  <c r="BR63" i="39"/>
  <c r="BN63" i="39"/>
  <c r="BJ63" i="39"/>
  <c r="BG63" i="39"/>
  <c r="BU63" i="39" s="1"/>
  <c r="BF63" i="39"/>
  <c r="BT63" i="39" s="1"/>
  <c r="AV63" i="39"/>
  <c r="AN63" i="39"/>
  <c r="BM63" i="39" s="1"/>
  <c r="AM63" i="39"/>
  <c r="BO63" i="39" s="1"/>
  <c r="AL63" i="39"/>
  <c r="AE63" i="39"/>
  <c r="W63" i="39"/>
  <c r="V63" i="39"/>
  <c r="AD63" i="39" s="1"/>
  <c r="AF63" i="39" s="1"/>
  <c r="BT62" i="39"/>
  <c r="BO62" i="39"/>
  <c r="BN62" i="39"/>
  <c r="BH62" i="39"/>
  <c r="BS62" i="39" s="1"/>
  <c r="BG62" i="39"/>
  <c r="BU62" i="39" s="1"/>
  <c r="BF62" i="39"/>
  <c r="BE134" i="39"/>
  <c r="AU62" i="39"/>
  <c r="AU134" i="39" s="1"/>
  <c r="AN62" i="39"/>
  <c r="BM62" i="39" s="1"/>
  <c r="AM62" i="39"/>
  <c r="AL62" i="39"/>
  <c r="AD62" i="39"/>
  <c r="AO62" i="39" s="1"/>
  <c r="AA62" i="39"/>
  <c r="AA134" i="39" s="1"/>
  <c r="W62" i="39"/>
  <c r="V62" i="39"/>
  <c r="BR61" i="39"/>
  <c r="BO61" i="39"/>
  <c r="BK61" i="39"/>
  <c r="BG61" i="39"/>
  <c r="BU61" i="39" s="1"/>
  <c r="BF61" i="39"/>
  <c r="AV61" i="39"/>
  <c r="AO61" i="39"/>
  <c r="AM61" i="39"/>
  <c r="AL61" i="39"/>
  <c r="BN61" i="39" s="1"/>
  <c r="AE61" i="39"/>
  <c r="AD61" i="39"/>
  <c r="W61" i="39"/>
  <c r="V61" i="39"/>
  <c r="BR60" i="39"/>
  <c r="BN60" i="39"/>
  <c r="BG60" i="39"/>
  <c r="BU60" i="39" s="1"/>
  <c r="BF60" i="39"/>
  <c r="BT60" i="39" s="1"/>
  <c r="AV60" i="39"/>
  <c r="AN60" i="39"/>
  <c r="BM60" i="39" s="1"/>
  <c r="AM60" i="39"/>
  <c r="BO60" i="39" s="1"/>
  <c r="AL60" i="39"/>
  <c r="AE60" i="39"/>
  <c r="W60" i="39"/>
  <c r="W65" i="39" s="1"/>
  <c r="V60" i="39"/>
  <c r="AD60" i="39" s="1"/>
  <c r="BT59" i="39"/>
  <c r="BO59" i="39"/>
  <c r="BO65" i="39" s="1"/>
  <c r="BN59" i="39"/>
  <c r="BN65" i="39" s="1"/>
  <c r="BG59" i="39"/>
  <c r="BH59" i="39" s="1"/>
  <c r="BF59" i="39"/>
  <c r="BF65" i="39" s="1"/>
  <c r="AV59" i="39"/>
  <c r="BR59" i="39" s="1"/>
  <c r="AM59" i="39"/>
  <c r="AM65" i="39" s="1"/>
  <c r="AL59" i="39"/>
  <c r="W59" i="39"/>
  <c r="AE59" i="39" s="1"/>
  <c r="V59" i="39"/>
  <c r="V65" i="39" s="1"/>
  <c r="CA58" i="39"/>
  <c r="BZ58" i="39"/>
  <c r="BY58" i="39"/>
  <c r="BX58" i="39"/>
  <c r="BW58" i="39"/>
  <c r="BV58" i="39"/>
  <c r="BD58" i="39"/>
  <c r="BC58" i="39"/>
  <c r="BA58" i="39"/>
  <c r="AZ58" i="39"/>
  <c r="AY58" i="39"/>
  <c r="AX58" i="39"/>
  <c r="AU58" i="39"/>
  <c r="AT58" i="39"/>
  <c r="AK58" i="39"/>
  <c r="AJ58" i="39"/>
  <c r="AI58" i="39"/>
  <c r="AH58" i="39"/>
  <c r="AG58" i="39"/>
  <c r="AD58" i="39"/>
  <c r="AC58" i="39"/>
  <c r="AB58" i="39"/>
  <c r="AA58" i="39"/>
  <c r="Z58" i="39"/>
  <c r="Y58" i="39"/>
  <c r="X58" i="39"/>
  <c r="V58" i="39"/>
  <c r="BR57" i="39"/>
  <c r="BR58" i="39" s="1"/>
  <c r="BM57" i="39"/>
  <c r="BM58" i="39" s="1"/>
  <c r="BG57" i="39"/>
  <c r="BF57" i="39"/>
  <c r="BT57" i="39" s="1"/>
  <c r="BT58" i="39" s="1"/>
  <c r="AV57" i="39"/>
  <c r="AV58" i="39" s="1"/>
  <c r="AN57" i="39"/>
  <c r="AN58" i="39" s="1"/>
  <c r="AM57" i="39"/>
  <c r="AM58" i="39" s="1"/>
  <c r="AL57" i="39"/>
  <c r="AL58" i="39" s="1"/>
  <c r="W57" i="39"/>
  <c r="V57" i="39"/>
  <c r="AD57" i="39" s="1"/>
  <c r="CA56" i="39"/>
  <c r="BZ56" i="39"/>
  <c r="BY56" i="39"/>
  <c r="BX56" i="39"/>
  <c r="BW56" i="39"/>
  <c r="BV56" i="39"/>
  <c r="BD56" i="39"/>
  <c r="BC56" i="39"/>
  <c r="BA56" i="39"/>
  <c r="AZ56" i="39"/>
  <c r="AY56" i="39"/>
  <c r="AX56" i="39"/>
  <c r="AU56" i="39"/>
  <c r="AT56" i="39"/>
  <c r="AK56" i="39"/>
  <c r="AJ56" i="39"/>
  <c r="AI56" i="39"/>
  <c r="AH56" i="39"/>
  <c r="AG56" i="39"/>
  <c r="AC56" i="39"/>
  <c r="AB56" i="39"/>
  <c r="AA56" i="39"/>
  <c r="Z56" i="39"/>
  <c r="Y56" i="39"/>
  <c r="X56" i="39"/>
  <c r="BR55" i="39"/>
  <c r="BO55" i="39"/>
  <c r="BL55" i="39"/>
  <c r="BG55" i="39"/>
  <c r="BU55" i="39" s="1"/>
  <c r="BF55" i="39"/>
  <c r="AV55" i="39"/>
  <c r="AM55" i="39"/>
  <c r="AP55" i="39" s="1"/>
  <c r="AL55" i="39"/>
  <c r="BN55" i="39" s="1"/>
  <c r="AF55" i="39"/>
  <c r="AE55" i="39"/>
  <c r="W55" i="39"/>
  <c r="V55" i="39"/>
  <c r="AD55" i="39" s="1"/>
  <c r="BK55" i="39" s="1"/>
  <c r="BN54" i="39"/>
  <c r="BG54" i="39"/>
  <c r="BU54" i="39" s="1"/>
  <c r="BF54" i="39"/>
  <c r="BH54" i="39" s="1"/>
  <c r="BS54" i="39" s="1"/>
  <c r="AV54" i="39"/>
  <c r="BR54" i="39" s="1"/>
  <c r="AM54" i="39"/>
  <c r="BO54" i="39" s="1"/>
  <c r="AL54" i="39"/>
  <c r="AE54" i="39"/>
  <c r="W54" i="39"/>
  <c r="V54" i="39"/>
  <c r="AD54" i="39" s="1"/>
  <c r="BT53" i="39"/>
  <c r="BN53" i="39"/>
  <c r="BG53" i="39"/>
  <c r="BH53" i="39" s="1"/>
  <c r="BS53" i="39" s="1"/>
  <c r="BF53" i="39"/>
  <c r="AV53" i="39"/>
  <c r="BR53" i="39" s="1"/>
  <c r="AM53" i="39"/>
  <c r="AL53" i="39"/>
  <c r="AD53" i="39"/>
  <c r="AF53" i="39" s="1"/>
  <c r="BJ53" i="39" s="1"/>
  <c r="W53" i="39"/>
  <c r="AE53" i="39" s="1"/>
  <c r="V53" i="39"/>
  <c r="BO52" i="39"/>
  <c r="BG52" i="39"/>
  <c r="BU52" i="39" s="1"/>
  <c r="BF52" i="39"/>
  <c r="BT52" i="39" s="1"/>
  <c r="AV52" i="39"/>
  <c r="BR52" i="39" s="1"/>
  <c r="AP52" i="39"/>
  <c r="AM52" i="39"/>
  <c r="AL52" i="39"/>
  <c r="BN52" i="39" s="1"/>
  <c r="BN56" i="39" s="1"/>
  <c r="AE52" i="39"/>
  <c r="BL52" i="39" s="1"/>
  <c r="AD52" i="39"/>
  <c r="W52" i="39"/>
  <c r="V52" i="39"/>
  <c r="BU51" i="39"/>
  <c r="BL51" i="39"/>
  <c r="BG51" i="39"/>
  <c r="BF51" i="39"/>
  <c r="AV51" i="39"/>
  <c r="AN51" i="39"/>
  <c r="BM51" i="39" s="1"/>
  <c r="AM51" i="39"/>
  <c r="AL51" i="39"/>
  <c r="BN51" i="39" s="1"/>
  <c r="AD51" i="39"/>
  <c r="W51" i="39"/>
  <c r="AE51" i="39" s="1"/>
  <c r="V51" i="39"/>
  <c r="V56" i="39" s="1"/>
  <c r="CA50" i="39"/>
  <c r="BZ50" i="39"/>
  <c r="BY50" i="39"/>
  <c r="BX50" i="39"/>
  <c r="BW50" i="39"/>
  <c r="BV50" i="39"/>
  <c r="BN50" i="39"/>
  <c r="BD50" i="39"/>
  <c r="BC50" i="39"/>
  <c r="BA50" i="39"/>
  <c r="AZ50" i="39"/>
  <c r="AY50" i="39"/>
  <c r="AX50" i="39"/>
  <c r="AU50" i="39"/>
  <c r="AT50" i="39"/>
  <c r="AM50" i="39"/>
  <c r="AL50" i="39"/>
  <c r="AK50" i="39"/>
  <c r="AJ50" i="39"/>
  <c r="AI50" i="39"/>
  <c r="AH50" i="39"/>
  <c r="AG50" i="39"/>
  <c r="AC50" i="39"/>
  <c r="AB50" i="39"/>
  <c r="AA50" i="39"/>
  <c r="Z50" i="39"/>
  <c r="Y50" i="39"/>
  <c r="X50" i="39"/>
  <c r="BT49" i="39"/>
  <c r="BR49" i="39"/>
  <c r="BO49" i="39"/>
  <c r="BN49" i="39"/>
  <c r="BG49" i="39"/>
  <c r="BH49" i="39" s="1"/>
  <c r="BS49" i="39" s="1"/>
  <c r="BF49" i="39"/>
  <c r="AV49" i="39"/>
  <c r="AP49" i="39"/>
  <c r="AN49" i="39"/>
  <c r="BM49" i="39" s="1"/>
  <c r="AM49" i="39"/>
  <c r="AL49" i="39"/>
  <c r="AD49" i="39"/>
  <c r="W49" i="39"/>
  <c r="AE49" i="39" s="1"/>
  <c r="BL49" i="39" s="1"/>
  <c r="V49" i="39"/>
  <c r="BO48" i="39"/>
  <c r="BG48" i="39"/>
  <c r="BU48" i="39" s="1"/>
  <c r="BF48" i="39"/>
  <c r="AV48" i="39"/>
  <c r="BR48" i="39" s="1"/>
  <c r="AQ48" i="39"/>
  <c r="AP48" i="39"/>
  <c r="AM48" i="39"/>
  <c r="AN48" i="39" s="1"/>
  <c r="BM48" i="39" s="1"/>
  <c r="AL48" i="39"/>
  <c r="BN48" i="39" s="1"/>
  <c r="AF48" i="39"/>
  <c r="AE48" i="39"/>
  <c r="BL48" i="39" s="1"/>
  <c r="W48" i="39"/>
  <c r="V48" i="39"/>
  <c r="AD48" i="39" s="1"/>
  <c r="AO48" i="39" s="1"/>
  <c r="BR47" i="39"/>
  <c r="BN47" i="39"/>
  <c r="BM47" i="39"/>
  <c r="BM50" i="39" s="1"/>
  <c r="BG47" i="39"/>
  <c r="BU47" i="39" s="1"/>
  <c r="BF47" i="39"/>
  <c r="AV47" i="39"/>
  <c r="AV50" i="39" s="1"/>
  <c r="AN47" i="39"/>
  <c r="AM47" i="39"/>
  <c r="BO47" i="39" s="1"/>
  <c r="BO50" i="39" s="1"/>
  <c r="AL47" i="39"/>
  <c r="AE47" i="39"/>
  <c r="BL47" i="39" s="1"/>
  <c r="BL50" i="39" s="1"/>
  <c r="AD47" i="39"/>
  <c r="BK47" i="39" s="1"/>
  <c r="W47" i="39"/>
  <c r="V47" i="39"/>
  <c r="CA46" i="39"/>
  <c r="BZ46" i="39"/>
  <c r="BY46" i="39"/>
  <c r="BX46" i="39"/>
  <c r="BW46" i="39"/>
  <c r="BV46" i="39"/>
  <c r="BR46" i="39"/>
  <c r="BO46" i="39"/>
  <c r="BD46" i="39"/>
  <c r="BC46" i="39"/>
  <c r="BA46" i="39"/>
  <c r="AZ46" i="39"/>
  <c r="AY46" i="39"/>
  <c r="AX46" i="39"/>
  <c r="AV46" i="39"/>
  <c r="AU46" i="39"/>
  <c r="AT46" i="39"/>
  <c r="AK46" i="39"/>
  <c r="AJ46" i="39"/>
  <c r="AI46" i="39"/>
  <c r="AH46" i="39"/>
  <c r="AG46" i="39"/>
  <c r="AC46" i="39"/>
  <c r="AB46" i="39"/>
  <c r="AA46" i="39"/>
  <c r="Z46" i="39"/>
  <c r="Y46" i="39"/>
  <c r="X46" i="39"/>
  <c r="W46" i="39"/>
  <c r="V46" i="39"/>
  <c r="BO45" i="39"/>
  <c r="BM45" i="39"/>
  <c r="BM46" i="39" s="1"/>
  <c r="BG45" i="39"/>
  <c r="BG46" i="39" s="1"/>
  <c r="BF45" i="39"/>
  <c r="AV45" i="39"/>
  <c r="BR45" i="39" s="1"/>
  <c r="AS45" i="39"/>
  <c r="AP45" i="39"/>
  <c r="AP46" i="39" s="1"/>
  <c r="AM45" i="39"/>
  <c r="AN45" i="39" s="1"/>
  <c r="AN46" i="39" s="1"/>
  <c r="AL45" i="39"/>
  <c r="AL46" i="39" s="1"/>
  <c r="AF45" i="39"/>
  <c r="AE45" i="39"/>
  <c r="AD45" i="39"/>
  <c r="BK45" i="39" s="1"/>
  <c r="BK46" i="39" s="1"/>
  <c r="W45" i="39"/>
  <c r="V45" i="39"/>
  <c r="CA44" i="39"/>
  <c r="BZ44" i="39"/>
  <c r="BY44" i="39"/>
  <c r="BX44" i="39"/>
  <c r="BW44" i="39"/>
  <c r="BV44" i="39"/>
  <c r="BR44" i="39"/>
  <c r="BG44" i="39"/>
  <c r="BF44" i="39"/>
  <c r="BD44" i="39"/>
  <c r="BC44" i="39"/>
  <c r="BA44" i="39"/>
  <c r="AZ44" i="39"/>
  <c r="AY44" i="39"/>
  <c r="AX44" i="39"/>
  <c r="AV44" i="39"/>
  <c r="AU44" i="39"/>
  <c r="AT44" i="39"/>
  <c r="AL44" i="39"/>
  <c r="AK44" i="39"/>
  <c r="AJ44" i="39"/>
  <c r="AI44" i="39"/>
  <c r="AH44" i="39"/>
  <c r="AG44" i="39"/>
  <c r="AC44" i="39"/>
  <c r="AB44" i="39"/>
  <c r="AA44" i="39"/>
  <c r="Z44" i="39"/>
  <c r="Y44" i="39"/>
  <c r="X44" i="39"/>
  <c r="V44" i="39"/>
  <c r="BR43" i="39"/>
  <c r="BO43" i="39"/>
  <c r="BG43" i="39"/>
  <c r="BH43" i="39" s="1"/>
  <c r="BF43" i="39"/>
  <c r="AV43" i="39"/>
  <c r="AV136" i="39" s="1"/>
  <c r="AN43" i="39"/>
  <c r="AM43" i="39"/>
  <c r="AL43" i="39"/>
  <c r="W43" i="39"/>
  <c r="V43" i="39"/>
  <c r="CA42" i="39"/>
  <c r="BZ42" i="39"/>
  <c r="BY42" i="39"/>
  <c r="BX42" i="39"/>
  <c r="BW42" i="39"/>
  <c r="BV42" i="39"/>
  <c r="BF42" i="39"/>
  <c r="BD42" i="39"/>
  <c r="BC42" i="39"/>
  <c r="BA42" i="39"/>
  <c r="AZ42" i="39"/>
  <c r="AY42" i="39"/>
  <c r="AX42" i="39"/>
  <c r="AU42" i="39"/>
  <c r="AT42" i="39"/>
  <c r="AM42" i="39"/>
  <c r="AK42" i="39"/>
  <c r="AJ42" i="39"/>
  <c r="AI42" i="39"/>
  <c r="AH42" i="39"/>
  <c r="AG42" i="39"/>
  <c r="AC42" i="39"/>
  <c r="AB42" i="39"/>
  <c r="AA42" i="39"/>
  <c r="Z42" i="39"/>
  <c r="Y42" i="39"/>
  <c r="X42" i="39"/>
  <c r="W42" i="39"/>
  <c r="BT41" i="39"/>
  <c r="BN41" i="39"/>
  <c r="BK41" i="39"/>
  <c r="BG41" i="39"/>
  <c r="BH41" i="39" s="1"/>
  <c r="BS41" i="39" s="1"/>
  <c r="BF41" i="39"/>
  <c r="AV41" i="39"/>
  <c r="BR41" i="39" s="1"/>
  <c r="AN41" i="39"/>
  <c r="BM41" i="39" s="1"/>
  <c r="AM41" i="39"/>
  <c r="BO41" i="39" s="1"/>
  <c r="AL41" i="39"/>
  <c r="AD41" i="39"/>
  <c r="AF41" i="39" s="1"/>
  <c r="AR41" i="39" s="1"/>
  <c r="BP41" i="39" s="1"/>
  <c r="W41" i="39"/>
  <c r="AE41" i="39" s="1"/>
  <c r="V41" i="39"/>
  <c r="BT40" i="39"/>
  <c r="BG40" i="39"/>
  <c r="BU40" i="39" s="1"/>
  <c r="BF40" i="39"/>
  <c r="AV40" i="39"/>
  <c r="BR40" i="39" s="1"/>
  <c r="AM40" i="39"/>
  <c r="BO40" i="39" s="1"/>
  <c r="AL40" i="39"/>
  <c r="AD40" i="39"/>
  <c r="AO40" i="39" s="1"/>
  <c r="AQ40" i="39" s="1"/>
  <c r="W40" i="39"/>
  <c r="AE40" i="39" s="1"/>
  <c r="AP40" i="39" s="1"/>
  <c r="V40" i="39"/>
  <c r="BU39" i="39"/>
  <c r="BK39" i="39"/>
  <c r="BG39" i="39"/>
  <c r="BF39" i="39"/>
  <c r="AV39" i="39"/>
  <c r="BR39" i="39" s="1"/>
  <c r="AM39" i="39"/>
  <c r="BO39" i="39" s="1"/>
  <c r="AL39" i="39"/>
  <c r="BN39" i="39" s="1"/>
  <c r="AD39" i="39"/>
  <c r="AF39" i="39" s="1"/>
  <c r="W39" i="39"/>
  <c r="AE39" i="39" s="1"/>
  <c r="AP39" i="39" s="1"/>
  <c r="V39" i="39"/>
  <c r="BT38" i="39"/>
  <c r="BO38" i="39"/>
  <c r="BG38" i="39"/>
  <c r="BU38" i="39" s="1"/>
  <c r="BF38" i="39"/>
  <c r="AV38" i="39"/>
  <c r="BR38" i="39" s="1"/>
  <c r="AN38" i="39"/>
  <c r="BM38" i="39" s="1"/>
  <c r="AM38" i="39"/>
  <c r="AL38" i="39"/>
  <c r="BN38" i="39" s="1"/>
  <c r="W38" i="39"/>
  <c r="AE38" i="39" s="1"/>
  <c r="V38" i="39"/>
  <c r="AD38" i="39" s="1"/>
  <c r="BK38" i="39" s="1"/>
  <c r="BU37" i="39"/>
  <c r="BR37" i="39"/>
  <c r="BO37" i="39"/>
  <c r="BO130" i="39" s="1"/>
  <c r="BN37" i="39"/>
  <c r="BG37" i="39"/>
  <c r="BH37" i="39" s="1"/>
  <c r="BF37" i="39"/>
  <c r="BF130" i="39" s="1"/>
  <c r="AV37" i="39"/>
  <c r="AN37" i="39"/>
  <c r="AM37" i="39"/>
  <c r="AL37" i="39"/>
  <c r="AE37" i="39"/>
  <c r="W37" i="39"/>
  <c r="W130" i="39" s="1"/>
  <c r="V37" i="39"/>
  <c r="CA36" i="39"/>
  <c r="BZ36" i="39"/>
  <c r="BY36" i="39"/>
  <c r="BX36" i="39"/>
  <c r="BW36" i="39"/>
  <c r="BV36" i="39"/>
  <c r="BD36" i="39"/>
  <c r="BC36" i="39"/>
  <c r="BA36" i="39"/>
  <c r="AZ36" i="39"/>
  <c r="AY36" i="39"/>
  <c r="AX36" i="39"/>
  <c r="AU36" i="39"/>
  <c r="AT36" i="39"/>
  <c r="AK36" i="39"/>
  <c r="AJ36" i="39"/>
  <c r="AI36" i="39"/>
  <c r="AH36" i="39"/>
  <c r="AG36" i="39"/>
  <c r="AC36" i="39"/>
  <c r="AB36" i="39"/>
  <c r="AA36" i="39"/>
  <c r="Z36" i="39"/>
  <c r="Y36" i="39"/>
  <c r="X36" i="39"/>
  <c r="BT35" i="39"/>
  <c r="BO35" i="39"/>
  <c r="BN35" i="39"/>
  <c r="BG35" i="39"/>
  <c r="BH35" i="39" s="1"/>
  <c r="BS35" i="39" s="1"/>
  <c r="BF35" i="39"/>
  <c r="AV35" i="39"/>
  <c r="BR35" i="39" s="1"/>
  <c r="AM35" i="39"/>
  <c r="AL35" i="39"/>
  <c r="AN35" i="39" s="1"/>
  <c r="BM35" i="39" s="1"/>
  <c r="AD35" i="39"/>
  <c r="W35" i="39"/>
  <c r="AE35" i="39" s="1"/>
  <c r="V35" i="39"/>
  <c r="BU34" i="39"/>
  <c r="BT34" i="39"/>
  <c r="BL34" i="39"/>
  <c r="BG34" i="39"/>
  <c r="BF34" i="39"/>
  <c r="BH34" i="39" s="1"/>
  <c r="BS34" i="39" s="1"/>
  <c r="AV34" i="39"/>
  <c r="BR34" i="39" s="1"/>
  <c r="AM34" i="39"/>
  <c r="AL34" i="39"/>
  <c r="W34" i="39"/>
  <c r="AE34" i="39" s="1"/>
  <c r="V34" i="39"/>
  <c r="V36" i="39" s="1"/>
  <c r="BO33" i="39"/>
  <c r="BM33" i="39"/>
  <c r="BG33" i="39"/>
  <c r="BU33" i="39" s="1"/>
  <c r="BF33" i="39"/>
  <c r="AV33" i="39"/>
  <c r="BR33" i="39" s="1"/>
  <c r="AN33" i="39"/>
  <c r="AM33" i="39"/>
  <c r="AL33" i="39"/>
  <c r="BN33" i="39" s="1"/>
  <c r="AD33" i="39"/>
  <c r="BK33" i="39" s="1"/>
  <c r="W33" i="39"/>
  <c r="AE33" i="39" s="1"/>
  <c r="V33" i="39"/>
  <c r="BK32" i="39"/>
  <c r="BG32" i="39"/>
  <c r="BU32" i="39" s="1"/>
  <c r="BF32" i="39"/>
  <c r="BT32" i="39" s="1"/>
  <c r="AV32" i="39"/>
  <c r="BR32" i="39" s="1"/>
  <c r="BR36" i="39" s="1"/>
  <c r="AM32" i="39"/>
  <c r="BO32" i="39" s="1"/>
  <c r="AL32" i="39"/>
  <c r="BN32" i="39" s="1"/>
  <c r="AD32" i="39"/>
  <c r="W32" i="39"/>
  <c r="AE32" i="39" s="1"/>
  <c r="BL32" i="39" s="1"/>
  <c r="V32" i="39"/>
  <c r="BR31" i="39"/>
  <c r="BO31" i="39"/>
  <c r="BN31" i="39"/>
  <c r="BG31" i="39"/>
  <c r="BF31" i="39"/>
  <c r="AV31" i="39"/>
  <c r="AM31" i="39"/>
  <c r="AL31" i="39"/>
  <c r="AE31" i="39"/>
  <c r="AD31" i="39"/>
  <c r="AO31" i="39" s="1"/>
  <c r="W31" i="39"/>
  <c r="V31" i="39"/>
  <c r="CA30" i="39"/>
  <c r="BZ30" i="39"/>
  <c r="BY30" i="39"/>
  <c r="BX30" i="39"/>
  <c r="BW30" i="39"/>
  <c r="BV30" i="39"/>
  <c r="BD30" i="39"/>
  <c r="BC30" i="39"/>
  <c r="BA30" i="39"/>
  <c r="AZ30" i="39"/>
  <c r="AY30" i="39"/>
  <c r="AX30" i="39"/>
  <c r="AU30" i="39"/>
  <c r="AT30" i="39"/>
  <c r="AK30" i="39"/>
  <c r="AJ30" i="39"/>
  <c r="AI30" i="39"/>
  <c r="AH30" i="39"/>
  <c r="AG30" i="39"/>
  <c r="AC30" i="39"/>
  <c r="AB30" i="39"/>
  <c r="AA30" i="39"/>
  <c r="Z30" i="39"/>
  <c r="Y30" i="39"/>
  <c r="X30" i="39"/>
  <c r="BT29" i="39"/>
  <c r="BM29" i="39"/>
  <c r="BG29" i="39"/>
  <c r="BU29" i="39" s="1"/>
  <c r="BF29" i="39"/>
  <c r="AV29" i="39"/>
  <c r="BR29" i="39" s="1"/>
  <c r="AM29" i="39"/>
  <c r="BO29" i="39" s="1"/>
  <c r="AL29" i="39"/>
  <c r="AN29" i="39" s="1"/>
  <c r="AD29" i="39"/>
  <c r="AF29" i="39" s="1"/>
  <c r="W29" i="39"/>
  <c r="AE29" i="39" s="1"/>
  <c r="V29" i="39"/>
  <c r="BR28" i="39"/>
  <c r="BN28" i="39"/>
  <c r="BK28" i="39"/>
  <c r="BG28" i="39"/>
  <c r="BU28" i="39" s="1"/>
  <c r="BF28" i="39"/>
  <c r="BT28" i="39" s="1"/>
  <c r="AV28" i="39"/>
  <c r="AM28" i="39"/>
  <c r="BO28" i="39" s="1"/>
  <c r="AL28" i="39"/>
  <c r="AF28" i="39"/>
  <c r="AE28" i="39"/>
  <c r="W28" i="39"/>
  <c r="V28" i="39"/>
  <c r="AD28" i="39" s="1"/>
  <c r="AO28" i="39" s="1"/>
  <c r="BT27" i="39"/>
  <c r="BO27" i="39"/>
  <c r="BG27" i="39"/>
  <c r="BU27" i="39" s="1"/>
  <c r="BF27" i="39"/>
  <c r="AV27" i="39"/>
  <c r="BR27" i="39" s="1"/>
  <c r="AP27" i="39"/>
  <c r="AM27" i="39"/>
  <c r="AL27" i="39"/>
  <c r="AE27" i="39"/>
  <c r="BL27" i="39" s="1"/>
  <c r="AD27" i="39"/>
  <c r="BK27" i="39" s="1"/>
  <c r="W27" i="39"/>
  <c r="V27" i="39"/>
  <c r="BR26" i="39"/>
  <c r="BO26" i="39"/>
  <c r="BG26" i="39"/>
  <c r="BU26" i="39" s="1"/>
  <c r="BF26" i="39"/>
  <c r="AV26" i="39"/>
  <c r="AP26" i="39"/>
  <c r="AM26" i="39"/>
  <c r="AL26" i="39"/>
  <c r="BN26" i="39" s="1"/>
  <c r="AE26" i="39"/>
  <c r="BL26" i="39" s="1"/>
  <c r="W26" i="39"/>
  <c r="V26" i="39"/>
  <c r="AD26" i="39" s="1"/>
  <c r="BT25" i="39"/>
  <c r="BN25" i="39"/>
  <c r="BN131" i="39" s="1"/>
  <c r="BG25" i="39"/>
  <c r="BG30" i="39" s="1"/>
  <c r="BF25" i="39"/>
  <c r="AV25" i="39"/>
  <c r="AM25" i="39"/>
  <c r="AL25" i="39"/>
  <c r="W25" i="39"/>
  <c r="V25" i="39"/>
  <c r="V30" i="39" s="1"/>
  <c r="CA24" i="39"/>
  <c r="BZ24" i="39"/>
  <c r="BY24" i="39"/>
  <c r="BX24" i="39"/>
  <c r="BW24" i="39"/>
  <c r="BV24" i="39"/>
  <c r="BD24" i="39"/>
  <c r="BC24" i="39"/>
  <c r="BA24" i="39"/>
  <c r="AZ24" i="39"/>
  <c r="AY24" i="39"/>
  <c r="AX24" i="39"/>
  <c r="AU24" i="39"/>
  <c r="AT24" i="39"/>
  <c r="AK24" i="39"/>
  <c r="AJ24" i="39"/>
  <c r="AI24" i="39"/>
  <c r="AH24" i="39"/>
  <c r="AG24" i="39"/>
  <c r="AC24" i="39"/>
  <c r="AB24" i="39"/>
  <c r="AA24" i="39"/>
  <c r="Z24" i="39"/>
  <c r="Y24" i="39"/>
  <c r="X24" i="39"/>
  <c r="BR23" i="39"/>
  <c r="BG23" i="39"/>
  <c r="BU23" i="39" s="1"/>
  <c r="BF23" i="39"/>
  <c r="AV23" i="39"/>
  <c r="AM23" i="39"/>
  <c r="BO23" i="39" s="1"/>
  <c r="AL23" i="39"/>
  <c r="BN23" i="39" s="1"/>
  <c r="AE23" i="39"/>
  <c r="BL23" i="39" s="1"/>
  <c r="W23" i="39"/>
  <c r="V23" i="39"/>
  <c r="AD23" i="39" s="1"/>
  <c r="AF23" i="39" s="1"/>
  <c r="BT22" i="39"/>
  <c r="BN22" i="39"/>
  <c r="BG22" i="39"/>
  <c r="BF22" i="39"/>
  <c r="AV22" i="39"/>
  <c r="AV24" i="39" s="1"/>
  <c r="AN22" i="39"/>
  <c r="AM22" i="39"/>
  <c r="AL22" i="39"/>
  <c r="AL135" i="39" s="1"/>
  <c r="W22" i="39"/>
  <c r="V22" i="39"/>
  <c r="AD22" i="39" s="1"/>
  <c r="BT21" i="39"/>
  <c r="BG21" i="39"/>
  <c r="BU21" i="39" s="1"/>
  <c r="BF21" i="39"/>
  <c r="AV21" i="39"/>
  <c r="BR21" i="39" s="1"/>
  <c r="AM21" i="39"/>
  <c r="BO21" i="39" s="1"/>
  <c r="AL21" i="39"/>
  <c r="W21" i="39"/>
  <c r="AE21" i="39" s="1"/>
  <c r="V21" i="39"/>
  <c r="AD21" i="39" s="1"/>
  <c r="BU20" i="39"/>
  <c r="BR20" i="39"/>
  <c r="BG20" i="39"/>
  <c r="BF20" i="39"/>
  <c r="AV20" i="39"/>
  <c r="AM20" i="39"/>
  <c r="BO20" i="39" s="1"/>
  <c r="AL20" i="39"/>
  <c r="BN20" i="39" s="1"/>
  <c r="W20" i="39"/>
  <c r="AE20" i="39" s="1"/>
  <c r="V20" i="39"/>
  <c r="AD20" i="39" s="1"/>
  <c r="BM19" i="39"/>
  <c r="BG19" i="39"/>
  <c r="BF19" i="39"/>
  <c r="BF24" i="39" s="1"/>
  <c r="AV19" i="39"/>
  <c r="AO19" i="39"/>
  <c r="AN19" i="39"/>
  <c r="AM19" i="39"/>
  <c r="AL19" i="39"/>
  <c r="AD19" i="39"/>
  <c r="W19" i="39"/>
  <c r="V19" i="39"/>
  <c r="CA18" i="39"/>
  <c r="BZ18" i="39"/>
  <c r="BY18" i="39"/>
  <c r="BX18" i="39"/>
  <c r="BW18" i="39"/>
  <c r="BV18" i="39"/>
  <c r="BD18" i="39"/>
  <c r="BC18" i="39"/>
  <c r="BA18" i="39"/>
  <c r="AZ18" i="39"/>
  <c r="AY18" i="39"/>
  <c r="AX18" i="39"/>
  <c r="AV18" i="39"/>
  <c r="AU18" i="39"/>
  <c r="AT18" i="39"/>
  <c r="AK18" i="39"/>
  <c r="AJ18" i="39"/>
  <c r="AI18" i="39"/>
  <c r="AH18" i="39"/>
  <c r="AG18" i="39"/>
  <c r="AC18" i="39"/>
  <c r="AB18" i="39"/>
  <c r="AA18" i="39"/>
  <c r="Z18" i="39"/>
  <c r="Y18" i="39"/>
  <c r="X18" i="39"/>
  <c r="BO17" i="39"/>
  <c r="BG17" i="39"/>
  <c r="BU17" i="39" s="1"/>
  <c r="BF17" i="39"/>
  <c r="AV17" i="39"/>
  <c r="AN17" i="39"/>
  <c r="AM17" i="39"/>
  <c r="AL17" i="39"/>
  <c r="W17" i="39"/>
  <c r="W134" i="39" s="1"/>
  <c r="V17" i="39"/>
  <c r="BG16" i="39"/>
  <c r="BU16" i="39" s="1"/>
  <c r="BF16" i="39"/>
  <c r="BT16" i="39" s="1"/>
  <c r="AV16" i="39"/>
  <c r="BR16" i="39" s="1"/>
  <c r="AN16" i="39"/>
  <c r="BM16" i="39" s="1"/>
  <c r="AM16" i="39"/>
  <c r="BO16" i="39" s="1"/>
  <c r="AL16" i="39"/>
  <c r="BN16" i="39" s="1"/>
  <c r="AD16" i="39"/>
  <c r="W16" i="39"/>
  <c r="V16" i="39"/>
  <c r="BR15" i="39"/>
  <c r="BG15" i="39"/>
  <c r="BU15" i="39" s="1"/>
  <c r="BF15" i="39"/>
  <c r="BF18" i="39" s="1"/>
  <c r="AV15" i="39"/>
  <c r="AP15" i="39"/>
  <c r="AM15" i="39"/>
  <c r="BO15" i="39" s="1"/>
  <c r="AL15" i="39"/>
  <c r="AN15" i="39" s="1"/>
  <c r="BM15" i="39" s="1"/>
  <c r="AE15" i="39"/>
  <c r="BL15" i="39" s="1"/>
  <c r="AD15" i="39"/>
  <c r="AF15" i="39" s="1"/>
  <c r="W15" i="39"/>
  <c r="V15" i="39"/>
  <c r="BR14" i="39"/>
  <c r="BO14" i="39"/>
  <c r="BL14" i="39"/>
  <c r="BG14" i="39"/>
  <c r="BF14" i="39"/>
  <c r="AV14" i="39"/>
  <c r="AM14" i="39"/>
  <c r="AM128" i="39" s="1"/>
  <c r="AL14" i="39"/>
  <c r="AE14" i="39"/>
  <c r="W14" i="39"/>
  <c r="V14" i="39"/>
  <c r="V18" i="39" s="1"/>
  <c r="CA13" i="39"/>
  <c r="BZ13" i="39"/>
  <c r="BY13" i="39"/>
  <c r="BX13" i="39"/>
  <c r="BW13" i="39"/>
  <c r="BV13" i="39"/>
  <c r="BD13" i="39"/>
  <c r="BC13" i="39"/>
  <c r="BA13" i="39"/>
  <c r="AZ13" i="39"/>
  <c r="AY13" i="39"/>
  <c r="AX13" i="39"/>
  <c r="AV13" i="39"/>
  <c r="AU13" i="39"/>
  <c r="AT13" i="39"/>
  <c r="AL13" i="39"/>
  <c r="AK13" i="39"/>
  <c r="AJ13" i="39"/>
  <c r="AI13" i="39"/>
  <c r="AH13" i="39"/>
  <c r="AG13" i="39"/>
  <c r="AD13" i="39"/>
  <c r="AC13" i="39"/>
  <c r="AB13" i="39"/>
  <c r="AA13" i="39"/>
  <c r="Z13" i="39"/>
  <c r="Y13" i="39"/>
  <c r="X13" i="39"/>
  <c r="W13" i="39"/>
  <c r="BT12" i="39"/>
  <c r="BR12" i="39"/>
  <c r="BG12" i="39"/>
  <c r="BH12" i="39" s="1"/>
  <c r="BS12" i="39" s="1"/>
  <c r="BF12" i="39"/>
  <c r="AV12" i="39"/>
  <c r="AV137" i="39" s="1"/>
  <c r="AM12" i="39"/>
  <c r="AM137" i="39" s="1"/>
  <c r="AL12" i="39"/>
  <c r="AE12" i="39"/>
  <c r="AE137" i="39" s="1"/>
  <c r="AD12" i="39"/>
  <c r="AD137" i="39" s="1"/>
  <c r="W12" i="39"/>
  <c r="W137" i="39" s="1"/>
  <c r="V12" i="39"/>
  <c r="V137" i="39" s="1"/>
  <c r="BB376" i="43"/>
  <c r="BB12" i="44"/>
  <c r="BB128" i="44"/>
  <c r="BB121" i="44"/>
  <c r="BB112" i="44"/>
  <c r="BB110" i="44"/>
  <c r="BB104" i="44"/>
  <c r="BB102" i="44"/>
  <c r="BB98" i="44"/>
  <c r="BB92" i="44"/>
  <c r="BB88" i="44"/>
  <c r="BB84" i="44"/>
  <c r="BB77" i="44"/>
  <c r="BB70" i="44"/>
  <c r="BB63" i="44"/>
  <c r="BB56" i="44"/>
  <c r="BB49" i="44"/>
  <c r="BB42" i="44"/>
  <c r="BB35" i="44"/>
  <c r="BB28" i="44"/>
  <c r="BB19" i="44"/>
  <c r="BB13" i="44"/>
  <c r="AU128" i="44"/>
  <c r="AU121" i="44"/>
  <c r="AU112" i="44"/>
  <c r="AU110" i="44"/>
  <c r="AU104" i="44"/>
  <c r="AU102" i="44"/>
  <c r="AU98" i="44"/>
  <c r="AU92" i="44"/>
  <c r="AU88" i="44"/>
  <c r="AU84" i="44"/>
  <c r="AU77" i="44"/>
  <c r="AU70" i="44"/>
  <c r="AU63" i="44"/>
  <c r="AU56" i="44"/>
  <c r="AU49" i="44"/>
  <c r="AU42" i="44"/>
  <c r="AU35" i="44"/>
  <c r="AU28" i="44"/>
  <c r="AU19" i="44"/>
  <c r="AU13" i="44"/>
  <c r="AA128" i="44"/>
  <c r="AA121" i="44"/>
  <c r="AA112" i="44"/>
  <c r="AA110" i="44"/>
  <c r="AA104" i="44"/>
  <c r="AA102" i="44"/>
  <c r="AA98" i="44"/>
  <c r="AA92" i="44"/>
  <c r="AA88" i="44"/>
  <c r="AA84" i="44"/>
  <c r="AA77" i="44"/>
  <c r="AA70" i="44"/>
  <c r="AA63" i="44"/>
  <c r="AA56" i="44"/>
  <c r="AA49" i="44"/>
  <c r="AA42" i="44"/>
  <c r="AA35" i="44"/>
  <c r="AA28" i="44"/>
  <c r="AA19" i="44"/>
  <c r="AA13" i="44"/>
  <c r="BB464" i="43"/>
  <c r="BB460" i="43"/>
  <c r="BB457" i="43"/>
  <c r="BB450" i="43"/>
  <c r="BB443" i="43"/>
  <c r="BB436" i="43"/>
  <c r="BB429" i="43"/>
  <c r="BB422" i="43"/>
  <c r="BB415" i="43"/>
  <c r="BB408" i="43"/>
  <c r="BB401" i="43"/>
  <c r="BB394" i="43"/>
  <c r="BB390" i="43"/>
  <c r="BB384" i="43"/>
  <c r="BB377" i="43"/>
  <c r="BB375" i="43"/>
  <c r="BB371" i="43"/>
  <c r="BB364" i="43"/>
  <c r="BB359" i="43"/>
  <c r="BB352" i="43"/>
  <c r="BB346" i="43"/>
  <c r="BB337" i="43"/>
  <c r="BB333" i="43"/>
  <c r="BB329" i="43"/>
  <c r="BB325" i="43"/>
  <c r="BB323" i="43"/>
  <c r="BB317" i="43"/>
  <c r="BB313" i="43"/>
  <c r="BB306" i="43"/>
  <c r="BB299" i="43"/>
  <c r="BB297" i="43"/>
  <c r="BB289" i="43"/>
  <c r="BB284" i="43"/>
  <c r="BB277" i="43"/>
  <c r="BB273" i="43"/>
  <c r="BB267" i="43"/>
  <c r="BB263" i="43"/>
  <c r="BB259" i="43"/>
  <c r="BB257" i="43"/>
  <c r="BB250" i="43"/>
  <c r="BB244" i="43"/>
  <c r="BB238" i="43"/>
  <c r="BB232" i="43"/>
  <c r="BB226" i="43"/>
  <c r="BB220" i="43"/>
  <c r="BB214" i="43"/>
  <c r="BB207" i="43"/>
  <c r="BB201" i="43"/>
  <c r="BB195" i="43"/>
  <c r="BB188" i="43"/>
  <c r="BB181" i="43"/>
  <c r="BB175" i="43"/>
  <c r="BB169" i="43"/>
  <c r="BB163" i="43"/>
  <c r="BB158" i="43"/>
  <c r="BB152" i="43"/>
  <c r="BB146" i="43"/>
  <c r="BB140" i="43"/>
  <c r="BB133" i="43"/>
  <c r="BB126" i="43"/>
  <c r="BB121" i="43"/>
  <c r="BB117" i="43"/>
  <c r="BB114" i="43"/>
  <c r="BB110" i="43"/>
  <c r="BB106" i="43"/>
  <c r="BB103" i="43"/>
  <c r="BB99" i="43"/>
  <c r="BB95" i="43"/>
  <c r="BB91" i="43"/>
  <c r="BB87" i="43"/>
  <c r="BB83" i="43"/>
  <c r="BB79" i="43"/>
  <c r="BB75" i="43"/>
  <c r="BB70" i="43"/>
  <c r="BB67" i="43"/>
  <c r="BB63" i="43"/>
  <c r="BB59" i="43"/>
  <c r="BB55" i="43"/>
  <c r="BB52" i="43"/>
  <c r="BB49" i="43"/>
  <c r="BB46" i="43"/>
  <c r="BB42" i="43"/>
  <c r="BB39" i="43"/>
  <c r="BB35" i="43"/>
  <c r="BB31" i="43"/>
  <c r="BB27" i="43"/>
  <c r="BB22" i="43"/>
  <c r="BB18" i="43"/>
  <c r="BB13" i="43"/>
  <c r="BB469" i="43"/>
  <c r="BB470" i="43"/>
  <c r="BB471" i="43"/>
  <c r="BB472" i="43"/>
  <c r="BB473" i="43"/>
  <c r="BB474" i="43"/>
  <c r="BB475" i="43"/>
  <c r="BB476" i="43"/>
  <c r="BB477" i="43"/>
  <c r="BB478" i="43"/>
  <c r="AU469" i="43"/>
  <c r="AU470" i="43"/>
  <c r="AU471" i="43"/>
  <c r="AU472" i="43"/>
  <c r="AU473" i="43"/>
  <c r="AU474" i="43"/>
  <c r="AU475" i="43"/>
  <c r="AU476" i="43"/>
  <c r="AU477" i="43"/>
  <c r="AU478" i="43"/>
  <c r="AA469" i="43"/>
  <c r="AA470" i="43"/>
  <c r="AA471" i="43"/>
  <c r="AA472" i="43"/>
  <c r="AA473" i="43"/>
  <c r="AA474" i="43"/>
  <c r="AA475" i="43"/>
  <c r="AA476" i="43"/>
  <c r="AA477" i="43"/>
  <c r="AA478" i="43"/>
  <c r="AU464" i="43"/>
  <c r="AU460" i="43"/>
  <c r="AU457" i="43"/>
  <c r="AU450" i="43"/>
  <c r="AU443" i="43"/>
  <c r="AU436" i="43"/>
  <c r="AU429" i="43"/>
  <c r="AU422" i="43"/>
  <c r="AU415" i="43"/>
  <c r="AU408" i="43"/>
  <c r="AU401" i="43"/>
  <c r="AU394" i="43"/>
  <c r="AU390" i="43"/>
  <c r="AU384" i="43"/>
  <c r="AU377" i="43"/>
  <c r="AU375" i="43"/>
  <c r="AU371" i="43"/>
  <c r="AU364" i="43"/>
  <c r="AU359" i="43"/>
  <c r="AU352" i="43"/>
  <c r="AU346" i="43"/>
  <c r="AU337" i="43"/>
  <c r="AU333" i="43"/>
  <c r="AU329" i="43"/>
  <c r="AU325" i="43"/>
  <c r="AU323" i="43"/>
  <c r="AU317" i="43"/>
  <c r="AU313" i="43"/>
  <c r="AU306" i="43"/>
  <c r="AU299" i="43"/>
  <c r="AU297" i="43"/>
  <c r="AU289" i="43"/>
  <c r="AU284" i="43"/>
  <c r="AU277" i="43"/>
  <c r="AU273" i="43"/>
  <c r="AU267" i="43"/>
  <c r="AU263" i="43"/>
  <c r="AU259" i="43"/>
  <c r="AU257" i="43"/>
  <c r="AU250" i="43"/>
  <c r="AU244" i="43"/>
  <c r="AU238" i="43"/>
  <c r="AU232" i="43"/>
  <c r="AU226" i="43"/>
  <c r="AU220" i="43"/>
  <c r="AU214" i="43"/>
  <c r="AU207" i="43"/>
  <c r="AU201" i="43"/>
  <c r="AU195" i="43"/>
  <c r="AU188" i="43"/>
  <c r="AU181" i="43"/>
  <c r="AU175" i="43"/>
  <c r="AU169" i="43"/>
  <c r="AU163" i="43"/>
  <c r="AU158" i="43"/>
  <c r="AU152" i="43"/>
  <c r="AU146" i="43"/>
  <c r="AU140" i="43"/>
  <c r="AU133" i="43"/>
  <c r="AU126" i="43"/>
  <c r="AU121" i="43"/>
  <c r="AU117" i="43"/>
  <c r="AU114" i="43"/>
  <c r="AU110" i="43"/>
  <c r="AU106" i="43"/>
  <c r="AU103" i="43"/>
  <c r="AU99" i="43"/>
  <c r="AU95" i="43"/>
  <c r="AU91" i="43"/>
  <c r="AU87" i="43"/>
  <c r="AU83" i="43"/>
  <c r="AU79" i="43"/>
  <c r="AU75" i="43"/>
  <c r="AU70" i="43"/>
  <c r="AU67" i="43"/>
  <c r="AU63" i="43"/>
  <c r="AU59" i="43"/>
  <c r="AU55" i="43"/>
  <c r="AU52" i="43"/>
  <c r="AU49" i="43"/>
  <c r="AU46" i="43"/>
  <c r="AU42" i="43"/>
  <c r="AU39" i="43"/>
  <c r="AU35" i="43"/>
  <c r="AU31" i="43"/>
  <c r="AU27" i="43"/>
  <c r="AU22" i="43"/>
  <c r="AU18" i="43"/>
  <c r="AU13" i="43"/>
  <c r="AA464" i="43"/>
  <c r="AA460" i="43"/>
  <c r="AA457" i="43"/>
  <c r="AA450" i="43"/>
  <c r="AA443" i="43"/>
  <c r="AA436" i="43"/>
  <c r="AA429" i="43"/>
  <c r="AA422" i="43"/>
  <c r="AA415" i="43"/>
  <c r="AA408" i="43"/>
  <c r="AA401" i="43"/>
  <c r="AA394" i="43"/>
  <c r="AA390" i="43"/>
  <c r="AA384" i="43"/>
  <c r="AA377" i="43"/>
  <c r="AA375" i="43"/>
  <c r="AA371" i="43"/>
  <c r="AA364" i="43"/>
  <c r="AA359" i="43"/>
  <c r="AA352" i="43"/>
  <c r="AA346" i="43"/>
  <c r="AA337" i="43"/>
  <c r="AA333" i="43"/>
  <c r="AA329" i="43"/>
  <c r="AA325" i="43"/>
  <c r="AA323" i="43"/>
  <c r="AA317" i="43"/>
  <c r="AA313" i="43"/>
  <c r="AA306" i="43"/>
  <c r="AA299" i="43"/>
  <c r="AA297" i="43"/>
  <c r="AA289" i="43"/>
  <c r="AA284" i="43"/>
  <c r="AA277" i="43"/>
  <c r="AA273" i="43"/>
  <c r="AA267" i="43"/>
  <c r="AA263" i="43"/>
  <c r="AA259" i="43"/>
  <c r="AA257" i="43"/>
  <c r="AA250" i="43"/>
  <c r="AA244" i="43"/>
  <c r="AA238" i="43"/>
  <c r="AA232" i="43"/>
  <c r="AA226" i="43"/>
  <c r="AA220" i="43"/>
  <c r="AA214" i="43"/>
  <c r="AA207" i="43"/>
  <c r="AA201" i="43"/>
  <c r="AA195" i="43"/>
  <c r="AA188" i="43"/>
  <c r="AA181" i="43"/>
  <c r="AA175" i="43"/>
  <c r="AA169" i="43"/>
  <c r="AA163" i="43"/>
  <c r="AA158" i="43"/>
  <c r="AA152" i="43"/>
  <c r="AA146" i="43"/>
  <c r="AA140" i="43"/>
  <c r="AA133" i="43"/>
  <c r="AA126" i="43"/>
  <c r="AA121" i="43"/>
  <c r="AA117" i="43"/>
  <c r="AA114" i="43"/>
  <c r="AA110" i="43"/>
  <c r="AA106" i="43"/>
  <c r="AA103" i="43"/>
  <c r="AA99" i="43"/>
  <c r="AA95" i="43"/>
  <c r="AA91" i="43"/>
  <c r="AA87" i="43"/>
  <c r="AA83" i="43"/>
  <c r="AA79" i="43"/>
  <c r="AA75" i="43"/>
  <c r="AA70" i="43"/>
  <c r="AA67" i="43"/>
  <c r="AA63" i="43"/>
  <c r="AA59" i="43"/>
  <c r="AA55" i="43"/>
  <c r="AA52" i="43"/>
  <c r="AA49" i="43"/>
  <c r="AA46" i="43"/>
  <c r="AA42" i="43"/>
  <c r="AA39" i="43"/>
  <c r="AA35" i="43"/>
  <c r="AA31" i="43"/>
  <c r="AA27" i="43"/>
  <c r="AA22" i="43"/>
  <c r="AA18" i="43"/>
  <c r="AA13" i="43"/>
  <c r="AF40" i="41" l="1"/>
  <c r="AC141" i="41"/>
  <c r="BH113" i="42"/>
  <c r="BH140" i="42"/>
  <c r="BS140" i="42" s="1"/>
  <c r="BU192" i="42"/>
  <c r="BG40" i="42"/>
  <c r="BU161" i="42"/>
  <c r="BH67" i="42"/>
  <c r="BS67" i="42" s="1"/>
  <c r="BG95" i="42"/>
  <c r="BH184" i="42"/>
  <c r="BS184" i="42" s="1"/>
  <c r="BH15" i="42"/>
  <c r="BS15" i="42" s="1"/>
  <c r="BU39" i="42"/>
  <c r="BU42" i="42"/>
  <c r="BH143" i="42"/>
  <c r="BS143" i="42" s="1"/>
  <c r="BH18" i="42"/>
  <c r="BS18" i="42" s="1"/>
  <c r="BH27" i="42"/>
  <c r="BS27" i="42" s="1"/>
  <c r="BU45" i="42"/>
  <c r="BU46" i="42" s="1"/>
  <c r="BG33" i="42"/>
  <c r="BH49" i="42"/>
  <c r="BS49" i="42" s="1"/>
  <c r="BH73" i="42"/>
  <c r="BS73" i="42" s="1"/>
  <c r="BH93" i="42"/>
  <c r="BS93" i="42" s="1"/>
  <c r="BG99" i="42"/>
  <c r="BH133" i="42"/>
  <c r="BS133" i="42" s="1"/>
  <c r="BU183" i="42"/>
  <c r="BG46" i="42"/>
  <c r="BH82" i="42"/>
  <c r="BS82" i="42" s="1"/>
  <c r="BH30" i="42"/>
  <c r="BG206" i="42"/>
  <c r="BG76" i="42"/>
  <c r="BH96" i="42"/>
  <c r="BS96" i="42" s="1"/>
  <c r="BU113" i="42"/>
  <c r="BH134" i="42"/>
  <c r="BS134" i="42" s="1"/>
  <c r="BU163" i="42"/>
  <c r="BH164" i="42"/>
  <c r="BS164" i="42" s="1"/>
  <c r="BG44" i="42"/>
  <c r="BH70" i="42"/>
  <c r="BS70" i="42" s="1"/>
  <c r="BU80" i="42"/>
  <c r="BU85" i="42" s="1"/>
  <c r="BG121" i="42"/>
  <c r="BU148" i="42"/>
  <c r="BU156" i="42"/>
  <c r="BG156" i="42"/>
  <c r="BB202" i="42"/>
  <c r="BH171" i="42"/>
  <c r="BS171" i="42" s="1"/>
  <c r="BG29" i="42"/>
  <c r="BH116" i="42"/>
  <c r="BH146" i="42"/>
  <c r="BH174" i="42"/>
  <c r="BS174" i="42" s="1"/>
  <c r="BH180" i="42"/>
  <c r="BG21" i="42"/>
  <c r="BU30" i="42"/>
  <c r="BU96" i="42"/>
  <c r="BH110" i="42"/>
  <c r="BS110" i="42" s="1"/>
  <c r="BU26" i="42"/>
  <c r="BU29" i="42" s="1"/>
  <c r="BU37" i="42"/>
  <c r="BH61" i="42"/>
  <c r="BS61" i="42" s="1"/>
  <c r="BU116" i="42"/>
  <c r="BG148" i="42"/>
  <c r="BH52" i="41"/>
  <c r="BS52" i="41" s="1"/>
  <c r="BU126" i="41"/>
  <c r="BU137" i="41"/>
  <c r="BH49" i="41"/>
  <c r="BS49" i="41" s="1"/>
  <c r="BU71" i="41"/>
  <c r="BU64" i="41"/>
  <c r="BG130" i="41"/>
  <c r="BU67" i="41"/>
  <c r="BH102" i="41"/>
  <c r="BS102" i="41" s="1"/>
  <c r="BG145" i="41"/>
  <c r="BH55" i="41"/>
  <c r="BS55" i="41" s="1"/>
  <c r="BG61" i="41"/>
  <c r="BG72" i="41"/>
  <c r="BH17" i="41"/>
  <c r="BS17" i="41" s="1"/>
  <c r="BH24" i="41"/>
  <c r="BS24" i="41" s="1"/>
  <c r="BS27" i="41" s="1"/>
  <c r="BU32" i="41"/>
  <c r="BU36" i="41" s="1"/>
  <c r="BH33" i="41"/>
  <c r="BS33" i="41" s="1"/>
  <c r="BH40" i="41"/>
  <c r="BS40" i="41" s="1"/>
  <c r="BH80" i="41"/>
  <c r="BG97" i="41"/>
  <c r="BH114" i="41"/>
  <c r="BS114" i="41" s="1"/>
  <c r="BG27" i="41"/>
  <c r="BH30" i="41"/>
  <c r="BS30" i="41" s="1"/>
  <c r="BH59" i="41"/>
  <c r="BU74" i="41"/>
  <c r="BH100" i="41"/>
  <c r="BS100" i="41" s="1"/>
  <c r="BH104" i="41"/>
  <c r="BU108" i="41"/>
  <c r="BU111" i="41"/>
  <c r="BH26" i="41"/>
  <c r="BS26" i="41" s="1"/>
  <c r="BU98" i="41"/>
  <c r="BU105" i="41" s="1"/>
  <c r="BU104" i="41"/>
  <c r="BU151" i="41" s="1"/>
  <c r="BU107" i="41"/>
  <c r="BU125" i="41"/>
  <c r="BU130" i="41" s="1"/>
  <c r="BU17" i="41"/>
  <c r="BH62" i="41"/>
  <c r="BS62" i="41" s="1"/>
  <c r="BH118" i="41"/>
  <c r="BS118" i="41" s="1"/>
  <c r="BU59" i="41"/>
  <c r="BH92" i="41"/>
  <c r="BS92" i="41" s="1"/>
  <c r="BH23" i="41"/>
  <c r="BS23" i="41" s="1"/>
  <c r="BG43" i="41"/>
  <c r="BH96" i="41"/>
  <c r="BS96" i="41" s="1"/>
  <c r="BB141" i="41"/>
  <c r="BH41" i="40"/>
  <c r="BS41" i="40" s="1"/>
  <c r="BH147" i="40"/>
  <c r="BS147" i="40" s="1"/>
  <c r="BH154" i="40"/>
  <c r="BS154" i="40" s="1"/>
  <c r="BH46" i="40"/>
  <c r="BS46" i="40" s="1"/>
  <c r="BH123" i="40"/>
  <c r="BS123" i="40" s="1"/>
  <c r="BU134" i="40"/>
  <c r="BU159" i="40"/>
  <c r="BU102" i="40"/>
  <c r="BU124" i="40"/>
  <c r="BH146" i="40"/>
  <c r="BS146" i="40" s="1"/>
  <c r="BG172" i="40"/>
  <c r="BU85" i="40"/>
  <c r="BG155" i="40"/>
  <c r="BE169" i="40"/>
  <c r="BH20" i="40"/>
  <c r="BS20" i="40" s="1"/>
  <c r="BS23" i="40" s="1"/>
  <c r="BH47" i="40"/>
  <c r="BS47" i="40" s="1"/>
  <c r="BH109" i="40"/>
  <c r="BH120" i="40"/>
  <c r="BS120" i="40" s="1"/>
  <c r="BB169" i="40"/>
  <c r="BG74" i="40"/>
  <c r="BG15" i="40"/>
  <c r="BU22" i="40"/>
  <c r="BH73" i="40"/>
  <c r="BS73" i="40" s="1"/>
  <c r="BH86" i="40"/>
  <c r="BS86" i="40" s="1"/>
  <c r="BH96" i="40"/>
  <c r="BS96" i="40" s="1"/>
  <c r="BH106" i="40"/>
  <c r="BS106" i="40" s="1"/>
  <c r="BH132" i="40"/>
  <c r="BS132" i="40" s="1"/>
  <c r="BU141" i="40"/>
  <c r="BH142" i="40"/>
  <c r="BS142" i="40" s="1"/>
  <c r="BH160" i="40"/>
  <c r="BS160" i="40" s="1"/>
  <c r="BU12" i="40"/>
  <c r="BU28" i="40"/>
  <c r="BU174" i="40" s="1"/>
  <c r="BG60" i="40"/>
  <c r="BH119" i="40"/>
  <c r="BH135" i="40"/>
  <c r="BS135" i="40" s="1"/>
  <c r="BU23" i="40"/>
  <c r="BU74" i="40"/>
  <c r="BH21" i="40"/>
  <c r="BS21" i="40" s="1"/>
  <c r="BH29" i="40"/>
  <c r="BS29" i="40" s="1"/>
  <c r="BU51" i="40"/>
  <c r="BH61" i="40"/>
  <c r="BS61" i="40" s="1"/>
  <c r="BH100" i="40"/>
  <c r="BS100" i="40" s="1"/>
  <c r="BH64" i="40"/>
  <c r="BS64" i="40" s="1"/>
  <c r="BH87" i="40"/>
  <c r="BS87" i="40" s="1"/>
  <c r="BU118" i="40"/>
  <c r="BG124" i="40"/>
  <c r="BH143" i="40"/>
  <c r="BS143" i="40" s="1"/>
  <c r="BH153" i="40"/>
  <c r="BS153" i="40" s="1"/>
  <c r="BH16" i="40"/>
  <c r="BG67" i="40"/>
  <c r="BG108" i="40"/>
  <c r="BH117" i="40"/>
  <c r="BS117" i="40" s="1"/>
  <c r="BU125" i="40"/>
  <c r="BU127" i="40" s="1"/>
  <c r="BG137" i="40"/>
  <c r="BU152" i="40"/>
  <c r="BU155" i="40" s="1"/>
  <c r="BH108" i="39"/>
  <c r="BH27" i="39"/>
  <c r="BS27" i="39" s="1"/>
  <c r="BH38" i="39"/>
  <c r="BS38" i="39" s="1"/>
  <c r="BH71" i="39"/>
  <c r="BS71" i="39" s="1"/>
  <c r="BH109" i="39"/>
  <c r="BS109" i="39" s="1"/>
  <c r="BU59" i="39"/>
  <c r="BG36" i="39"/>
  <c r="BH28" i="39"/>
  <c r="BS28" i="39" s="1"/>
  <c r="BH84" i="39"/>
  <c r="BS84" i="39" s="1"/>
  <c r="BH91" i="39"/>
  <c r="BS91" i="39" s="1"/>
  <c r="BH21" i="39"/>
  <c r="BS21" i="39" s="1"/>
  <c r="BH40" i="39"/>
  <c r="BS40" i="39" s="1"/>
  <c r="BU41" i="39"/>
  <c r="BU42" i="39" s="1"/>
  <c r="BU45" i="39"/>
  <c r="BU46" i="39" s="1"/>
  <c r="BU49" i="39"/>
  <c r="BU53" i="39"/>
  <c r="BU56" i="39" s="1"/>
  <c r="BH68" i="39"/>
  <c r="BS68" i="39" s="1"/>
  <c r="BH70" i="39"/>
  <c r="BS70" i="39" s="1"/>
  <c r="BH103" i="39"/>
  <c r="BS103" i="39" s="1"/>
  <c r="BH110" i="39"/>
  <c r="BS110" i="39" s="1"/>
  <c r="BU130" i="39"/>
  <c r="BU43" i="39"/>
  <c r="BU50" i="39"/>
  <c r="BH75" i="39"/>
  <c r="BS75" i="39" s="1"/>
  <c r="BH80" i="39"/>
  <c r="BU82" i="39"/>
  <c r="BG100" i="39"/>
  <c r="BH106" i="39"/>
  <c r="BS106" i="39" s="1"/>
  <c r="BH117" i="39"/>
  <c r="BS117" i="39" s="1"/>
  <c r="BU95" i="39"/>
  <c r="BU100" i="39" s="1"/>
  <c r="BH52" i="39"/>
  <c r="BS52" i="39" s="1"/>
  <c r="BH120" i="39"/>
  <c r="BS120" i="39" s="1"/>
  <c r="BH29" i="39"/>
  <c r="BS29" i="39" s="1"/>
  <c r="BH60" i="39"/>
  <c r="BS60" i="39" s="1"/>
  <c r="BU90" i="39"/>
  <c r="BU118" i="39"/>
  <c r="BB127" i="39"/>
  <c r="BH32" i="39"/>
  <c r="BS32" i="39" s="1"/>
  <c r="BH67" i="39"/>
  <c r="BS67" i="39" s="1"/>
  <c r="BH76" i="39"/>
  <c r="BS76" i="39" s="1"/>
  <c r="AF18" i="32"/>
  <c r="AD22" i="32"/>
  <c r="AO18" i="32"/>
  <c r="BK18" i="32"/>
  <c r="BU27" i="32"/>
  <c r="AF24" i="32"/>
  <c r="AO24" i="32"/>
  <c r="AQ24" i="32" s="1"/>
  <c r="BK24" i="32"/>
  <c r="AO20" i="32"/>
  <c r="AQ20" i="32" s="1"/>
  <c r="BK20" i="32"/>
  <c r="AF20" i="32"/>
  <c r="BL24" i="32"/>
  <c r="AP24" i="32"/>
  <c r="AP20" i="32"/>
  <c r="AP22" i="32" s="1"/>
  <c r="BL20" i="32"/>
  <c r="BO27" i="32"/>
  <c r="AR25" i="32"/>
  <c r="BP25" i="32" s="1"/>
  <c r="BJ25" i="32"/>
  <c r="AS25" i="32"/>
  <c r="BQ25" i="32" s="1"/>
  <c r="AL306" i="32"/>
  <c r="AN12" i="32"/>
  <c r="AJ293" i="32"/>
  <c r="BC293" i="32"/>
  <c r="AE14" i="32"/>
  <c r="BH14" i="32"/>
  <c r="AO16" i="32"/>
  <c r="BF303" i="32"/>
  <c r="BT16" i="32"/>
  <c r="BG17" i="32"/>
  <c r="AN18" i="32"/>
  <c r="AN19" i="32"/>
  <c r="BM19" i="32" s="1"/>
  <c r="BL19" i="32"/>
  <c r="BL22" i="32" s="1"/>
  <c r="AO21" i="32"/>
  <c r="AQ21" i="32" s="1"/>
  <c r="AM22" i="32"/>
  <c r="BG22" i="32"/>
  <c r="V27" i="32"/>
  <c r="AM27" i="32"/>
  <c r="BK23" i="32"/>
  <c r="AN26" i="32"/>
  <c r="BM26" i="32" s="1"/>
  <c r="AL31" i="32"/>
  <c r="AN28" i="32"/>
  <c r="BF31" i="32"/>
  <c r="BO28" i="32"/>
  <c r="BO31" i="32" s="1"/>
  <c r="BU35" i="32"/>
  <c r="AE34" i="32"/>
  <c r="W35" i="32"/>
  <c r="V39" i="32"/>
  <c r="BR43" i="32"/>
  <c r="BK64" i="32"/>
  <c r="AF64" i="32"/>
  <c r="AO64" i="32"/>
  <c r="AQ64" i="32" s="1"/>
  <c r="AS76" i="32"/>
  <c r="BQ76" i="32" s="1"/>
  <c r="BJ76" i="32"/>
  <c r="AR76" i="32"/>
  <c r="BP76" i="32" s="1"/>
  <c r="V306" i="32"/>
  <c r="V13" i="32"/>
  <c r="BR306" i="32"/>
  <c r="BR13" i="32"/>
  <c r="AE13" i="32"/>
  <c r="AO15" i="32"/>
  <c r="AQ15" i="32" s="1"/>
  <c r="BL15" i="32"/>
  <c r="AP16" i="32"/>
  <c r="BG303" i="32"/>
  <c r="BU16" i="32"/>
  <c r="AV17" i="32"/>
  <c r="AO19" i="32"/>
  <c r="AQ19" i="32" s="1"/>
  <c r="BT19" i="32"/>
  <c r="AN27" i="32"/>
  <c r="AD27" i="32"/>
  <c r="BJ29" i="32"/>
  <c r="AS29" i="32"/>
  <c r="BQ29" i="32" s="1"/>
  <c r="AR29" i="32"/>
  <c r="BP29" i="32" s="1"/>
  <c r="BT29" i="32"/>
  <c r="BH29" i="32"/>
  <c r="BS29" i="32" s="1"/>
  <c r="AQ30" i="32"/>
  <c r="BG31" i="32"/>
  <c r="AF34" i="32"/>
  <c r="AF38" i="32"/>
  <c r="AO38" i="32"/>
  <c r="AO40" i="32"/>
  <c r="AD43" i="32"/>
  <c r="BK40" i="32"/>
  <c r="BK43" i="32" s="1"/>
  <c r="AF40" i="32"/>
  <c r="BR58" i="32"/>
  <c r="BL57" i="32"/>
  <c r="AF57" i="32"/>
  <c r="AP57" i="32"/>
  <c r="BR65" i="32"/>
  <c r="BL12" i="32"/>
  <c r="BS12" i="32"/>
  <c r="BG294" i="32"/>
  <c r="AL297" i="32"/>
  <c r="AL296" i="32" s="1"/>
  <c r="BR14" i="32"/>
  <c r="AF16" i="32"/>
  <c r="BH16" i="32"/>
  <c r="W17" i="32"/>
  <c r="BN19" i="32"/>
  <c r="BN22" i="32" s="1"/>
  <c r="BR20" i="32"/>
  <c r="BR22" i="32" s="1"/>
  <c r="AR21" i="32"/>
  <c r="BP21" i="32" s="1"/>
  <c r="V22" i="32"/>
  <c r="AO23" i="32"/>
  <c r="BF27" i="32"/>
  <c r="BT23" i="32"/>
  <c r="BT27" i="32" s="1"/>
  <c r="BH23" i="32"/>
  <c r="BM23" i="32"/>
  <c r="BM27" i="32" s="1"/>
  <c r="BN25" i="32"/>
  <c r="BN27" i="32" s="1"/>
  <c r="BK26" i="32"/>
  <c r="AO26" i="32"/>
  <c r="AP26" i="32"/>
  <c r="BH28" i="32"/>
  <c r="AN29" i="32"/>
  <c r="BM29" i="32" s="1"/>
  <c r="BN29" i="32"/>
  <c r="AP30" i="32"/>
  <c r="AF36" i="32"/>
  <c r="AD39" i="32"/>
  <c r="AV39" i="32"/>
  <c r="BR37" i="32"/>
  <c r="BR39" i="32" s="1"/>
  <c r="AP38" i="32"/>
  <c r="BL38" i="32"/>
  <c r="BK38" i="32"/>
  <c r="AP41" i="32"/>
  <c r="BL41" i="32"/>
  <c r="AQ57" i="32"/>
  <c r="AD12" i="32"/>
  <c r="AP12" i="32"/>
  <c r="BF306" i="32"/>
  <c r="BF13" i="32"/>
  <c r="BT12" i="32"/>
  <c r="BG13" i="32"/>
  <c r="AM297" i="32"/>
  <c r="AM17" i="32"/>
  <c r="BT18" i="32"/>
  <c r="AF19" i="32"/>
  <c r="AN20" i="32"/>
  <c r="BM20" i="32" s="1"/>
  <c r="AS21" i="32"/>
  <c r="BQ21" i="32" s="1"/>
  <c r="W22" i="32"/>
  <c r="AE23" i="32"/>
  <c r="AN24" i="32"/>
  <c r="BM24" i="32" s="1"/>
  <c r="BH26" i="32"/>
  <c r="BS26" i="32" s="1"/>
  <c r="AL27" i="32"/>
  <c r="AV27" i="32"/>
  <c r="AV293" i="32" s="1"/>
  <c r="BR294" i="32" s="1"/>
  <c r="AD28" i="32"/>
  <c r="V31" i="32"/>
  <c r="AF30" i="32"/>
  <c r="W39" i="32"/>
  <c r="AE37" i="32"/>
  <c r="AE43" i="32"/>
  <c r="BL40" i="32"/>
  <c r="AP40" i="32"/>
  <c r="AP43" i="32" s="1"/>
  <c r="BS40" i="32"/>
  <c r="AQ41" i="32"/>
  <c r="AP56" i="32"/>
  <c r="BL56" i="32"/>
  <c r="AF62" i="32"/>
  <c r="AO62" i="32"/>
  <c r="BK62" i="32"/>
  <c r="BU12" i="32"/>
  <c r="BH13" i="32"/>
  <c r="BO13" i="32"/>
  <c r="V297" i="32"/>
  <c r="AD14" i="32"/>
  <c r="BM14" i="32"/>
  <c r="BT14" i="32"/>
  <c r="AR15" i="32"/>
  <c r="BP15" i="32" s="1"/>
  <c r="BR16" i="32"/>
  <c r="AE22" i="32"/>
  <c r="BT20" i="32"/>
  <c r="BH20" i="32"/>
  <c r="BS20" i="32" s="1"/>
  <c r="BK25" i="32"/>
  <c r="AO25" i="32"/>
  <c r="AE31" i="32"/>
  <c r="BL28" i="32"/>
  <c r="BL31" i="32" s="1"/>
  <c r="AP28" i="32"/>
  <c r="AP31" i="32" s="1"/>
  <c r="BK29" i="32"/>
  <c r="AO29" i="32"/>
  <c r="AQ29" i="32" s="1"/>
  <c r="AW29" i="32" s="1"/>
  <c r="BI29" i="32" s="1"/>
  <c r="AD35" i="32"/>
  <c r="AF32" i="32"/>
  <c r="BK32" i="32"/>
  <c r="AO32" i="32"/>
  <c r="AF37" i="32"/>
  <c r="BO38" i="32"/>
  <c r="AN38" i="32"/>
  <c r="BM38" i="32" s="1"/>
  <c r="BH45" i="32"/>
  <c r="BS44" i="32"/>
  <c r="BS45" i="32" s="1"/>
  <c r="AS56" i="32"/>
  <c r="BQ56" i="32" s="1"/>
  <c r="BJ56" i="32"/>
  <c r="AR56" i="32"/>
  <c r="BP56" i="32" s="1"/>
  <c r="AQ61" i="32"/>
  <c r="AF73" i="32"/>
  <c r="BK73" i="32"/>
  <c r="AO73" i="32"/>
  <c r="BU14" i="32"/>
  <c r="AS15" i="32"/>
  <c r="BQ15" i="32" s="1"/>
  <c r="AN16" i="32"/>
  <c r="AN17" i="32" s="1"/>
  <c r="BL16" i="32"/>
  <c r="AL17" i="32"/>
  <c r="AL293" i="32" s="1"/>
  <c r="BF17" i="32"/>
  <c r="BH18" i="32"/>
  <c r="BK21" i="32"/>
  <c r="BL25" i="32"/>
  <c r="AP25" i="32"/>
  <c r="AF26" i="32"/>
  <c r="BN31" i="32"/>
  <c r="BT30" i="32"/>
  <c r="BT31" i="32" s="1"/>
  <c r="BH30" i="32"/>
  <c r="BS30" i="32" s="1"/>
  <c r="BT32" i="32"/>
  <c r="BT35" i="32" s="1"/>
  <c r="BH32" i="32"/>
  <c r="AS33" i="32"/>
  <c r="BQ33" i="32" s="1"/>
  <c r="AR33" i="32"/>
  <c r="BP33" i="32" s="1"/>
  <c r="BJ33" i="32"/>
  <c r="AV35" i="32"/>
  <c r="BR34" i="32"/>
  <c r="BR35" i="32" s="1"/>
  <c r="BK36" i="32"/>
  <c r="AO55" i="32"/>
  <c r="AQ55" i="32" s="1"/>
  <c r="BK55" i="32"/>
  <c r="AF55" i="32"/>
  <c r="AO60" i="32"/>
  <c r="AQ60" i="32" s="1"/>
  <c r="BK60" i="32"/>
  <c r="BK65" i="32" s="1"/>
  <c r="AF60" i="32"/>
  <c r="AB293" i="32"/>
  <c r="AH293" i="32"/>
  <c r="W294" i="32" s="1"/>
  <c r="AT293" i="32"/>
  <c r="AV294" i="32" s="1"/>
  <c r="AZ293" i="32"/>
  <c r="BF294" i="32" s="1"/>
  <c r="BX293" i="32"/>
  <c r="BV294" i="32" s="1"/>
  <c r="V303" i="32"/>
  <c r="AM303" i="32"/>
  <c r="BO16" i="32"/>
  <c r="BO17" i="32" s="1"/>
  <c r="AN30" i="32"/>
  <c r="BM30" i="32" s="1"/>
  <c r="AN33" i="32"/>
  <c r="BM33" i="32" s="1"/>
  <c r="AM35" i="32"/>
  <c r="AM293" i="32" s="1"/>
  <c r="BO294" i="32" s="1"/>
  <c r="AN36" i="32"/>
  <c r="AF41" i="32"/>
  <c r="BH41" i="32"/>
  <c r="BS41" i="32" s="1"/>
  <c r="BL42" i="32"/>
  <c r="BG43" i="32"/>
  <c r="AD45" i="32"/>
  <c r="AD46" i="32"/>
  <c r="AP46" i="32"/>
  <c r="BM46" i="32"/>
  <c r="AF47" i="32"/>
  <c r="BH47" i="32"/>
  <c r="AN48" i="32"/>
  <c r="BM48" i="32" s="1"/>
  <c r="BL48" i="32"/>
  <c r="AS49" i="32"/>
  <c r="BQ49" i="32" s="1"/>
  <c r="W304" i="32"/>
  <c r="AE50" i="32"/>
  <c r="AE52" i="32" s="1"/>
  <c r="AF53" i="32"/>
  <c r="BH53" i="32"/>
  <c r="BO53" i="32"/>
  <c r="BK54" i="32"/>
  <c r="AO54" i="32"/>
  <c r="AQ54" i="32" s="1"/>
  <c r="BH55" i="32"/>
  <c r="BS55" i="32" s="1"/>
  <c r="BO55" i="32"/>
  <c r="BO304" i="32" s="1"/>
  <c r="BK56" i="32"/>
  <c r="W65" i="32"/>
  <c r="AN59" i="32"/>
  <c r="BL59" i="32"/>
  <c r="BL61" i="32"/>
  <c r="AP63" i="32"/>
  <c r="BN63" i="32"/>
  <c r="BN65" i="32" s="1"/>
  <c r="AN64" i="32"/>
  <c r="BM64" i="32" s="1"/>
  <c r="BL64" i="32"/>
  <c r="BT64" i="32"/>
  <c r="AV65" i="32"/>
  <c r="BH66" i="32"/>
  <c r="AO70" i="32"/>
  <c r="AQ70" i="32" s="1"/>
  <c r="V77" i="32"/>
  <c r="BM72" i="32"/>
  <c r="BM77" i="32" s="1"/>
  <c r="BG77" i="32"/>
  <c r="BR72" i="32"/>
  <c r="BR77" i="32" s="1"/>
  <c r="AN74" i="32"/>
  <c r="BM74" i="32" s="1"/>
  <c r="AE84" i="32"/>
  <c r="BL78" i="32"/>
  <c r="AP78" i="32"/>
  <c r="BF84" i="32"/>
  <c r="AF81" i="32"/>
  <c r="AP82" i="32"/>
  <c r="BL82" i="32"/>
  <c r="BK83" i="32"/>
  <c r="AF83" i="32"/>
  <c r="AO83" i="32"/>
  <c r="AQ83" i="32" s="1"/>
  <c r="AE96" i="32"/>
  <c r="AQ94" i="32"/>
  <c r="AO95" i="32"/>
  <c r="BK95" i="32"/>
  <c r="AF95" i="32"/>
  <c r="BU40" i="32"/>
  <c r="BU43" i="32" s="1"/>
  <c r="AO42" i="32"/>
  <c r="AQ42" i="32" s="1"/>
  <c r="BT42" i="32"/>
  <c r="BH42" i="32"/>
  <c r="BS42" i="32" s="1"/>
  <c r="BR44" i="32"/>
  <c r="BR45" i="32" s="1"/>
  <c r="BU46" i="32"/>
  <c r="AO48" i="32"/>
  <c r="AQ48" i="32" s="1"/>
  <c r="BT48" i="32"/>
  <c r="BH48" i="32"/>
  <c r="BS48" i="32" s="1"/>
  <c r="AD304" i="32"/>
  <c r="BU50" i="32"/>
  <c r="AL52" i="32"/>
  <c r="AP54" i="32"/>
  <c r="AN55" i="32"/>
  <c r="BM55" i="32" s="1"/>
  <c r="W58" i="32"/>
  <c r="AO59" i="32"/>
  <c r="BT59" i="32"/>
  <c r="AF61" i="32"/>
  <c r="AD71" i="32"/>
  <c r="BK66" i="32"/>
  <c r="AO66" i="32"/>
  <c r="AR68" i="32"/>
  <c r="BP68" i="32" s="1"/>
  <c r="BJ68" i="32"/>
  <c r="AS68" i="32"/>
  <c r="BQ68" i="32" s="1"/>
  <c r="AF69" i="32"/>
  <c r="AP69" i="32"/>
  <c r="AQ69" i="32" s="1"/>
  <c r="BK69" i="32"/>
  <c r="BL70" i="32"/>
  <c r="AP70" i="32"/>
  <c r="AS70" i="32"/>
  <c r="BQ70" i="32" s="1"/>
  <c r="BJ70" i="32"/>
  <c r="V71" i="32"/>
  <c r="AL84" i="32"/>
  <c r="AN78" i="32"/>
  <c r="BT81" i="32"/>
  <c r="BT84" i="32" s="1"/>
  <c r="BH81" i="32"/>
  <c r="BS81" i="32" s="1"/>
  <c r="BK82" i="32"/>
  <c r="AF82" i="32"/>
  <c r="AQ87" i="32"/>
  <c r="BS91" i="32"/>
  <c r="AF102" i="32"/>
  <c r="AO102" i="32"/>
  <c r="AQ102" i="32" s="1"/>
  <c r="BK102" i="32"/>
  <c r="BJ106" i="32"/>
  <c r="AS106" i="32"/>
  <c r="BQ106" i="32" s="1"/>
  <c r="AR106" i="32"/>
  <c r="BP106" i="32" s="1"/>
  <c r="BS109" i="32"/>
  <c r="AP33" i="32"/>
  <c r="AO34" i="32"/>
  <c r="BK34" i="32"/>
  <c r="BG35" i="32"/>
  <c r="AP36" i="32"/>
  <c r="AO37" i="32"/>
  <c r="BK37" i="32"/>
  <c r="BF39" i="32"/>
  <c r="BH46" i="32"/>
  <c r="BR47" i="32"/>
  <c r="BR52" i="32" s="1"/>
  <c r="AN49" i="32"/>
  <c r="BM49" i="32" s="1"/>
  <c r="BK49" i="32"/>
  <c r="BK51" i="32"/>
  <c r="AO51" i="32"/>
  <c r="AQ51" i="32" s="1"/>
  <c r="BT51" i="32"/>
  <c r="BT304" i="32" s="1"/>
  <c r="AO56" i="32"/>
  <c r="AQ56" i="32" s="1"/>
  <c r="BT56" i="32"/>
  <c r="BT58" i="32" s="1"/>
  <c r="AD58" i="32"/>
  <c r="AP59" i="32"/>
  <c r="AP65" i="32" s="1"/>
  <c r="BG65" i="32"/>
  <c r="BU59" i="32"/>
  <c r="AR63" i="32"/>
  <c r="BP63" i="32" s="1"/>
  <c r="AD65" i="32"/>
  <c r="BL66" i="32"/>
  <c r="AP66" i="32"/>
  <c r="AP71" i="32" s="1"/>
  <c r="AE71" i="32"/>
  <c r="BK67" i="32"/>
  <c r="AO67" i="32"/>
  <c r="AQ67" i="32" s="1"/>
  <c r="BK70" i="32"/>
  <c r="W71" i="32"/>
  <c r="AF72" i="32"/>
  <c r="AD77" i="32"/>
  <c r="BK72" i="32"/>
  <c r="BL73" i="32"/>
  <c r="AP73" i="32"/>
  <c r="BK74" i="32"/>
  <c r="AO74" i="32"/>
  <c r="AF74" i="32"/>
  <c r="BK75" i="32"/>
  <c r="AO75" i="32"/>
  <c r="BS78" i="32"/>
  <c r="BK79" i="32"/>
  <c r="AO79" i="32"/>
  <c r="V90" i="32"/>
  <c r="AD86" i="32"/>
  <c r="AP87" i="32"/>
  <c r="BL87" i="32"/>
  <c r="AO88" i="32"/>
  <c r="BK88" i="32"/>
  <c r="AF88" i="32"/>
  <c r="AP102" i="32"/>
  <c r="BL102" i="32"/>
  <c r="AF104" i="32"/>
  <c r="AO104" i="32"/>
  <c r="BK104" i="32"/>
  <c r="BN32" i="32"/>
  <c r="BN35" i="32" s="1"/>
  <c r="BT38" i="32"/>
  <c r="BT39" i="32" s="1"/>
  <c r="BG39" i="32"/>
  <c r="AL43" i="32"/>
  <c r="AN40" i="32"/>
  <c r="AN41" i="32"/>
  <c r="BM41" i="32" s="1"/>
  <c r="AF42" i="32"/>
  <c r="W43" i="32"/>
  <c r="W293" i="32" s="1"/>
  <c r="AH294" i="32" s="1"/>
  <c r="AO44" i="32"/>
  <c r="BM44" i="32"/>
  <c r="BM45" i="32" s="1"/>
  <c r="BT44" i="32"/>
  <c r="BT45" i="32" s="1"/>
  <c r="AN47" i="32"/>
  <c r="AF48" i="32"/>
  <c r="AO49" i="32"/>
  <c r="AN53" i="32"/>
  <c r="AF54" i="32"/>
  <c r="BK57" i="32"/>
  <c r="BF58" i="32"/>
  <c r="AF59" i="32"/>
  <c r="BH59" i="32"/>
  <c r="AN60" i="32"/>
  <c r="BM60" i="32" s="1"/>
  <c r="BL60" i="32"/>
  <c r="BL62" i="32"/>
  <c r="AP62" i="32"/>
  <c r="AS63" i="32"/>
  <c r="BQ63" i="32" s="1"/>
  <c r="AF66" i="32"/>
  <c r="AV71" i="32"/>
  <c r="BT68" i="32"/>
  <c r="BT71" i="32" s="1"/>
  <c r="BH68" i="32"/>
  <c r="BS68" i="32" s="1"/>
  <c r="BO70" i="32"/>
  <c r="AE72" i="32"/>
  <c r="BL74" i="32"/>
  <c r="AP74" i="32"/>
  <c r="BN74" i="32"/>
  <c r="BN303" i="32" s="1"/>
  <c r="BL75" i="32"/>
  <c r="AP75" i="32"/>
  <c r="BK76" i="32"/>
  <c r="AO76" i="32"/>
  <c r="AP76" i="32"/>
  <c r="BH76" i="32"/>
  <c r="BS76" i="32" s="1"/>
  <c r="BL81" i="32"/>
  <c r="AF85" i="32"/>
  <c r="BR90" i="32"/>
  <c r="BL86" i="32"/>
  <c r="AP86" i="32"/>
  <c r="AP90" i="32" s="1"/>
  <c r="BK93" i="32"/>
  <c r="AF93" i="32"/>
  <c r="AO93" i="32"/>
  <c r="BL97" i="32"/>
  <c r="AP97" i="32"/>
  <c r="AF103" i="32"/>
  <c r="AO103" i="32"/>
  <c r="BK103" i="32"/>
  <c r="AF105" i="32"/>
  <c r="BH33" i="32"/>
  <c r="BS33" i="32" s="1"/>
  <c r="BH36" i="32"/>
  <c r="BT41" i="32"/>
  <c r="BT43" i="32" s="1"/>
  <c r="AE44" i="32"/>
  <c r="AO47" i="32"/>
  <c r="BF298" i="32"/>
  <c r="BF296" i="32" s="1"/>
  <c r="BT47" i="32"/>
  <c r="BT52" i="32" s="1"/>
  <c r="AP49" i="32"/>
  <c r="AV304" i="32"/>
  <c r="BR50" i="32"/>
  <c r="BR304" i="32" s="1"/>
  <c r="AV52" i="32"/>
  <c r="BL53" i="32"/>
  <c r="BL58" i="32" s="1"/>
  <c r="AP53" i="32"/>
  <c r="AP58" i="32" s="1"/>
  <c r="AO53" i="32"/>
  <c r="BG58" i="32"/>
  <c r="BT60" i="32"/>
  <c r="BH60" i="32"/>
  <c r="BS60" i="32" s="1"/>
  <c r="BU62" i="32"/>
  <c r="AN66" i="32"/>
  <c r="AL71" i="32"/>
  <c r="BO71" i="32"/>
  <c r="BT69" i="32"/>
  <c r="BH69" i="32"/>
  <c r="BS69" i="32" s="1"/>
  <c r="BF71" i="32"/>
  <c r="BN77" i="32"/>
  <c r="AF75" i="32"/>
  <c r="BN78" i="32"/>
  <c r="BN84" i="32" s="1"/>
  <c r="AE90" i="32"/>
  <c r="BL85" i="32"/>
  <c r="BS85" i="32"/>
  <c r="BL93" i="32"/>
  <c r="AP93" i="32"/>
  <c r="AP105" i="32"/>
  <c r="BL105" i="32"/>
  <c r="AN32" i="32"/>
  <c r="AN297" i="32" s="1"/>
  <c r="BH34" i="32"/>
  <c r="BS34" i="32" s="1"/>
  <c r="AM39" i="32"/>
  <c r="BO36" i="32"/>
  <c r="BO39" i="32" s="1"/>
  <c r="BH37" i="32"/>
  <c r="BS37" i="32" s="1"/>
  <c r="AP47" i="32"/>
  <c r="BG298" i="32"/>
  <c r="BG296" i="32" s="1"/>
  <c r="BU47" i="32"/>
  <c r="BN47" i="32"/>
  <c r="AN50" i="32"/>
  <c r="BK50" i="32"/>
  <c r="BS50" i="32"/>
  <c r="AF51" i="32"/>
  <c r="BN53" i="32"/>
  <c r="BN58" i="32" s="1"/>
  <c r="BN55" i="32"/>
  <c r="BN304" i="32" s="1"/>
  <c r="BT57" i="32"/>
  <c r="BH57" i="32"/>
  <c r="BS57" i="32" s="1"/>
  <c r="AV58" i="32"/>
  <c r="V65" i="32"/>
  <c r="BO60" i="32"/>
  <c r="BO65" i="32" s="1"/>
  <c r="BK61" i="32"/>
  <c r="BK63" i="32"/>
  <c r="AO63" i="32"/>
  <c r="AQ63" i="32" s="1"/>
  <c r="AW63" i="32" s="1"/>
  <c r="BI63" i="32" s="1"/>
  <c r="AF67" i="32"/>
  <c r="BF77" i="32"/>
  <c r="BT72" i="32"/>
  <c r="BT77" i="32" s="1"/>
  <c r="BH72" i="32"/>
  <c r="BN76" i="32"/>
  <c r="V84" i="32"/>
  <c r="AD78" i="32"/>
  <c r="AD298" i="32" s="1"/>
  <c r="BO78" i="32"/>
  <c r="BO84" i="32" s="1"/>
  <c r="AF79" i="32"/>
  <c r="AF80" i="32"/>
  <c r="AO82" i="32"/>
  <c r="AQ82" i="32" s="1"/>
  <c r="BT82" i="32"/>
  <c r="BG90" i="32"/>
  <c r="BU85" i="32"/>
  <c r="BU90" i="32" s="1"/>
  <c r="AN86" i="32"/>
  <c r="BM86" i="32" s="1"/>
  <c r="BM90" i="32" s="1"/>
  <c r="AM90" i="32"/>
  <c r="BO86" i="32"/>
  <c r="BO90" i="32" s="1"/>
  <c r="BO44" i="32"/>
  <c r="BO45" i="32" s="1"/>
  <c r="V298" i="32"/>
  <c r="AM298" i="32"/>
  <c r="BO47" i="32"/>
  <c r="BO52" i="32" s="1"/>
  <c r="BF304" i="32"/>
  <c r="BL83" i="32"/>
  <c r="BT86" i="32"/>
  <c r="BH86" i="32"/>
  <c r="BS86" i="32" s="1"/>
  <c r="BL89" i="32"/>
  <c r="BJ92" i="32"/>
  <c r="BT93" i="32"/>
  <c r="BH93" i="32"/>
  <c r="BS93" i="32" s="1"/>
  <c r="AD97" i="32"/>
  <c r="BN97" i="32"/>
  <c r="BJ98" i="32"/>
  <c r="AE99" i="32"/>
  <c r="AE107" i="32" s="1"/>
  <c r="BH99" i="32"/>
  <c r="BO99" i="32"/>
  <c r="BO299" i="32" s="1"/>
  <c r="AD302" i="32"/>
  <c r="AO101" i="32"/>
  <c r="BF302" i="32"/>
  <c r="BT101" i="32"/>
  <c r="AP103" i="32"/>
  <c r="BN103" i="32"/>
  <c r="BH105" i="32"/>
  <c r="BS105" i="32" s="1"/>
  <c r="BK106" i="32"/>
  <c r="AM107" i="32"/>
  <c r="BL111" i="32"/>
  <c r="AP111" i="32"/>
  <c r="AO121" i="32"/>
  <c r="AD124" i="32"/>
  <c r="BK121" i="32"/>
  <c r="AF121" i="32"/>
  <c r="AS122" i="32"/>
  <c r="BQ122" i="32" s="1"/>
  <c r="BJ122" i="32"/>
  <c r="AR122" i="32"/>
  <c r="BP122" i="32" s="1"/>
  <c r="BR66" i="32"/>
  <c r="BR71" i="32" s="1"/>
  <c r="AN68" i="32"/>
  <c r="BM68" i="32" s="1"/>
  <c r="BH70" i="32"/>
  <c r="BS70" i="32" s="1"/>
  <c r="BO72" i="32"/>
  <c r="BO77" i="32" s="1"/>
  <c r="BU72" i="32"/>
  <c r="BU77" i="32" s="1"/>
  <c r="BH73" i="32"/>
  <c r="BS73" i="32" s="1"/>
  <c r="BR78" i="32"/>
  <c r="BR84" i="32" s="1"/>
  <c r="AN80" i="32"/>
  <c r="BM80" i="32" s="1"/>
  <c r="BT83" i="32"/>
  <c r="BH83" i="32"/>
  <c r="BS83" i="32" s="1"/>
  <c r="BK85" i="32"/>
  <c r="BK87" i="32"/>
  <c r="BK89" i="32"/>
  <c r="AO89" i="32"/>
  <c r="AQ89" i="32" s="1"/>
  <c r="BF90" i="32"/>
  <c r="AV96" i="32"/>
  <c r="BR91" i="32"/>
  <c r="BR96" i="32" s="1"/>
  <c r="AO92" i="32"/>
  <c r="BO93" i="32"/>
  <c r="BO96" i="32" s="1"/>
  <c r="BK94" i="32"/>
  <c r="BH97" i="32"/>
  <c r="BK98" i="32"/>
  <c r="AE302" i="32"/>
  <c r="AP101" i="32"/>
  <c r="AP302" i="32" s="1"/>
  <c r="BG302" i="32"/>
  <c r="BU101" i="32"/>
  <c r="BU302" i="32" s="1"/>
  <c r="AO106" i="32"/>
  <c r="AQ106" i="32" s="1"/>
  <c r="AW106" i="32" s="1"/>
  <c r="BI106" i="32" s="1"/>
  <c r="BT106" i="32"/>
  <c r="BG305" i="32"/>
  <c r="BU108" i="32"/>
  <c r="BG109" i="32"/>
  <c r="BJ111" i="32"/>
  <c r="AS111" i="32"/>
  <c r="BQ111" i="32" s="1"/>
  <c r="BL112" i="32"/>
  <c r="AR116" i="32"/>
  <c r="BP116" i="32" s="1"/>
  <c r="BJ116" i="32"/>
  <c r="AS116" i="32"/>
  <c r="BQ116" i="32" s="1"/>
  <c r="AF128" i="32"/>
  <c r="AO128" i="32"/>
  <c r="BK128" i="32"/>
  <c r="BU137" i="32"/>
  <c r="AO143" i="32"/>
  <c r="AQ143" i="32" s="1"/>
  <c r="BK143" i="32"/>
  <c r="AF143" i="32"/>
  <c r="AO152" i="32"/>
  <c r="AQ152" i="32" s="1"/>
  <c r="BK152" i="32"/>
  <c r="AF152" i="32"/>
  <c r="AP79" i="32"/>
  <c r="AO80" i="32"/>
  <c r="AQ80" i="32" s="1"/>
  <c r="BK91" i="32"/>
  <c r="BK96" i="32" s="1"/>
  <c r="AP92" i="32"/>
  <c r="BL94" i="32"/>
  <c r="W96" i="32"/>
  <c r="BL98" i="32"/>
  <c r="AP98" i="32"/>
  <c r="AQ98" i="32" s="1"/>
  <c r="AW98" i="32" s="1"/>
  <c r="BI98" i="32" s="1"/>
  <c r="BR99" i="32"/>
  <c r="BR299" i="32" s="1"/>
  <c r="AF101" i="32"/>
  <c r="BH101" i="32"/>
  <c r="BL104" i="32"/>
  <c r="AP104" i="32"/>
  <c r="BH109" i="32"/>
  <c r="BT109" i="32"/>
  <c r="AD110" i="32"/>
  <c r="V113" i="32"/>
  <c r="BK112" i="32"/>
  <c r="AO112" i="32"/>
  <c r="AQ112" i="32" s="1"/>
  <c r="AP133" i="32"/>
  <c r="BL133" i="32"/>
  <c r="AF135" i="32"/>
  <c r="AO135" i="32"/>
  <c r="AQ135" i="32" s="1"/>
  <c r="BK135" i="32"/>
  <c r="BL143" i="32"/>
  <c r="AP143" i="32"/>
  <c r="BH146" i="32"/>
  <c r="BS145" i="32"/>
  <c r="BS146" i="32" s="1"/>
  <c r="AO149" i="32"/>
  <c r="AQ149" i="32" s="1"/>
  <c r="BK149" i="32"/>
  <c r="AF149" i="32"/>
  <c r="AP152" i="32"/>
  <c r="BL152" i="32"/>
  <c r="BL157" i="32" s="1"/>
  <c r="AO81" i="32"/>
  <c r="AQ81" i="32" s="1"/>
  <c r="BK81" i="32"/>
  <c r="W84" i="32"/>
  <c r="AO85" i="32"/>
  <c r="BT85" i="32"/>
  <c r="BT90" i="32" s="1"/>
  <c r="AF87" i="32"/>
  <c r="BL91" i="32"/>
  <c r="AP91" i="32"/>
  <c r="AQ91" i="32" s="1"/>
  <c r="BT96" i="32"/>
  <c r="BT92" i="32"/>
  <c r="AF94" i="32"/>
  <c r="BF96" i="32"/>
  <c r="BU98" i="32"/>
  <c r="BT102" i="32"/>
  <c r="BH102" i="32"/>
  <c r="BS102" i="32" s="1"/>
  <c r="V305" i="32"/>
  <c r="AD108" i="32"/>
  <c r="V109" i="32"/>
  <c r="BH111" i="32"/>
  <c r="AQ133" i="32"/>
  <c r="AP135" i="32"/>
  <c r="BL135" i="32"/>
  <c r="AO139" i="32"/>
  <c r="BK139" i="32"/>
  <c r="AF139" i="32"/>
  <c r="AP142" i="32"/>
  <c r="BL142" i="32"/>
  <c r="AP150" i="32"/>
  <c r="BL149" i="32"/>
  <c r="AP149" i="32"/>
  <c r="AF155" i="32"/>
  <c r="AP155" i="32"/>
  <c r="BL155" i="32"/>
  <c r="AR89" i="32"/>
  <c r="BP89" i="32" s="1"/>
  <c r="AD96" i="32"/>
  <c r="BN96" i="32"/>
  <c r="BU91" i="32"/>
  <c r="BU96" i="32" s="1"/>
  <c r="AR92" i="32"/>
  <c r="BP92" i="32" s="1"/>
  <c r="AM96" i="32"/>
  <c r="BG96" i="32"/>
  <c r="BM97" i="32"/>
  <c r="AR98" i="32"/>
  <c r="BP98" i="32" s="1"/>
  <c r="V299" i="32"/>
  <c r="AD99" i="32"/>
  <c r="BM99" i="32"/>
  <c r="BM299" i="32" s="1"/>
  <c r="BT99" i="32"/>
  <c r="BT299" i="32" s="1"/>
  <c r="AR100" i="32"/>
  <c r="BP100" i="32" s="1"/>
  <c r="BK302" i="32"/>
  <c r="BR101" i="32"/>
  <c r="BR302" i="32" s="1"/>
  <c r="BK105" i="32"/>
  <c r="AO105" i="32"/>
  <c r="AQ105" i="32" s="1"/>
  <c r="AN105" i="32"/>
  <c r="BM105" i="32" s="1"/>
  <c r="W305" i="32"/>
  <c r="AE108" i="32"/>
  <c r="W109" i="32"/>
  <c r="BM108" i="32"/>
  <c r="AL113" i="32"/>
  <c r="AN110" i="32"/>
  <c r="BU114" i="32"/>
  <c r="BH114" i="32"/>
  <c r="BG120" i="32"/>
  <c r="BJ118" i="32"/>
  <c r="AR118" i="32"/>
  <c r="BP118" i="32" s="1"/>
  <c r="AS118" i="32"/>
  <c r="BQ118" i="32" s="1"/>
  <c r="AO123" i="32"/>
  <c r="AQ123" i="32" s="1"/>
  <c r="BK123" i="32"/>
  <c r="AF123" i="32"/>
  <c r="AO126" i="32"/>
  <c r="BK126" i="32"/>
  <c r="BK130" i="32" s="1"/>
  <c r="AF126" i="32"/>
  <c r="AO141" i="32"/>
  <c r="AQ141" i="32" s="1"/>
  <c r="BK141" i="32"/>
  <c r="AF141" i="32"/>
  <c r="AS142" i="32"/>
  <c r="BQ142" i="32" s="1"/>
  <c r="BJ142" i="32"/>
  <c r="AR142" i="32"/>
  <c r="BP142" i="32" s="1"/>
  <c r="AE150" i="32"/>
  <c r="AP148" i="32"/>
  <c r="BL148" i="32"/>
  <c r="AF154" i="32"/>
  <c r="AO154" i="32"/>
  <c r="BK154" i="32"/>
  <c r="BH80" i="32"/>
  <c r="BS80" i="32" s="1"/>
  <c r="BL88" i="32"/>
  <c r="AP88" i="32"/>
  <c r="AS89" i="32"/>
  <c r="BQ89" i="32" s="1"/>
  <c r="AF91" i="32"/>
  <c r="BL95" i="32"/>
  <c r="AP95" i="32"/>
  <c r="W107" i="32"/>
  <c r="BT97" i="32"/>
  <c r="BT107" i="32" s="1"/>
  <c r="BG299" i="32"/>
  <c r="BN99" i="32"/>
  <c r="BN299" i="32" s="1"/>
  <c r="BU99" i="32"/>
  <c r="BU299" i="32" s="1"/>
  <c r="AS100" i="32"/>
  <c r="BQ100" i="32" s="1"/>
  <c r="W302" i="32"/>
  <c r="AN101" i="32"/>
  <c r="BL101" i="32"/>
  <c r="BL302" i="32" s="1"/>
  <c r="AV305" i="32"/>
  <c r="AV109" i="32"/>
  <c r="BR108" i="32"/>
  <c r="BN109" i="32"/>
  <c r="BK111" i="32"/>
  <c r="AO111" i="32"/>
  <c r="AQ111" i="32" s="1"/>
  <c r="AR111" i="32"/>
  <c r="BP111" i="32" s="1"/>
  <c r="BN111" i="32"/>
  <c r="BN113" i="32" s="1"/>
  <c r="AF112" i="32"/>
  <c r="BT112" i="32"/>
  <c r="BT113" i="32" s="1"/>
  <c r="BH112" i="32"/>
  <c r="BS112" i="32" s="1"/>
  <c r="BM114" i="32"/>
  <c r="BL123" i="32"/>
  <c r="AP123" i="32"/>
  <c r="BR130" i="32"/>
  <c r="AP126" i="32"/>
  <c r="AP130" i="32" s="1"/>
  <c r="AE130" i="32"/>
  <c r="BL126" i="32"/>
  <c r="AE144" i="32"/>
  <c r="AP138" i="32"/>
  <c r="BL138" i="32"/>
  <c r="AO147" i="32"/>
  <c r="AD150" i="32"/>
  <c r="BK147" i="32"/>
  <c r="AF147" i="32"/>
  <c r="AF148" i="32"/>
  <c r="X96" i="32"/>
  <c r="X293" i="32" s="1"/>
  <c r="V302" i="32"/>
  <c r="AM302" i="32"/>
  <c r="BO101" i="32"/>
  <c r="BO302" i="32" s="1"/>
  <c r="AE110" i="32"/>
  <c r="AN112" i="32"/>
  <c r="BM112" i="32" s="1"/>
  <c r="AD114" i="32"/>
  <c r="W300" i="32"/>
  <c r="W296" i="32" s="1"/>
  <c r="AN115" i="32"/>
  <c r="AV300" i="32"/>
  <c r="AV296" i="32" s="1"/>
  <c r="AP117" i="32"/>
  <c r="BN117" i="32"/>
  <c r="AN118" i="32"/>
  <c r="BM118" i="32" s="1"/>
  <c r="BL119" i="32"/>
  <c r="AL120" i="32"/>
  <c r="BH121" i="32"/>
  <c r="BO121" i="32"/>
  <c r="BK122" i="32"/>
  <c r="BO123" i="32"/>
  <c r="V124" i="32"/>
  <c r="W130" i="32"/>
  <c r="AN125" i="32"/>
  <c r="BL125" i="32"/>
  <c r="BS125" i="32"/>
  <c r="BS130" i="32" s="1"/>
  <c r="BL127" i="32"/>
  <c r="AP129" i="32"/>
  <c r="BN129" i="32"/>
  <c r="AN131" i="32"/>
  <c r="BK131" i="32"/>
  <c r="AD132" i="32"/>
  <c r="AP132" i="32"/>
  <c r="AF133" i="32"/>
  <c r="BH133" i="32"/>
  <c r="BS133" i="32" s="1"/>
  <c r="BS137" i="32" s="1"/>
  <c r="BL134" i="32"/>
  <c r="BL136" i="32"/>
  <c r="AP136" i="32"/>
  <c r="AO136" i="32"/>
  <c r="AQ136" i="32" s="1"/>
  <c r="BG137" i="32"/>
  <c r="BV137" i="32"/>
  <c r="BV293" i="32" s="1"/>
  <c r="AN138" i="32"/>
  <c r="BK138" i="32"/>
  <c r="BR138" i="32"/>
  <c r="BR144" i="32" s="1"/>
  <c r="BH139" i="32"/>
  <c r="BS139" i="32" s="1"/>
  <c r="BK140" i="32"/>
  <c r="AO140" i="32"/>
  <c r="AN140" i="32"/>
  <c r="BM140" i="32" s="1"/>
  <c r="BH141" i="32"/>
  <c r="BS141" i="32" s="1"/>
  <c r="BO141" i="32"/>
  <c r="BO144" i="32" s="1"/>
  <c r="BK142" i="32"/>
  <c r="AN145" i="32"/>
  <c r="BL145" i="32"/>
  <c r="BL146" i="32" s="1"/>
  <c r="BF146" i="32"/>
  <c r="BH147" i="32"/>
  <c r="BO147" i="32"/>
  <c r="BO150" i="32" s="1"/>
  <c r="BK148" i="32"/>
  <c r="V150" i="32"/>
  <c r="AN151" i="32"/>
  <c r="BL153" i="32"/>
  <c r="AP156" i="32"/>
  <c r="BL160" i="32"/>
  <c r="AP160" i="32"/>
  <c r="BK162" i="32"/>
  <c r="AO162" i="32"/>
  <c r="AF162" i="32"/>
  <c r="AP173" i="32"/>
  <c r="BL173" i="32"/>
  <c r="AF177" i="32"/>
  <c r="AO177" i="32"/>
  <c r="BK177" i="32"/>
  <c r="BO182" i="32"/>
  <c r="BR195" i="32"/>
  <c r="AP191" i="32"/>
  <c r="BL191" i="32"/>
  <c r="AF192" i="32"/>
  <c r="AO192" i="32"/>
  <c r="BK192" i="32"/>
  <c r="AF193" i="32"/>
  <c r="AO193" i="32"/>
  <c r="BK193" i="32"/>
  <c r="AE114" i="32"/>
  <c r="BR114" i="32"/>
  <c r="BR120" i="32" s="1"/>
  <c r="AD115" i="32"/>
  <c r="BK118" i="32"/>
  <c r="AO119" i="32"/>
  <c r="AQ119" i="32" s="1"/>
  <c r="AL124" i="32"/>
  <c r="AN121" i="32"/>
  <c r="BL122" i="32"/>
  <c r="BL124" i="32" s="1"/>
  <c r="AO125" i="32"/>
  <c r="BT125" i="32"/>
  <c r="AF127" i="32"/>
  <c r="BN127" i="32"/>
  <c r="BN130" i="32" s="1"/>
  <c r="V130" i="32"/>
  <c r="AV130" i="32"/>
  <c r="BL131" i="32"/>
  <c r="AP131" i="32"/>
  <c r="AP137" i="32" s="1"/>
  <c r="AO134" i="32"/>
  <c r="AQ134" i="32" s="1"/>
  <c r="BT134" i="32"/>
  <c r="BH134" i="32"/>
  <c r="BS134" i="32" s="1"/>
  <c r="BT138" i="32"/>
  <c r="BT144" i="32" s="1"/>
  <c r="AP140" i="32"/>
  <c r="BU140" i="32"/>
  <c r="BU144" i="32" s="1"/>
  <c r="AN141" i="32"/>
  <c r="BM141" i="32" s="1"/>
  <c r="W144" i="32"/>
  <c r="AO145" i="32"/>
  <c r="BT145" i="32"/>
  <c r="BT146" i="32" s="1"/>
  <c r="BG146" i="32"/>
  <c r="AL150" i="32"/>
  <c r="AN147" i="32"/>
  <c r="W150" i="32"/>
  <c r="AO151" i="32"/>
  <c r="BT151" i="32"/>
  <c r="AF153" i="32"/>
  <c r="BK155" i="32"/>
  <c r="AO155" i="32"/>
  <c r="AQ155" i="32" s="1"/>
  <c r="AF156" i="32"/>
  <c r="BF164" i="32"/>
  <c r="BT158" i="32"/>
  <c r="BT164" i="32" s="1"/>
  <c r="BH158" i="32"/>
  <c r="AR160" i="32"/>
  <c r="BP160" i="32" s="1"/>
  <c r="BJ160" i="32"/>
  <c r="AS160" i="32"/>
  <c r="BQ160" i="32" s="1"/>
  <c r="AF163" i="32"/>
  <c r="BL163" i="32"/>
  <c r="AP163" i="32"/>
  <c r="BL166" i="32"/>
  <c r="BL171" i="32" s="1"/>
  <c r="AF166" i="32"/>
  <c r="AP166" i="32"/>
  <c r="BJ169" i="32"/>
  <c r="AS169" i="32"/>
  <c r="BQ169" i="32" s="1"/>
  <c r="AR169" i="32"/>
  <c r="BP169" i="32" s="1"/>
  <c r="BU178" i="32"/>
  <c r="AP177" i="32"/>
  <c r="BL177" i="32"/>
  <c r="AP194" i="32"/>
  <c r="BL194" i="32"/>
  <c r="AF194" i="32"/>
  <c r="AE300" i="32"/>
  <c r="AP115" i="32"/>
  <c r="BL115" i="32"/>
  <c r="BR300" i="32"/>
  <c r="AO116" i="32"/>
  <c r="AQ116" i="32" s="1"/>
  <c r="AW116" i="32" s="1"/>
  <c r="BI116" i="32" s="1"/>
  <c r="BK116" i="32"/>
  <c r="AO118" i="32"/>
  <c r="AQ118" i="32" s="1"/>
  <c r="AW118" i="32" s="1"/>
  <c r="BI118" i="32" s="1"/>
  <c r="AO122" i="32"/>
  <c r="AQ122" i="32" s="1"/>
  <c r="AW122" i="32" s="1"/>
  <c r="BI122" i="32" s="1"/>
  <c r="BT122" i="32"/>
  <c r="BT124" i="32" s="1"/>
  <c r="BG130" i="32"/>
  <c r="BU125" i="32"/>
  <c r="AD130" i="32"/>
  <c r="AD137" i="32"/>
  <c r="BN137" i="32"/>
  <c r="AR136" i="32"/>
  <c r="BP136" i="32" s="1"/>
  <c r="AF138" i="32"/>
  <c r="AO142" i="32"/>
  <c r="AQ142" i="32" s="1"/>
  <c r="AW142" i="32" s="1"/>
  <c r="BI142" i="32" s="1"/>
  <c r="BT142" i="32"/>
  <c r="AD144" i="32"/>
  <c r="AP145" i="32"/>
  <c r="AP146" i="32" s="1"/>
  <c r="AO148" i="32"/>
  <c r="AQ148" i="32" s="1"/>
  <c r="BT148" i="32"/>
  <c r="BT150" i="32" s="1"/>
  <c r="AE157" i="32"/>
  <c r="AP151" i="32"/>
  <c r="BR152" i="32"/>
  <c r="BR157" i="32" s="1"/>
  <c r="AS159" i="32"/>
  <c r="BQ159" i="32" s="1"/>
  <c r="AR159" i="32"/>
  <c r="BP159" i="32" s="1"/>
  <c r="BJ159" i="32"/>
  <c r="AQ166" i="32"/>
  <c r="AF175" i="32"/>
  <c r="AP175" i="32"/>
  <c r="AQ175" i="32" s="1"/>
  <c r="BL175" i="32"/>
  <c r="BK176" i="32"/>
  <c r="AF176" i="32"/>
  <c r="AO176" i="32"/>
  <c r="AF181" i="32"/>
  <c r="AO181" i="32"/>
  <c r="BK181" i="32"/>
  <c r="BU188" i="32"/>
  <c r="BJ185" i="32"/>
  <c r="AS185" i="32"/>
  <c r="BQ185" i="32" s="1"/>
  <c r="AR185" i="32"/>
  <c r="BP185" i="32" s="1"/>
  <c r="BN114" i="32"/>
  <c r="BN120" i="32" s="1"/>
  <c r="AP116" i="32"/>
  <c r="BT116" i="32"/>
  <c r="BT118" i="32"/>
  <c r="AP122" i="32"/>
  <c r="AP124" i="32" s="1"/>
  <c r="BR123" i="32"/>
  <c r="BR124" i="32" s="1"/>
  <c r="AM124" i="32"/>
  <c r="BL128" i="32"/>
  <c r="AP128" i="32"/>
  <c r="AR131" i="32"/>
  <c r="AN132" i="32"/>
  <c r="BM132" i="32" s="1"/>
  <c r="AN133" i="32"/>
  <c r="BM133" i="32" s="1"/>
  <c r="AF134" i="32"/>
  <c r="BT135" i="32"/>
  <c r="AS136" i="32"/>
  <c r="BQ136" i="32" s="1"/>
  <c r="W137" i="32"/>
  <c r="BH138" i="32"/>
  <c r="AN139" i="32"/>
  <c r="BM139" i="32" s="1"/>
  <c r="AF140" i="32"/>
  <c r="AF145" i="32"/>
  <c r="BR149" i="32"/>
  <c r="BR150" i="32" s="1"/>
  <c r="AM150" i="32"/>
  <c r="BF150" i="32"/>
  <c r="AF151" i="32"/>
  <c r="BH151" i="32"/>
  <c r="AN152" i="32"/>
  <c r="BM152" i="32" s="1"/>
  <c r="BL154" i="32"/>
  <c r="AP154" i="32"/>
  <c r="BT156" i="32"/>
  <c r="BH156" i="32"/>
  <c r="BS156" i="32" s="1"/>
  <c r="W157" i="32"/>
  <c r="BO164" i="32"/>
  <c r="BL158" i="32"/>
  <c r="BM165" i="32"/>
  <c r="BR171" i="32"/>
  <c r="AP168" i="32"/>
  <c r="BL168" i="32"/>
  <c r="BM172" i="32"/>
  <c r="BM178" i="32" s="1"/>
  <c r="AN178" i="32"/>
  <c r="BU182" i="32"/>
  <c r="BL187" i="32"/>
  <c r="AF187" i="32"/>
  <c r="AP187" i="32"/>
  <c r="BL203" i="32"/>
  <c r="AP203" i="32"/>
  <c r="BO108" i="32"/>
  <c r="AM109" i="32"/>
  <c r="BO114" i="32"/>
  <c r="BH115" i="32"/>
  <c r="BN115" i="32"/>
  <c r="BT115" i="32"/>
  <c r="AR119" i="32"/>
  <c r="BP119" i="32" s="1"/>
  <c r="BJ119" i="32"/>
  <c r="BG124" i="32"/>
  <c r="AR125" i="32"/>
  <c r="BJ125" i="32"/>
  <c r="BQ125" i="32"/>
  <c r="BT126" i="32"/>
  <c r="BH126" i="32"/>
  <c r="BS126" i="32" s="1"/>
  <c r="BU128" i="32"/>
  <c r="AF130" i="32"/>
  <c r="AS131" i="32"/>
  <c r="BT133" i="32"/>
  <c r="BT137" i="32" s="1"/>
  <c r="AE137" i="32"/>
  <c r="BL139" i="32"/>
  <c r="AP139" i="32"/>
  <c r="AD146" i="32"/>
  <c r="BT152" i="32"/>
  <c r="BH152" i="32"/>
  <c r="BS152" i="32" s="1"/>
  <c r="AD157" i="32"/>
  <c r="AF161" i="32"/>
  <c r="BK161" i="32"/>
  <c r="AO161" i="32"/>
  <c r="AQ161" i="32" s="1"/>
  <c r="AP167" i="32"/>
  <c r="BL167" i="32"/>
  <c r="AQ168" i="32"/>
  <c r="BJ170" i="32"/>
  <c r="AS170" i="32"/>
  <c r="BQ170" i="32" s="1"/>
  <c r="AR170" i="32"/>
  <c r="BP170" i="32" s="1"/>
  <c r="AQ187" i="32"/>
  <c r="BJ189" i="32"/>
  <c r="AS189" i="32"/>
  <c r="AR189" i="32"/>
  <c r="BO115" i="32"/>
  <c r="BU115" i="32"/>
  <c r="BU300" i="32" s="1"/>
  <c r="BK117" i="32"/>
  <c r="AO117" i="32"/>
  <c r="BN121" i="32"/>
  <c r="BN124" i="32" s="1"/>
  <c r="BT123" i="32"/>
  <c r="BH123" i="32"/>
  <c r="BS123" i="32" s="1"/>
  <c r="BO126" i="32"/>
  <c r="BO130" i="32" s="1"/>
  <c r="BK127" i="32"/>
  <c r="BK129" i="32"/>
  <c r="AO129" i="32"/>
  <c r="AQ129" i="32" s="1"/>
  <c r="AW129" i="32" s="1"/>
  <c r="BI129" i="32" s="1"/>
  <c r="AV137" i="32"/>
  <c r="BR131" i="32"/>
  <c r="BR137" i="32" s="1"/>
  <c r="BJ131" i="32"/>
  <c r="BN141" i="32"/>
  <c r="BN144" i="32" s="1"/>
  <c r="BT143" i="32"/>
  <c r="BH143" i="32"/>
  <c r="BS143" i="32" s="1"/>
  <c r="BN147" i="32"/>
  <c r="BN150" i="32" s="1"/>
  <c r="BT149" i="32"/>
  <c r="BH149" i="32"/>
  <c r="BS149" i="32" s="1"/>
  <c r="V157" i="32"/>
  <c r="BO152" i="32"/>
  <c r="BO157" i="32" s="1"/>
  <c r="BK153" i="32"/>
  <c r="BK157" i="32" s="1"/>
  <c r="BH154" i="32"/>
  <c r="BS154" i="32" s="1"/>
  <c r="BT155" i="32"/>
  <c r="BH155" i="32"/>
  <c r="BS155" i="32" s="1"/>
  <c r="AO156" i="32"/>
  <c r="BK156" i="32"/>
  <c r="BG157" i="32"/>
  <c r="AP158" i="32"/>
  <c r="BR164" i="32"/>
  <c r="BL161" i="32"/>
  <c r="AP161" i="32"/>
  <c r="AF167" i="32"/>
  <c r="BR178" i="32"/>
  <c r="BR188" i="32"/>
  <c r="BJ184" i="32"/>
  <c r="AS184" i="32"/>
  <c r="BQ184" i="32" s="1"/>
  <c r="AR184" i="32"/>
  <c r="BP184" i="32" s="1"/>
  <c r="AE195" i="32"/>
  <c r="AF191" i="32"/>
  <c r="AO191" i="32"/>
  <c r="AQ191" i="32" s="1"/>
  <c r="BK191" i="32"/>
  <c r="BU199" i="32"/>
  <c r="BK204" i="32"/>
  <c r="AF204" i="32"/>
  <c r="AO204" i="32"/>
  <c r="BO145" i="32"/>
  <c r="BO146" i="32" s="1"/>
  <c r="AN156" i="32"/>
  <c r="BM156" i="32" s="1"/>
  <c r="AD158" i="32"/>
  <c r="AN159" i="32"/>
  <c r="BM159" i="32" s="1"/>
  <c r="BM164" i="32" s="1"/>
  <c r="BH161" i="32"/>
  <c r="BS161" i="32" s="1"/>
  <c r="BG171" i="32"/>
  <c r="BS165" i="32"/>
  <c r="BS171" i="32" s="1"/>
  <c r="BN166" i="32"/>
  <c r="BK167" i="32"/>
  <c r="BH168" i="32"/>
  <c r="BS168" i="32" s="1"/>
  <c r="BK169" i="32"/>
  <c r="AD172" i="32"/>
  <c r="BN172" i="32"/>
  <c r="BN178" i="32" s="1"/>
  <c r="BN174" i="32"/>
  <c r="BT176" i="32"/>
  <c r="BH176" i="32"/>
  <c r="BS176" i="32" s="1"/>
  <c r="BS178" i="32" s="1"/>
  <c r="AO180" i="32"/>
  <c r="AQ180" i="32" s="1"/>
  <c r="AE183" i="32"/>
  <c r="AF183" i="32" s="1"/>
  <c r="BH183" i="32"/>
  <c r="BO183" i="32"/>
  <c r="BO188" i="32" s="1"/>
  <c r="BK184" i="32"/>
  <c r="AO186" i="32"/>
  <c r="AQ186" i="32" s="1"/>
  <c r="BN187" i="32"/>
  <c r="BN188" i="32" s="1"/>
  <c r="AV188" i="32"/>
  <c r="BK189" i="32"/>
  <c r="BK195" i="32" s="1"/>
  <c r="AP192" i="32"/>
  <c r="BN192" i="32"/>
  <c r="BH194" i="32"/>
  <c r="BS194" i="32" s="1"/>
  <c r="AV195" i="32"/>
  <c r="BL196" i="32"/>
  <c r="BL199" i="32" s="1"/>
  <c r="AP196" i="32"/>
  <c r="AP199" i="32" s="1"/>
  <c r="AO196" i="32"/>
  <c r="BO196" i="32"/>
  <c r="BO199" i="32" s="1"/>
  <c r="AP198" i="32"/>
  <c r="AQ198" i="32" s="1"/>
  <c r="AE199" i="32"/>
  <c r="BU200" i="32"/>
  <c r="BU205" i="32" s="1"/>
  <c r="AF202" i="32"/>
  <c r="BO203" i="32"/>
  <c r="AM214" i="32"/>
  <c r="BL207" i="32"/>
  <c r="AP207" i="32"/>
  <c r="BL211" i="32"/>
  <c r="AP211" i="32"/>
  <c r="AD227" i="32"/>
  <c r="AO221" i="32"/>
  <c r="BK221" i="32"/>
  <c r="AO159" i="32"/>
  <c r="AQ159" i="32" s="1"/>
  <c r="AW159" i="32" s="1"/>
  <c r="BI159" i="32" s="1"/>
  <c r="BK159" i="32"/>
  <c r="BO161" i="32"/>
  <c r="BN162" i="32"/>
  <c r="BN165" i="32"/>
  <c r="BL169" i="32"/>
  <c r="AP169" i="32"/>
  <c r="AQ169" i="32" s="1"/>
  <c r="AW169" i="32" s="1"/>
  <c r="BI169" i="32" s="1"/>
  <c r="AE171" i="32"/>
  <c r="BK173" i="32"/>
  <c r="AO173" i="32"/>
  <c r="BT173" i="32"/>
  <c r="BT178" i="32" s="1"/>
  <c r="AR174" i="32"/>
  <c r="BP174" i="32" s="1"/>
  <c r="AP176" i="32"/>
  <c r="AL178" i="32"/>
  <c r="BF178" i="32"/>
  <c r="AE182" i="32"/>
  <c r="BL184" i="32"/>
  <c r="AP184" i="32"/>
  <c r="AQ184" i="32" s="1"/>
  <c r="AW184" i="32" s="1"/>
  <c r="BI184" i="32" s="1"/>
  <c r="BT186" i="32"/>
  <c r="AO195" i="32"/>
  <c r="AP190" i="32"/>
  <c r="AP195" i="32" s="1"/>
  <c r="AD195" i="32"/>
  <c r="BH199" i="32"/>
  <c r="BL200" i="32"/>
  <c r="AQ201" i="32"/>
  <c r="BT203" i="32"/>
  <c r="BH203" i="32"/>
  <c r="BS203" i="32" s="1"/>
  <c r="AN204" i="32"/>
  <c r="BM204" i="32" s="1"/>
  <c r="BM206" i="32"/>
  <c r="BM214" i="32" s="1"/>
  <c r="AN214" i="32"/>
  <c r="AN207" i="32"/>
  <c r="BM207" i="32" s="1"/>
  <c r="AL214" i="32"/>
  <c r="BK208" i="32"/>
  <c r="AO208" i="32"/>
  <c r="AR211" i="32"/>
  <c r="BP211" i="32" s="1"/>
  <c r="BJ211" i="32"/>
  <c r="AS211" i="32"/>
  <c r="BQ211" i="32" s="1"/>
  <c r="AF223" i="32"/>
  <c r="AP226" i="32"/>
  <c r="BL226" i="32"/>
  <c r="BK233" i="32"/>
  <c r="AO233" i="32"/>
  <c r="AQ233" i="32" s="1"/>
  <c r="AF233" i="32"/>
  <c r="AP159" i="32"/>
  <c r="AO160" i="32"/>
  <c r="AQ160" i="32" s="1"/>
  <c r="AW160" i="32" s="1"/>
  <c r="BI160" i="32" s="1"/>
  <c r="BK160" i="32"/>
  <c r="BH163" i="32"/>
  <c r="BS163" i="32" s="1"/>
  <c r="BN163" i="32"/>
  <c r="BN164" i="32" s="1"/>
  <c r="AL164" i="32"/>
  <c r="BO165" i="32"/>
  <c r="BO171" i="32" s="1"/>
  <c r="AO167" i="32"/>
  <c r="AQ167" i="32" s="1"/>
  <c r="BT167" i="32"/>
  <c r="BT171" i="32" s="1"/>
  <c r="BH167" i="32"/>
  <c r="BS167" i="32" s="1"/>
  <c r="BU169" i="32"/>
  <c r="BU171" i="32" s="1"/>
  <c r="AL171" i="32"/>
  <c r="BU173" i="32"/>
  <c r="AS174" i="32"/>
  <c r="BQ174" i="32" s="1"/>
  <c r="BT177" i="32"/>
  <c r="BR179" i="32"/>
  <c r="BR182" i="32" s="1"/>
  <c r="AR180" i="32"/>
  <c r="BP180" i="32" s="1"/>
  <c r="AN181" i="32"/>
  <c r="BM181" i="32" s="1"/>
  <c r="BU184" i="32"/>
  <c r="AD188" i="32"/>
  <c r="BT189" i="32"/>
  <c r="AF190" i="32"/>
  <c r="BH190" i="32"/>
  <c r="BS190" i="32" s="1"/>
  <c r="AN191" i="32"/>
  <c r="BM191" i="32" s="1"/>
  <c r="BL193" i="32"/>
  <c r="BL195" i="32" s="1"/>
  <c r="AP193" i="32"/>
  <c r="AF196" i="32"/>
  <c r="AF197" i="32"/>
  <c r="BL197" i="32"/>
  <c r="AF198" i="32"/>
  <c r="AV199" i="32"/>
  <c r="BL208" i="32"/>
  <c r="AP208" i="32"/>
  <c r="AF212" i="32"/>
  <c r="BK212" i="32"/>
  <c r="AO212" i="32"/>
  <c r="AP217" i="32"/>
  <c r="BL217" i="32"/>
  <c r="AE220" i="32"/>
  <c r="AP223" i="32"/>
  <c r="BL223" i="32"/>
  <c r="AR226" i="32"/>
  <c r="BP226" i="32" s="1"/>
  <c r="BJ226" i="32"/>
  <c r="AS226" i="32"/>
  <c r="BQ226" i="32" s="1"/>
  <c r="AM164" i="32"/>
  <c r="W171" i="32"/>
  <c r="BK166" i="32"/>
  <c r="AN168" i="32"/>
  <c r="BM168" i="32" s="1"/>
  <c r="BK168" i="32"/>
  <c r="BK170" i="32"/>
  <c r="AO170" i="32"/>
  <c r="AQ170" i="32" s="1"/>
  <c r="AW170" i="32" s="1"/>
  <c r="BI170" i="32" s="1"/>
  <c r="AN170" i="32"/>
  <c r="BM170" i="32" s="1"/>
  <c r="BK174" i="32"/>
  <c r="BH178" i="32"/>
  <c r="AN179" i="32"/>
  <c r="BL179" i="32"/>
  <c r="BL182" i="32" s="1"/>
  <c r="AS180" i="32"/>
  <c r="BQ180" i="32" s="1"/>
  <c r="BL181" i="32"/>
  <c r="AP181" i="32"/>
  <c r="AP182" i="32" s="1"/>
  <c r="AM182" i="32"/>
  <c r="BG182" i="32"/>
  <c r="AN183" i="32"/>
  <c r="BK183" i="32"/>
  <c r="BH184" i="32"/>
  <c r="BS184" i="32" s="1"/>
  <c r="BK185" i="32"/>
  <c r="AO185" i="32"/>
  <c r="AQ185" i="32" s="1"/>
  <c r="AW185" i="32" s="1"/>
  <c r="BI185" i="32" s="1"/>
  <c r="AN185" i="32"/>
  <c r="BM185" i="32" s="1"/>
  <c r="AF186" i="32"/>
  <c r="BK187" i="32"/>
  <c r="AQ189" i="32"/>
  <c r="BG195" i="32"/>
  <c r="BN189" i="32"/>
  <c r="BN195" i="32" s="1"/>
  <c r="BU189" i="32"/>
  <c r="BU195" i="32" s="1"/>
  <c r="BT191" i="32"/>
  <c r="BH191" i="32"/>
  <c r="BS191" i="32" s="1"/>
  <c r="AL195" i="32"/>
  <c r="AN197" i="32"/>
  <c r="BM197" i="32" s="1"/>
  <c r="BM199" i="32" s="1"/>
  <c r="AN200" i="32"/>
  <c r="BN200" i="32"/>
  <c r="BO200" i="32"/>
  <c r="BO205" i="32" s="1"/>
  <c r="AS201" i="32"/>
  <c r="BQ201" i="32" s="1"/>
  <c r="BJ201" i="32"/>
  <c r="AR201" i="32"/>
  <c r="BP201" i="32" s="1"/>
  <c r="BK201" i="32"/>
  <c r="AL205" i="32"/>
  <c r="V214" i="32"/>
  <c r="AD206" i="32"/>
  <c r="AV214" i="32"/>
  <c r="BR206" i="32"/>
  <c r="BR214" i="32" s="1"/>
  <c r="AF208" i="32"/>
  <c r="AS210" i="32"/>
  <c r="BQ210" i="32" s="1"/>
  <c r="AR210" i="32"/>
  <c r="BP210" i="32" s="1"/>
  <c r="BJ210" i="32"/>
  <c r="BL212" i="32"/>
  <c r="AP212" i="32"/>
  <c r="BL225" i="32"/>
  <c r="AF225" i="32"/>
  <c r="AP225" i="32"/>
  <c r="AQ225" i="32" s="1"/>
  <c r="BU158" i="32"/>
  <c r="BU164" i="32" s="1"/>
  <c r="BH159" i="32"/>
  <c r="BS159" i="32" s="1"/>
  <c r="AD165" i="32"/>
  <c r="AF173" i="32"/>
  <c r="AV178" i="32"/>
  <c r="AD179" i="32"/>
  <c r="BT179" i="32"/>
  <c r="BT182" i="32" s="1"/>
  <c r="BH179" i="32"/>
  <c r="BT183" i="32"/>
  <c r="AN186" i="32"/>
  <c r="BM186" i="32" s="1"/>
  <c r="AL188" i="32"/>
  <c r="BH189" i="32"/>
  <c r="BO191" i="32"/>
  <c r="BO195" i="32" s="1"/>
  <c r="BK194" i="32"/>
  <c r="AO194" i="32"/>
  <c r="AQ194" i="32" s="1"/>
  <c r="AN194" i="32"/>
  <c r="BM194" i="32" s="1"/>
  <c r="BM195" i="32" s="1"/>
  <c r="BR199" i="32"/>
  <c r="BF205" i="32"/>
  <c r="BT200" i="32"/>
  <c r="BT205" i="32" s="1"/>
  <c r="BH200" i="32"/>
  <c r="BR205" i="32"/>
  <c r="W205" i="32"/>
  <c r="AE202" i="32"/>
  <c r="AO202" i="32"/>
  <c r="AF203" i="32"/>
  <c r="BK203" i="32"/>
  <c r="AO203" i="32"/>
  <c r="AQ203" i="32" s="1"/>
  <c r="W214" i="32"/>
  <c r="AE206" i="32"/>
  <c r="BU214" i="32"/>
  <c r="BN207" i="32"/>
  <c r="BN214" i="32" s="1"/>
  <c r="AF209" i="32"/>
  <c r="BK209" i="32"/>
  <c r="AO209" i="32"/>
  <c r="AQ209" i="32" s="1"/>
  <c r="BK213" i="32"/>
  <c r="AO213" i="32"/>
  <c r="AQ213" i="32" s="1"/>
  <c r="AF213" i="32"/>
  <c r="BO220" i="32"/>
  <c r="AF219" i="32"/>
  <c r="AO219" i="32"/>
  <c r="BK219" i="32"/>
  <c r="BR227" i="32"/>
  <c r="BJ222" i="32"/>
  <c r="AS222" i="32"/>
  <c r="BQ222" i="32" s="1"/>
  <c r="AR222" i="32"/>
  <c r="BP222" i="32" s="1"/>
  <c r="AE234" i="32"/>
  <c r="AP228" i="32"/>
  <c r="BL228" i="32"/>
  <c r="AF230" i="32"/>
  <c r="AO230" i="32"/>
  <c r="BK230" i="32"/>
  <c r="BK234" i="32" s="1"/>
  <c r="AP162" i="32"/>
  <c r="AO163" i="32"/>
  <c r="AQ163" i="32" s="1"/>
  <c r="AP165" i="32"/>
  <c r="AP171" i="32" s="1"/>
  <c r="AF168" i="32"/>
  <c r="AE178" i="32"/>
  <c r="BL172" i="32"/>
  <c r="BL178" i="32" s="1"/>
  <c r="AP172" i="32"/>
  <c r="AP178" i="32" s="1"/>
  <c r="W178" i="32"/>
  <c r="BK180" i="32"/>
  <c r="AN199" i="32"/>
  <c r="BK197" i="32"/>
  <c r="BK199" i="32" s="1"/>
  <c r="AO197" i="32"/>
  <c r="AQ197" i="32" s="1"/>
  <c r="AD199" i="32"/>
  <c r="V205" i="32"/>
  <c r="AD200" i="32"/>
  <c r="AP200" i="32"/>
  <c r="BN201" i="32"/>
  <c r="BL204" i="32"/>
  <c r="AP204" i="32"/>
  <c r="BN204" i="32"/>
  <c r="BK207" i="32"/>
  <c r="AO207" i="32"/>
  <c r="AQ207" i="32" s="1"/>
  <c r="AF207" i="32"/>
  <c r="BL213" i="32"/>
  <c r="AP213" i="32"/>
  <c r="BS215" i="32"/>
  <c r="BS216" i="32" s="1"/>
  <c r="BH216" i="32"/>
  <c r="AF234" i="32"/>
  <c r="AS228" i="32"/>
  <c r="BJ228" i="32"/>
  <c r="AR228" i="32"/>
  <c r="AP230" i="32"/>
  <c r="BL230" i="32"/>
  <c r="BH206" i="32"/>
  <c r="BT206" i="32"/>
  <c r="BT214" i="32" s="1"/>
  <c r="AN210" i="32"/>
  <c r="BM210" i="32" s="1"/>
  <c r="BH212" i="32"/>
  <c r="BS212" i="32" s="1"/>
  <c r="BL218" i="32"/>
  <c r="W220" i="32"/>
  <c r="AE221" i="32"/>
  <c r="AF221" i="32" s="1"/>
  <c r="BH221" i="32"/>
  <c r="BO221" i="32"/>
  <c r="BO227" i="32" s="1"/>
  <c r="BK222" i="32"/>
  <c r="AO224" i="32"/>
  <c r="AQ224" i="32" s="1"/>
  <c r="BL224" i="32"/>
  <c r="BN225" i="32"/>
  <c r="BK226" i="32"/>
  <c r="BF227" i="32"/>
  <c r="BH228" i="32"/>
  <c r="BL229" i="32"/>
  <c r="BL231" i="32"/>
  <c r="AP231" i="32"/>
  <c r="AO231" i="32"/>
  <c r="BL233" i="32"/>
  <c r="AP233" i="32"/>
  <c r="AD238" i="32"/>
  <c r="AF235" i="32"/>
  <c r="BK235" i="32"/>
  <c r="BK238" i="32" s="1"/>
  <c r="AO235" i="32"/>
  <c r="AP235" i="32"/>
  <c r="BU238" i="32"/>
  <c r="BO245" i="32"/>
  <c r="AO244" i="32"/>
  <c r="BK244" i="32"/>
  <c r="AD248" i="32"/>
  <c r="AF246" i="32"/>
  <c r="BK246" i="32"/>
  <c r="AO246" i="32"/>
  <c r="BU248" i="32"/>
  <c r="BO247" i="32"/>
  <c r="AN247" i="32"/>
  <c r="BM247" i="32" s="1"/>
  <c r="BM248" i="32" s="1"/>
  <c r="AQ249" i="32"/>
  <c r="BF255" i="32"/>
  <c r="BT249" i="32"/>
  <c r="BT255" i="32" s="1"/>
  <c r="BH249" i="32"/>
  <c r="AP209" i="32"/>
  <c r="AO210" i="32"/>
  <c r="BK210" i="32"/>
  <c r="BO212" i="32"/>
  <c r="BO214" i="32" s="1"/>
  <c r="BN213" i="32"/>
  <c r="BN306" i="32" s="1"/>
  <c r="BF216" i="32"/>
  <c r="AF218" i="32"/>
  <c r="BL222" i="32"/>
  <c r="AP222" i="32"/>
  <c r="AO222" i="32"/>
  <c r="AQ222" i="32" s="1"/>
  <c r="AW222" i="32" s="1"/>
  <c r="BI222" i="32" s="1"/>
  <c r="BT224" i="32"/>
  <c r="BT227" i="32" s="1"/>
  <c r="BG227" i="32"/>
  <c r="AO229" i="32"/>
  <c r="AQ229" i="32" s="1"/>
  <c r="BT229" i="32"/>
  <c r="BH229" i="32"/>
  <c r="BS229" i="32" s="1"/>
  <c r="BU229" i="32"/>
  <c r="BU234" i="32" s="1"/>
  <c r="BL232" i="32"/>
  <c r="AQ236" i="32"/>
  <c r="BR245" i="32"/>
  <c r="BJ240" i="32"/>
  <c r="AS240" i="32"/>
  <c r="BQ240" i="32" s="1"/>
  <c r="BJ275" i="32"/>
  <c r="AR275" i="32"/>
  <c r="BP275" i="32" s="1"/>
  <c r="AS275" i="32"/>
  <c r="BQ275" i="32" s="1"/>
  <c r="BH208" i="32"/>
  <c r="BS208" i="32" s="1"/>
  <c r="BN208" i="32"/>
  <c r="AP210" i="32"/>
  <c r="AO211" i="32"/>
  <c r="BK211" i="32"/>
  <c r="BT215" i="32"/>
  <c r="BT216" i="32" s="1"/>
  <c r="BR217" i="32"/>
  <c r="BR220" i="32" s="1"/>
  <c r="BU222" i="32"/>
  <c r="BU227" i="32" s="1"/>
  <c r="AO226" i="32"/>
  <c r="BT226" i="32"/>
  <c r="BH226" i="32"/>
  <c r="BS226" i="32" s="1"/>
  <c r="AV227" i="32"/>
  <c r="BO234" i="32"/>
  <c r="BR228" i="32"/>
  <c r="BR234" i="32" s="1"/>
  <c r="AR231" i="32"/>
  <c r="BP231" i="32" s="1"/>
  <c r="BK232" i="32"/>
  <c r="AO232" i="32"/>
  <c r="AQ232" i="32" s="1"/>
  <c r="BT232" i="32"/>
  <c r="BF238" i="32"/>
  <c r="BT235" i="32"/>
  <c r="BT238" i="32" s="1"/>
  <c r="BH235" i="32"/>
  <c r="BT245" i="32"/>
  <c r="BJ244" i="32"/>
  <c r="AS244" i="32"/>
  <c r="BQ244" i="32" s="1"/>
  <c r="V245" i="32"/>
  <c r="BU208" i="32"/>
  <c r="BH209" i="32"/>
  <c r="BS209" i="32" s="1"/>
  <c r="BN209" i="32"/>
  <c r="AD215" i="32"/>
  <c r="AN216" i="32"/>
  <c r="AN217" i="32"/>
  <c r="BL219" i="32"/>
  <c r="AP219" i="32"/>
  <c r="AM220" i="32"/>
  <c r="BG220" i="32"/>
  <c r="AN221" i="32"/>
  <c r="BK223" i="32"/>
  <c r="AO223" i="32"/>
  <c r="AQ223" i="32" s="1"/>
  <c r="AN223" i="32"/>
  <c r="BM223" i="32" s="1"/>
  <c r="BT223" i="32"/>
  <c r="AF224" i="32"/>
  <c r="V227" i="32"/>
  <c r="AN228" i="32"/>
  <c r="AF229" i="32"/>
  <c r="BT230" i="32"/>
  <c r="AS231" i="32"/>
  <c r="BQ231" i="32" s="1"/>
  <c r="BK236" i="32"/>
  <c r="AF236" i="32"/>
  <c r="AO237" i="32"/>
  <c r="AQ237" i="32" s="1"/>
  <c r="BK237" i="32"/>
  <c r="AF237" i="32"/>
  <c r="AD245" i="32"/>
  <c r="BK239" i="32"/>
  <c r="AO239" i="32"/>
  <c r="AF239" i="32"/>
  <c r="BF245" i="32"/>
  <c r="BH239" i="32"/>
  <c r="AQ241" i="32"/>
  <c r="AF243" i="32"/>
  <c r="AO243" i="32"/>
  <c r="AQ243" i="32" s="1"/>
  <c r="BL260" i="32"/>
  <c r="AP260" i="32"/>
  <c r="BH210" i="32"/>
  <c r="BS210" i="32" s="1"/>
  <c r="AE215" i="32"/>
  <c r="AD217" i="32"/>
  <c r="BT217" i="32"/>
  <c r="BT220" i="32" s="1"/>
  <c r="BH217" i="32"/>
  <c r="BU219" i="32"/>
  <c r="BU220" i="32" s="1"/>
  <c r="AD234" i="32"/>
  <c r="AO228" i="32"/>
  <c r="BT228" i="32"/>
  <c r="W234" i="32"/>
  <c r="BL235" i="32"/>
  <c r="BL238" i="32" s="1"/>
  <c r="AE245" i="32"/>
  <c r="AP239" i="32"/>
  <c r="BL239" i="32"/>
  <c r="BK242" i="32"/>
  <c r="AF242" i="32"/>
  <c r="AO242" i="32"/>
  <c r="AQ242" i="32" s="1"/>
  <c r="BM249" i="32"/>
  <c r="BH202" i="32"/>
  <c r="BS202" i="32" s="1"/>
  <c r="BH211" i="32"/>
  <c r="BS211" i="32" s="1"/>
  <c r="BK218" i="32"/>
  <c r="BN221" i="32"/>
  <c r="BN227" i="32" s="1"/>
  <c r="BN228" i="32"/>
  <c r="BN234" i="32" s="1"/>
  <c r="AM234" i="32"/>
  <c r="AF232" i="32"/>
  <c r="BM238" i="32"/>
  <c r="BR238" i="32"/>
  <c r="BL237" i="32"/>
  <c r="AP237" i="32"/>
  <c r="BM239" i="32"/>
  <c r="AW240" i="32"/>
  <c r="BI240" i="32" s="1"/>
  <c r="AR240" i="32"/>
  <c r="BP240" i="32" s="1"/>
  <c r="AP248" i="32"/>
  <c r="BR248" i="32"/>
  <c r="BR255" i="32"/>
  <c r="BK250" i="32"/>
  <c r="BK255" i="32" s="1"/>
  <c r="AF250" i="32"/>
  <c r="AO250" i="32"/>
  <c r="AQ250" i="32" s="1"/>
  <c r="AD255" i="32"/>
  <c r="AN233" i="32"/>
  <c r="BM233" i="32" s="1"/>
  <c r="AN236" i="32"/>
  <c r="BM236" i="32" s="1"/>
  <c r="AM238" i="32"/>
  <c r="AV245" i="32"/>
  <c r="AR241" i="32"/>
  <c r="BP241" i="32" s="1"/>
  <c r="BJ241" i="32"/>
  <c r="BT242" i="32"/>
  <c r="BH242" i="32"/>
  <c r="BS242" i="32" s="1"/>
  <c r="AS247" i="32"/>
  <c r="BQ247" i="32" s="1"/>
  <c r="BL249" i="32"/>
  <c r="BU250" i="32"/>
  <c r="BU255" i="32" s="1"/>
  <c r="BO251" i="32"/>
  <c r="BO255" i="32" s="1"/>
  <c r="AO252" i="32"/>
  <c r="BU252" i="32"/>
  <c r="V262" i="32"/>
  <c r="BF262" i="32"/>
  <c r="BN256" i="32"/>
  <c r="BN262" i="32" s="1"/>
  <c r="AF260" i="32"/>
  <c r="BK260" i="32"/>
  <c r="AO260" i="32"/>
  <c r="AO261" i="32"/>
  <c r="AQ261" i="32" s="1"/>
  <c r="AM262" i="32"/>
  <c r="AL269" i="32"/>
  <c r="BF269" i="32"/>
  <c r="BH264" i="32"/>
  <c r="BS264" i="32" s="1"/>
  <c r="BS269" i="32" s="1"/>
  <c r="AF265" i="32"/>
  <c r="BL265" i="32"/>
  <c r="BL266" i="32"/>
  <c r="AP267" i="32"/>
  <c r="BK268" i="32"/>
  <c r="AF268" i="32"/>
  <c r="BM270" i="32"/>
  <c r="AO271" i="32"/>
  <c r="AQ271" i="32" s="1"/>
  <c r="AW271" i="32" s="1"/>
  <c r="BI271" i="32" s="1"/>
  <c r="AS271" i="32"/>
  <c r="BQ271" i="32" s="1"/>
  <c r="BT272" i="32"/>
  <c r="BH272" i="32"/>
  <c r="BS272" i="32" s="1"/>
  <c r="AQ273" i="32"/>
  <c r="AF274" i="32"/>
  <c r="BK274" i="32"/>
  <c r="AO274" i="32"/>
  <c r="AE276" i="32"/>
  <c r="BO280" i="32"/>
  <c r="AP280" i="32"/>
  <c r="AM283" i="32"/>
  <c r="AF251" i="32"/>
  <c r="BK251" i="32"/>
  <c r="AO251" i="32"/>
  <c r="AQ251" i="32" s="1"/>
  <c r="BT254" i="32"/>
  <c r="BH254" i="32"/>
  <c r="BS254" i="32" s="1"/>
  <c r="BG255" i="32"/>
  <c r="AN262" i="32"/>
  <c r="BK257" i="32"/>
  <c r="AO257" i="32"/>
  <c r="AQ257" i="32" s="1"/>
  <c r="AS259" i="32"/>
  <c r="BQ259" i="32" s="1"/>
  <c r="AR259" i="32"/>
  <c r="BP259" i="32" s="1"/>
  <c r="BU263" i="32"/>
  <c r="AR266" i="32"/>
  <c r="BP266" i="32" s="1"/>
  <c r="BJ266" i="32"/>
  <c r="AS266" i="32"/>
  <c r="BQ266" i="32" s="1"/>
  <c r="BL273" i="32"/>
  <c r="AP273" i="32"/>
  <c r="AV283" i="32"/>
  <c r="BR277" i="32"/>
  <c r="BR283" i="32" s="1"/>
  <c r="BN279" i="32"/>
  <c r="BN283" i="32" s="1"/>
  <c r="AN279" i="32"/>
  <c r="BM279" i="32" s="1"/>
  <c r="BN239" i="32"/>
  <c r="BN245" i="32" s="1"/>
  <c r="BU239" i="32"/>
  <c r="BU245" i="32" s="1"/>
  <c r="AN240" i="32"/>
  <c r="BM240" i="32" s="1"/>
  <c r="BL241" i="32"/>
  <c r="BL243" i="32"/>
  <c r="W245" i="32"/>
  <c r="BH248" i="32"/>
  <c r="BS246" i="32"/>
  <c r="BS248" i="32" s="1"/>
  <c r="BO246" i="32"/>
  <c r="BK247" i="32"/>
  <c r="BL250" i="32"/>
  <c r="AP250" i="32"/>
  <c r="AE255" i="32"/>
  <c r="AD262" i="32"/>
  <c r="BH256" i="32"/>
  <c r="AP258" i="32"/>
  <c r="AQ258" i="32" s="1"/>
  <c r="AS261" i="32"/>
  <c r="BQ261" i="32" s="1"/>
  <c r="BG262" i="32"/>
  <c r="AN263" i="32"/>
  <c r="AP264" i="32"/>
  <c r="BN267" i="32"/>
  <c r="BN269" i="32" s="1"/>
  <c r="AN267" i="32"/>
  <c r="BM267" i="32" s="1"/>
  <c r="BT267" i="32"/>
  <c r="BU268" i="32"/>
  <c r="V276" i="32"/>
  <c r="AD270" i="32"/>
  <c r="BO276" i="32"/>
  <c r="AF273" i="32"/>
  <c r="BN275" i="32"/>
  <c r="V283" i="32"/>
  <c r="AD280" i="32"/>
  <c r="AQ284" i="32"/>
  <c r="BU290" i="32"/>
  <c r="BN235" i="32"/>
  <c r="BN238" i="32" s="1"/>
  <c r="AN237" i="32"/>
  <c r="BM237" i="32" s="1"/>
  <c r="BK240" i="32"/>
  <c r="BL247" i="32"/>
  <c r="BL248" i="32" s="1"/>
  <c r="AP247" i="32"/>
  <c r="AQ247" i="32" s="1"/>
  <c r="AW247" i="32" s="1"/>
  <c r="BI247" i="32" s="1"/>
  <c r="BG248" i="32"/>
  <c r="AF249" i="32"/>
  <c r="AF252" i="32"/>
  <c r="BH253" i="32"/>
  <c r="BS253" i="32" s="1"/>
  <c r="AV255" i="32"/>
  <c r="AE256" i="32"/>
  <c r="AF257" i="32"/>
  <c r="BO257" i="32"/>
  <c r="BO262" i="32" s="1"/>
  <c r="AF258" i="32"/>
  <c r="BK258" i="32"/>
  <c r="BT260" i="32"/>
  <c r="BH260" i="32"/>
  <c r="BS260" i="32" s="1"/>
  <c r="V269" i="32"/>
  <c r="AD263" i="32"/>
  <c r="AP263" i="32"/>
  <c r="BL263" i="32"/>
  <c r="AN265" i="32"/>
  <c r="BM265" i="32" s="1"/>
  <c r="BT266" i="32"/>
  <c r="BT269" i="32" s="1"/>
  <c r="BH266" i="32"/>
  <c r="BS266" i="32" s="1"/>
  <c r="AO268" i="32"/>
  <c r="AQ268" i="32" s="1"/>
  <c r="AM269" i="32"/>
  <c r="BR276" i="32"/>
  <c r="BN271" i="32"/>
  <c r="AN271" i="32"/>
  <c r="BM271" i="32" s="1"/>
  <c r="AS278" i="32"/>
  <c r="BQ278" i="32" s="1"/>
  <c r="AR278" i="32"/>
  <c r="BP278" i="32" s="1"/>
  <c r="BJ278" i="32"/>
  <c r="BK291" i="32"/>
  <c r="BK292" i="32" s="1"/>
  <c r="AO291" i="32"/>
  <c r="AD292" i="32"/>
  <c r="AF291" i="32"/>
  <c r="BH291" i="32"/>
  <c r="BF292" i="32"/>
  <c r="BT291" i="32"/>
  <c r="BT292" i="32" s="1"/>
  <c r="BH233" i="32"/>
  <c r="BS233" i="32" s="1"/>
  <c r="V238" i="32"/>
  <c r="AV248" i="32"/>
  <c r="AN252" i="32"/>
  <c r="BM252" i="32" s="1"/>
  <c r="BJ253" i="32"/>
  <c r="BJ254" i="32"/>
  <c r="AR254" i="32"/>
  <c r="BP254" i="32" s="1"/>
  <c r="AS254" i="32"/>
  <c r="BQ254" i="32" s="1"/>
  <c r="BT257" i="32"/>
  <c r="BT262" i="32" s="1"/>
  <c r="BH257" i="32"/>
  <c r="BS257" i="32" s="1"/>
  <c r="BU259" i="32"/>
  <c r="BU262" i="32" s="1"/>
  <c r="BH259" i="32"/>
  <c r="BS259" i="32" s="1"/>
  <c r="AN261" i="32"/>
  <c r="BM261" i="32" s="1"/>
  <c r="BN261" i="32"/>
  <c r="AO264" i="32"/>
  <c r="AQ264" i="32" s="1"/>
  <c r="BK264" i="32"/>
  <c r="AF264" i="32"/>
  <c r="AQ267" i="32"/>
  <c r="BG269" i="32"/>
  <c r="AL276" i="32"/>
  <c r="BF276" i="32"/>
  <c r="BH270" i="32"/>
  <c r="BT270" i="32"/>
  <c r="BN272" i="32"/>
  <c r="AO275" i="32"/>
  <c r="AN238" i="32"/>
  <c r="BL244" i="32"/>
  <c r="AP244" i="32"/>
  <c r="AR253" i="32"/>
  <c r="BP253" i="32" s="1"/>
  <c r="AV262" i="32"/>
  <c r="BM256" i="32"/>
  <c r="BN258" i="32"/>
  <c r="BL259" i="32"/>
  <c r="AP259" i="32"/>
  <c r="AQ259" i="32" s="1"/>
  <c r="AW259" i="32" s="1"/>
  <c r="BI259" i="32" s="1"/>
  <c r="BJ259" i="32"/>
  <c r="BR263" i="32"/>
  <c r="BR269" i="32" s="1"/>
  <c r="AO265" i="32"/>
  <c r="AQ265" i="32" s="1"/>
  <c r="BL268" i="32"/>
  <c r="AP268" i="32"/>
  <c r="BN268" i="32"/>
  <c r="AP274" i="32"/>
  <c r="AP276" i="32" s="1"/>
  <c r="W276" i="32"/>
  <c r="BO290" i="32"/>
  <c r="BK265" i="32"/>
  <c r="BN270" i="32"/>
  <c r="BN276" i="32" s="1"/>
  <c r="BL271" i="32"/>
  <c r="BO273" i="32"/>
  <c r="W283" i="32"/>
  <c r="AE277" i="32"/>
  <c r="AF277" i="32" s="1"/>
  <c r="BT277" i="32"/>
  <c r="BT283" i="32" s="1"/>
  <c r="BH277" i="32"/>
  <c r="BO278" i="32"/>
  <c r="BO283" i="32" s="1"/>
  <c r="AN278" i="32"/>
  <c r="BM278" i="32" s="1"/>
  <c r="BH279" i="32"/>
  <c r="BS279" i="32" s="1"/>
  <c r="AP281" i="32"/>
  <c r="AQ281" i="32" s="1"/>
  <c r="AW281" i="32" s="1"/>
  <c r="BI281" i="32" s="1"/>
  <c r="BK281" i="32"/>
  <c r="AF282" i="32"/>
  <c r="AO282" i="32"/>
  <c r="AQ282" i="32" s="1"/>
  <c r="BK282" i="32"/>
  <c r="BF283" i="32"/>
  <c r="BK285" i="32"/>
  <c r="BK287" i="32"/>
  <c r="AO287" i="32"/>
  <c r="M294" i="32"/>
  <c r="AM276" i="32"/>
  <c r="AL283" i="32"/>
  <c r="AQ278" i="32"/>
  <c r="AW278" i="32" s="1"/>
  <c r="BI278" i="32" s="1"/>
  <c r="BJ279" i="32"/>
  <c r="AS281" i="32"/>
  <c r="BQ281" i="32" s="1"/>
  <c r="BJ281" i="32"/>
  <c r="AR281" i="32"/>
  <c r="BP281" i="32" s="1"/>
  <c r="BG283" i="32"/>
  <c r="BK289" i="32"/>
  <c r="AF289" i="32"/>
  <c r="AP291" i="32"/>
  <c r="AP292" i="32" s="1"/>
  <c r="BL291" i="32"/>
  <c r="BL292" i="32" s="1"/>
  <c r="AP252" i="32"/>
  <c r="AP255" i="32" s="1"/>
  <c r="AO253" i="32"/>
  <c r="AQ253" i="32" s="1"/>
  <c r="AW253" i="32" s="1"/>
  <c r="BI253" i="32" s="1"/>
  <c r="AO256" i="32"/>
  <c r="BK256" i="32"/>
  <c r="BK262" i="32" s="1"/>
  <c r="AP261" i="32"/>
  <c r="AF267" i="32"/>
  <c r="AF272" i="32"/>
  <c r="AO272" i="32"/>
  <c r="AQ272" i="32" s="1"/>
  <c r="BL275" i="32"/>
  <c r="BL276" i="32" s="1"/>
  <c r="AP275" i="32"/>
  <c r="BH275" i="32"/>
  <c r="BS275" i="32" s="1"/>
  <c r="AS279" i="32"/>
  <c r="BQ279" i="32" s="1"/>
  <c r="AD290" i="32"/>
  <c r="AF284" i="32"/>
  <c r="BK284" i="32"/>
  <c r="AR287" i="32"/>
  <c r="BP287" i="32" s="1"/>
  <c r="BJ287" i="32"/>
  <c r="AS287" i="32"/>
  <c r="BQ287" i="32" s="1"/>
  <c r="BG290" i="32"/>
  <c r="AV276" i="32"/>
  <c r="BG276" i="32"/>
  <c r="AN277" i="32"/>
  <c r="BL278" i="32"/>
  <c r="AP278" i="32"/>
  <c r="AR285" i="32"/>
  <c r="BP285" i="32" s="1"/>
  <c r="BJ285" i="32"/>
  <c r="BR290" i="32"/>
  <c r="AF286" i="32"/>
  <c r="BK286" i="32"/>
  <c r="AO286" i="32"/>
  <c r="AQ286" i="32" s="1"/>
  <c r="BT271" i="32"/>
  <c r="BH271" i="32"/>
  <c r="BS271" i="32" s="1"/>
  <c r="BK277" i="32"/>
  <c r="AO277" i="32"/>
  <c r="BK279" i="32"/>
  <c r="AO279" i="32"/>
  <c r="AQ279" i="32" s="1"/>
  <c r="AW279" i="32" s="1"/>
  <c r="BI279" i="32" s="1"/>
  <c r="AD283" i="32"/>
  <c r="BS284" i="32"/>
  <c r="AM290" i="32"/>
  <c r="BL287" i="32"/>
  <c r="AP287" i="32"/>
  <c r="AP290" i="32" s="1"/>
  <c r="BN291" i="32"/>
  <c r="BN292" i="32" s="1"/>
  <c r="AL292" i="32"/>
  <c r="AN291" i="32"/>
  <c r="K296" i="32"/>
  <c r="J295" i="32" s="1"/>
  <c r="S295" i="32"/>
  <c r="AP279" i="32"/>
  <c r="BL279" i="32"/>
  <c r="AE290" i="32"/>
  <c r="BL284" i="32"/>
  <c r="AF288" i="32"/>
  <c r="BK288" i="32"/>
  <c r="AO288" i="32"/>
  <c r="AQ288" i="32" s="1"/>
  <c r="BT282" i="32"/>
  <c r="BH282" i="32"/>
  <c r="BS282" i="32" s="1"/>
  <c r="AV290" i="32"/>
  <c r="BT290" i="32"/>
  <c r="BH273" i="32"/>
  <c r="BS273" i="32" s="1"/>
  <c r="AN280" i="32"/>
  <c r="BM280" i="32" s="1"/>
  <c r="V290" i="32"/>
  <c r="AN284" i="32"/>
  <c r="BN284" i="32"/>
  <c r="BL285" i="32"/>
  <c r="AP285" i="32"/>
  <c r="AQ285" i="32" s="1"/>
  <c r="AW285" i="32" s="1"/>
  <c r="BI285" i="32" s="1"/>
  <c r="BU287" i="32"/>
  <c r="BH288" i="32"/>
  <c r="BS288" i="32" s="1"/>
  <c r="AN289" i="32"/>
  <c r="BM289" i="32" s="1"/>
  <c r="S294" i="32"/>
  <c r="X296" i="32"/>
  <c r="Q296" i="32"/>
  <c r="I295" i="32" s="1"/>
  <c r="AN287" i="32"/>
  <c r="BM287" i="32" s="1"/>
  <c r="BH289" i="32"/>
  <c r="BS289" i="32" s="1"/>
  <c r="BN289" i="32"/>
  <c r="BH285" i="32"/>
  <c r="BS285" i="32" s="1"/>
  <c r="BU291" i="32"/>
  <c r="BU292" i="32" s="1"/>
  <c r="AP289" i="32"/>
  <c r="AQ289" i="32" s="1"/>
  <c r="BF295" i="32"/>
  <c r="BM26" i="31"/>
  <c r="AN32" i="31"/>
  <c r="BN86" i="31"/>
  <c r="BN40" i="31"/>
  <c r="AQ42" i="31"/>
  <c r="BK22" i="31"/>
  <c r="AO22" i="31"/>
  <c r="AQ22" i="31" s="1"/>
  <c r="AF22" i="31"/>
  <c r="BK86" i="31"/>
  <c r="BK40" i="31"/>
  <c r="AD15" i="31"/>
  <c r="AF12" i="31"/>
  <c r="BK12" i="31"/>
  <c r="AO12" i="31"/>
  <c r="BT23" i="31"/>
  <c r="BL38" i="31"/>
  <c r="BL27" i="31"/>
  <c r="AP27" i="31"/>
  <c r="AE38" i="31"/>
  <c r="BL21" i="31"/>
  <c r="AP21" i="31"/>
  <c r="BL29" i="31"/>
  <c r="AP29" i="31"/>
  <c r="AF34" i="31"/>
  <c r="BL34" i="31"/>
  <c r="AP34" i="31"/>
  <c r="AR37" i="31"/>
  <c r="BP37" i="31" s="1"/>
  <c r="BJ37" i="31"/>
  <c r="AS37" i="31"/>
  <c r="BQ37" i="31" s="1"/>
  <c r="BL18" i="31"/>
  <c r="AP18" i="31"/>
  <c r="BL31" i="31"/>
  <c r="AF31" i="31"/>
  <c r="AP31" i="31"/>
  <c r="AP85" i="31" s="1"/>
  <c r="BK18" i="31"/>
  <c r="AO18" i="31"/>
  <c r="AQ18" i="31" s="1"/>
  <c r="AF18" i="31"/>
  <c r="BK28" i="31"/>
  <c r="AO28" i="31"/>
  <c r="AF28" i="31"/>
  <c r="AQ29" i="31"/>
  <c r="BN17" i="31"/>
  <c r="BN19" i="31" s="1"/>
  <c r="BL22" i="31"/>
  <c r="AN13" i="31"/>
  <c r="BM13" i="31" s="1"/>
  <c r="V84" i="31"/>
  <c r="AM84" i="31"/>
  <c r="BO14" i="31"/>
  <c r="AA74" i="31"/>
  <c r="AG74" i="31"/>
  <c r="V75" i="31" s="1"/>
  <c r="AY74" i="31"/>
  <c r="BE74" i="31"/>
  <c r="BW74" i="31"/>
  <c r="AN16" i="31"/>
  <c r="BH18" i="31"/>
  <c r="BS18" i="31" s="1"/>
  <c r="AL19" i="31"/>
  <c r="BU20" i="31"/>
  <c r="BU23" i="31" s="1"/>
  <c r="BH21" i="31"/>
  <c r="BS21" i="31" s="1"/>
  <c r="BS23" i="31" s="1"/>
  <c r="BH24" i="31"/>
  <c r="BN24" i="31"/>
  <c r="BT24" i="31"/>
  <c r="AL25" i="31"/>
  <c r="V79" i="31"/>
  <c r="AM79" i="31"/>
  <c r="AM32" i="31"/>
  <c r="BO26" i="31"/>
  <c r="BH27" i="31"/>
  <c r="BS27" i="31" s="1"/>
  <c r="AD30" i="31"/>
  <c r="BG85" i="31"/>
  <c r="BU30" i="31"/>
  <c r="AD38" i="31"/>
  <c r="AP33" i="31"/>
  <c r="BG38" i="31"/>
  <c r="BU33" i="31"/>
  <c r="AO34" i="31"/>
  <c r="AQ34" i="31" s="1"/>
  <c r="AO35" i="31"/>
  <c r="AQ35" i="31" s="1"/>
  <c r="AW35" i="31" s="1"/>
  <c r="BI35" i="31" s="1"/>
  <c r="BO37" i="31"/>
  <c r="AM38" i="31"/>
  <c r="W86" i="31"/>
  <c r="AE39" i="31"/>
  <c r="W40" i="31"/>
  <c r="AP42" i="31"/>
  <c r="BL42" i="31"/>
  <c r="BH50" i="31"/>
  <c r="BS50" i="31" s="1"/>
  <c r="BF52" i="31"/>
  <c r="BK29" i="31"/>
  <c r="BN38" i="31"/>
  <c r="BT35" i="31"/>
  <c r="BT84" i="31" s="1"/>
  <c r="BH35" i="31"/>
  <c r="BS35" i="31" s="1"/>
  <c r="BL37" i="31"/>
  <c r="AP37" i="31"/>
  <c r="BH86" i="31"/>
  <c r="BS39" i="31"/>
  <c r="BH40" i="31"/>
  <c r="BF81" i="31"/>
  <c r="BF48" i="31"/>
  <c r="BH44" i="31"/>
  <c r="AE12" i="31"/>
  <c r="BR12" i="31"/>
  <c r="AD13" i="31"/>
  <c r="AD78" i="31" s="1"/>
  <c r="AN14" i="31"/>
  <c r="BF15" i="31"/>
  <c r="BF74" i="31" s="1"/>
  <c r="BX74" i="31"/>
  <c r="AD16" i="31"/>
  <c r="AM19" i="31"/>
  <c r="AM74" i="31" s="1"/>
  <c r="BO75" i="31" s="1"/>
  <c r="AN20" i="31"/>
  <c r="BH22" i="31"/>
  <c r="BS22" i="31" s="1"/>
  <c r="BN22" i="31"/>
  <c r="BN23" i="31" s="1"/>
  <c r="AL23" i="31"/>
  <c r="BO24" i="31"/>
  <c r="BU24" i="31"/>
  <c r="AM25" i="31"/>
  <c r="W79" i="31"/>
  <c r="AV79" i="31"/>
  <c r="AV77" i="31" s="1"/>
  <c r="BU27" i="31"/>
  <c r="BU79" i="31" s="1"/>
  <c r="BH28" i="31"/>
  <c r="BS28" i="31" s="1"/>
  <c r="BN28" i="31"/>
  <c r="AF29" i="31"/>
  <c r="AE85" i="31"/>
  <c r="BH30" i="31"/>
  <c r="BR85" i="31"/>
  <c r="BH33" i="31"/>
  <c r="AP35" i="31"/>
  <c r="AN36" i="31"/>
  <c r="BM36" i="31" s="1"/>
  <c r="AD86" i="31"/>
  <c r="AF39" i="31"/>
  <c r="AD40" i="31"/>
  <c r="BL43" i="31"/>
  <c r="BN48" i="31"/>
  <c r="BJ45" i="31"/>
  <c r="AS45" i="31"/>
  <c r="BQ45" i="31" s="1"/>
  <c r="AS47" i="31"/>
  <c r="BQ47" i="31" s="1"/>
  <c r="AN52" i="31"/>
  <c r="BM49" i="31"/>
  <c r="BM52" i="31" s="1"/>
  <c r="AQ54" i="31"/>
  <c r="BT31" i="31"/>
  <c r="BH31" i="31"/>
  <c r="BS31" i="31" s="1"/>
  <c r="BN36" i="31"/>
  <c r="BN85" i="31" s="1"/>
  <c r="BG78" i="31"/>
  <c r="AP13" i="31"/>
  <c r="AD84" i="31"/>
  <c r="AO14" i="31"/>
  <c r="BK14" i="31"/>
  <c r="W15" i="31"/>
  <c r="AU74" i="31"/>
  <c r="AV75" i="31" s="1"/>
  <c r="BA74" i="31"/>
  <c r="BF75" i="31" s="1"/>
  <c r="BG15" i="31"/>
  <c r="AP16" i="31"/>
  <c r="AO17" i="31"/>
  <c r="BK17" i="31"/>
  <c r="BF19" i="31"/>
  <c r="AO20" i="31"/>
  <c r="BK20" i="31"/>
  <c r="BO22" i="31"/>
  <c r="BO23" i="31" s="1"/>
  <c r="V25" i="31"/>
  <c r="V74" i="31" s="1"/>
  <c r="AG75" i="31" s="1"/>
  <c r="AN25" i="31"/>
  <c r="AO26" i="31"/>
  <c r="BK26" i="31"/>
  <c r="BN29" i="31"/>
  <c r="BJ33" i="31"/>
  <c r="AS33" i="31"/>
  <c r="AR33" i="31"/>
  <c r="BJ35" i="31"/>
  <c r="AR35" i="31"/>
  <c r="BP35" i="31" s="1"/>
  <c r="AS35" i="31"/>
  <c r="BQ35" i="31" s="1"/>
  <c r="BK35" i="31"/>
  <c r="AL86" i="31"/>
  <c r="AL40" i="31"/>
  <c r="AM43" i="31"/>
  <c r="BO41" i="31"/>
  <c r="BO43" i="31" s="1"/>
  <c r="BT44" i="31"/>
  <c r="BS52" i="31"/>
  <c r="BL50" i="31"/>
  <c r="AP50" i="31"/>
  <c r="AQ50" i="31" s="1"/>
  <c r="AE57" i="31"/>
  <c r="AP53" i="31"/>
  <c r="BL53" i="31"/>
  <c r="AF53" i="31"/>
  <c r="BL54" i="31"/>
  <c r="AL15" i="31"/>
  <c r="AL78" i="31"/>
  <c r="BH12" i="31"/>
  <c r="BN12" i="31"/>
  <c r="BT12" i="31"/>
  <c r="AE14" i="31"/>
  <c r="BF84" i="31"/>
  <c r="BR14" i="31"/>
  <c r="BR84" i="31" s="1"/>
  <c r="X74" i="31"/>
  <c r="AJ74" i="31"/>
  <c r="AV15" i="31"/>
  <c r="BB74" i="31"/>
  <c r="BZ74" i="31"/>
  <c r="AE17" i="31"/>
  <c r="AF17" i="31" s="1"/>
  <c r="BR17" i="31"/>
  <c r="BR19" i="31" s="1"/>
  <c r="AE20" i="31"/>
  <c r="AD21" i="31"/>
  <c r="AD24" i="31"/>
  <c r="W25" i="31"/>
  <c r="BG25" i="31"/>
  <c r="BM25" i="31"/>
  <c r="AE79" i="31"/>
  <c r="AP26" i="31"/>
  <c r="BF79" i="31"/>
  <c r="BF77" i="31" s="1"/>
  <c r="BL26" i="31"/>
  <c r="BR26" i="31"/>
  <c r="AD27" i="31"/>
  <c r="AD79" i="31" s="1"/>
  <c r="AL85" i="31"/>
  <c r="AN30" i="31"/>
  <c r="BL30" i="31"/>
  <c r="BT30" i="31"/>
  <c r="AL38" i="31"/>
  <c r="AN33" i="31"/>
  <c r="AN79" i="31" s="1"/>
  <c r="BT33" i="31"/>
  <c r="BL36" i="31"/>
  <c r="AP36" i="31"/>
  <c r="AQ36" i="31" s="1"/>
  <c r="BR41" i="31"/>
  <c r="BR43" i="31" s="1"/>
  <c r="AV43" i="31"/>
  <c r="AP52" i="31"/>
  <c r="BL52" i="31"/>
  <c r="BK56" i="31"/>
  <c r="AO56" i="31"/>
  <c r="AF56" i="31"/>
  <c r="W64" i="31"/>
  <c r="AE58" i="31"/>
  <c r="W77" i="31"/>
  <c r="BN14" i="31"/>
  <c r="AL79" i="31"/>
  <c r="AL32" i="31"/>
  <c r="BN26" i="31"/>
  <c r="AP28" i="31"/>
  <c r="AO86" i="31"/>
  <c r="V81" i="31"/>
  <c r="AD44" i="31"/>
  <c r="V48" i="31"/>
  <c r="V78" i="31"/>
  <c r="AM78" i="31"/>
  <c r="BO12" i="31"/>
  <c r="BU12" i="31"/>
  <c r="BH13" i="31"/>
  <c r="BS13" i="31" s="1"/>
  <c r="BG84" i="31"/>
  <c r="BS14" i="31"/>
  <c r="AK74" i="31"/>
  <c r="BC74" i="31"/>
  <c r="CA74" i="31"/>
  <c r="BH16" i="31"/>
  <c r="AE24" i="31"/>
  <c r="BR24" i="31"/>
  <c r="AV25" i="31"/>
  <c r="AF26" i="31"/>
  <c r="BG79" i="31"/>
  <c r="BS26" i="31"/>
  <c r="W32" i="31"/>
  <c r="BF32" i="31"/>
  <c r="BT34" i="31"/>
  <c r="BH34" i="31"/>
  <c r="BS34" i="31" s="1"/>
  <c r="BO35" i="31"/>
  <c r="BO38" i="31" s="1"/>
  <c r="AF36" i="31"/>
  <c r="AF38" i="31" s="1"/>
  <c r="BK36" i="31"/>
  <c r="BK37" i="31"/>
  <c r="AO37" i="31"/>
  <c r="AQ37" i="31" s="1"/>
  <c r="BU37" i="31"/>
  <c r="AN39" i="31"/>
  <c r="BR81" i="31"/>
  <c r="BR48" i="31"/>
  <c r="AS46" i="31"/>
  <c r="BQ46" i="31" s="1"/>
  <c r="BJ46" i="31"/>
  <c r="AR46" i="31"/>
  <c r="BP46" i="31" s="1"/>
  <c r="BO52" i="31"/>
  <c r="BS57" i="31"/>
  <c r="AQ55" i="31"/>
  <c r="BO59" i="31"/>
  <c r="AN59" i="31"/>
  <c r="BM59" i="31" s="1"/>
  <c r="AN61" i="31"/>
  <c r="BM61" i="31" s="1"/>
  <c r="BN61" i="31"/>
  <c r="BJ69" i="31"/>
  <c r="AR69" i="31"/>
  <c r="BP69" i="31" s="1"/>
  <c r="AS69" i="31"/>
  <c r="BQ69" i="31" s="1"/>
  <c r="AM85" i="31"/>
  <c r="BO30" i="31"/>
  <c r="BO85" i="31" s="1"/>
  <c r="BR39" i="31"/>
  <c r="AV40" i="31"/>
  <c r="V43" i="31"/>
  <c r="AD41" i="31"/>
  <c r="AN41" i="31"/>
  <c r="BF43" i="31"/>
  <c r="BT41" i="31"/>
  <c r="BT43" i="31" s="1"/>
  <c r="AF42" i="31"/>
  <c r="BH42" i="31"/>
  <c r="BG81" i="31"/>
  <c r="BU44" i="31"/>
  <c r="AN45" i="31"/>
  <c r="BM45" i="31" s="1"/>
  <c r="BM81" i="31" s="1"/>
  <c r="AN46" i="31"/>
  <c r="BM46" i="31" s="1"/>
  <c r="BL46" i="31"/>
  <c r="BK47" i="31"/>
  <c r="BR49" i="31"/>
  <c r="BR52" i="31" s="1"/>
  <c r="BU50" i="31"/>
  <c r="BU52" i="31" s="1"/>
  <c r="BG52" i="31"/>
  <c r="AO51" i="31"/>
  <c r="AQ51" i="31" s="1"/>
  <c r="AF51" i="31"/>
  <c r="BO51" i="31"/>
  <c r="AF54" i="31"/>
  <c r="AN55" i="31"/>
  <c r="BM55" i="31" s="1"/>
  <c r="BL56" i="31"/>
  <c r="AP56" i="31"/>
  <c r="AL64" i="31"/>
  <c r="BN58" i="31"/>
  <c r="AN58" i="31"/>
  <c r="AN60" i="31"/>
  <c r="BM60" i="31" s="1"/>
  <c r="BN60" i="31"/>
  <c r="BN81" i="31" s="1"/>
  <c r="BL62" i="31"/>
  <c r="AP62" i="31"/>
  <c r="AQ62" i="31" s="1"/>
  <c r="AN63" i="31"/>
  <c r="BM63" i="31" s="1"/>
  <c r="BN63" i="31"/>
  <c r="AL67" i="31"/>
  <c r="BL66" i="31"/>
  <c r="AP66" i="31"/>
  <c r="V73" i="31"/>
  <c r="AD68" i="31"/>
  <c r="AN69" i="31"/>
  <c r="BM69" i="31" s="1"/>
  <c r="BM73" i="31" s="1"/>
  <c r="BN69" i="31"/>
  <c r="AL73" i="31"/>
  <c r="W85" i="31"/>
  <c r="AV85" i="31"/>
  <c r="AP41" i="31"/>
  <c r="BN41" i="31"/>
  <c r="BN43" i="31" s="1"/>
  <c r="AN42" i="31"/>
  <c r="BM42" i="31" s="1"/>
  <c r="AE44" i="31"/>
  <c r="BO44" i="31"/>
  <c r="AO49" i="31"/>
  <c r="BK50" i="31"/>
  <c r="BN57" i="31"/>
  <c r="BN55" i="31"/>
  <c r="AN56" i="31"/>
  <c r="BM56" i="31" s="1"/>
  <c r="AM64" i="31"/>
  <c r="BO58" i="31"/>
  <c r="BS58" i="31"/>
  <c r="AS59" i="31"/>
  <c r="BQ59" i="31" s="1"/>
  <c r="BK62" i="31"/>
  <c r="AF62" i="31"/>
  <c r="BH62" i="31"/>
  <c r="BS62" i="31" s="1"/>
  <c r="BT62" i="31"/>
  <c r="BL67" i="31"/>
  <c r="AN66" i="31"/>
  <c r="BM66" i="31" s="1"/>
  <c r="AO66" i="31"/>
  <c r="BN66" i="31"/>
  <c r="BN67" i="31" s="1"/>
  <c r="AE73" i="31"/>
  <c r="BL68" i="31"/>
  <c r="BL73" i="31" s="1"/>
  <c r="AF70" i="31"/>
  <c r="BK70" i="31"/>
  <c r="AO70" i="31"/>
  <c r="BK42" i="31"/>
  <c r="BL45" i="31"/>
  <c r="AP46" i="31"/>
  <c r="AQ46" i="31" s="1"/>
  <c r="AW46" i="31" s="1"/>
  <c r="BI46" i="31" s="1"/>
  <c r="BG48" i="31"/>
  <c r="AF52" i="31"/>
  <c r="BJ49" i="31"/>
  <c r="AS49" i="31"/>
  <c r="BH52" i="31"/>
  <c r="AF55" i="31"/>
  <c r="BK55" i="31"/>
  <c r="BM65" i="31"/>
  <c r="BN73" i="31"/>
  <c r="BO39" i="31"/>
  <c r="AM40" i="31"/>
  <c r="AL81" i="31"/>
  <c r="AL48" i="31"/>
  <c r="BH46" i="31"/>
  <c r="BS46" i="31" s="1"/>
  <c r="BL47" i="31"/>
  <c r="AP47" i="31"/>
  <c r="AQ47" i="31" s="1"/>
  <c r="AW47" i="31" s="1"/>
  <c r="BI47" i="31" s="1"/>
  <c r="AR49" i="31"/>
  <c r="BK49" i="31"/>
  <c r="W57" i="31"/>
  <c r="BM53" i="31"/>
  <c r="BM57" i="31" s="1"/>
  <c r="BU53" i="31"/>
  <c r="BU57" i="31" s="1"/>
  <c r="BG57" i="31"/>
  <c r="AN54" i="31"/>
  <c r="BM54" i="31" s="1"/>
  <c r="V57" i="31"/>
  <c r="AV64" i="31"/>
  <c r="BR58" i="31"/>
  <c r="BR64" i="31" s="1"/>
  <c r="BK60" i="31"/>
  <c r="AO60" i="31"/>
  <c r="AQ60" i="31" s="1"/>
  <c r="AF60" i="31"/>
  <c r="BK61" i="31"/>
  <c r="AF61" i="31"/>
  <c r="BS68" i="31"/>
  <c r="BS73" i="31" s="1"/>
  <c r="BH73" i="31"/>
  <c r="BL69" i="31"/>
  <c r="AP69" i="31"/>
  <c r="AP73" i="31" s="1"/>
  <c r="AF71" i="31"/>
  <c r="AM81" i="31"/>
  <c r="AV81" i="31"/>
  <c r="AV48" i="31"/>
  <c r="AL52" i="31"/>
  <c r="BN49" i="31"/>
  <c r="BN52" i="31" s="1"/>
  <c r="AF50" i="31"/>
  <c r="AD52" i="31"/>
  <c r="BH57" i="31"/>
  <c r="BK54" i="31"/>
  <c r="BK57" i="31" s="1"/>
  <c r="AD64" i="31"/>
  <c r="AO58" i="31"/>
  <c r="BH59" i="31"/>
  <c r="BS59" i="31" s="1"/>
  <c r="BG64" i="31"/>
  <c r="BU59" i="31"/>
  <c r="BU64" i="31" s="1"/>
  <c r="BH61" i="31"/>
  <c r="BS61" i="31" s="1"/>
  <c r="BT61" i="31"/>
  <c r="BT64" i="31" s="1"/>
  <c r="AO63" i="31"/>
  <c r="AF63" i="31"/>
  <c r="BK63" i="31"/>
  <c r="BH69" i="31"/>
  <c r="BS69" i="31" s="1"/>
  <c r="BF73" i="31"/>
  <c r="BT69" i="31"/>
  <c r="BT73" i="31" s="1"/>
  <c r="BU71" i="31"/>
  <c r="BG73" i="31"/>
  <c r="BH47" i="31"/>
  <c r="BS47" i="31" s="1"/>
  <c r="AD57" i="31"/>
  <c r="AO53" i="31"/>
  <c r="BT53" i="31"/>
  <c r="BT57" i="31" s="1"/>
  <c r="AM67" i="31"/>
  <c r="AF66" i="31"/>
  <c r="AO69" i="31"/>
  <c r="AQ69" i="31" s="1"/>
  <c r="AW69" i="31" s="1"/>
  <c r="BI69" i="31" s="1"/>
  <c r="BH72" i="31"/>
  <c r="BS72" i="31" s="1"/>
  <c r="BT72" i="31"/>
  <c r="J76" i="31"/>
  <c r="AZ77" i="31"/>
  <c r="BT54" i="31"/>
  <c r="BH54" i="31"/>
  <c r="BS54" i="31" s="1"/>
  <c r="BL55" i="31"/>
  <c r="AP55" i="31"/>
  <c r="BK59" i="31"/>
  <c r="BK64" i="31" s="1"/>
  <c r="AO59" i="31"/>
  <c r="AQ59" i="31" s="1"/>
  <c r="AW59" i="31" s="1"/>
  <c r="BI59" i="31" s="1"/>
  <c r="AV67" i="31"/>
  <c r="BR65" i="31"/>
  <c r="BR67" i="31" s="1"/>
  <c r="BU66" i="31"/>
  <c r="BU67" i="31" s="1"/>
  <c r="AF72" i="31"/>
  <c r="BK72" i="31"/>
  <c r="I75" i="31"/>
  <c r="BT51" i="31"/>
  <c r="BT52" i="31" s="1"/>
  <c r="BH51" i="31"/>
  <c r="BS51" i="31" s="1"/>
  <c r="AV57" i="31"/>
  <c r="BR53" i="31"/>
  <c r="BR57" i="31" s="1"/>
  <c r="V64" i="31"/>
  <c r="BL59" i="31"/>
  <c r="AP59" i="31"/>
  <c r="AP67" i="31"/>
  <c r="BF67" i="31"/>
  <c r="BH65" i="31"/>
  <c r="BT65" i="31"/>
  <c r="BT67" i="31" s="1"/>
  <c r="AP70" i="31"/>
  <c r="BL70" i="31"/>
  <c r="J75" i="31"/>
  <c r="BV77" i="31"/>
  <c r="I77" i="31"/>
  <c r="O77" i="31"/>
  <c r="M76" i="31" s="1"/>
  <c r="BF64" i="31"/>
  <c r="V67" i="31"/>
  <c r="AD65" i="31"/>
  <c r="BU73" i="31"/>
  <c r="J77" i="31"/>
  <c r="I76" i="31" s="1"/>
  <c r="P77" i="31"/>
  <c r="AO71" i="31"/>
  <c r="AQ71" i="31" s="1"/>
  <c r="BK71" i="31"/>
  <c r="AX77" i="31"/>
  <c r="BD77" i="31"/>
  <c r="Z77" i="31"/>
  <c r="BX77" i="31"/>
  <c r="BV76" i="31" s="1"/>
  <c r="AP63" i="31"/>
  <c r="BT71" i="31"/>
  <c r="BH71" i="31"/>
  <c r="BS71" i="31" s="1"/>
  <c r="AB77" i="31"/>
  <c r="AH77" i="31"/>
  <c r="W76" i="31" s="1"/>
  <c r="BL21" i="30"/>
  <c r="AP21" i="30"/>
  <c r="AO31" i="30"/>
  <c r="BK31" i="30"/>
  <c r="AF21" i="30"/>
  <c r="BM44" i="30"/>
  <c r="BL13" i="30"/>
  <c r="AP13" i="30"/>
  <c r="AF40" i="30"/>
  <c r="AO40" i="30"/>
  <c r="AQ40" i="30" s="1"/>
  <c r="BK40" i="30"/>
  <c r="BU15" i="30"/>
  <c r="AE28" i="30"/>
  <c r="AP24" i="30"/>
  <c r="BL24" i="30"/>
  <c r="BK42" i="30"/>
  <c r="AO42" i="30"/>
  <c r="AF42" i="30"/>
  <c r="BH15" i="30"/>
  <c r="AF22" i="30"/>
  <c r="BK22" i="30"/>
  <c r="AO22" i="30"/>
  <c r="AQ22" i="30" s="1"/>
  <c r="AQ24" i="30"/>
  <c r="AP36" i="30"/>
  <c r="BL36" i="30"/>
  <c r="BK19" i="30"/>
  <c r="AO19" i="30"/>
  <c r="AQ19" i="30" s="1"/>
  <c r="AF19" i="30"/>
  <c r="BL22" i="30"/>
  <c r="AP22" i="30"/>
  <c r="AF34" i="30"/>
  <c r="AP34" i="30"/>
  <c r="BL34" i="30"/>
  <c r="BJ35" i="30"/>
  <c r="AR35" i="30"/>
  <c r="BP35" i="30" s="1"/>
  <c r="AS35" i="30"/>
  <c r="BQ35" i="30" s="1"/>
  <c r="AP39" i="30"/>
  <c r="BL39" i="30"/>
  <c r="BL19" i="30"/>
  <c r="AP19" i="30"/>
  <c r="BJ26" i="30"/>
  <c r="AS26" i="30"/>
  <c r="BQ26" i="30" s="1"/>
  <c r="AR26" i="30"/>
  <c r="BP26" i="30" s="1"/>
  <c r="BJ27" i="30"/>
  <c r="AS27" i="30"/>
  <c r="BQ27" i="30" s="1"/>
  <c r="AR27" i="30"/>
  <c r="BP27" i="30" s="1"/>
  <c r="AO33" i="30"/>
  <c r="AF33" i="30"/>
  <c r="BK33" i="30"/>
  <c r="AE110" i="30"/>
  <c r="AE111" i="30"/>
  <c r="BL20" i="30"/>
  <c r="BK21" i="30"/>
  <c r="BN30" i="30"/>
  <c r="V104" i="30"/>
  <c r="AM104" i="30"/>
  <c r="BO12" i="30"/>
  <c r="BH13" i="30"/>
  <c r="BS13" i="30" s="1"/>
  <c r="BG110" i="30"/>
  <c r="Y100" i="30"/>
  <c r="AK100" i="30"/>
  <c r="BC100" i="30"/>
  <c r="CA100" i="30"/>
  <c r="BH16" i="30"/>
  <c r="BN16" i="30"/>
  <c r="BT16" i="30"/>
  <c r="AL17" i="30"/>
  <c r="V105" i="30"/>
  <c r="AM105" i="30"/>
  <c r="BO18" i="30"/>
  <c r="BU18" i="30"/>
  <c r="BH19" i="30"/>
  <c r="BS19" i="30" s="1"/>
  <c r="BG111" i="30"/>
  <c r="AM23" i="30"/>
  <c r="V28" i="30"/>
  <c r="AN24" i="30"/>
  <c r="BK24" i="30"/>
  <c r="BR24" i="30"/>
  <c r="BR28" i="30" s="1"/>
  <c r="AF25" i="30"/>
  <c r="BH25" i="30"/>
  <c r="BS25" i="30" s="1"/>
  <c r="BK26" i="30"/>
  <c r="AO26" i="30"/>
  <c r="AQ26" i="30" s="1"/>
  <c r="AW26" i="30" s="1"/>
  <c r="BI26" i="30" s="1"/>
  <c r="AN26" i="30"/>
  <c r="BM26" i="30" s="1"/>
  <c r="AN29" i="30"/>
  <c r="BO29" i="30"/>
  <c r="BF30" i="30"/>
  <c r="AE32" i="30"/>
  <c r="BT32" i="30"/>
  <c r="AN33" i="30"/>
  <c r="BM33" i="30" s="1"/>
  <c r="AM44" i="30"/>
  <c r="BT44" i="30"/>
  <c r="BL40" i="30"/>
  <c r="AP40" i="30"/>
  <c r="BH41" i="30"/>
  <c r="BS41" i="30" s="1"/>
  <c r="BH48" i="30"/>
  <c r="BS45" i="30"/>
  <c r="BS48" i="30" s="1"/>
  <c r="BK46" i="30"/>
  <c r="BK48" i="30" s="1"/>
  <c r="AO46" i="30"/>
  <c r="AF46" i="30"/>
  <c r="BT46" i="30"/>
  <c r="BT48" i="30" s="1"/>
  <c r="AV48" i="30"/>
  <c r="BF54" i="30"/>
  <c r="BT58" i="30"/>
  <c r="BH58" i="30"/>
  <c r="BS58" i="30" s="1"/>
  <c r="BH62" i="30"/>
  <c r="BF65" i="30"/>
  <c r="BT62" i="30"/>
  <c r="BT65" i="30" s="1"/>
  <c r="BL63" i="30"/>
  <c r="AP63" i="30"/>
  <c r="AQ63" i="30" s="1"/>
  <c r="AF63" i="30"/>
  <c r="BR76" i="30"/>
  <c r="BR81" i="30" s="1"/>
  <c r="AV81" i="30"/>
  <c r="AR84" i="30"/>
  <c r="BP84" i="30" s="1"/>
  <c r="AS84" i="30"/>
  <c r="BQ84" i="30" s="1"/>
  <c r="BJ84" i="30"/>
  <c r="AP14" i="30"/>
  <c r="BT15" i="30"/>
  <c r="AO21" i="30"/>
  <c r="AQ21" i="30" s="1"/>
  <c r="AL23" i="30"/>
  <c r="BF23" i="30"/>
  <c r="BO44" i="30"/>
  <c r="W104" i="30"/>
  <c r="AN12" i="30"/>
  <c r="AV104" i="30"/>
  <c r="BH14" i="30"/>
  <c r="BN14" i="30"/>
  <c r="BT14" i="30"/>
  <c r="Z100" i="30"/>
  <c r="AL15" i="30"/>
  <c r="BO16" i="30"/>
  <c r="BU16" i="30"/>
  <c r="AM17" i="30"/>
  <c r="W105" i="30"/>
  <c r="AN18" i="30"/>
  <c r="AV105" i="30"/>
  <c r="AV23" i="30"/>
  <c r="AL111" i="30"/>
  <c r="AL103" i="30" s="1"/>
  <c r="BH20" i="30"/>
  <c r="BN20" i="30"/>
  <c r="BT20" i="30"/>
  <c r="BT23" i="30" s="1"/>
  <c r="BT24" i="30"/>
  <c r="BT28" i="30" s="1"/>
  <c r="AP26" i="30"/>
  <c r="AO27" i="30"/>
  <c r="AQ27" i="30" s="1"/>
  <c r="BN27" i="30"/>
  <c r="BN28" i="30" s="1"/>
  <c r="BU27" i="30"/>
  <c r="BU28" i="30" s="1"/>
  <c r="V112" i="30"/>
  <c r="AD29" i="30"/>
  <c r="BH29" i="30"/>
  <c r="BU33" i="30"/>
  <c r="AO35" i="30"/>
  <c r="BN36" i="30"/>
  <c r="BN37" i="30" s="1"/>
  <c r="AL37" i="30"/>
  <c r="AV37" i="30"/>
  <c r="W44" i="30"/>
  <c r="BG44" i="30"/>
  <c r="AV44" i="30"/>
  <c r="BN39" i="30"/>
  <c r="AF41" i="30"/>
  <c r="BK41" i="30"/>
  <c r="AO41" i="30"/>
  <c r="AQ41" i="30" s="1"/>
  <c r="AP41" i="30"/>
  <c r="AL44" i="30"/>
  <c r="AO48" i="30"/>
  <c r="AO47" i="30"/>
  <c r="AQ47" i="30" s="1"/>
  <c r="BK47" i="30"/>
  <c r="W54" i="30"/>
  <c r="AE49" i="30"/>
  <c r="AN50" i="30"/>
  <c r="BM50" i="30" s="1"/>
  <c r="AL54" i="30"/>
  <c r="BN50" i="30"/>
  <c r="BN54" i="30" s="1"/>
  <c r="BO55" i="30"/>
  <c r="AM61" i="30"/>
  <c r="AN55" i="30"/>
  <c r="AF56" i="30"/>
  <c r="BK56" i="30"/>
  <c r="AF58" i="30"/>
  <c r="BK58" i="30"/>
  <c r="AO58" i="30"/>
  <c r="AF59" i="30"/>
  <c r="AO59" i="30"/>
  <c r="AQ59" i="30" s="1"/>
  <c r="BK59" i="30"/>
  <c r="AS79" i="30"/>
  <c r="BQ79" i="30" s="1"/>
  <c r="AR79" i="30"/>
  <c r="BP79" i="30" s="1"/>
  <c r="BJ79" i="30"/>
  <c r="BN18" i="30"/>
  <c r="W37" i="30"/>
  <c r="AE31" i="30"/>
  <c r="AF31" i="30" s="1"/>
  <c r="AO12" i="30"/>
  <c r="BK12" i="30"/>
  <c r="BO14" i="30"/>
  <c r="AG100" i="30"/>
  <c r="V101" i="30" s="1"/>
  <c r="AM15" i="30"/>
  <c r="AY100" i="30"/>
  <c r="BE100" i="30"/>
  <c r="BW100" i="30"/>
  <c r="AN17" i="30"/>
  <c r="AD105" i="30"/>
  <c r="AO18" i="30"/>
  <c r="BK18" i="30"/>
  <c r="AM111" i="30"/>
  <c r="BO20" i="30"/>
  <c r="BN21" i="30"/>
  <c r="V23" i="30"/>
  <c r="V100" i="30" s="1"/>
  <c r="AG101" i="30" s="1"/>
  <c r="AD28" i="30"/>
  <c r="AF24" i="30"/>
  <c r="W112" i="30"/>
  <c r="W30" i="30"/>
  <c r="AM30" i="30"/>
  <c r="BR30" i="30"/>
  <c r="BN32" i="30"/>
  <c r="BN107" i="30" s="1"/>
  <c r="BK34" i="30"/>
  <c r="AO34" i="30"/>
  <c r="AQ34" i="30" s="1"/>
  <c r="AD44" i="30"/>
  <c r="AN44" i="30"/>
  <c r="BF44" i="30"/>
  <c r="BP45" i="30"/>
  <c r="BL46" i="30"/>
  <c r="AE48" i="30"/>
  <c r="AP46" i="30"/>
  <c r="AS51" i="30"/>
  <c r="BQ51" i="30" s="1"/>
  <c r="BJ51" i="30"/>
  <c r="AR51" i="30"/>
  <c r="BP51" i="30" s="1"/>
  <c r="AO52" i="30"/>
  <c r="AQ52" i="30" s="1"/>
  <c r="BK52" i="30"/>
  <c r="BR61" i="30"/>
  <c r="BL56" i="30"/>
  <c r="AP56" i="30"/>
  <c r="AF57" i="30"/>
  <c r="AO57" i="30"/>
  <c r="AQ57" i="30" s="1"/>
  <c r="BK57" i="30"/>
  <c r="AF60" i="30"/>
  <c r="BK60" i="30"/>
  <c r="AE76" i="30"/>
  <c r="W81" i="30"/>
  <c r="BR111" i="30"/>
  <c r="BG37" i="30"/>
  <c r="BH31" i="30"/>
  <c r="AR52" i="30"/>
  <c r="BP52" i="30" s="1"/>
  <c r="BJ52" i="30"/>
  <c r="AS52" i="30"/>
  <c r="BQ52" i="30" s="1"/>
  <c r="BU61" i="30"/>
  <c r="AE12" i="30"/>
  <c r="AF12" i="30" s="1"/>
  <c r="BF103" i="30"/>
  <c r="BR12" i="30"/>
  <c r="AD13" i="30"/>
  <c r="AN14" i="30"/>
  <c r="AB100" i="30"/>
  <c r="AH100" i="30"/>
  <c r="W101" i="30" s="1"/>
  <c r="AT100" i="30"/>
  <c r="AZ100" i="30"/>
  <c r="BF101" i="30" s="1"/>
  <c r="BF15" i="30"/>
  <c r="BX100" i="30"/>
  <c r="AD16" i="30"/>
  <c r="W17" i="30"/>
  <c r="BG17" i="30"/>
  <c r="BM17" i="30"/>
  <c r="AE18" i="30"/>
  <c r="BR18" i="30"/>
  <c r="W111" i="30"/>
  <c r="AN20" i="30"/>
  <c r="AV111" i="30"/>
  <c r="W23" i="30"/>
  <c r="BH24" i="30"/>
  <c r="BH105" i="30" s="1"/>
  <c r="BO24" i="30"/>
  <c r="BO28" i="30" s="1"/>
  <c r="BK25" i="30"/>
  <c r="BG28" i="30"/>
  <c r="AE29" i="30"/>
  <c r="BT29" i="30"/>
  <c r="AM37" i="30"/>
  <c r="BU31" i="30"/>
  <c r="BU104" i="30" s="1"/>
  <c r="AN32" i="30"/>
  <c r="BO32" i="30"/>
  <c r="BL33" i="30"/>
  <c r="AP33" i="30"/>
  <c r="BH34" i="30"/>
  <c r="BS34" i="30" s="1"/>
  <c r="BK35" i="30"/>
  <c r="AE44" i="30"/>
  <c r="BK38" i="30"/>
  <c r="BL42" i="30"/>
  <c r="AP42" i="30"/>
  <c r="BU42" i="30"/>
  <c r="BU44" i="30" s="1"/>
  <c r="BM49" i="30"/>
  <c r="BM54" i="30" s="1"/>
  <c r="AF53" i="30"/>
  <c r="BK53" i="30"/>
  <c r="BM62" i="30"/>
  <c r="BM65" i="30" s="1"/>
  <c r="AN65" i="30"/>
  <c r="BF71" i="30"/>
  <c r="BT69" i="30"/>
  <c r="BH69" i="30"/>
  <c r="BS69" i="30" s="1"/>
  <c r="BU78" i="30"/>
  <c r="BU110" i="30" s="1"/>
  <c r="BG81" i="30"/>
  <c r="BH78" i="30"/>
  <c r="BS78" i="30" s="1"/>
  <c r="BN12" i="30"/>
  <c r="BL14" i="30"/>
  <c r="BH23" i="30"/>
  <c r="AP20" i="30"/>
  <c r="BR107" i="30"/>
  <c r="BL43" i="30"/>
  <c r="AP43" i="30"/>
  <c r="AQ56" i="30"/>
  <c r="BG104" i="30"/>
  <c r="BS12" i="30"/>
  <c r="AD14" i="30"/>
  <c r="W15" i="30"/>
  <c r="AC100" i="30"/>
  <c r="AI100" i="30"/>
  <c r="AU100" i="30"/>
  <c r="BA100" i="30"/>
  <c r="BG15" i="30"/>
  <c r="BY100" i="30"/>
  <c r="AE16" i="30"/>
  <c r="BR16" i="30"/>
  <c r="AV17" i="30"/>
  <c r="AV100" i="30" s="1"/>
  <c r="BR101" i="30" s="1"/>
  <c r="AF18" i="30"/>
  <c r="BG105" i="30"/>
  <c r="BS18" i="30"/>
  <c r="AD20" i="30"/>
  <c r="BL25" i="30"/>
  <c r="AP25" i="30"/>
  <c r="AQ25" i="30" s="1"/>
  <c r="BU112" i="30"/>
  <c r="BU30" i="30"/>
  <c r="AN31" i="30"/>
  <c r="BO31" i="30"/>
  <c r="BO37" i="30" s="1"/>
  <c r="V107" i="30"/>
  <c r="AD32" i="30"/>
  <c r="BH32" i="30"/>
  <c r="BH36" i="30"/>
  <c r="BS36" i="30" s="1"/>
  <c r="BF37" i="30"/>
  <c r="AF38" i="30"/>
  <c r="BH39" i="30"/>
  <c r="BS39" i="30" s="1"/>
  <c r="AF43" i="30"/>
  <c r="BK43" i="30"/>
  <c r="AO43" i="30"/>
  <c r="AF48" i="30"/>
  <c r="AS45" i="30"/>
  <c r="AF47" i="30"/>
  <c r="AF50" i="30"/>
  <c r="AD54" i="30"/>
  <c r="AO50" i="30"/>
  <c r="AQ50" i="30" s="1"/>
  <c r="BK50" i="30"/>
  <c r="V61" i="30"/>
  <c r="AD55" i="30"/>
  <c r="BO58" i="30"/>
  <c r="AN58" i="30"/>
  <c r="BM58" i="30" s="1"/>
  <c r="AM65" i="30"/>
  <c r="BO62" i="30"/>
  <c r="BO65" i="30" s="1"/>
  <c r="BG30" i="30"/>
  <c r="BH35" i="30"/>
  <c r="BS35" i="30" s="1"/>
  <c r="BN35" i="30"/>
  <c r="AF36" i="30"/>
  <c r="BH38" i="30"/>
  <c r="BN38" i="30"/>
  <c r="BN44" i="30" s="1"/>
  <c r="AF39" i="30"/>
  <c r="AN42" i="30"/>
  <c r="BM42" i="30" s="1"/>
  <c r="AN47" i="30"/>
  <c r="BM47" i="30" s="1"/>
  <c r="AD48" i="30"/>
  <c r="BH49" i="30"/>
  <c r="BO49" i="30"/>
  <c r="BO54" i="30" s="1"/>
  <c r="AO51" i="30"/>
  <c r="AQ51" i="30" s="1"/>
  <c r="BT51" i="30"/>
  <c r="W61" i="30"/>
  <c r="BT55" i="30"/>
  <c r="BT104" i="30" s="1"/>
  <c r="BH55" i="30"/>
  <c r="BN59" i="30"/>
  <c r="BN61" i="30" s="1"/>
  <c r="BL60" i="30"/>
  <c r="AP60" i="30"/>
  <c r="AQ60" i="30" s="1"/>
  <c r="BU60" i="30"/>
  <c r="BU111" i="30" s="1"/>
  <c r="BG61" i="30"/>
  <c r="AP64" i="30"/>
  <c r="AF66" i="30"/>
  <c r="AF70" i="30"/>
  <c r="BT75" i="30"/>
  <c r="AN97" i="30"/>
  <c r="BM97" i="30" s="1"/>
  <c r="AO97" i="30"/>
  <c r="BN97" i="30"/>
  <c r="V54" i="30"/>
  <c r="AV54" i="30"/>
  <c r="BK64" i="30"/>
  <c r="AO64" i="30"/>
  <c r="AQ64" i="30" s="1"/>
  <c r="AF64" i="30"/>
  <c r="AN66" i="30"/>
  <c r="AL71" i="30"/>
  <c r="BN66" i="30"/>
  <c r="BH66" i="30"/>
  <c r="BU66" i="30"/>
  <c r="BU71" i="30" s="1"/>
  <c r="BL70" i="30"/>
  <c r="AP70" i="30"/>
  <c r="AQ70" i="30" s="1"/>
  <c r="W71" i="30"/>
  <c r="BK74" i="30"/>
  <c r="AO74" i="30"/>
  <c r="AF74" i="30"/>
  <c r="BT74" i="30"/>
  <c r="BH74" i="30"/>
  <c r="BS74" i="30" s="1"/>
  <c r="BN83" i="30"/>
  <c r="BN85" i="30" s="1"/>
  <c r="AN83" i="30"/>
  <c r="BM83" i="30" s="1"/>
  <c r="BO94" i="30"/>
  <c r="AM99" i="30"/>
  <c r="AP94" i="30"/>
  <c r="BN96" i="30"/>
  <c r="AN96" i="30"/>
  <c r="BM96" i="30" s="1"/>
  <c r="AP27" i="30"/>
  <c r="BG107" i="30"/>
  <c r="BH40" i="30"/>
  <c r="BS40" i="30" s="1"/>
  <c r="V48" i="30"/>
  <c r="AN45" i="30"/>
  <c r="AN52" i="30"/>
  <c r="BM52" i="30" s="1"/>
  <c r="BL52" i="30"/>
  <c r="AE55" i="30"/>
  <c r="AN57" i="30"/>
  <c r="BM57" i="30" s="1"/>
  <c r="BN57" i="30"/>
  <c r="AP58" i="30"/>
  <c r="V65" i="30"/>
  <c r="AD62" i="30"/>
  <c r="BN63" i="30"/>
  <c r="AM71" i="30"/>
  <c r="BG71" i="30"/>
  <c r="W75" i="30"/>
  <c r="AE72" i="30"/>
  <c r="AF72" i="30" s="1"/>
  <c r="BL45" i="30"/>
  <c r="AP45" i="30"/>
  <c r="AP48" i="30" s="1"/>
  <c r="BF48" i="30"/>
  <c r="BU50" i="30"/>
  <c r="BU54" i="30" s="1"/>
  <c r="BT52" i="30"/>
  <c r="BH52" i="30"/>
  <c r="BS52" i="30" s="1"/>
  <c r="W65" i="30"/>
  <c r="AE62" i="30"/>
  <c r="BU65" i="30"/>
  <c r="AS67" i="30"/>
  <c r="BQ67" i="30" s="1"/>
  <c r="BJ67" i="30"/>
  <c r="BF75" i="30"/>
  <c r="BL74" i="30"/>
  <c r="AP74" i="30"/>
  <c r="BO81" i="30"/>
  <c r="BL77" i="30"/>
  <c r="BL78" i="30"/>
  <c r="AP78" i="30"/>
  <c r="AQ78" i="30" s="1"/>
  <c r="AF78" i="30"/>
  <c r="AO85" i="30"/>
  <c r="BG85" i="30"/>
  <c r="BH82" i="30"/>
  <c r="AP35" i="30"/>
  <c r="AO36" i="30"/>
  <c r="AP38" i="30"/>
  <c r="AP44" i="30" s="1"/>
  <c r="BL38" i="30"/>
  <c r="BL44" i="30" s="1"/>
  <c r="AO39" i="30"/>
  <c r="AQ45" i="30"/>
  <c r="BK49" i="30"/>
  <c r="AO49" i="30"/>
  <c r="BT49" i="30"/>
  <c r="BT54" i="30" s="1"/>
  <c r="AV61" i="30"/>
  <c r="AN56" i="30"/>
  <c r="BM56" i="30" s="1"/>
  <c r="BT56" i="30"/>
  <c r="BH56" i="30"/>
  <c r="BS56" i="30" s="1"/>
  <c r="BL57" i="30"/>
  <c r="AP57" i="30"/>
  <c r="AN60" i="30"/>
  <c r="BM60" i="30" s="1"/>
  <c r="AL65" i="30"/>
  <c r="BN62" i="30"/>
  <c r="BL66" i="30"/>
  <c r="BL71" i="30" s="1"/>
  <c r="AP66" i="30"/>
  <c r="AP71" i="30" s="1"/>
  <c r="AN67" i="30"/>
  <c r="BM67" i="30" s="1"/>
  <c r="BN67" i="30"/>
  <c r="V71" i="30"/>
  <c r="AD68" i="30"/>
  <c r="BM72" i="30"/>
  <c r="BM75" i="30" s="1"/>
  <c r="AN75" i="30"/>
  <c r="V75" i="30"/>
  <c r="AD73" i="30"/>
  <c r="BT79" i="30"/>
  <c r="BH79" i="30"/>
  <c r="BS79" i="30" s="1"/>
  <c r="AN88" i="30"/>
  <c r="BM88" i="30" s="1"/>
  <c r="AL92" i="30"/>
  <c r="BN88" i="30"/>
  <c r="BN92" i="30" s="1"/>
  <c r="BG65" i="30"/>
  <c r="BT68" i="30"/>
  <c r="BT71" i="30" s="1"/>
  <c r="BH68" i="30"/>
  <c r="BS68" i="30" s="1"/>
  <c r="BN81" i="30"/>
  <c r="BF81" i="30"/>
  <c r="AL81" i="30"/>
  <c r="AN77" i="30"/>
  <c r="BM77" i="30" s="1"/>
  <c r="BK79" i="30"/>
  <c r="AO79" i="30"/>
  <c r="AQ79" i="30" s="1"/>
  <c r="AO80" i="30"/>
  <c r="AP83" i="30"/>
  <c r="AM85" i="30"/>
  <c r="BO84" i="30"/>
  <c r="BO85" i="30" s="1"/>
  <c r="AN84" i="30"/>
  <c r="BM84" i="30" s="1"/>
  <c r="BK67" i="30"/>
  <c r="AO67" i="30"/>
  <c r="AQ67" i="30" s="1"/>
  <c r="AF69" i="30"/>
  <c r="AP79" i="30"/>
  <c r="BL79" i="30"/>
  <c r="AP80" i="30"/>
  <c r="AD85" i="30"/>
  <c r="BK82" i="30"/>
  <c r="BK85" i="30" s="1"/>
  <c r="BT92" i="30"/>
  <c r="AF90" i="30"/>
  <c r="AO90" i="30"/>
  <c r="BK90" i="30"/>
  <c r="BT90" i="30"/>
  <c r="BH90" i="30"/>
  <c r="BS90" i="30" s="1"/>
  <c r="BF99" i="30"/>
  <c r="BT93" i="30"/>
  <c r="BH93" i="30"/>
  <c r="AN81" i="30"/>
  <c r="BU81" i="30"/>
  <c r="BN78" i="30"/>
  <c r="AR80" i="30"/>
  <c r="BP80" i="30" s="1"/>
  <c r="BJ80" i="30"/>
  <c r="AS80" i="30"/>
  <c r="BQ80" i="30" s="1"/>
  <c r="BK80" i="30"/>
  <c r="AO83" i="30"/>
  <c r="AO84" i="30"/>
  <c r="BK84" i="30"/>
  <c r="V92" i="30"/>
  <c r="AD87" i="30"/>
  <c r="AD92" i="30" s="1"/>
  <c r="AQ94" i="30"/>
  <c r="AD71" i="30"/>
  <c r="BR75" i="30"/>
  <c r="BK72" i="30"/>
  <c r="BL73" i="30"/>
  <c r="AP73" i="30"/>
  <c r="AD75" i="30"/>
  <c r="AD76" i="30"/>
  <c r="V81" i="30"/>
  <c r="BK77" i="30"/>
  <c r="AO77" i="30"/>
  <c r="AQ77" i="30" s="1"/>
  <c r="AF77" i="30"/>
  <c r="AE82" i="30"/>
  <c r="BL90" i="30"/>
  <c r="AP90" i="30"/>
  <c r="AF96" i="30"/>
  <c r="BK96" i="30"/>
  <c r="AO96" i="30"/>
  <c r="AQ96" i="30" s="1"/>
  <c r="BR66" i="30"/>
  <c r="BR71" i="30" s="1"/>
  <c r="AN68" i="30"/>
  <c r="BM68" i="30" s="1"/>
  <c r="BH70" i="30"/>
  <c r="BS70" i="30" s="1"/>
  <c r="BU72" i="30"/>
  <c r="BU75" i="30" s="1"/>
  <c r="BH73" i="30"/>
  <c r="BH76" i="30"/>
  <c r="BT76" i="30"/>
  <c r="AN80" i="30"/>
  <c r="BM80" i="30" s="1"/>
  <c r="AF83" i="30"/>
  <c r="AN86" i="30"/>
  <c r="AP87" i="30"/>
  <c r="AO89" i="30"/>
  <c r="AF91" i="30"/>
  <c r="AO91" i="30"/>
  <c r="AY103" i="30"/>
  <c r="BG102" i="30" s="1"/>
  <c r="BE103" i="30"/>
  <c r="BU92" i="30"/>
  <c r="AO88" i="30"/>
  <c r="AQ88" i="30" s="1"/>
  <c r="AO95" i="30"/>
  <c r="AQ95" i="30" s="1"/>
  <c r="BK95" i="30"/>
  <c r="AF95" i="30"/>
  <c r="AF86" i="30"/>
  <c r="BS86" i="30"/>
  <c r="AP91" i="30"/>
  <c r="BL91" i="30"/>
  <c r="BL93" i="30"/>
  <c r="AP93" i="30"/>
  <c r="AQ93" i="30" s="1"/>
  <c r="BU95" i="30"/>
  <c r="BU99" i="30" s="1"/>
  <c r="BH95" i="30"/>
  <c r="BS95" i="30" s="1"/>
  <c r="BL97" i="30"/>
  <c r="AP97" i="30"/>
  <c r="BT98" i="30"/>
  <c r="BF102" i="30"/>
  <c r="AL85" i="30"/>
  <c r="AN82" i="30"/>
  <c r="BL84" i="30"/>
  <c r="AP84" i="30"/>
  <c r="AE86" i="30"/>
  <c r="BR92" i="30"/>
  <c r="BH88" i="30"/>
  <c r="BS88" i="30" s="1"/>
  <c r="BO90" i="30"/>
  <c r="AV92" i="30"/>
  <c r="AD99" i="30"/>
  <c r="BK93" i="30"/>
  <c r="AF94" i="30"/>
  <c r="BK94" i="30"/>
  <c r="BT94" i="30"/>
  <c r="V99" i="30"/>
  <c r="BH80" i="30"/>
  <c r="BS80" i="30" s="1"/>
  <c r="AV85" i="30"/>
  <c r="BK86" i="30"/>
  <c r="BO87" i="30"/>
  <c r="BO92" i="30" s="1"/>
  <c r="AM92" i="30"/>
  <c r="BG92" i="30"/>
  <c r="AF88" i="30"/>
  <c r="BL88" i="30"/>
  <c r="AP89" i="30"/>
  <c r="AF93" i="30"/>
  <c r="AV99" i="30"/>
  <c r="AN94" i="30"/>
  <c r="BM94" i="30" s="1"/>
  <c r="BM99" i="30" s="1"/>
  <c r="AF97" i="30"/>
  <c r="BL98" i="30"/>
  <c r="AE99" i="30"/>
  <c r="J102" i="30"/>
  <c r="BH84" i="30"/>
  <c r="BS84" i="30" s="1"/>
  <c r="AF89" i="30"/>
  <c r="BH89" i="30"/>
  <c r="BS89" i="30" s="1"/>
  <c r="BG99" i="30"/>
  <c r="BO93" i="30"/>
  <c r="J101" i="30"/>
  <c r="BW103" i="30"/>
  <c r="BV102" i="30" s="1"/>
  <c r="J103" i="30"/>
  <c r="I102" i="30" s="1"/>
  <c r="AH103" i="30"/>
  <c r="W102" i="30" s="1"/>
  <c r="AT103" i="30"/>
  <c r="AV102" i="30" s="1"/>
  <c r="BV103" i="30"/>
  <c r="BR93" i="30"/>
  <c r="BR99" i="30" s="1"/>
  <c r="BK98" i="30"/>
  <c r="AO98" i="30"/>
  <c r="AQ98" i="30" s="1"/>
  <c r="AF98" i="30"/>
  <c r="BB103" i="30"/>
  <c r="W99" i="30"/>
  <c r="BL95" i="30"/>
  <c r="AP95" i="30"/>
  <c r="X103" i="30"/>
  <c r="AG103" i="30"/>
  <c r="V102" i="30" s="1"/>
  <c r="AL99" i="30"/>
  <c r="BN93" i="30"/>
  <c r="I101" i="30"/>
  <c r="I103" i="30"/>
  <c r="BZ103" i="30"/>
  <c r="AA103" i="30"/>
  <c r="BL31" i="29"/>
  <c r="AF31" i="29"/>
  <c r="AP31" i="29"/>
  <c r="BM33" i="29"/>
  <c r="BO52" i="29"/>
  <c r="BO63" i="29"/>
  <c r="BS26" i="29"/>
  <c r="BH29" i="29"/>
  <c r="BM14" i="29"/>
  <c r="AO15" i="29"/>
  <c r="AQ15" i="29" s="1"/>
  <c r="BK15" i="29"/>
  <c r="AF15" i="29"/>
  <c r="BL63" i="29"/>
  <c r="BF205" i="29"/>
  <c r="BF13" i="29"/>
  <c r="BT12" i="29"/>
  <c r="AD29" i="29"/>
  <c r="BK45" i="29"/>
  <c r="BL65" i="29"/>
  <c r="AP65" i="29"/>
  <c r="AQ65" i="29" s="1"/>
  <c r="BH66" i="29"/>
  <c r="BS66" i="29" s="1"/>
  <c r="BT66" i="29"/>
  <c r="BK78" i="29"/>
  <c r="AF78" i="29"/>
  <c r="AO78" i="29"/>
  <c r="AM84" i="29"/>
  <c r="AN81" i="29"/>
  <c r="BM81" i="29" s="1"/>
  <c r="V203" i="29"/>
  <c r="AD88" i="29"/>
  <c r="BU12" i="29"/>
  <c r="BA192" i="29"/>
  <c r="V196" i="29"/>
  <c r="AD14" i="29"/>
  <c r="BF196" i="29"/>
  <c r="BF17" i="29"/>
  <c r="BT14" i="29"/>
  <c r="BH15" i="29"/>
  <c r="BS15" i="29" s="1"/>
  <c r="BR16" i="29"/>
  <c r="AE17" i="29"/>
  <c r="AE21" i="29"/>
  <c r="BL18" i="29"/>
  <c r="BL21" i="29" s="1"/>
  <c r="AP18" i="29"/>
  <c r="AP21" i="29" s="1"/>
  <c r="BH18" i="29"/>
  <c r="BT19" i="29"/>
  <c r="BT21" i="29" s="1"/>
  <c r="BH19" i="29"/>
  <c r="BS19" i="29" s="1"/>
  <c r="AF22" i="29"/>
  <c r="BL22" i="29"/>
  <c r="AP23" i="29"/>
  <c r="AP25" i="29" s="1"/>
  <c r="BK26" i="29"/>
  <c r="BN27" i="29"/>
  <c r="BN29" i="29" s="1"/>
  <c r="AF28" i="29"/>
  <c r="AE29" i="29"/>
  <c r="AV29" i="29"/>
  <c r="AN34" i="29"/>
  <c r="BM34" i="29" s="1"/>
  <c r="BU34" i="29"/>
  <c r="AD36" i="29"/>
  <c r="BK37" i="29"/>
  <c r="AO37" i="29"/>
  <c r="AD40" i="29"/>
  <c r="BK38" i="29"/>
  <c r="BU39" i="29"/>
  <c r="BH39" i="29"/>
  <c r="BS39" i="29" s="1"/>
  <c r="BS41" i="29"/>
  <c r="BH44" i="29"/>
  <c r="BU42" i="29"/>
  <c r="BU44" i="29" s="1"/>
  <c r="BH42" i="29"/>
  <c r="BS42" i="29" s="1"/>
  <c r="AP43" i="29"/>
  <c r="AM44" i="29"/>
  <c r="AF45" i="29"/>
  <c r="AV48" i="29"/>
  <c r="BR45" i="29"/>
  <c r="BR48" i="29" s="1"/>
  <c r="AE46" i="29"/>
  <c r="BN51" i="29"/>
  <c r="AF55" i="29"/>
  <c r="BT55" i="29"/>
  <c r="BT56" i="29" s="1"/>
  <c r="BH55" i="29"/>
  <c r="BS55" i="29" s="1"/>
  <c r="AL59" i="29"/>
  <c r="BN57" i="29"/>
  <c r="BN59" i="29" s="1"/>
  <c r="AN58" i="29"/>
  <c r="BM58" i="29" s="1"/>
  <c r="AM59" i="29"/>
  <c r="BL61" i="29"/>
  <c r="AP61" i="29"/>
  <c r="BO62" i="29"/>
  <c r="AM63" i="29"/>
  <c r="V67" i="29"/>
  <c r="AD64" i="29"/>
  <c r="AF65" i="29"/>
  <c r="BT69" i="29"/>
  <c r="BT71" i="29" s="1"/>
  <c r="AF74" i="29"/>
  <c r="BL74" i="29"/>
  <c r="AP74" i="29"/>
  <c r="V75" i="29"/>
  <c r="BM80" i="29"/>
  <c r="AP81" i="29"/>
  <c r="V90" i="29"/>
  <c r="BO91" i="29"/>
  <c r="BO96" i="29" s="1"/>
  <c r="AM96" i="29"/>
  <c r="AN91" i="29"/>
  <c r="BT92" i="29"/>
  <c r="BH92" i="29"/>
  <c r="BS92" i="29" s="1"/>
  <c r="AV102" i="29"/>
  <c r="BR97" i="29"/>
  <c r="BR102" i="29" s="1"/>
  <c r="W108" i="29"/>
  <c r="AE103" i="29"/>
  <c r="BR103" i="29"/>
  <c r="BR108" i="29" s="1"/>
  <c r="AV108" i="29"/>
  <c r="AP104" i="29"/>
  <c r="BL104" i="29"/>
  <c r="AS118" i="29"/>
  <c r="BQ118" i="29" s="1"/>
  <c r="AR118" i="29"/>
  <c r="BP118" i="29" s="1"/>
  <c r="BJ118" i="29"/>
  <c r="BJ127" i="29"/>
  <c r="AR127" i="29"/>
  <c r="AS127" i="29"/>
  <c r="BJ20" i="29"/>
  <c r="AS20" i="29"/>
  <c r="BQ20" i="29" s="1"/>
  <c r="AR20" i="29"/>
  <c r="BP20" i="29" s="1"/>
  <c r="BJ26" i="29"/>
  <c r="BN62" i="29"/>
  <c r="AN62" i="29"/>
  <c r="BM62" i="29" s="1"/>
  <c r="AO62" i="29"/>
  <c r="BJ95" i="29"/>
  <c r="AR95" i="29"/>
  <c r="BP95" i="29" s="1"/>
  <c r="AS95" i="29"/>
  <c r="BQ95" i="29" s="1"/>
  <c r="AF12" i="29"/>
  <c r="BH12" i="29"/>
  <c r="BO12" i="29"/>
  <c r="AC192" i="29"/>
  <c r="AI192" i="29"/>
  <c r="AP13" i="29"/>
  <c r="BB192" i="29"/>
  <c r="BW192" i="29"/>
  <c r="W196" i="29"/>
  <c r="BG196" i="29"/>
  <c r="BG17" i="29"/>
  <c r="BG192" i="29" s="1"/>
  <c r="BU193" i="29" s="1"/>
  <c r="BU14" i="29"/>
  <c r="AN15" i="29"/>
  <c r="BM15" i="29" s="1"/>
  <c r="W202" i="29"/>
  <c r="AN16" i="29"/>
  <c r="AM21" i="29"/>
  <c r="AN20" i="29"/>
  <c r="BM20" i="29" s="1"/>
  <c r="BN20" i="29"/>
  <c r="W21" i="29"/>
  <c r="BG21" i="29"/>
  <c r="AF24" i="29"/>
  <c r="BK24" i="29"/>
  <c r="V25" i="29"/>
  <c r="AL29" i="29"/>
  <c r="AN26" i="29"/>
  <c r="BL26" i="29"/>
  <c r="BT28" i="29"/>
  <c r="BT29" i="29" s="1"/>
  <c r="BH28" i="29"/>
  <c r="BS28" i="29" s="1"/>
  <c r="W32" i="29"/>
  <c r="AE30" i="29"/>
  <c r="BG32" i="29"/>
  <c r="BU30" i="29"/>
  <c r="BU32" i="29" s="1"/>
  <c r="BH32" i="29"/>
  <c r="AF33" i="29"/>
  <c r="BR33" i="29"/>
  <c r="BR36" i="29" s="1"/>
  <c r="AV36" i="29"/>
  <c r="BK33" i="29"/>
  <c r="BK34" i="29"/>
  <c r="AO34" i="29"/>
  <c r="AQ34" i="29" s="1"/>
  <c r="AW34" i="29" s="1"/>
  <c r="BI34" i="29" s="1"/>
  <c r="AP34" i="29"/>
  <c r="BO35" i="29"/>
  <c r="AL36" i="29"/>
  <c r="AN38" i="29"/>
  <c r="BM38" i="29" s="1"/>
  <c r="BM40" i="29" s="1"/>
  <c r="AL40" i="29"/>
  <c r="BL38" i="29"/>
  <c r="BL40" i="29" s="1"/>
  <c r="AN39" i="29"/>
  <c r="BM39" i="29" s="1"/>
  <c r="V40" i="29"/>
  <c r="W44" i="29"/>
  <c r="AP41" i="29"/>
  <c r="BK42" i="29"/>
  <c r="BK44" i="29" s="1"/>
  <c r="AF43" i="29"/>
  <c r="BK43" i="29"/>
  <c r="AO43" i="29"/>
  <c r="AQ43" i="29" s="1"/>
  <c r="BO43" i="29"/>
  <c r="BO44" i="29" s="1"/>
  <c r="BN48" i="29"/>
  <c r="AN47" i="29"/>
  <c r="BM47" i="29" s="1"/>
  <c r="BM48" i="29" s="1"/>
  <c r="AL48" i="29"/>
  <c r="AM52" i="29"/>
  <c r="BL54" i="29"/>
  <c r="AP54" i="29"/>
  <c r="AE56" i="29"/>
  <c r="AM56" i="29"/>
  <c r="BO59" i="29"/>
  <c r="AD58" i="29"/>
  <c r="V59" i="29"/>
  <c r="AP58" i="29"/>
  <c r="AF61" i="29"/>
  <c r="BK61" i="29"/>
  <c r="BK63" i="29" s="1"/>
  <c r="BF67" i="29"/>
  <c r="BK70" i="29"/>
  <c r="BH71" i="29"/>
  <c r="BH72" i="29"/>
  <c r="BT72" i="29"/>
  <c r="BT75" i="29" s="1"/>
  <c r="BU74" i="29"/>
  <c r="BH74" i="29"/>
  <c r="BS74" i="29" s="1"/>
  <c r="AO81" i="29"/>
  <c r="AQ81" i="29" s="1"/>
  <c r="AF81" i="29"/>
  <c r="BO81" i="29"/>
  <c r="BO84" i="29" s="1"/>
  <c r="AE203" i="29"/>
  <c r="BL88" i="29"/>
  <c r="AP88" i="29"/>
  <c r="AD108" i="29"/>
  <c r="BR115" i="29"/>
  <c r="BR120" i="29" s="1"/>
  <c r="AV120" i="29"/>
  <c r="AN118" i="29"/>
  <c r="BM118" i="29" s="1"/>
  <c r="BN118" i="29"/>
  <c r="AP122" i="29"/>
  <c r="AF122" i="29"/>
  <c r="BL122" i="29"/>
  <c r="AM196" i="29"/>
  <c r="AM17" i="29"/>
  <c r="BK20" i="29"/>
  <c r="BL24" i="29"/>
  <c r="AP24" i="29"/>
  <c r="AQ24" i="29" s="1"/>
  <c r="AS38" i="29"/>
  <c r="BQ38" i="29" s="1"/>
  <c r="BT49" i="29"/>
  <c r="BT52" i="29" s="1"/>
  <c r="BH49" i="29"/>
  <c r="BF52" i="29"/>
  <c r="BR131" i="29"/>
  <c r="BR132" i="29" s="1"/>
  <c r="AV132" i="29"/>
  <c r="AL205" i="29"/>
  <c r="AN12" i="29"/>
  <c r="X192" i="29"/>
  <c r="AD13" i="29"/>
  <c r="AJ192" i="29"/>
  <c r="BC192" i="29"/>
  <c r="BH14" i="29"/>
  <c r="BO14" i="29"/>
  <c r="AD202" i="29"/>
  <c r="AO16" i="29"/>
  <c r="BF202" i="29"/>
  <c r="BT16" i="29"/>
  <c r="AF18" i="29"/>
  <c r="BR21" i="29"/>
  <c r="BK19" i="29"/>
  <c r="BK21" i="29" s="1"/>
  <c r="AO19" i="29"/>
  <c r="AQ19" i="29" s="1"/>
  <c r="BJ19" i="29"/>
  <c r="BO20" i="29"/>
  <c r="AD21" i="29"/>
  <c r="AM25" i="29"/>
  <c r="BT22" i="29"/>
  <c r="BT25" i="29" s="1"/>
  <c r="BH22" i="29"/>
  <c r="BF25" i="29"/>
  <c r="AF23" i="29"/>
  <c r="AO23" i="29"/>
  <c r="AQ23" i="29" s="1"/>
  <c r="BN24" i="29"/>
  <c r="AN24" i="29"/>
  <c r="BM24" i="29" s="1"/>
  <c r="AE25" i="29"/>
  <c r="AD32" i="29"/>
  <c r="BK30" i="29"/>
  <c r="AM36" i="29"/>
  <c r="BU37" i="29"/>
  <c r="BU40" i="29" s="1"/>
  <c r="AF41" i="29"/>
  <c r="BL41" i="29"/>
  <c r="BL51" i="29"/>
  <c r="BL52" i="29" s="1"/>
  <c r="AP51" i="29"/>
  <c r="AF53" i="29"/>
  <c r="AD56" i="29"/>
  <c r="AO53" i="29"/>
  <c r="AN57" i="29"/>
  <c r="BO58" i="29"/>
  <c r="AP60" i="29"/>
  <c r="AE63" i="29"/>
  <c r="AP64" i="29"/>
  <c r="BL64" i="29"/>
  <c r="AE67" i="29"/>
  <c r="BT67" i="29"/>
  <c r="AN66" i="29"/>
  <c r="BM66" i="29" s="1"/>
  <c r="AO68" i="29"/>
  <c r="BK68" i="29"/>
  <c r="AD71" i="29"/>
  <c r="AF68" i="29"/>
  <c r="BU68" i="29"/>
  <c r="BU71" i="29" s="1"/>
  <c r="BL69" i="29"/>
  <c r="BG75" i="29"/>
  <c r="BU72" i="29"/>
  <c r="AM79" i="29"/>
  <c r="BO76" i="29"/>
  <c r="BO79" i="29" s="1"/>
  <c r="AS77" i="29"/>
  <c r="BQ77" i="29" s="1"/>
  <c r="BJ77" i="29"/>
  <c r="AV79" i="29"/>
  <c r="BR77" i="29"/>
  <c r="AF80" i="29"/>
  <c r="AE84" i="29"/>
  <c r="BL80" i="29"/>
  <c r="AP80" i="29"/>
  <c r="BT84" i="29"/>
  <c r="BK83" i="29"/>
  <c r="BK84" i="29" s="1"/>
  <c r="AM197" i="29"/>
  <c r="AN85" i="29"/>
  <c r="AM90" i="29"/>
  <c r="BO85" i="29"/>
  <c r="BS85" i="29"/>
  <c r="AD86" i="29"/>
  <c r="BF96" i="29"/>
  <c r="W102" i="29"/>
  <c r="AE97" i="29"/>
  <c r="BG102" i="29"/>
  <c r="BU97" i="29"/>
  <c r="BH97" i="29"/>
  <c r="BL100" i="29"/>
  <c r="AP100" i="29"/>
  <c r="BL101" i="29"/>
  <c r="AN110" i="29"/>
  <c r="BM110" i="29" s="1"/>
  <c r="AM114" i="29"/>
  <c r="BK119" i="29"/>
  <c r="AO119" i="29"/>
  <c r="AQ119" i="29" s="1"/>
  <c r="AF119" i="29"/>
  <c r="AF47" i="29"/>
  <c r="BK47" i="29"/>
  <c r="AL52" i="29"/>
  <c r="BS56" i="29"/>
  <c r="BN60" i="29"/>
  <c r="AL63" i="29"/>
  <c r="AN60" i="29"/>
  <c r="BJ66" i="29"/>
  <c r="AR66" i="29"/>
  <c r="BP66" i="29" s="1"/>
  <c r="AE71" i="29"/>
  <c r="BN96" i="29"/>
  <c r="BL98" i="29"/>
  <c r="AP98" i="29"/>
  <c r="AF105" i="29"/>
  <c r="AO105" i="29"/>
  <c r="BK105" i="29"/>
  <c r="AF123" i="29"/>
  <c r="BK123" i="29"/>
  <c r="AO123" i="29"/>
  <c r="AD131" i="29"/>
  <c r="V132" i="29"/>
  <c r="V205" i="29"/>
  <c r="V13" i="29"/>
  <c r="BK12" i="29"/>
  <c r="BR205" i="29"/>
  <c r="BR13" i="29"/>
  <c r="Y192" i="29"/>
  <c r="AE13" i="29"/>
  <c r="AK192" i="29"/>
  <c r="AX192" i="29"/>
  <c r="BD192" i="29"/>
  <c r="BY192" i="29"/>
  <c r="BL15" i="29"/>
  <c r="BL17" i="29" s="1"/>
  <c r="AP16" i="29"/>
  <c r="BG202" i="29"/>
  <c r="BU16" i="29"/>
  <c r="BN16" i="29"/>
  <c r="V17" i="29"/>
  <c r="AV17" i="29"/>
  <c r="AV192" i="29" s="1"/>
  <c r="BR193" i="29" s="1"/>
  <c r="BN18" i="29"/>
  <c r="BN21" i="29" s="1"/>
  <c r="AN18" i="29"/>
  <c r="AO20" i="29"/>
  <c r="AQ20" i="29" s="1"/>
  <c r="AL21" i="29"/>
  <c r="AD25" i="29"/>
  <c r="BK22" i="29"/>
  <c r="BK25" i="29" s="1"/>
  <c r="AO22" i="29"/>
  <c r="AO26" i="29"/>
  <c r="AO27" i="29"/>
  <c r="AQ27" i="29" s="1"/>
  <c r="AN32" i="29"/>
  <c r="BO36" i="29"/>
  <c r="AR34" i="29"/>
  <c r="BP34" i="29" s="1"/>
  <c r="BJ34" i="29"/>
  <c r="AF35" i="29"/>
  <c r="BK35" i="29"/>
  <c r="AF37" i="29"/>
  <c r="AO38" i="29"/>
  <c r="AQ38" i="29" s="1"/>
  <c r="AO39" i="29"/>
  <c r="AE40" i="29"/>
  <c r="BT43" i="29"/>
  <c r="BT44" i="29" s="1"/>
  <c r="BH43" i="29"/>
  <c r="BS43" i="29" s="1"/>
  <c r="BF44" i="29"/>
  <c r="AN48" i="29"/>
  <c r="BU45" i="29"/>
  <c r="BU48" i="29" s="1"/>
  <c r="BH45" i="29"/>
  <c r="AO47" i="29"/>
  <c r="AQ47" i="29" s="1"/>
  <c r="BG48" i="29"/>
  <c r="AF50" i="29"/>
  <c r="AO50" i="29"/>
  <c r="AQ50" i="29" s="1"/>
  <c r="BL56" i="29"/>
  <c r="BF56" i="29"/>
  <c r="BR56" i="29"/>
  <c r="AS54" i="29"/>
  <c r="BQ54" i="29" s="1"/>
  <c r="AR54" i="29"/>
  <c r="BP54" i="29" s="1"/>
  <c r="BU54" i="29"/>
  <c r="BU56" i="29" s="1"/>
  <c r="BH54" i="29"/>
  <c r="BS54" i="29" s="1"/>
  <c r="BK55" i="29"/>
  <c r="BK56" i="29" s="1"/>
  <c r="AO55" i="29"/>
  <c r="AQ55" i="29" s="1"/>
  <c r="AP55" i="29"/>
  <c r="W63" i="29"/>
  <c r="BN64" i="29"/>
  <c r="BN67" i="29" s="1"/>
  <c r="AL67" i="29"/>
  <c r="AN64" i="29"/>
  <c r="AS66" i="29"/>
  <c r="BQ66" i="29" s="1"/>
  <c r="BS71" i="29"/>
  <c r="BK69" i="29"/>
  <c r="AO69" i="29"/>
  <c r="AQ69" i="29" s="1"/>
  <c r="AF69" i="29"/>
  <c r="AP78" i="29"/>
  <c r="BU80" i="29"/>
  <c r="BU84" i="29" s="1"/>
  <c r="BG84" i="29"/>
  <c r="BH80" i="29"/>
  <c r="BL82" i="29"/>
  <c r="BH91" i="29"/>
  <c r="BG96" i="29"/>
  <c r="AO95" i="29"/>
  <c r="AQ95" i="29" s="1"/>
  <c r="AW95" i="29" s="1"/>
  <c r="BI95" i="29" s="1"/>
  <c r="BK95" i="29"/>
  <c r="AO100" i="29"/>
  <c r="AQ100" i="29" s="1"/>
  <c r="BK100" i="29"/>
  <c r="AF100" i="29"/>
  <c r="AS106" i="29"/>
  <c r="BQ106" i="29" s="1"/>
  <c r="AR106" i="29"/>
  <c r="BP106" i="29" s="1"/>
  <c r="BJ106" i="29"/>
  <c r="AS26" i="29"/>
  <c r="AE52" i="29"/>
  <c r="AP49" i="29"/>
  <c r="BK72" i="29"/>
  <c r="BK75" i="29" s="1"/>
  <c r="AO72" i="29"/>
  <c r="AD75" i="29"/>
  <c r="AO12" i="29"/>
  <c r="BL12" i="29"/>
  <c r="Z192" i="29"/>
  <c r="AL13" i="29"/>
  <c r="AY192" i="29"/>
  <c r="BG193" i="29" s="1"/>
  <c r="BE192" i="29"/>
  <c r="BZ192" i="29"/>
  <c r="AL196" i="29"/>
  <c r="BR14" i="29"/>
  <c r="AF16" i="29"/>
  <c r="BH16" i="29"/>
  <c r="W17" i="29"/>
  <c r="W192" i="29" s="1"/>
  <c r="AH193" i="29" s="1"/>
  <c r="BO21" i="29"/>
  <c r="AS19" i="29"/>
  <c r="BQ19" i="29" s="1"/>
  <c r="AV21" i="29"/>
  <c r="W25" i="29"/>
  <c r="AN23" i="29"/>
  <c r="BM23" i="29" s="1"/>
  <c r="BM25" i="29" s="1"/>
  <c r="BN23" i="29"/>
  <c r="AR26" i="29"/>
  <c r="AF27" i="29"/>
  <c r="BK27" i="29"/>
  <c r="BK28" i="29"/>
  <c r="AO28" i="29"/>
  <c r="AP28" i="29"/>
  <c r="BK31" i="29"/>
  <c r="AO31" i="29"/>
  <c r="AQ31" i="29" s="1"/>
  <c r="V36" i="29"/>
  <c r="BT34" i="29"/>
  <c r="BT36" i="29" s="1"/>
  <c r="BH34" i="29"/>
  <c r="BS34" i="29" s="1"/>
  <c r="BS36" i="29" s="1"/>
  <c r="BN40" i="29"/>
  <c r="AV40" i="29"/>
  <c r="AR38" i="29"/>
  <c r="BP38" i="29" s="1"/>
  <c r="AF39" i="29"/>
  <c r="AF42" i="29"/>
  <c r="AE48" i="29"/>
  <c r="BL45" i="29"/>
  <c r="AP45" i="29"/>
  <c r="AO45" i="29"/>
  <c r="AF46" i="29"/>
  <c r="BK46" i="29"/>
  <c r="AO46" i="29"/>
  <c r="W52" i="29"/>
  <c r="AV52" i="29"/>
  <c r="AF51" i="29"/>
  <c r="BU51" i="29"/>
  <c r="BU52" i="29" s="1"/>
  <c r="BH51" i="29"/>
  <c r="BS51" i="29" s="1"/>
  <c r="BJ54" i="29"/>
  <c r="BH56" i="29"/>
  <c r="W59" i="29"/>
  <c r="AE57" i="29"/>
  <c r="AF60" i="29"/>
  <c r="BF63" i="29"/>
  <c r="AO61" i="29"/>
  <c r="AQ61" i="29" s="1"/>
  <c r="BN61" i="29"/>
  <c r="AR62" i="29"/>
  <c r="BP62" i="29" s="1"/>
  <c r="BJ62" i="29"/>
  <c r="BS64" i="29"/>
  <c r="BS67" i="29" s="1"/>
  <c r="BH67" i="29"/>
  <c r="AP66" i="29"/>
  <c r="BL66" i="29"/>
  <c r="AM71" i="29"/>
  <c r="AN68" i="29"/>
  <c r="AF70" i="29"/>
  <c r="AV71" i="29"/>
  <c r="AD76" i="29"/>
  <c r="V79" i="29"/>
  <c r="BH79" i="29"/>
  <c r="AF83" i="29"/>
  <c r="AP87" i="29"/>
  <c r="AF87" i="29"/>
  <c r="AE91" i="29"/>
  <c r="AE197" i="29" s="1"/>
  <c r="W96" i="29"/>
  <c r="AN50" i="29"/>
  <c r="BN50" i="29"/>
  <c r="BN52" i="29" s="1"/>
  <c r="AL56" i="29"/>
  <c r="AN53" i="29"/>
  <c r="BN53" i="29"/>
  <c r="BN56" i="29" s="1"/>
  <c r="AV59" i="29"/>
  <c r="BN71" i="29"/>
  <c r="AP70" i="29"/>
  <c r="AQ70" i="29" s="1"/>
  <c r="BL70" i="29"/>
  <c r="AS73" i="29"/>
  <c r="BQ73" i="29" s="1"/>
  <c r="AP76" i="29"/>
  <c r="AP79" i="29" s="1"/>
  <c r="AE79" i="29"/>
  <c r="BL76" i="29"/>
  <c r="BL79" i="29" s="1"/>
  <c r="BH77" i="29"/>
  <c r="BS77" i="29" s="1"/>
  <c r="BS79" i="29" s="1"/>
  <c r="BF79" i="29"/>
  <c r="BT78" i="29"/>
  <c r="BH78" i="29"/>
  <c r="BS78" i="29" s="1"/>
  <c r="AL84" i="29"/>
  <c r="AD90" i="29"/>
  <c r="AF85" i="29"/>
  <c r="AO85" i="29"/>
  <c r="BK85" i="29"/>
  <c r="AV197" i="29"/>
  <c r="BR85" i="29"/>
  <c r="AV90" i="29"/>
  <c r="BN92" i="29"/>
  <c r="AN92" i="29"/>
  <c r="BM92" i="29" s="1"/>
  <c r="AP94" i="29"/>
  <c r="BL94" i="29"/>
  <c r="AL102" i="29"/>
  <c r="AN97" i="29"/>
  <c r="BN97" i="29"/>
  <c r="BN102" i="29" s="1"/>
  <c r="BL99" i="29"/>
  <c r="AP99" i="29"/>
  <c r="BK107" i="29"/>
  <c r="AO107" i="29"/>
  <c r="AQ107" i="29" s="1"/>
  <c r="AF107" i="29"/>
  <c r="AD110" i="29"/>
  <c r="V114" i="29"/>
  <c r="AD120" i="29"/>
  <c r="AL204" i="29"/>
  <c r="AN139" i="29"/>
  <c r="AL140" i="29"/>
  <c r="BN139" i="29"/>
  <c r="AN73" i="29"/>
  <c r="BM73" i="29" s="1"/>
  <c r="BM75" i="29" s="1"/>
  <c r="BN73" i="29"/>
  <c r="AL75" i="29"/>
  <c r="BT79" i="29"/>
  <c r="BR79" i="29"/>
  <c r="BN77" i="29"/>
  <c r="BN79" i="29" s="1"/>
  <c r="AN77" i="29"/>
  <c r="BM77" i="29" s="1"/>
  <c r="BN84" i="29"/>
  <c r="AE90" i="29"/>
  <c r="BL85" i="29"/>
  <c r="AM203" i="29"/>
  <c r="BG203" i="29"/>
  <c r="BU88" i="29"/>
  <c r="AP89" i="29"/>
  <c r="AF93" i="29"/>
  <c r="AO93" i="29"/>
  <c r="AS94" i="29"/>
  <c r="BQ94" i="29" s="1"/>
  <c r="BJ94" i="29"/>
  <c r="BR123" i="29"/>
  <c r="BR126" i="29" s="1"/>
  <c r="AV126" i="29"/>
  <c r="BU142" i="29"/>
  <c r="BU148" i="29" s="1"/>
  <c r="BH142" i="29"/>
  <c r="BS142" i="29" s="1"/>
  <c r="AB192" i="29"/>
  <c r="AH192" i="29"/>
  <c r="W193" i="29" s="1"/>
  <c r="AT192" i="29"/>
  <c r="AV193" i="29" s="1"/>
  <c r="AZ192" i="29"/>
  <c r="BX192" i="29"/>
  <c r="V202" i="29"/>
  <c r="AM202" i="29"/>
  <c r="BO16" i="29"/>
  <c r="V21" i="29"/>
  <c r="BF21" i="29"/>
  <c r="BN25" i="29"/>
  <c r="AV25" i="29"/>
  <c r="W29" i="29"/>
  <c r="BG29" i="29"/>
  <c r="BL27" i="29"/>
  <c r="AP27" i="29"/>
  <c r="AP29" i="29" s="1"/>
  <c r="BT31" i="29"/>
  <c r="BT32" i="29" s="1"/>
  <c r="BH31" i="29"/>
  <c r="BS31" i="29" s="1"/>
  <c r="BS32" i="29" s="1"/>
  <c r="BF32" i="29"/>
  <c r="BL33" i="29"/>
  <c r="BL36" i="29" s="1"/>
  <c r="AP33" i="29"/>
  <c r="AE36" i="29"/>
  <c r="BU36" i="29"/>
  <c r="AN35" i="29"/>
  <c r="BM35" i="29" s="1"/>
  <c r="AM40" i="29"/>
  <c r="BT37" i="29"/>
  <c r="BT40" i="29" s="1"/>
  <c r="BH37" i="29"/>
  <c r="BO37" i="29"/>
  <c r="BO40" i="29" s="1"/>
  <c r="BL39" i="29"/>
  <c r="AP39" i="29"/>
  <c r="AP40" i="29" s="1"/>
  <c r="AL44" i="29"/>
  <c r="AN41" i="29"/>
  <c r="BN41" i="29"/>
  <c r="BN44" i="29" s="1"/>
  <c r="BL42" i="29"/>
  <c r="AP42" i="29"/>
  <c r="AQ42" i="29" s="1"/>
  <c r="BO48" i="29"/>
  <c r="BT46" i="29"/>
  <c r="BT48" i="29" s="1"/>
  <c r="BH46" i="29"/>
  <c r="BS46" i="29" s="1"/>
  <c r="AD52" i="29"/>
  <c r="AF49" i="29"/>
  <c r="BK49" i="29"/>
  <c r="BK52" i="29" s="1"/>
  <c r="AO49" i="29"/>
  <c r="V56" i="29"/>
  <c r="BG56" i="29"/>
  <c r="BG59" i="29"/>
  <c r="BU57" i="29"/>
  <c r="BU59" i="29" s="1"/>
  <c r="BF59" i="29"/>
  <c r="BT58" i="29"/>
  <c r="BT59" i="29" s="1"/>
  <c r="BH58" i="29"/>
  <c r="BS58" i="29" s="1"/>
  <c r="BS59" i="29" s="1"/>
  <c r="BL62" i="29"/>
  <c r="AP62" i="29"/>
  <c r="BK66" i="29"/>
  <c r="AO66" i="29"/>
  <c r="W75" i="29"/>
  <c r="AE72" i="29"/>
  <c r="BN75" i="29"/>
  <c r="AQ74" i="29"/>
  <c r="BG79" i="29"/>
  <c r="BU76" i="29"/>
  <c r="BU79" i="29" s="1"/>
  <c r="BR80" i="29"/>
  <c r="BR84" i="29" s="1"/>
  <c r="AF82" i="29"/>
  <c r="AO82" i="29"/>
  <c r="AQ82" i="29" s="1"/>
  <c r="AN83" i="29"/>
  <c r="BM83" i="29" s="1"/>
  <c r="BU90" i="29"/>
  <c r="AN86" i="29"/>
  <c r="BM86" i="29" s="1"/>
  <c r="BU86" i="29"/>
  <c r="BU197" i="29" s="1"/>
  <c r="AP92" i="29"/>
  <c r="AE109" i="29"/>
  <c r="W114" i="29"/>
  <c r="AF111" i="29"/>
  <c r="AO111" i="29"/>
  <c r="BK111" i="29"/>
  <c r="BT111" i="29"/>
  <c r="BH111" i="29"/>
  <c r="BS111" i="29" s="1"/>
  <c r="BT113" i="29"/>
  <c r="BH113" i="29"/>
  <c r="BS113" i="29" s="1"/>
  <c r="AN153" i="29"/>
  <c r="BM153" i="29" s="1"/>
  <c r="AO153" i="29"/>
  <c r="BN153" i="29"/>
  <c r="AF125" i="29"/>
  <c r="BL125" i="29"/>
  <c r="AP125" i="29"/>
  <c r="AP204" i="29"/>
  <c r="AP140" i="29"/>
  <c r="AV63" i="29"/>
  <c r="BR60" i="29"/>
  <c r="BR63" i="29" s="1"/>
  <c r="BK62" i="29"/>
  <c r="AN70" i="29"/>
  <c r="BM70" i="29" s="1"/>
  <c r="AL79" i="29"/>
  <c r="AN76" i="29"/>
  <c r="BL77" i="29"/>
  <c r="AD84" i="29"/>
  <c r="AO80" i="29"/>
  <c r="AL197" i="29"/>
  <c r="BL86" i="29"/>
  <c r="AP86" i="29"/>
  <c r="AP90" i="29" s="1"/>
  <c r="AN89" i="29"/>
  <c r="BM89" i="29" s="1"/>
  <c r="BN89" i="29"/>
  <c r="BN90" i="29" s="1"/>
  <c r="AL90" i="29"/>
  <c r="V96" i="29"/>
  <c r="AD91" i="29"/>
  <c r="AN93" i="29"/>
  <c r="BM93" i="29" s="1"/>
  <c r="BN93" i="29"/>
  <c r="BU93" i="29"/>
  <c r="BU96" i="29" s="1"/>
  <c r="BH94" i="29"/>
  <c r="BS94" i="29" s="1"/>
  <c r="BT102" i="29"/>
  <c r="BT98" i="29"/>
  <c r="BH98" i="29"/>
  <c r="BS98" i="29" s="1"/>
  <c r="BO101" i="29"/>
  <c r="AN101" i="29"/>
  <c r="BM101" i="29" s="1"/>
  <c r="AL114" i="29"/>
  <c r="BN109" i="29"/>
  <c r="BN114" i="29" s="1"/>
  <c r="AO112" i="29"/>
  <c r="BG120" i="29"/>
  <c r="BU115" i="29"/>
  <c r="BU120" i="29" s="1"/>
  <c r="BL116" i="29"/>
  <c r="AP116" i="29"/>
  <c r="BH126" i="29"/>
  <c r="BS121" i="29"/>
  <c r="BN125" i="29"/>
  <c r="AS128" i="29"/>
  <c r="BQ128" i="29" s="1"/>
  <c r="BJ128" i="29"/>
  <c r="AR128" i="29"/>
  <c r="BP128" i="29" s="1"/>
  <c r="AE133" i="29"/>
  <c r="W138" i="29"/>
  <c r="AF134" i="29"/>
  <c r="BK134" i="29"/>
  <c r="AO134" i="29"/>
  <c r="AQ134" i="29" s="1"/>
  <c r="AF136" i="29"/>
  <c r="AO137" i="29"/>
  <c r="AF137" i="29"/>
  <c r="AM155" i="29"/>
  <c r="BL112" i="29"/>
  <c r="AP112" i="29"/>
  <c r="BJ117" i="29"/>
  <c r="AS117" i="29"/>
  <c r="BQ117" i="29" s="1"/>
  <c r="AR117" i="29"/>
  <c r="BP117" i="29" s="1"/>
  <c r="BL124" i="29"/>
  <c r="AP124" i="29"/>
  <c r="AQ124" i="29" s="1"/>
  <c r="AP47" i="29"/>
  <c r="AP50" i="29"/>
  <c r="AO51" i="29"/>
  <c r="AQ51" i="29" s="1"/>
  <c r="AP53" i="29"/>
  <c r="AP56" i="29" s="1"/>
  <c r="AO54" i="29"/>
  <c r="AQ54" i="29" s="1"/>
  <c r="AW54" i="29" s="1"/>
  <c r="BI54" i="29" s="1"/>
  <c r="AO57" i="29"/>
  <c r="AD63" i="29"/>
  <c r="AO60" i="29"/>
  <c r="BT60" i="29"/>
  <c r="BT63" i="29" s="1"/>
  <c r="BH60" i="29"/>
  <c r="BU62" i="29"/>
  <c r="BU63" i="29" s="1"/>
  <c r="W67" i="29"/>
  <c r="V71" i="29"/>
  <c r="BL83" i="29"/>
  <c r="AP83" i="29"/>
  <c r="AQ83" i="29" s="1"/>
  <c r="V197" i="29"/>
  <c r="BK87" i="29"/>
  <c r="AO87" i="29"/>
  <c r="AQ87" i="29" s="1"/>
  <c r="BR91" i="29"/>
  <c r="BR96" i="29" s="1"/>
  <c r="AV96" i="29"/>
  <c r="AF92" i="29"/>
  <c r="BK92" i="29"/>
  <c r="AO92" i="29"/>
  <c r="AQ92" i="29" s="1"/>
  <c r="BO102" i="29"/>
  <c r="AQ99" i="29"/>
  <c r="BO108" i="29"/>
  <c r="AN114" i="29"/>
  <c r="BM109" i="29"/>
  <c r="BM114" i="29" s="1"/>
  <c r="AF112" i="29"/>
  <c r="BO120" i="29"/>
  <c r="BO116" i="29"/>
  <c r="BK118" i="29"/>
  <c r="AO118" i="29"/>
  <c r="AQ118" i="29" s="1"/>
  <c r="AW118" i="29" s="1"/>
  <c r="BI118" i="29" s="1"/>
  <c r="AM120" i="29"/>
  <c r="BK124" i="29"/>
  <c r="AF124" i="29"/>
  <c r="AN135" i="29"/>
  <c r="BM135" i="29" s="1"/>
  <c r="BN135" i="29"/>
  <c r="BU135" i="29"/>
  <c r="BU138" i="29" s="1"/>
  <c r="BH135" i="29"/>
  <c r="BS135" i="29" s="1"/>
  <c r="BL136" i="29"/>
  <c r="AP136" i="29"/>
  <c r="BO152" i="29"/>
  <c r="BO155" i="29" s="1"/>
  <c r="AP152" i="29"/>
  <c r="AN152" i="29"/>
  <c r="BM152" i="29" s="1"/>
  <c r="AM159" i="29"/>
  <c r="BO156" i="29"/>
  <c r="BO159" i="29" s="1"/>
  <c r="AN156" i="29"/>
  <c r="BG67" i="29"/>
  <c r="BL68" i="29"/>
  <c r="BL71" i="29" s="1"/>
  <c r="AP68" i="29"/>
  <c r="BF71" i="29"/>
  <c r="AM75" i="29"/>
  <c r="BT81" i="29"/>
  <c r="BH81" i="29"/>
  <c r="BS81" i="29" s="1"/>
  <c r="W197" i="29"/>
  <c r="W90" i="29"/>
  <c r="BF197" i="29"/>
  <c r="BF90" i="29"/>
  <c r="BT85" i="29"/>
  <c r="AL203" i="29"/>
  <c r="BN88" i="29"/>
  <c r="AN88" i="29"/>
  <c r="AF89" i="29"/>
  <c r="BK89" i="29"/>
  <c r="AO89" i="29"/>
  <c r="AQ89" i="29" s="1"/>
  <c r="BT95" i="29"/>
  <c r="BH95" i="29"/>
  <c r="BS95" i="29" s="1"/>
  <c r="AD98" i="29"/>
  <c r="AF99" i="29"/>
  <c r="BK99" i="29"/>
  <c r="BT101" i="29"/>
  <c r="BH101" i="29"/>
  <c r="BS101" i="29" s="1"/>
  <c r="BL106" i="29"/>
  <c r="AP106" i="29"/>
  <c r="AF113" i="29"/>
  <c r="BK113" i="29"/>
  <c r="AO113" i="29"/>
  <c r="AQ113" i="29" s="1"/>
  <c r="V120" i="29"/>
  <c r="BK117" i="29"/>
  <c r="W126" i="29"/>
  <c r="AE121" i="29"/>
  <c r="AQ122" i="29"/>
  <c r="AD132" i="29"/>
  <c r="BK127" i="29"/>
  <c r="AO127" i="29"/>
  <c r="AN144" i="29"/>
  <c r="BM144" i="29" s="1"/>
  <c r="BN144" i="29"/>
  <c r="AE160" i="29"/>
  <c r="W164" i="29"/>
  <c r="BG197" i="29"/>
  <c r="BG90" i="29"/>
  <c r="W203" i="29"/>
  <c r="AV203" i="29"/>
  <c r="BR88" i="29"/>
  <c r="BT104" i="29"/>
  <c r="BT108" i="29" s="1"/>
  <c r="BH104" i="29"/>
  <c r="BS104" i="29" s="1"/>
  <c r="BT107" i="29"/>
  <c r="BH107" i="29"/>
  <c r="BS107" i="29" s="1"/>
  <c r="AV114" i="29"/>
  <c r="W120" i="29"/>
  <c r="AE115" i="29"/>
  <c r="AO115" i="29"/>
  <c r="AF116" i="29"/>
  <c r="BK116" i="29"/>
  <c r="AO116" i="29"/>
  <c r="AN119" i="29"/>
  <c r="BM119" i="29" s="1"/>
  <c r="BT119" i="29"/>
  <c r="BH119" i="29"/>
  <c r="BS119" i="29" s="1"/>
  <c r="AP123" i="29"/>
  <c r="BG132" i="29"/>
  <c r="BU127" i="29"/>
  <c r="BU132" i="29" s="1"/>
  <c r="BH127" i="29"/>
  <c r="BK128" i="29"/>
  <c r="AO128" i="29"/>
  <c r="AQ128" i="29" s="1"/>
  <c r="AP128" i="29"/>
  <c r="AF130" i="29"/>
  <c r="AO130" i="29"/>
  <c r="AQ130" i="29" s="1"/>
  <c r="BK130" i="29"/>
  <c r="BG138" i="29"/>
  <c r="BL135" i="29"/>
  <c r="AP135" i="29"/>
  <c r="AP137" i="29"/>
  <c r="BL137" i="29"/>
  <c r="V148" i="29"/>
  <c r="AD141" i="29"/>
  <c r="BH144" i="29"/>
  <c r="BS144" i="29" s="1"/>
  <c r="BT144" i="29"/>
  <c r="AP146" i="29"/>
  <c r="AS151" i="29"/>
  <c r="BQ151" i="29" s="1"/>
  <c r="AR151" i="29"/>
  <c r="BP151" i="29" s="1"/>
  <c r="BJ151" i="29"/>
  <c r="AV168" i="29"/>
  <c r="BR165" i="29"/>
  <c r="BR168" i="29" s="1"/>
  <c r="AF101" i="29"/>
  <c r="BK101" i="29"/>
  <c r="AO101" i="29"/>
  <c r="AQ101" i="29" s="1"/>
  <c r="V108" i="29"/>
  <c r="AN108" i="29"/>
  <c r="BG108" i="29"/>
  <c r="BU103" i="29"/>
  <c r="BU108" i="29" s="1"/>
  <c r="BH103" i="29"/>
  <c r="AN105" i="29"/>
  <c r="BM105" i="29" s="1"/>
  <c r="BM108" i="29" s="1"/>
  <c r="BN105" i="29"/>
  <c r="BN108" i="29" s="1"/>
  <c r="AP111" i="29"/>
  <c r="BK115" i="29"/>
  <c r="BL117" i="29"/>
  <c r="AP117" i="29"/>
  <c r="AQ117" i="29" s="1"/>
  <c r="AW117" i="29" s="1"/>
  <c r="BI117" i="29" s="1"/>
  <c r="BN123" i="29"/>
  <c r="BN126" i="29" s="1"/>
  <c r="AN123" i="29"/>
  <c r="BM123" i="29" s="1"/>
  <c r="AL126" i="29"/>
  <c r="AO129" i="29"/>
  <c r="AQ129" i="29" s="1"/>
  <c r="BK129" i="29"/>
  <c r="AF129" i="29"/>
  <c r="AM138" i="29"/>
  <c r="BO133" i="29"/>
  <c r="BO138" i="29" s="1"/>
  <c r="AN133" i="29"/>
  <c r="AO135" i="29"/>
  <c r="AF135" i="29"/>
  <c r="AV204" i="29"/>
  <c r="AV140" i="29"/>
  <c r="BR139" i="29"/>
  <c r="AE148" i="29"/>
  <c r="BL141" i="29"/>
  <c r="AP141" i="29"/>
  <c r="AO144" i="29"/>
  <c r="AQ144" i="29" s="1"/>
  <c r="AO145" i="29"/>
  <c r="AO147" i="29"/>
  <c r="AF147" i="29"/>
  <c r="AL155" i="29"/>
  <c r="BK154" i="29"/>
  <c r="AO154" i="29"/>
  <c r="AQ154" i="29" s="1"/>
  <c r="AF154" i="29"/>
  <c r="BU100" i="29"/>
  <c r="BH100" i="29"/>
  <c r="BS100" i="29" s="1"/>
  <c r="BK103" i="29"/>
  <c r="AF104" i="29"/>
  <c r="BK104" i="29"/>
  <c r="AO104" i="29"/>
  <c r="BO114" i="29"/>
  <c r="BG114" i="29"/>
  <c r="BU109" i="29"/>
  <c r="BU114" i="29" s="1"/>
  <c r="BT110" i="29"/>
  <c r="BT114" i="29" s="1"/>
  <c r="BH110" i="29"/>
  <c r="BU112" i="29"/>
  <c r="BH112" i="29"/>
  <c r="BS112" i="29" s="1"/>
  <c r="BF114" i="29"/>
  <c r="BT116" i="29"/>
  <c r="BH116" i="29"/>
  <c r="BS116" i="29" s="1"/>
  <c r="AN117" i="29"/>
  <c r="BM117" i="29" s="1"/>
  <c r="BM120" i="29" s="1"/>
  <c r="BN117" i="29"/>
  <c r="BN120" i="29" s="1"/>
  <c r="BL118" i="29"/>
  <c r="AP118" i="29"/>
  <c r="BM126" i="29"/>
  <c r="BT122" i="29"/>
  <c r="BT126" i="29" s="1"/>
  <c r="BH122" i="29"/>
  <c r="BS122" i="29" s="1"/>
  <c r="BF126" i="29"/>
  <c r="AE132" i="29"/>
  <c r="BL127" i="29"/>
  <c r="AP127" i="29"/>
  <c r="AP132" i="29" s="1"/>
  <c r="BO132" i="29"/>
  <c r="BR138" i="29"/>
  <c r="BS141" i="29"/>
  <c r="BS148" i="29" s="1"/>
  <c r="BN145" i="29"/>
  <c r="AN145" i="29"/>
  <c r="BM145" i="29" s="1"/>
  <c r="BF164" i="29"/>
  <c r="BH160" i="29"/>
  <c r="BT160" i="29"/>
  <c r="AP163" i="29"/>
  <c r="AQ163" i="29" s="1"/>
  <c r="BL163" i="29"/>
  <c r="BF203" i="29"/>
  <c r="AL96" i="29"/>
  <c r="AL108" i="29"/>
  <c r="BN119" i="29"/>
  <c r="AL120" i="29"/>
  <c r="BK125" i="29"/>
  <c r="AO125" i="29"/>
  <c r="AQ125" i="29" s="1"/>
  <c r="BT125" i="29"/>
  <c r="AM126" i="29"/>
  <c r="AM192" i="29" s="1"/>
  <c r="BO193" i="29" s="1"/>
  <c r="BV132" i="29"/>
  <c r="BV192" i="29" s="1"/>
  <c r="V138" i="29"/>
  <c r="BF138" i="29"/>
  <c r="AN137" i="29"/>
  <c r="BM137" i="29" s="1"/>
  <c r="BR148" i="29"/>
  <c r="BK142" i="29"/>
  <c r="AO142" i="29"/>
  <c r="AO143" i="29"/>
  <c r="AQ143" i="29" s="1"/>
  <c r="BK143" i="29"/>
  <c r="AD149" i="29"/>
  <c r="V155" i="29"/>
  <c r="BM149" i="29"/>
  <c r="AQ151" i="29"/>
  <c r="BL154" i="29"/>
  <c r="AP154" i="29"/>
  <c r="AS157" i="29"/>
  <c r="BQ157" i="29" s="1"/>
  <c r="BJ157" i="29"/>
  <c r="AR157" i="29"/>
  <c r="BP157" i="29" s="1"/>
  <c r="BN162" i="29"/>
  <c r="AN162" i="29"/>
  <c r="BM162" i="29" s="1"/>
  <c r="BM164" i="29" s="1"/>
  <c r="AF166" i="29"/>
  <c r="BK166" i="29"/>
  <c r="AO166" i="29"/>
  <c r="AF172" i="29"/>
  <c r="BL172" i="29"/>
  <c r="AP172" i="29"/>
  <c r="AP184" i="29"/>
  <c r="BR186" i="29"/>
  <c r="BR191" i="29" s="1"/>
  <c r="AV191" i="29"/>
  <c r="BG204" i="29"/>
  <c r="BG140" i="29"/>
  <c r="BU139" i="29"/>
  <c r="AL148" i="29"/>
  <c r="AN141" i="29"/>
  <c r="BN141" i="29"/>
  <c r="BN148" i="29" s="1"/>
  <c r="BL142" i="29"/>
  <c r="AP142" i="29"/>
  <c r="BL147" i="29"/>
  <c r="AP147" i="29"/>
  <c r="V159" i="29"/>
  <c r="AD156" i="29"/>
  <c r="BN164" i="29"/>
  <c r="BL166" i="29"/>
  <c r="AP166" i="29"/>
  <c r="BP176" i="29"/>
  <c r="BT178" i="29"/>
  <c r="BG191" i="29"/>
  <c r="BH185" i="29"/>
  <c r="BU185" i="29"/>
  <c r="BU191" i="29" s="1"/>
  <c r="BH186" i="29"/>
  <c r="BS186" i="29" s="1"/>
  <c r="BT186" i="29"/>
  <c r="BF191" i="29"/>
  <c r="BH88" i="29"/>
  <c r="BT88" i="29"/>
  <c r="AP93" i="29"/>
  <c r="AO94" i="29"/>
  <c r="AQ94" i="29" s="1"/>
  <c r="AW94" i="29" s="1"/>
  <c r="BI94" i="29" s="1"/>
  <c r="AO97" i="29"/>
  <c r="AP105" i="29"/>
  <c r="AO106" i="29"/>
  <c r="AQ106" i="29" s="1"/>
  <c r="AW106" i="29" s="1"/>
  <c r="BI106" i="29" s="1"/>
  <c r="AO109" i="29"/>
  <c r="BH115" i="29"/>
  <c r="BT115" i="29"/>
  <c r="AD121" i="29"/>
  <c r="AN127" i="29"/>
  <c r="AN130" i="29"/>
  <c r="BM130" i="29" s="1"/>
  <c r="BL131" i="29"/>
  <c r="AP131" i="29"/>
  <c r="AL138" i="29"/>
  <c r="BN136" i="29"/>
  <c r="BN138" i="29" s="1"/>
  <c r="BT137" i="29"/>
  <c r="BH137" i="29"/>
  <c r="BS137" i="29" s="1"/>
  <c r="W204" i="29"/>
  <c r="W140" i="29"/>
  <c r="BH139" i="29"/>
  <c r="BT204" i="29"/>
  <c r="BT140" i="29"/>
  <c r="AM148" i="29"/>
  <c r="BO141" i="29"/>
  <c r="BO148" i="29" s="1"/>
  <c r="AF142" i="29"/>
  <c r="AF143" i="29"/>
  <c r="BL143" i="29"/>
  <c r="AF145" i="29"/>
  <c r="BK145" i="29"/>
  <c r="BT147" i="29"/>
  <c r="BT148" i="29" s="1"/>
  <c r="AV155" i="29"/>
  <c r="BR149" i="29"/>
  <c r="BR155" i="29" s="1"/>
  <c r="AF152" i="29"/>
  <c r="AO152" i="29"/>
  <c r="AQ152" i="29" s="1"/>
  <c r="BU161" i="29"/>
  <c r="BU164" i="29" s="1"/>
  <c r="BH161" i="29"/>
  <c r="BS161" i="29" s="1"/>
  <c r="AN164" i="29"/>
  <c r="AS174" i="29"/>
  <c r="BQ174" i="29" s="1"/>
  <c r="BJ174" i="29"/>
  <c r="AR174" i="29"/>
  <c r="BP174" i="29" s="1"/>
  <c r="AP189" i="29"/>
  <c r="BG126" i="29"/>
  <c r="BU121" i="29"/>
  <c r="BU126" i="29" s="1"/>
  <c r="BT129" i="29"/>
  <c r="BT132" i="29" s="1"/>
  <c r="BH129" i="29"/>
  <c r="BS129" i="29" s="1"/>
  <c r="BK136" i="29"/>
  <c r="AO136" i="29"/>
  <c r="AQ136" i="29" s="1"/>
  <c r="AE204" i="29"/>
  <c r="BL139" i="29"/>
  <c r="BG148" i="29"/>
  <c r="AF144" i="29"/>
  <c r="BK144" i="29"/>
  <c r="BL145" i="29"/>
  <c r="AP145" i="29"/>
  <c r="AN146" i="29"/>
  <c r="BM146" i="29" s="1"/>
  <c r="AN150" i="29"/>
  <c r="BM150" i="29" s="1"/>
  <c r="BT152" i="29"/>
  <c r="BH152" i="29"/>
  <c r="BS152" i="29" s="1"/>
  <c r="AF153" i="29"/>
  <c r="BK153" i="29"/>
  <c r="AP158" i="29"/>
  <c r="AQ158" i="29" s="1"/>
  <c r="AF158" i="29"/>
  <c r="BR162" i="29"/>
  <c r="BR164" i="29" s="1"/>
  <c r="AV164" i="29"/>
  <c r="AF167" i="29"/>
  <c r="AO167" i="29"/>
  <c r="AQ167" i="29" s="1"/>
  <c r="BK167" i="29"/>
  <c r="BK168" i="29" s="1"/>
  <c r="W175" i="29"/>
  <c r="AE169" i="29"/>
  <c r="BK190" i="29"/>
  <c r="AF190" i="29"/>
  <c r="AO190" i="29"/>
  <c r="BN129" i="29"/>
  <c r="BN132" i="29" s="1"/>
  <c r="W132" i="29"/>
  <c r="BN137" i="29"/>
  <c r="BO139" i="29"/>
  <c r="AM140" i="29"/>
  <c r="AN147" i="29"/>
  <c r="BM147" i="29" s="1"/>
  <c r="BF155" i="29"/>
  <c r="BN155" i="29"/>
  <c r="AO150" i="29"/>
  <c r="BS159" i="29"/>
  <c r="AO161" i="29"/>
  <c r="AQ161" i="29" s="1"/>
  <c r="BK161" i="29"/>
  <c r="BK163" i="29"/>
  <c r="AF163" i="29"/>
  <c r="BG168" i="29"/>
  <c r="BU166" i="29"/>
  <c r="BU168" i="29" s="1"/>
  <c r="BO184" i="29"/>
  <c r="BM185" i="29"/>
  <c r="BH189" i="29"/>
  <c r="BS189" i="29" s="1"/>
  <c r="BT189" i="29"/>
  <c r="AN175" i="29"/>
  <c r="BM169" i="29"/>
  <c r="AQ171" i="29"/>
  <c r="AO173" i="29"/>
  <c r="AQ173" i="29" s="1"/>
  <c r="AF173" i="29"/>
  <c r="BK173" i="29"/>
  <c r="BH173" i="29"/>
  <c r="BS173" i="29" s="1"/>
  <c r="BT173" i="29"/>
  <c r="BK178" i="29"/>
  <c r="W178" i="29"/>
  <c r="AE177" i="29"/>
  <c r="AQ179" i="29"/>
  <c r="BJ187" i="29"/>
  <c r="AS187" i="29"/>
  <c r="BQ187" i="29" s="1"/>
  <c r="AR187" i="29"/>
  <c r="BP187" i="29" s="1"/>
  <c r="BK188" i="29"/>
  <c r="AF188" i="29"/>
  <c r="BH131" i="29"/>
  <c r="BS131" i="29" s="1"/>
  <c r="BH133" i="29"/>
  <c r="BT133" i="29"/>
  <c r="BT138" i="29" s="1"/>
  <c r="AD139" i="29"/>
  <c r="BF148" i="29"/>
  <c r="BT143" i="29"/>
  <c r="BH143" i="29"/>
  <c r="BS143" i="29" s="1"/>
  <c r="W155" i="29"/>
  <c r="BH149" i="29"/>
  <c r="AP150" i="29"/>
  <c r="AP155" i="29" s="1"/>
  <c r="BL153" i="29"/>
  <c r="BL155" i="29" s="1"/>
  <c r="AP153" i="29"/>
  <c r="AE159" i="29"/>
  <c r="BL156" i="29"/>
  <c r="BL159" i="29" s="1"/>
  <c r="AP156" i="29"/>
  <c r="AP159" i="29" s="1"/>
  <c r="BR156" i="29"/>
  <c r="BR159" i="29" s="1"/>
  <c r="AV159" i="29"/>
  <c r="BK157" i="29"/>
  <c r="AO157" i="29"/>
  <c r="AQ157" i="29" s="1"/>
  <c r="AW157" i="29" s="1"/>
  <c r="BI157" i="29" s="1"/>
  <c r="AL159" i="29"/>
  <c r="AL164" i="29"/>
  <c r="AF161" i="29"/>
  <c r="AD168" i="29"/>
  <c r="AM168" i="29"/>
  <c r="BO167" i="29"/>
  <c r="AN167" i="29"/>
  <c r="BM167" i="29" s="1"/>
  <c r="BU199" i="29"/>
  <c r="BN172" i="29"/>
  <c r="AO178" i="29"/>
  <c r="AQ176" i="29"/>
  <c r="BL183" i="29"/>
  <c r="AF183" i="29"/>
  <c r="AP183" i="29"/>
  <c r="V191" i="29"/>
  <c r="AD185" i="29"/>
  <c r="BK146" i="29"/>
  <c r="AO146" i="29"/>
  <c r="AF146" i="29"/>
  <c r="AE155" i="29"/>
  <c r="BJ150" i="29"/>
  <c r="AS150" i="29"/>
  <c r="BQ150" i="29" s="1"/>
  <c r="BT151" i="29"/>
  <c r="BT155" i="29" s="1"/>
  <c r="BH151" i="29"/>
  <c r="BS151" i="29" s="1"/>
  <c r="BL157" i="29"/>
  <c r="AM164" i="29"/>
  <c r="BO160" i="29"/>
  <c r="BO164" i="29" s="1"/>
  <c r="BN161" i="29"/>
  <c r="BT163" i="29"/>
  <c r="BH163" i="29"/>
  <c r="BS163" i="29" s="1"/>
  <c r="AN165" i="29"/>
  <c r="BN165" i="29"/>
  <c r="BN168" i="29" s="1"/>
  <c r="AL168" i="29"/>
  <c r="BK169" i="29"/>
  <c r="AO169" i="29"/>
  <c r="BK171" i="29"/>
  <c r="AF171" i="29"/>
  <c r="AN173" i="29"/>
  <c r="BM173" i="29" s="1"/>
  <c r="BN173" i="29"/>
  <c r="BK174" i="29"/>
  <c r="AO174" i="29"/>
  <c r="AQ174" i="29" s="1"/>
  <c r="BP179" i="29"/>
  <c r="BL182" i="29"/>
  <c r="AP182" i="29"/>
  <c r="BT166" i="29"/>
  <c r="BT168" i="29" s="1"/>
  <c r="BH166" i="29"/>
  <c r="W199" i="29"/>
  <c r="AE170" i="29"/>
  <c r="BL171" i="29"/>
  <c r="AP171" i="29"/>
  <c r="BR177" i="29"/>
  <c r="BR178" i="29" s="1"/>
  <c r="AV178" i="29"/>
  <c r="BJ179" i="29"/>
  <c r="AS179" i="29"/>
  <c r="BR184" i="29"/>
  <c r="AD180" i="29"/>
  <c r="AD184" i="29" s="1"/>
  <c r="V184" i="29"/>
  <c r="BL180" i="29"/>
  <c r="BL184" i="29" s="1"/>
  <c r="AE185" i="29"/>
  <c r="W191" i="29"/>
  <c r="AS186" i="29"/>
  <c r="BQ186" i="29" s="1"/>
  <c r="BJ186" i="29"/>
  <c r="AR186" i="29"/>
  <c r="BP186" i="29" s="1"/>
  <c r="AO187" i="29"/>
  <c r="AQ187" i="29" s="1"/>
  <c r="BF194" i="29"/>
  <c r="AD199" i="29"/>
  <c r="AF170" i="29"/>
  <c r="BK170" i="29"/>
  <c r="AN171" i="29"/>
  <c r="BM171" i="29" s="1"/>
  <c r="BN171" i="29"/>
  <c r="BN175" i="29" s="1"/>
  <c r="BJ176" i="29"/>
  <c r="AS176" i="29"/>
  <c r="BT177" i="29"/>
  <c r="BH177" i="29"/>
  <c r="BS177" i="29" s="1"/>
  <c r="AN179" i="29"/>
  <c r="AL184" i="29"/>
  <c r="BN179" i="29"/>
  <c r="BF184" i="29"/>
  <c r="BT179" i="29"/>
  <c r="BH179" i="29"/>
  <c r="AD160" i="29"/>
  <c r="V164" i="29"/>
  <c r="BO168" i="29"/>
  <c r="V168" i="29"/>
  <c r="AL199" i="29"/>
  <c r="AL175" i="29"/>
  <c r="AN170" i="29"/>
  <c r="BF199" i="29"/>
  <c r="BH170" i="29"/>
  <c r="BH174" i="29"/>
  <c r="BS174" i="29" s="1"/>
  <c r="AN176" i="29"/>
  <c r="AL178" i="29"/>
  <c r="BF178" i="29"/>
  <c r="BH176" i="29"/>
  <c r="AF182" i="29"/>
  <c r="AO182" i="29"/>
  <c r="AQ182" i="29" s="1"/>
  <c r="AN190" i="29"/>
  <c r="BM190" i="29" s="1"/>
  <c r="BO190" i="29"/>
  <c r="BO203" i="29" s="1"/>
  <c r="BX195" i="29"/>
  <c r="K195" i="29"/>
  <c r="J194" i="29" s="1"/>
  <c r="Q195" i="29"/>
  <c r="AC195" i="29"/>
  <c r="BF159" i="29"/>
  <c r="AE165" i="29"/>
  <c r="BH167" i="29"/>
  <c r="BS167" i="29" s="1"/>
  <c r="BT169" i="29"/>
  <c r="BT175" i="29" s="1"/>
  <c r="BH169" i="29"/>
  <c r="AM199" i="29"/>
  <c r="AV199" i="29"/>
  <c r="AV195" i="29" s="1"/>
  <c r="BU171" i="29"/>
  <c r="BU175" i="29" s="1"/>
  <c r="AV175" i="29"/>
  <c r="BG184" i="29"/>
  <c r="BU179" i="29"/>
  <c r="BU184" i="29" s="1"/>
  <c r="BH181" i="29"/>
  <c r="BS181" i="29" s="1"/>
  <c r="AN182" i="29"/>
  <c r="BM182" i="29" s="1"/>
  <c r="BK186" i="29"/>
  <c r="AO186" i="29"/>
  <c r="AQ186" i="29" s="1"/>
  <c r="AW186" i="29" s="1"/>
  <c r="BI186" i="29" s="1"/>
  <c r="V199" i="29"/>
  <c r="BR170" i="29"/>
  <c r="BR199" i="29" s="1"/>
  <c r="BK172" i="29"/>
  <c r="AO172" i="29"/>
  <c r="AQ172" i="29" s="1"/>
  <c r="AN180" i="29"/>
  <c r="BM180" i="29" s="1"/>
  <c r="AF181" i="29"/>
  <c r="BK181" i="29"/>
  <c r="BN183" i="29"/>
  <c r="BN191" i="29"/>
  <c r="AP186" i="29"/>
  <c r="BL186" i="29"/>
  <c r="BL190" i="29"/>
  <c r="AP190" i="29"/>
  <c r="BT190" i="29"/>
  <c r="BH190" i="29"/>
  <c r="BS190" i="29" s="1"/>
  <c r="BV195" i="29"/>
  <c r="AV194" i="29"/>
  <c r="AM175" i="29"/>
  <c r="BO199" i="29"/>
  <c r="BF175" i="29"/>
  <c r="BT191" i="29"/>
  <c r="AM191" i="29"/>
  <c r="BO186" i="29"/>
  <c r="BO191" i="29" s="1"/>
  <c r="AF189" i="29"/>
  <c r="AO189" i="29"/>
  <c r="AQ189" i="29" s="1"/>
  <c r="BK189" i="29"/>
  <c r="BG194" i="29"/>
  <c r="BO176" i="29"/>
  <c r="BO178" i="29" s="1"/>
  <c r="BT180" i="29"/>
  <c r="BH180" i="29"/>
  <c r="BS180" i="29" s="1"/>
  <c r="BU182" i="29"/>
  <c r="AL191" i="29"/>
  <c r="BG199" i="29"/>
  <c r="W184" i="29"/>
  <c r="BK183" i="29"/>
  <c r="AO183" i="29"/>
  <c r="AQ183" i="29" s="1"/>
  <c r="AM184" i="29"/>
  <c r="AN188" i="29"/>
  <c r="BM188" i="29" s="1"/>
  <c r="J193" i="29"/>
  <c r="BW195" i="29"/>
  <c r="BV194" i="29" s="1"/>
  <c r="J195" i="29"/>
  <c r="P195" i="29"/>
  <c r="AA195" i="29"/>
  <c r="BK13" i="42"/>
  <c r="AO13" i="42"/>
  <c r="AF13" i="42"/>
  <c r="BM12" i="42"/>
  <c r="AM203" i="42"/>
  <c r="AV203" i="42"/>
  <c r="AV21" i="42"/>
  <c r="BU14" i="42"/>
  <c r="AF16" i="42"/>
  <c r="AF18" i="42"/>
  <c r="BS22" i="42"/>
  <c r="BU33" i="42"/>
  <c r="BT37" i="42"/>
  <c r="BL40" i="42"/>
  <c r="AF39" i="42"/>
  <c r="AO39" i="42"/>
  <c r="BK39" i="42"/>
  <c r="BU52" i="42"/>
  <c r="V203" i="42"/>
  <c r="V21" i="42"/>
  <c r="BR21" i="42"/>
  <c r="AL205" i="42"/>
  <c r="AN14" i="42"/>
  <c r="AO15" i="42"/>
  <c r="AQ15" i="42" s="1"/>
  <c r="AD17" i="42"/>
  <c r="BO20" i="42"/>
  <c r="BR29" i="42"/>
  <c r="AF35" i="42"/>
  <c r="BK35" i="42"/>
  <c r="AO35" i="42"/>
  <c r="AS36" i="42"/>
  <c r="BQ36" i="42" s="1"/>
  <c r="AR36" i="42"/>
  <c r="BP36" i="42" s="1"/>
  <c r="BJ36" i="42"/>
  <c r="W203" i="42"/>
  <c r="W21" i="42"/>
  <c r="BF203" i="42"/>
  <c r="BF21" i="42"/>
  <c r="BT12" i="42"/>
  <c r="BF205" i="42"/>
  <c r="BT14" i="42"/>
  <c r="AL209" i="42"/>
  <c r="BN17" i="42"/>
  <c r="AN17" i="42"/>
  <c r="BO25" i="42"/>
  <c r="AM25" i="42"/>
  <c r="AN23" i="42"/>
  <c r="BM23" i="42" s="1"/>
  <c r="BO23" i="42"/>
  <c r="AF31" i="42"/>
  <c r="BL31" i="42"/>
  <c r="AP31" i="42"/>
  <c r="BK212" i="42"/>
  <c r="BK46" i="42"/>
  <c r="AP48" i="42"/>
  <c r="BL48" i="42"/>
  <c r="BN13" i="42"/>
  <c r="V205" i="42"/>
  <c r="AD14" i="42"/>
  <c r="AD21" i="42" s="1"/>
  <c r="AP14" i="42"/>
  <c r="BO14" i="42"/>
  <c r="AS15" i="42"/>
  <c r="BQ15" i="42" s="1"/>
  <c r="BJ15" i="42"/>
  <c r="AR15" i="42"/>
  <c r="BP15" i="42" s="1"/>
  <c r="BK15" i="42"/>
  <c r="BF209" i="42"/>
  <c r="BT17" i="42"/>
  <c r="BH17" i="42"/>
  <c r="AF20" i="42"/>
  <c r="BK20" i="42"/>
  <c r="AO20" i="42"/>
  <c r="AQ20" i="42" s="1"/>
  <c r="AM21" i="42"/>
  <c r="BM22" i="42"/>
  <c r="AN25" i="42"/>
  <c r="AN24" i="42"/>
  <c r="BM24" i="42" s="1"/>
  <c r="AL25" i="42"/>
  <c r="BL33" i="42"/>
  <c r="AE37" i="42"/>
  <c r="AF34" i="42"/>
  <c r="BL34" i="42"/>
  <c r="BL37" i="42" s="1"/>
  <c r="AP34" i="42"/>
  <c r="AE12" i="42"/>
  <c r="BH12" i="42"/>
  <c r="BO21" i="42"/>
  <c r="BH14" i="42"/>
  <c r="BL16" i="42"/>
  <c r="BL205" i="42" s="1"/>
  <c r="AP16" i="42"/>
  <c r="AQ16" i="42" s="1"/>
  <c r="AF19" i="42"/>
  <c r="BL19" i="42"/>
  <c r="AP19" i="42"/>
  <c r="AV25" i="42"/>
  <c r="BR22" i="42"/>
  <c r="BR25" i="42" s="1"/>
  <c r="V25" i="42"/>
  <c r="AD23" i="42"/>
  <c r="AD203" i="42" s="1"/>
  <c r="BN24" i="42"/>
  <c r="BN25" i="42" s="1"/>
  <c r="BK37" i="42"/>
  <c r="AF38" i="42"/>
  <c r="AD40" i="42"/>
  <c r="AO38" i="42"/>
  <c r="BK38" i="42"/>
  <c r="BK40" i="42" s="1"/>
  <c r="AL203" i="42"/>
  <c r="AL21" i="42"/>
  <c r="BL13" i="42"/>
  <c r="AP13" i="42"/>
  <c r="BH13" i="42"/>
  <c r="BS13" i="42" s="1"/>
  <c r="AE205" i="42"/>
  <c r="BN15" i="42"/>
  <c r="BN205" i="42" s="1"/>
  <c r="W25" i="42"/>
  <c r="AE22" i="42"/>
  <c r="BG203" i="42"/>
  <c r="W210" i="42"/>
  <c r="AN18" i="42"/>
  <c r="AN21" i="42" s="1"/>
  <c r="AV210" i="42"/>
  <c r="BU19" i="42"/>
  <c r="BH20" i="42"/>
  <c r="BS20" i="42" s="1"/>
  <c r="BU22" i="42"/>
  <c r="BU25" i="42" s="1"/>
  <c r="BH23" i="42"/>
  <c r="BS23" i="42" s="1"/>
  <c r="AF24" i="42"/>
  <c r="BH26" i="42"/>
  <c r="BT26" i="42"/>
  <c r="BT29" i="42" s="1"/>
  <c r="AF27" i="42"/>
  <c r="AE28" i="42"/>
  <c r="AF30" i="42"/>
  <c r="BS30" i="42"/>
  <c r="AD32" i="42"/>
  <c r="BR34" i="42"/>
  <c r="BR37" i="42" s="1"/>
  <c r="AN36" i="42"/>
  <c r="BM36" i="42" s="1"/>
  <c r="AP39" i="42"/>
  <c r="AN41" i="42"/>
  <c r="BL41" i="42"/>
  <c r="AS42" i="42"/>
  <c r="BQ42" i="42" s="1"/>
  <c r="BL43" i="42"/>
  <c r="AP43" i="42"/>
  <c r="AO43" i="42"/>
  <c r="AM44" i="42"/>
  <c r="AN45" i="42"/>
  <c r="BR45" i="42"/>
  <c r="AL46" i="42"/>
  <c r="BF46" i="42"/>
  <c r="AN49" i="42"/>
  <c r="BM49" i="42" s="1"/>
  <c r="AP50" i="42"/>
  <c r="AP51" i="42"/>
  <c r="AM52" i="42"/>
  <c r="BM53" i="42"/>
  <c r="BH55" i="42"/>
  <c r="BS55" i="42" s="1"/>
  <c r="BL56" i="42"/>
  <c r="AP56" i="42"/>
  <c r="AP57" i="42"/>
  <c r="BL61" i="42"/>
  <c r="AP61" i="42"/>
  <c r="BL62" i="42"/>
  <c r="AP62" i="42"/>
  <c r="BT63" i="42"/>
  <c r="BH63" i="42"/>
  <c r="BS63" i="42" s="1"/>
  <c r="AF71" i="42"/>
  <c r="BK71" i="42"/>
  <c r="AO71" i="42"/>
  <c r="AO76" i="42" s="1"/>
  <c r="BL73" i="42"/>
  <c r="AP73" i="42"/>
  <c r="BL74" i="42"/>
  <c r="AP74" i="42"/>
  <c r="BT75" i="42"/>
  <c r="BH75" i="42"/>
  <c r="BS75" i="42" s="1"/>
  <c r="BM211" i="42"/>
  <c r="BM78" i="42"/>
  <c r="BT83" i="42"/>
  <c r="BH83" i="42"/>
  <c r="BS83" i="42" s="1"/>
  <c r="BT86" i="42"/>
  <c r="BH86" i="42"/>
  <c r="BF89" i="42"/>
  <c r="AF90" i="42"/>
  <c r="AD95" i="42"/>
  <c r="BK90" i="42"/>
  <c r="AO90" i="42"/>
  <c r="BJ147" i="42"/>
  <c r="AS147" i="42"/>
  <c r="BQ147" i="42" s="1"/>
  <c r="AR147" i="42"/>
  <c r="BP147" i="42" s="1"/>
  <c r="BO26" i="42"/>
  <c r="BO29" i="42" s="1"/>
  <c r="BN27" i="42"/>
  <c r="BN203" i="42" s="1"/>
  <c r="BN30" i="42"/>
  <c r="BN33" i="42" s="1"/>
  <c r="AP32" i="42"/>
  <c r="AP35" i="42"/>
  <c r="AO36" i="42"/>
  <c r="BK36" i="42"/>
  <c r="BG37" i="42"/>
  <c r="BR38" i="42"/>
  <c r="BR40" i="42" s="1"/>
  <c r="V40" i="42"/>
  <c r="AO41" i="42"/>
  <c r="BT41" i="42"/>
  <c r="BT44" i="42" s="1"/>
  <c r="BH41" i="42"/>
  <c r="BU43" i="42"/>
  <c r="BU44" i="42" s="1"/>
  <c r="AO212" i="42"/>
  <c r="BT45" i="42"/>
  <c r="V204" i="42"/>
  <c r="V52" i="42"/>
  <c r="BR47" i="42"/>
  <c r="AF51" i="42"/>
  <c r="BK51" i="42"/>
  <c r="V58" i="42"/>
  <c r="AE55" i="42"/>
  <c r="AS56" i="42"/>
  <c r="BQ56" i="42" s="1"/>
  <c r="AR56" i="42"/>
  <c r="BP56" i="42" s="1"/>
  <c r="AF57" i="42"/>
  <c r="BK57" i="42"/>
  <c r="AO57" i="42"/>
  <c r="AQ57" i="42" s="1"/>
  <c r="BJ61" i="42"/>
  <c r="AS61" i="42"/>
  <c r="BQ61" i="42" s="1"/>
  <c r="BJ62" i="42"/>
  <c r="AS62" i="42"/>
  <c r="BQ62" i="42" s="1"/>
  <c r="AR62" i="42"/>
  <c r="BP62" i="42" s="1"/>
  <c r="AP66" i="42"/>
  <c r="AO67" i="42"/>
  <c r="BK67" i="42"/>
  <c r="BM70" i="42"/>
  <c r="BL71" i="42"/>
  <c r="AP71" i="42"/>
  <c r="BJ73" i="42"/>
  <c r="AS73" i="42"/>
  <c r="BQ73" i="42" s="1"/>
  <c r="BJ74" i="42"/>
  <c r="AS74" i="42"/>
  <c r="BQ74" i="42" s="1"/>
  <c r="AR74" i="42"/>
  <c r="BP74" i="42" s="1"/>
  <c r="BJ83" i="42"/>
  <c r="AS83" i="42"/>
  <c r="BQ83" i="42" s="1"/>
  <c r="AR83" i="42"/>
  <c r="BP83" i="42" s="1"/>
  <c r="AF101" i="42"/>
  <c r="AP101" i="42"/>
  <c r="BL101" i="42"/>
  <c r="AP18" i="42"/>
  <c r="AQ18" i="42" s="1"/>
  <c r="BF210" i="42"/>
  <c r="BL18" i="42"/>
  <c r="BR210" i="42"/>
  <c r="AO19" i="42"/>
  <c r="AO22" i="42"/>
  <c r="AN26" i="42"/>
  <c r="BH28" i="42"/>
  <c r="BS28" i="42" s="1"/>
  <c r="AL29" i="42"/>
  <c r="BH31" i="42"/>
  <c r="BS31" i="42" s="1"/>
  <c r="AE33" i="42"/>
  <c r="BH34" i="42"/>
  <c r="AP36" i="42"/>
  <c r="AD37" i="42"/>
  <c r="AN38" i="42"/>
  <c r="AN42" i="42"/>
  <c r="BM42" i="42" s="1"/>
  <c r="BK42" i="42"/>
  <c r="AF43" i="42"/>
  <c r="BO43" i="42"/>
  <c r="BO44" i="42" s="1"/>
  <c r="AD212" i="42"/>
  <c r="BN45" i="42"/>
  <c r="BU212" i="42"/>
  <c r="W204" i="42"/>
  <c r="W52" i="42"/>
  <c r="AN47" i="42"/>
  <c r="AO49" i="42"/>
  <c r="AS50" i="42"/>
  <c r="BQ50" i="42" s="1"/>
  <c r="AR50" i="42"/>
  <c r="BP50" i="42" s="1"/>
  <c r="W58" i="42"/>
  <c r="AE53" i="42"/>
  <c r="AE204" i="42" s="1"/>
  <c r="BR58" i="42"/>
  <c r="BO60" i="42"/>
  <c r="AL64" i="42"/>
  <c r="AN61" i="42"/>
  <c r="BM61" i="42" s="1"/>
  <c r="BK65" i="42"/>
  <c r="AO65" i="42"/>
  <c r="AD69" i="42"/>
  <c r="BK66" i="42"/>
  <c r="AO66" i="42"/>
  <c r="AQ66" i="42" s="1"/>
  <c r="AF66" i="42"/>
  <c r="AF69" i="42" s="1"/>
  <c r="BO76" i="42"/>
  <c r="BO72" i="42"/>
  <c r="BK81" i="42"/>
  <c r="AO81" i="42"/>
  <c r="AF81" i="42"/>
  <c r="BM89" i="42"/>
  <c r="BG210" i="42"/>
  <c r="AU21" i="42"/>
  <c r="AD26" i="42"/>
  <c r="AN30" i="42"/>
  <c r="BH32" i="42"/>
  <c r="BS32" i="42" s="1"/>
  <c r="BH35" i="42"/>
  <c r="BS35" i="42" s="1"/>
  <c r="BT38" i="42"/>
  <c r="BT40" i="42" s="1"/>
  <c r="BH38" i="42"/>
  <c r="BU38" i="42"/>
  <c r="BU40" i="42" s="1"/>
  <c r="AF41" i="42"/>
  <c r="AO42" i="42"/>
  <c r="BL42" i="42"/>
  <c r="AE45" i="42"/>
  <c r="BH45" i="42"/>
  <c r="BO45" i="42"/>
  <c r="AO46" i="42"/>
  <c r="AD47" i="42"/>
  <c r="BF204" i="42"/>
  <c r="BF52" i="42"/>
  <c r="BT47" i="42"/>
  <c r="BH47" i="42"/>
  <c r="AN48" i="42"/>
  <c r="BM48" i="42" s="1"/>
  <c r="BL49" i="42"/>
  <c r="AP49" i="42"/>
  <c r="BT50" i="42"/>
  <c r="BT210" i="42" s="1"/>
  <c r="BH50" i="42"/>
  <c r="BS50" i="42" s="1"/>
  <c r="AF54" i="42"/>
  <c r="BK54" i="42"/>
  <c r="AO54" i="42"/>
  <c r="AQ54" i="42" s="1"/>
  <c r="AV55" i="42"/>
  <c r="BR55" i="42" s="1"/>
  <c r="BR209" i="42" s="1"/>
  <c r="AU58" i="42"/>
  <c r="BT57" i="42"/>
  <c r="BH57" i="42"/>
  <c r="BS57" i="42" s="1"/>
  <c r="BM59" i="42"/>
  <c r="BN61" i="42"/>
  <c r="BL65" i="42"/>
  <c r="AP65" i="42"/>
  <c r="AE69" i="42"/>
  <c r="BT66" i="42"/>
  <c r="BH66" i="42"/>
  <c r="BS66" i="42" s="1"/>
  <c r="BL67" i="42"/>
  <c r="AP67" i="42"/>
  <c r="BN73" i="42"/>
  <c r="BJ82" i="42"/>
  <c r="AS82" i="42"/>
  <c r="BQ82" i="42" s="1"/>
  <c r="AR82" i="42"/>
  <c r="BP82" i="42" s="1"/>
  <c r="AD104" i="42"/>
  <c r="V105" i="42"/>
  <c r="AN107" i="42"/>
  <c r="BM107" i="42" s="1"/>
  <c r="BO107" i="42"/>
  <c r="BN18" i="42"/>
  <c r="AP20" i="42"/>
  <c r="AP23" i="42"/>
  <c r="AO24" i="42"/>
  <c r="BG25" i="42"/>
  <c r="AP26" i="42"/>
  <c r="AO27" i="42"/>
  <c r="AO30" i="42"/>
  <c r="BO32" i="42"/>
  <c r="BO33" i="42" s="1"/>
  <c r="AM33" i="42"/>
  <c r="BO35" i="42"/>
  <c r="BO37" i="42" s="1"/>
  <c r="BN36" i="42"/>
  <c r="BN37" i="42" s="1"/>
  <c r="AE40" i="42"/>
  <c r="AP38" i="42"/>
  <c r="AP40" i="42" s="1"/>
  <c r="BO38" i="42"/>
  <c r="BO40" i="42" s="1"/>
  <c r="BF40" i="42"/>
  <c r="BN44" i="42"/>
  <c r="AP42" i="42"/>
  <c r="AP44" i="42" s="1"/>
  <c r="W46" i="42"/>
  <c r="AE52" i="42"/>
  <c r="AP47" i="42"/>
  <c r="BG204" i="42"/>
  <c r="BG52" i="42"/>
  <c r="BO47" i="42"/>
  <c r="BK48" i="42"/>
  <c r="AO48" i="42"/>
  <c r="AQ48" i="42" s="1"/>
  <c r="AF48" i="42"/>
  <c r="BT51" i="42"/>
  <c r="BH51" i="42"/>
  <c r="BS51" i="42" s="1"/>
  <c r="BU53" i="42"/>
  <c r="BU58" i="42" s="1"/>
  <c r="BG58" i="42"/>
  <c r="AF60" i="42"/>
  <c r="BK60" i="42"/>
  <c r="AO60" i="42"/>
  <c r="AQ60" i="42" s="1"/>
  <c r="BJ65" i="42"/>
  <c r="AS65" i="42"/>
  <c r="AR65" i="42"/>
  <c r="BT69" i="42"/>
  <c r="BJ67" i="42"/>
  <c r="AS67" i="42"/>
  <c r="BQ67" i="42" s="1"/>
  <c r="AR67" i="42"/>
  <c r="BP67" i="42" s="1"/>
  <c r="AF68" i="42"/>
  <c r="BK68" i="42"/>
  <c r="AO68" i="42"/>
  <c r="AQ68" i="42" s="1"/>
  <c r="AF72" i="42"/>
  <c r="BK72" i="42"/>
  <c r="AO72" i="42"/>
  <c r="AD85" i="42"/>
  <c r="AE88" i="42"/>
  <c r="W89" i="42"/>
  <c r="BO105" i="42"/>
  <c r="W205" i="42"/>
  <c r="AV205" i="42"/>
  <c r="BH16" i="42"/>
  <c r="BS16" i="42" s="1"/>
  <c r="AE17" i="42"/>
  <c r="V210" i="42"/>
  <c r="AM210" i="42"/>
  <c r="BO18" i="42"/>
  <c r="AP24" i="42"/>
  <c r="AP27" i="42"/>
  <c r="AO28" i="42"/>
  <c r="AP30" i="42"/>
  <c r="AP33" i="42" s="1"/>
  <c r="AO31" i="42"/>
  <c r="AQ31" i="42" s="1"/>
  <c r="AO34" i="42"/>
  <c r="AN35" i="42"/>
  <c r="BM35" i="42" s="1"/>
  <c r="BM37" i="42" s="1"/>
  <c r="AV44" i="42"/>
  <c r="BK41" i="42"/>
  <c r="BK44" i="42" s="1"/>
  <c r="BR41" i="42"/>
  <c r="BR44" i="42" s="1"/>
  <c r="BF44" i="42"/>
  <c r="AD46" i="42"/>
  <c r="AF49" i="42"/>
  <c r="BK50" i="42"/>
  <c r="AO50" i="42"/>
  <c r="AQ50" i="42" s="1"/>
  <c r="AW50" i="42" s="1"/>
  <c r="BI50" i="42" s="1"/>
  <c r="BJ50" i="42"/>
  <c r="AO51" i="42"/>
  <c r="AV52" i="42"/>
  <c r="BO58" i="42"/>
  <c r="BT54" i="42"/>
  <c r="BT58" i="42" s="1"/>
  <c r="BH54" i="42"/>
  <c r="BS54" i="42" s="1"/>
  <c r="BK56" i="42"/>
  <c r="AO56" i="42"/>
  <c r="W206" i="42"/>
  <c r="W64" i="42"/>
  <c r="AE59" i="42"/>
  <c r="AV206" i="42"/>
  <c r="BR59" i="42"/>
  <c r="BK62" i="42"/>
  <c r="AO62" i="42"/>
  <c r="AQ62" i="42" s="1"/>
  <c r="AW62" i="42" s="1"/>
  <c r="BI62" i="42" s="1"/>
  <c r="BK63" i="42"/>
  <c r="AO63" i="42"/>
  <c r="AQ63" i="42" s="1"/>
  <c r="AF63" i="42"/>
  <c r="BU65" i="42"/>
  <c r="BU69" i="42" s="1"/>
  <c r="BG69" i="42"/>
  <c r="BL68" i="42"/>
  <c r="AP68" i="42"/>
  <c r="W76" i="42"/>
  <c r="BK74" i="42"/>
  <c r="AO74" i="42"/>
  <c r="AQ74" i="42" s="1"/>
  <c r="AW74" i="42" s="1"/>
  <c r="BI74" i="42" s="1"/>
  <c r="BK75" i="42"/>
  <c r="AO75" i="42"/>
  <c r="AQ75" i="42" s="1"/>
  <c r="AF75" i="42"/>
  <c r="AD76" i="42"/>
  <c r="BG211" i="42"/>
  <c r="BG78" i="42"/>
  <c r="BU77" i="42"/>
  <c r="BM79" i="42"/>
  <c r="BL96" i="42"/>
  <c r="BL99" i="42" s="1"/>
  <c r="AP96" i="42"/>
  <c r="AE99" i="42"/>
  <c r="AL204" i="42"/>
  <c r="BN47" i="42"/>
  <c r="AN51" i="42"/>
  <c r="BM51" i="42" s="1"/>
  <c r="AD53" i="42"/>
  <c r="AN54" i="42"/>
  <c r="BM54" i="42" s="1"/>
  <c r="AN57" i="42"/>
  <c r="BM57" i="42" s="1"/>
  <c r="BF58" i="42"/>
  <c r="AD59" i="42"/>
  <c r="AN60" i="42"/>
  <c r="BM60" i="42" s="1"/>
  <c r="BH62" i="42"/>
  <c r="BS62" i="42" s="1"/>
  <c r="BH65" i="42"/>
  <c r="W69" i="42"/>
  <c r="AE70" i="42"/>
  <c r="AF70" i="42" s="1"/>
  <c r="AN72" i="42"/>
  <c r="BM72" i="42" s="1"/>
  <c r="BH74" i="42"/>
  <c r="BS74" i="42" s="1"/>
  <c r="BH77" i="42"/>
  <c r="BN77" i="42"/>
  <c r="BT77" i="42"/>
  <c r="AL78" i="42"/>
  <c r="V85" i="42"/>
  <c r="AO79" i="42"/>
  <c r="BK79" i="42"/>
  <c r="AO84" i="42"/>
  <c r="BG85" i="42"/>
  <c r="BO89" i="42"/>
  <c r="BU89" i="42"/>
  <c r="AO87" i="42"/>
  <c r="AF88" i="42"/>
  <c r="AV95" i="42"/>
  <c r="AF92" i="42"/>
  <c r="BK92" i="42"/>
  <c r="AO92" i="42"/>
  <c r="BO92" i="42"/>
  <c r="BO95" i="42" s="1"/>
  <c r="AN93" i="42"/>
  <c r="BM93" i="42" s="1"/>
  <c r="AL95" i="42"/>
  <c r="AL99" i="42"/>
  <c r="AN96" i="42"/>
  <c r="BL103" i="42"/>
  <c r="AP103" i="42"/>
  <c r="BL104" i="42"/>
  <c r="AP104" i="42"/>
  <c r="AN112" i="42"/>
  <c r="BM106" i="42"/>
  <c r="BO125" i="42"/>
  <c r="BK129" i="42"/>
  <c r="AO129" i="42"/>
  <c r="AF129" i="42"/>
  <c r="AE162" i="42"/>
  <c r="BL157" i="42"/>
  <c r="AP157" i="42"/>
  <c r="BF206" i="42"/>
  <c r="BN63" i="42"/>
  <c r="BO65" i="42"/>
  <c r="BO69" i="42" s="1"/>
  <c r="BN66" i="42"/>
  <c r="AV69" i="42"/>
  <c r="BN75" i="42"/>
  <c r="AL76" i="42"/>
  <c r="BO77" i="42"/>
  <c r="AM78" i="42"/>
  <c r="AE85" i="42"/>
  <c r="BL79" i="42"/>
  <c r="AP79" i="42"/>
  <c r="BR85" i="42"/>
  <c r="AF84" i="42"/>
  <c r="AP84" i="42"/>
  <c r="BL86" i="42"/>
  <c r="AF87" i="42"/>
  <c r="AP87" i="42"/>
  <c r="BR95" i="42"/>
  <c r="BL92" i="42"/>
  <c r="AP92" i="42"/>
  <c r="AV105" i="42"/>
  <c r="BT105" i="42"/>
  <c r="BR105" i="42"/>
  <c r="AR103" i="42"/>
  <c r="BP103" i="42" s="1"/>
  <c r="AS103" i="42"/>
  <c r="BQ103" i="42" s="1"/>
  <c r="AV112" i="42"/>
  <c r="BR106" i="42"/>
  <c r="BR112" i="42" s="1"/>
  <c r="BK128" i="42"/>
  <c r="AO128" i="42"/>
  <c r="AF128" i="42"/>
  <c r="BJ144" i="42"/>
  <c r="AS144" i="42"/>
  <c r="BQ144" i="42" s="1"/>
  <c r="AR144" i="42"/>
  <c r="BP144" i="42" s="1"/>
  <c r="AP60" i="42"/>
  <c r="AO61" i="42"/>
  <c r="AQ61" i="42" s="1"/>
  <c r="AW61" i="42" s="1"/>
  <c r="BI61" i="42" s="1"/>
  <c r="BK61" i="42"/>
  <c r="BN67" i="42"/>
  <c r="BN69" i="42" s="1"/>
  <c r="BN70" i="42"/>
  <c r="BN76" i="42" s="1"/>
  <c r="AP72" i="42"/>
  <c r="AO73" i="42"/>
  <c r="AQ73" i="42" s="1"/>
  <c r="AW73" i="42" s="1"/>
  <c r="BI73" i="42" s="1"/>
  <c r="BK73" i="42"/>
  <c r="BK76" i="42" s="1"/>
  <c r="V78" i="42"/>
  <c r="AN78" i="42"/>
  <c r="AR79" i="42"/>
  <c r="AS79" i="42"/>
  <c r="AN81" i="42"/>
  <c r="BM81" i="42" s="1"/>
  <c r="BF95" i="42"/>
  <c r="BT90" i="42"/>
  <c r="BT95" i="42" s="1"/>
  <c r="BH90" i="42"/>
  <c r="BJ94" i="42"/>
  <c r="AS94" i="42"/>
  <c r="BQ94" i="42" s="1"/>
  <c r="AR94" i="42"/>
  <c r="BP94" i="42" s="1"/>
  <c r="BU94" i="42"/>
  <c r="BH94" i="42"/>
  <c r="BS94" i="42" s="1"/>
  <c r="BJ97" i="42"/>
  <c r="AS97" i="42"/>
  <c r="BQ97" i="42" s="1"/>
  <c r="AR97" i="42"/>
  <c r="BP97" i="42" s="1"/>
  <c r="BU97" i="42"/>
  <c r="BH97" i="42"/>
  <c r="AE105" i="42"/>
  <c r="W112" i="42"/>
  <c r="AE106" i="42"/>
  <c r="AF107" i="42"/>
  <c r="BK107" i="42"/>
  <c r="AO107" i="42"/>
  <c r="BL117" i="42"/>
  <c r="AP117" i="42"/>
  <c r="AF117" i="42"/>
  <c r="AF119" i="42"/>
  <c r="AO119" i="42"/>
  <c r="BK119" i="42"/>
  <c r="AF130" i="42"/>
  <c r="BK130" i="42"/>
  <c r="AO130" i="42"/>
  <c r="AQ130" i="42" s="1"/>
  <c r="AF155" i="42"/>
  <c r="BK155" i="42"/>
  <c r="AO155" i="42"/>
  <c r="BH53" i="42"/>
  <c r="BN53" i="42"/>
  <c r="BN58" i="42" s="1"/>
  <c r="BH56" i="42"/>
  <c r="BS56" i="42" s="1"/>
  <c r="BH59" i="42"/>
  <c r="BN59" i="42"/>
  <c r="BT59" i="42"/>
  <c r="BF64" i="42"/>
  <c r="AN66" i="42"/>
  <c r="BH68" i="42"/>
  <c r="BS68" i="42" s="1"/>
  <c r="BU70" i="42"/>
  <c r="BU76" i="42" s="1"/>
  <c r="BH71" i="42"/>
  <c r="BT71" i="42"/>
  <c r="BT76" i="42" s="1"/>
  <c r="AD77" i="42"/>
  <c r="W78" i="42"/>
  <c r="AF80" i="42"/>
  <c r="AF85" i="42" s="1"/>
  <c r="BK80" i="42"/>
  <c r="AO80" i="42"/>
  <c r="AQ80" i="42" s="1"/>
  <c r="BK82" i="42"/>
  <c r="AO82" i="42"/>
  <c r="AV85" i="42"/>
  <c r="AE89" i="42"/>
  <c r="AN89" i="42"/>
  <c r="AN95" i="42"/>
  <c r="BL91" i="42"/>
  <c r="BL95" i="42" s="1"/>
  <c r="AP91" i="42"/>
  <c r="AQ91" i="42" s="1"/>
  <c r="BK93" i="42"/>
  <c r="AO93" i="42"/>
  <c r="AQ93" i="42" s="1"/>
  <c r="AF93" i="42"/>
  <c r="BU99" i="42"/>
  <c r="BT98" i="42"/>
  <c r="BT99" i="42" s="1"/>
  <c r="BH98" i="42"/>
  <c r="BS98" i="42" s="1"/>
  <c r="BJ100" i="42"/>
  <c r="AS100" i="42"/>
  <c r="AR100" i="42"/>
  <c r="BG105" i="42"/>
  <c r="BU100" i="42"/>
  <c r="BU105" i="42" s="1"/>
  <c r="BH100" i="42"/>
  <c r="AQ102" i="42"/>
  <c r="BO104" i="42"/>
  <c r="BL107" i="42"/>
  <c r="AP107" i="42"/>
  <c r="BT118" i="42"/>
  <c r="BH118" i="42"/>
  <c r="BS118" i="42" s="1"/>
  <c r="BF121" i="42"/>
  <c r="AN136" i="42"/>
  <c r="AM138" i="42"/>
  <c r="BO136" i="42"/>
  <c r="BO138" i="42" s="1"/>
  <c r="BM139" i="42"/>
  <c r="AF169" i="42"/>
  <c r="BK169" i="42"/>
  <c r="AO169" i="42"/>
  <c r="AQ169" i="42" s="1"/>
  <c r="V206" i="42"/>
  <c r="AM206" i="42"/>
  <c r="BO59" i="42"/>
  <c r="BU59" i="42"/>
  <c r="BH60" i="42"/>
  <c r="BS60" i="42" s="1"/>
  <c r="BG64" i="42"/>
  <c r="BH72" i="42"/>
  <c r="BS72" i="42" s="1"/>
  <c r="AE77" i="42"/>
  <c r="BR77" i="42"/>
  <c r="AV78" i="42"/>
  <c r="AM85" i="42"/>
  <c r="BL80" i="42"/>
  <c r="AP80" i="42"/>
  <c r="BN82" i="42"/>
  <c r="BT84" i="42"/>
  <c r="BH84" i="42"/>
  <c r="BS84" i="42" s="1"/>
  <c r="W85" i="42"/>
  <c r="AF86" i="42"/>
  <c r="AV89" i="42"/>
  <c r="BT87" i="42"/>
  <c r="BH87" i="42"/>
  <c r="BS87" i="42" s="1"/>
  <c r="W95" i="42"/>
  <c r="AF91" i="42"/>
  <c r="BF99" i="42"/>
  <c r="BJ98" i="42"/>
  <c r="AS98" i="42"/>
  <c r="BQ98" i="42" s="1"/>
  <c r="AR98" i="42"/>
  <c r="BP98" i="42" s="1"/>
  <c r="AN105" i="42"/>
  <c r="BM100" i="42"/>
  <c r="BM105" i="42" s="1"/>
  <c r="AD105" i="42"/>
  <c r="BT101" i="42"/>
  <c r="BH101" i="42"/>
  <c r="BS101" i="42" s="1"/>
  <c r="BF105" i="42"/>
  <c r="AS102" i="42"/>
  <c r="BQ102" i="42" s="1"/>
  <c r="AR102" i="42"/>
  <c r="BP102" i="42" s="1"/>
  <c r="BJ102" i="42"/>
  <c r="BO79" i="42"/>
  <c r="BO85" i="42" s="1"/>
  <c r="AP82" i="42"/>
  <c r="AO83" i="42"/>
  <c r="AQ83" i="42" s="1"/>
  <c r="AW83" i="42" s="1"/>
  <c r="BI83" i="42" s="1"/>
  <c r="BF85" i="42"/>
  <c r="AO86" i="42"/>
  <c r="BK86" i="42"/>
  <c r="BK89" i="42" s="1"/>
  <c r="BO88" i="42"/>
  <c r="AP94" i="42"/>
  <c r="AP95" i="42" s="1"/>
  <c r="AP97" i="42"/>
  <c r="AO98" i="42"/>
  <c r="AQ98" i="42" s="1"/>
  <c r="AW98" i="42" s="1"/>
  <c r="BI98" i="42" s="1"/>
  <c r="AP100" i="42"/>
  <c r="AP105" i="42" s="1"/>
  <c r="BL100" i="42"/>
  <c r="AO101" i="42"/>
  <c r="AQ101" i="42" s="1"/>
  <c r="BK101" i="42"/>
  <c r="AL105" i="42"/>
  <c r="V112" i="42"/>
  <c r="AM112" i="42"/>
  <c r="BO106" i="42"/>
  <c r="BO112" i="42" s="1"/>
  <c r="BK108" i="42"/>
  <c r="AO108" i="42"/>
  <c r="BJ111" i="42"/>
  <c r="AS111" i="42"/>
  <c r="BQ111" i="42" s="1"/>
  <c r="AR111" i="42"/>
  <c r="BP111" i="42" s="1"/>
  <c r="BK116" i="42"/>
  <c r="AO116" i="42"/>
  <c r="AD121" i="42"/>
  <c r="AF116" i="42"/>
  <c r="BK117" i="42"/>
  <c r="AO117" i="42"/>
  <c r="AQ117" i="42" s="1"/>
  <c r="AF118" i="42"/>
  <c r="BK118" i="42"/>
  <c r="AO118" i="42"/>
  <c r="AQ118" i="42" s="1"/>
  <c r="BN125" i="42"/>
  <c r="AS123" i="42"/>
  <c r="BQ123" i="42" s="1"/>
  <c r="AR123" i="42"/>
  <c r="BP123" i="42" s="1"/>
  <c r="BO124" i="42"/>
  <c r="AN135" i="42"/>
  <c r="BM132" i="42"/>
  <c r="BM135" i="42" s="1"/>
  <c r="AQ139" i="42"/>
  <c r="AO145" i="42"/>
  <c r="AF152" i="42"/>
  <c r="BK152" i="42"/>
  <c r="AO152" i="42"/>
  <c r="BF162" i="42"/>
  <c r="BT157" i="42"/>
  <c r="BT162" i="42" s="1"/>
  <c r="BH157" i="42"/>
  <c r="BK160" i="42"/>
  <c r="AO160" i="42"/>
  <c r="AF160" i="42"/>
  <c r="BL165" i="42"/>
  <c r="AP165" i="42"/>
  <c r="BR172" i="42"/>
  <c r="BJ168" i="42"/>
  <c r="AS168" i="42"/>
  <c r="BQ168" i="42" s="1"/>
  <c r="AR168" i="42"/>
  <c r="BP168" i="42" s="1"/>
  <c r="BN94" i="42"/>
  <c r="BN95" i="42" s="1"/>
  <c r="BO96" i="42"/>
  <c r="BO99" i="42" s="1"/>
  <c r="BN97" i="42"/>
  <c r="BN99" i="42" s="1"/>
  <c r="BN100" i="42"/>
  <c r="AP102" i="42"/>
  <c r="AO103" i="42"/>
  <c r="AQ103" i="42" s="1"/>
  <c r="AW103" i="42" s="1"/>
  <c r="BI103" i="42" s="1"/>
  <c r="BK103" i="42"/>
  <c r="AD112" i="42"/>
  <c r="AO106" i="42"/>
  <c r="BK106" i="42"/>
  <c r="BL108" i="42"/>
  <c r="AP108" i="42"/>
  <c r="BL109" i="42"/>
  <c r="AP109" i="42"/>
  <c r="AQ109" i="42"/>
  <c r="AN116" i="42"/>
  <c r="AL121" i="42"/>
  <c r="BS116" i="42"/>
  <c r="BU117" i="42"/>
  <c r="BU121" i="42" s="1"/>
  <c r="BH117" i="42"/>
  <c r="BS117" i="42" s="1"/>
  <c r="BL120" i="42"/>
  <c r="AP120" i="42"/>
  <c r="AO125" i="42"/>
  <c r="BM126" i="42"/>
  <c r="BM131" i="42" s="1"/>
  <c r="AN131" i="42"/>
  <c r="BK127" i="42"/>
  <c r="AO127" i="42"/>
  <c r="AF127" i="42"/>
  <c r="BL128" i="42"/>
  <c r="AP128" i="42"/>
  <c r="BL129" i="42"/>
  <c r="AP129" i="42"/>
  <c r="BT130" i="42"/>
  <c r="BH130" i="42"/>
  <c r="BS130" i="42" s="1"/>
  <c r="BK149" i="42"/>
  <c r="BK153" i="42" s="1"/>
  <c r="AO149" i="42"/>
  <c r="AD153" i="42"/>
  <c r="AF149" i="42"/>
  <c r="AE151" i="42"/>
  <c r="W153" i="42"/>
  <c r="AF158" i="42"/>
  <c r="BK158" i="42"/>
  <c r="BS180" i="42"/>
  <c r="BN83" i="42"/>
  <c r="BN85" i="42" s="1"/>
  <c r="BN86" i="42"/>
  <c r="BN89" i="42" s="1"/>
  <c r="BM90" i="42"/>
  <c r="AM95" i="42"/>
  <c r="BN98" i="42"/>
  <c r="BN101" i="42"/>
  <c r="BF112" i="42"/>
  <c r="AF108" i="42"/>
  <c r="BK111" i="42"/>
  <c r="AO111" i="42"/>
  <c r="BK114" i="42"/>
  <c r="AO114" i="42"/>
  <c r="AQ114" i="42" s="1"/>
  <c r="BO121" i="42"/>
  <c r="BN116" i="42"/>
  <c r="BN121" i="42" s="1"/>
  <c r="BL118" i="42"/>
  <c r="AF120" i="42"/>
  <c r="W125" i="42"/>
  <c r="AV125" i="42"/>
  <c r="BR125" i="42"/>
  <c r="BK124" i="42"/>
  <c r="AO124" i="42"/>
  <c r="AF124" i="42"/>
  <c r="V131" i="42"/>
  <c r="BR131" i="42"/>
  <c r="BL127" i="42"/>
  <c r="AP127" i="42"/>
  <c r="BU129" i="42"/>
  <c r="BH129" i="42"/>
  <c r="BS129" i="42" s="1"/>
  <c r="AV131" i="42"/>
  <c r="BK133" i="42"/>
  <c r="AO133" i="42"/>
  <c r="AQ133" i="42" s="1"/>
  <c r="BK134" i="42"/>
  <c r="AO134" i="42"/>
  <c r="AF134" i="42"/>
  <c r="AF140" i="42"/>
  <c r="AO140" i="42"/>
  <c r="BK140" i="42"/>
  <c r="BK145" i="42" s="1"/>
  <c r="AF174" i="42"/>
  <c r="BK174" i="42"/>
  <c r="AO174" i="42"/>
  <c r="AQ174" i="42" s="1"/>
  <c r="AL85" i="42"/>
  <c r="AD96" i="42"/>
  <c r="BH102" i="42"/>
  <c r="BS102" i="42" s="1"/>
  <c r="AF106" i="42"/>
  <c r="BK109" i="42"/>
  <c r="AF109" i="42"/>
  <c r="BK110" i="42"/>
  <c r="AO110" i="42"/>
  <c r="AF110" i="42"/>
  <c r="BL114" i="42"/>
  <c r="AP114" i="42"/>
  <c r="BT121" i="42"/>
  <c r="AD125" i="42"/>
  <c r="AF122" i="42"/>
  <c r="BL124" i="42"/>
  <c r="BL125" i="42" s="1"/>
  <c r="AP124" i="42"/>
  <c r="AE126" i="42"/>
  <c r="W131" i="42"/>
  <c r="BF131" i="42"/>
  <c r="AP134" i="42"/>
  <c r="BL134" i="42"/>
  <c r="AO136" i="42"/>
  <c r="AD138" i="42"/>
  <c r="BK136" i="42"/>
  <c r="BL137" i="42"/>
  <c r="AF137" i="42"/>
  <c r="AP137" i="42"/>
  <c r="BJ142" i="42"/>
  <c r="AR142" i="42"/>
  <c r="BP142" i="42" s="1"/>
  <c r="AS142" i="42"/>
  <c r="BQ142" i="42" s="1"/>
  <c r="BU150" i="42"/>
  <c r="BU153" i="42" s="1"/>
  <c r="BH150" i="42"/>
  <c r="BS150" i="42" s="1"/>
  <c r="BG153" i="42"/>
  <c r="AE156" i="42"/>
  <c r="BL154" i="42"/>
  <c r="BL156" i="42" s="1"/>
  <c r="AS159" i="42"/>
  <c r="BQ159" i="42" s="1"/>
  <c r="BJ159" i="42"/>
  <c r="AR159" i="42"/>
  <c r="BP159" i="42" s="1"/>
  <c r="BH79" i="42"/>
  <c r="AP81" i="42"/>
  <c r="BH88" i="42"/>
  <c r="BS88" i="42" s="1"/>
  <c r="BU90" i="42"/>
  <c r="BH91" i="42"/>
  <c r="BS91" i="42" s="1"/>
  <c r="AP93" i="42"/>
  <c r="AO94" i="42"/>
  <c r="AO97" i="42"/>
  <c r="AQ97" i="42" s="1"/>
  <c r="AW97" i="42" s="1"/>
  <c r="BI97" i="42" s="1"/>
  <c r="AO100" i="42"/>
  <c r="BH103" i="42"/>
  <c r="BS103" i="42" s="1"/>
  <c r="AL112" i="42"/>
  <c r="BH106" i="42"/>
  <c r="BN106" i="42"/>
  <c r="BT112" i="42"/>
  <c r="BL110" i="42"/>
  <c r="AP110" i="42"/>
  <c r="AN113" i="42"/>
  <c r="AL115" i="42"/>
  <c r="BS113" i="42"/>
  <c r="AF114" i="42"/>
  <c r="BU114" i="42"/>
  <c r="BU115" i="42" s="1"/>
  <c r="BH114" i="42"/>
  <c r="BS114" i="42" s="1"/>
  <c r="AV121" i="42"/>
  <c r="BL123" i="42"/>
  <c r="AP123" i="42"/>
  <c r="AF126" i="42"/>
  <c r="BO127" i="42"/>
  <c r="BG135" i="42"/>
  <c r="BU132" i="42"/>
  <c r="BU135" i="42" s="1"/>
  <c r="BH132" i="42"/>
  <c r="BJ133" i="42"/>
  <c r="AS133" i="42"/>
  <c r="BQ133" i="42" s="1"/>
  <c r="AV138" i="42"/>
  <c r="BL139" i="42"/>
  <c r="AE145" i="42"/>
  <c r="BT153" i="42"/>
  <c r="BO155" i="42"/>
  <c r="BO156" i="42" s="1"/>
  <c r="AM156" i="42"/>
  <c r="V166" i="42"/>
  <c r="AD163" i="42"/>
  <c r="BH176" i="42"/>
  <c r="BS176" i="42" s="1"/>
  <c r="BT176" i="42"/>
  <c r="BG109" i="42"/>
  <c r="AE113" i="42"/>
  <c r="BR113" i="42"/>
  <c r="BR115" i="42" s="1"/>
  <c r="AE116" i="42"/>
  <c r="BR116" i="42"/>
  <c r="BR121" i="42" s="1"/>
  <c r="AN118" i="42"/>
  <c r="BM118" i="42" s="1"/>
  <c r="BH120" i="42"/>
  <c r="BS120" i="42" s="1"/>
  <c r="BU122" i="42"/>
  <c r="BU125" i="42" s="1"/>
  <c r="BH123" i="42"/>
  <c r="BS123" i="42" s="1"/>
  <c r="AE125" i="42"/>
  <c r="BH126" i="42"/>
  <c r="BT126" i="42"/>
  <c r="BT131" i="42" s="1"/>
  <c r="AN130" i="42"/>
  <c r="BM130" i="42" s="1"/>
  <c r="AD132" i="42"/>
  <c r="BL133" i="42"/>
  <c r="AP133" i="42"/>
  <c r="BH136" i="42"/>
  <c r="BK137" i="42"/>
  <c r="AO137" i="42"/>
  <c r="AQ137" i="42" s="1"/>
  <c r="AN137" i="42"/>
  <c r="BM137" i="42" s="1"/>
  <c r="BT137" i="42"/>
  <c r="BT138" i="42" s="1"/>
  <c r="BL140" i="42"/>
  <c r="AP140" i="42"/>
  <c r="AP145" i="42" s="1"/>
  <c r="BN141" i="42"/>
  <c r="AN143" i="42"/>
  <c r="BM143" i="42" s="1"/>
  <c r="BN143" i="42"/>
  <c r="AN146" i="42"/>
  <c r="AL148" i="42"/>
  <c r="BL147" i="42"/>
  <c r="BL148" i="42" s="1"/>
  <c r="AP147" i="42"/>
  <c r="AP148" i="42" s="1"/>
  <c r="BO153" i="42"/>
  <c r="V162" i="42"/>
  <c r="BN159" i="42"/>
  <c r="AM166" i="42"/>
  <c r="AN163" i="42"/>
  <c r="AN167" i="42"/>
  <c r="AL172" i="42"/>
  <c r="BH167" i="42"/>
  <c r="BL169" i="42"/>
  <c r="AP170" i="42"/>
  <c r="BO176" i="42"/>
  <c r="AN176" i="42"/>
  <c r="BM176" i="42" s="1"/>
  <c r="BK178" i="42"/>
  <c r="AO178" i="42"/>
  <c r="AQ178" i="42" s="1"/>
  <c r="AF178" i="42"/>
  <c r="BT182" i="42"/>
  <c r="BH182" i="42"/>
  <c r="BS182" i="42" s="1"/>
  <c r="AP111" i="42"/>
  <c r="AN119" i="42"/>
  <c r="BM119" i="42" s="1"/>
  <c r="AM121" i="42"/>
  <c r="AN122" i="42"/>
  <c r="BH124" i="42"/>
  <c r="BS124" i="42" s="1"/>
  <c r="AL125" i="42"/>
  <c r="BO126" i="42"/>
  <c r="BO131" i="42" s="1"/>
  <c r="BU126" i="42"/>
  <c r="BH127" i="42"/>
  <c r="BS127" i="42" s="1"/>
  <c r="BN127" i="42"/>
  <c r="AE132" i="42"/>
  <c r="BR132" i="42"/>
  <c r="BR135" i="42" s="1"/>
  <c r="BN133" i="42"/>
  <c r="AL135" i="42"/>
  <c r="BO140" i="42"/>
  <c r="BO145" i="42" s="1"/>
  <c r="BU142" i="42"/>
  <c r="BU145" i="42" s="1"/>
  <c r="BL143" i="42"/>
  <c r="BJ150" i="42"/>
  <c r="AS150" i="42"/>
  <c r="BQ150" i="42" s="1"/>
  <c r="AR150" i="42"/>
  <c r="BP150" i="42" s="1"/>
  <c r="W156" i="42"/>
  <c r="BR157" i="42"/>
  <c r="BR162" i="42" s="1"/>
  <c r="AN164" i="42"/>
  <c r="BM164" i="42" s="1"/>
  <c r="AL166" i="42"/>
  <c r="BN172" i="42"/>
  <c r="AF177" i="42"/>
  <c r="BK177" i="42"/>
  <c r="BL178" i="42"/>
  <c r="AP178" i="42"/>
  <c r="BL184" i="42"/>
  <c r="AP184" i="42"/>
  <c r="BH108" i="42"/>
  <c r="BS108" i="42" s="1"/>
  <c r="BN108" i="42"/>
  <c r="BH111" i="42"/>
  <c r="BS111" i="42" s="1"/>
  <c r="BN111" i="42"/>
  <c r="BO113" i="42"/>
  <c r="BO115" i="42" s="1"/>
  <c r="BN114" i="42"/>
  <c r="BN115" i="42" s="1"/>
  <c r="BN117" i="42"/>
  <c r="AP119" i="42"/>
  <c r="AO120" i="42"/>
  <c r="AQ120" i="42" s="1"/>
  <c r="BK120" i="42"/>
  <c r="AP122" i="42"/>
  <c r="AQ122" i="42" s="1"/>
  <c r="AO123" i="42"/>
  <c r="BK123" i="42"/>
  <c r="BK125" i="42" s="1"/>
  <c r="BF125" i="42"/>
  <c r="AO126" i="42"/>
  <c r="BK126" i="42"/>
  <c r="BN129" i="42"/>
  <c r="BN132" i="42"/>
  <c r="BN135" i="42" s="1"/>
  <c r="AF139" i="42"/>
  <c r="AD145" i="42"/>
  <c r="AF141" i="42"/>
  <c r="BK141" i="42"/>
  <c r="AO141" i="42"/>
  <c r="BN148" i="42"/>
  <c r="BL160" i="42"/>
  <c r="AP160" i="42"/>
  <c r="AL162" i="42"/>
  <c r="BK165" i="42"/>
  <c r="AO165" i="42"/>
  <c r="AQ165" i="42" s="1"/>
  <c r="BK167" i="42"/>
  <c r="BK172" i="42" s="1"/>
  <c r="AO167" i="42"/>
  <c r="AF167" i="42"/>
  <c r="AD172" i="42"/>
  <c r="AV172" i="42"/>
  <c r="BT172" i="42"/>
  <c r="BU168" i="42"/>
  <c r="BU172" i="42" s="1"/>
  <c r="BH168" i="42"/>
  <c r="BS168" i="42" s="1"/>
  <c r="AQ171" i="42"/>
  <c r="BL171" i="42"/>
  <c r="AD179" i="42"/>
  <c r="BK173" i="42"/>
  <c r="AF173" i="42"/>
  <c r="AO173" i="42"/>
  <c r="BK175" i="42"/>
  <c r="AO175" i="42"/>
  <c r="W138" i="42"/>
  <c r="AE136" i="42"/>
  <c r="BN139" i="42"/>
  <c r="AL145" i="42"/>
  <c r="BR145" i="42"/>
  <c r="BL141" i="42"/>
  <c r="AP141" i="42"/>
  <c r="BK142" i="42"/>
  <c r="AO142" i="42"/>
  <c r="BG145" i="42"/>
  <c r="AE153" i="42"/>
  <c r="BL149" i="42"/>
  <c r="AP149" i="42"/>
  <c r="AQ150" i="42"/>
  <c r="AW150" i="42" s="1"/>
  <c r="BI150" i="42" s="1"/>
  <c r="BT151" i="42"/>
  <c r="BH151" i="42"/>
  <c r="BS151" i="42" s="1"/>
  <c r="BT154" i="42"/>
  <c r="BT156" i="42" s="1"/>
  <c r="BH154" i="42"/>
  <c r="BF156" i="42"/>
  <c r="BO162" i="42"/>
  <c r="BK161" i="42"/>
  <c r="AO161" i="42"/>
  <c r="AQ161" i="42" s="1"/>
  <c r="AF161" i="42"/>
  <c r="BN161" i="42"/>
  <c r="BK164" i="42"/>
  <c r="AO164" i="42"/>
  <c r="AQ164" i="42" s="1"/>
  <c r="AF164" i="42"/>
  <c r="AF165" i="42"/>
  <c r="BK168" i="42"/>
  <c r="BT170" i="42"/>
  <c r="BH170" i="42"/>
  <c r="BS170" i="42" s="1"/>
  <c r="BU173" i="42"/>
  <c r="BG179" i="42"/>
  <c r="AD113" i="42"/>
  <c r="BH119" i="42"/>
  <c r="BS119" i="42" s="1"/>
  <c r="BH122" i="42"/>
  <c r="BN136" i="42"/>
  <c r="BN138" i="42" s="1"/>
  <c r="BU136" i="42"/>
  <c r="BU138" i="42" s="1"/>
  <c r="BF145" i="42"/>
  <c r="BT139" i="42"/>
  <c r="BT145" i="42" s="1"/>
  <c r="BH139" i="42"/>
  <c r="BJ143" i="42"/>
  <c r="AS143" i="42"/>
  <c r="BQ143" i="42" s="1"/>
  <c r="AR143" i="42"/>
  <c r="BP143" i="42" s="1"/>
  <c r="AO147" i="42"/>
  <c r="AL153" i="42"/>
  <c r="AN149" i="42"/>
  <c r="BH149" i="42"/>
  <c r="AN162" i="42"/>
  <c r="BM157" i="42"/>
  <c r="BM162" i="42" s="1"/>
  <c r="BU165" i="42"/>
  <c r="BH165" i="42"/>
  <c r="BS165" i="42" s="1"/>
  <c r="AE172" i="42"/>
  <c r="BL167" i="42"/>
  <c r="AP167" i="42"/>
  <c r="BK170" i="42"/>
  <c r="AF170" i="42"/>
  <c r="AO170" i="42"/>
  <c r="AQ170" i="42" s="1"/>
  <c r="BG172" i="42"/>
  <c r="AF175" i="42"/>
  <c r="AO177" i="42"/>
  <c r="AQ177" i="42" s="1"/>
  <c r="BN180" i="42"/>
  <c r="BN185" i="42" s="1"/>
  <c r="AL185" i="42"/>
  <c r="AN180" i="42"/>
  <c r="AV145" i="42"/>
  <c r="BT146" i="42"/>
  <c r="BT148" i="42" s="1"/>
  <c r="BL150" i="42"/>
  <c r="AP150" i="42"/>
  <c r="BM154" i="42"/>
  <c r="BG162" i="42"/>
  <c r="BL159" i="42"/>
  <c r="AP159" i="42"/>
  <c r="BL163" i="42"/>
  <c r="BL166" i="42" s="1"/>
  <c r="AP163" i="42"/>
  <c r="BR166" i="42"/>
  <c r="AE166" i="42"/>
  <c r="BL168" i="42"/>
  <c r="AP168" i="42"/>
  <c r="AQ168" i="42" s="1"/>
  <c r="AW168" i="42" s="1"/>
  <c r="BI168" i="42" s="1"/>
  <c r="BT169" i="42"/>
  <c r="BH169" i="42"/>
  <c r="BS169" i="42" s="1"/>
  <c r="AP176" i="42"/>
  <c r="BC199" i="42"/>
  <c r="BK183" i="42"/>
  <c r="AF183" i="42"/>
  <c r="AO183" i="42"/>
  <c r="BK195" i="42"/>
  <c r="AD198" i="42"/>
  <c r="AO195" i="42"/>
  <c r="AO196" i="42"/>
  <c r="BK196" i="42"/>
  <c r="AF196" i="42"/>
  <c r="AM179" i="42"/>
  <c r="BL175" i="42"/>
  <c r="AP175" i="42"/>
  <c r="AP179" i="42" s="1"/>
  <c r="AE185" i="42"/>
  <c r="AP180" i="42"/>
  <c r="AF184" i="42"/>
  <c r="AO184" i="42"/>
  <c r="AQ184" i="42" s="1"/>
  <c r="Z199" i="42"/>
  <c r="BN142" i="42"/>
  <c r="AP144" i="42"/>
  <c r="AQ144" i="42" s="1"/>
  <c r="AW144" i="42" s="1"/>
  <c r="BI144" i="42" s="1"/>
  <c r="AO151" i="42"/>
  <c r="AN152" i="42"/>
  <c r="BM152" i="42" s="1"/>
  <c r="V153" i="42"/>
  <c r="AD154" i="42"/>
  <c r="AN155" i="42"/>
  <c r="BM155" i="42" s="1"/>
  <c r="AD157" i="42"/>
  <c r="AN158" i="42"/>
  <c r="BM158" i="42" s="1"/>
  <c r="BH160" i="42"/>
  <c r="BS160" i="42" s="1"/>
  <c r="BH163" i="42"/>
  <c r="BT163" i="42"/>
  <c r="BT166" i="42" s="1"/>
  <c r="AV166" i="42"/>
  <c r="AN170" i="42"/>
  <c r="BM170" i="42" s="1"/>
  <c r="AN171" i="42"/>
  <c r="BM171" i="42" s="1"/>
  <c r="BF179" i="42"/>
  <c r="BT173" i="42"/>
  <c r="BH173" i="42"/>
  <c r="BO173" i="42"/>
  <c r="W179" i="42"/>
  <c r="BL176" i="42"/>
  <c r="BU177" i="42"/>
  <c r="BX199" i="42"/>
  <c r="AF182" i="42"/>
  <c r="BK182" i="42"/>
  <c r="BK185" i="42" s="1"/>
  <c r="AO182" i="42"/>
  <c r="AQ182" i="42" s="1"/>
  <c r="AM191" i="42"/>
  <c r="BO186" i="42"/>
  <c r="BO191" i="42" s="1"/>
  <c r="AP189" i="42"/>
  <c r="BL189" i="42"/>
  <c r="AN190" i="42"/>
  <c r="BM190" i="42" s="1"/>
  <c r="AB199" i="42"/>
  <c r="AP192" i="42"/>
  <c r="AK199" i="42"/>
  <c r="AA202" i="42"/>
  <c r="BE202" i="42"/>
  <c r="BG201" i="42" s="1"/>
  <c r="BH144" i="42"/>
  <c r="BS144" i="42" s="1"/>
  <c r="BN144" i="42"/>
  <c r="BO146" i="42"/>
  <c r="BO148" i="42" s="1"/>
  <c r="BH147" i="42"/>
  <c r="BS147" i="42" s="1"/>
  <c r="BN147" i="42"/>
  <c r="BN150" i="42"/>
  <c r="BN153" i="42" s="1"/>
  <c r="AP152" i="42"/>
  <c r="AP155" i="42"/>
  <c r="AP156" i="42" s="1"/>
  <c r="AP158" i="42"/>
  <c r="AQ158" i="42" s="1"/>
  <c r="AO159" i="42"/>
  <c r="BK159" i="42"/>
  <c r="AM162" i="42"/>
  <c r="BN165" i="42"/>
  <c r="BN166" i="42" s="1"/>
  <c r="AM172" i="42"/>
  <c r="BO167" i="42"/>
  <c r="BO172" i="42" s="1"/>
  <c r="BN168" i="42"/>
  <c r="AF171" i="42"/>
  <c r="AE179" i="42"/>
  <c r="BR179" i="42"/>
  <c r="BL177" i="42"/>
  <c r="AP177" i="42"/>
  <c r="BL181" i="42"/>
  <c r="AP181" i="42"/>
  <c r="AQ181" i="42" s="1"/>
  <c r="BT186" i="42"/>
  <c r="BH186" i="42"/>
  <c r="BF191" i="42"/>
  <c r="AS187" i="42"/>
  <c r="BQ187" i="42" s="1"/>
  <c r="BJ187" i="42"/>
  <c r="AR187" i="42"/>
  <c r="BP187" i="42" s="1"/>
  <c r="AM198" i="42"/>
  <c r="BO192" i="42"/>
  <c r="BO198" i="42" s="1"/>
  <c r="BL193" i="42"/>
  <c r="AP193" i="42"/>
  <c r="AV198" i="42"/>
  <c r="AM145" i="42"/>
  <c r="BN154" i="42"/>
  <c r="BN156" i="42" s="1"/>
  <c r="BK176" i="42"/>
  <c r="AO176" i="42"/>
  <c r="AQ176" i="42" s="1"/>
  <c r="AF176" i="42"/>
  <c r="AH199" i="42"/>
  <c r="W200" i="42" s="1"/>
  <c r="BU196" i="42"/>
  <c r="BH196" i="42"/>
  <c r="BS196" i="42" s="1"/>
  <c r="AP142" i="42"/>
  <c r="AO143" i="42"/>
  <c r="AQ143" i="42" s="1"/>
  <c r="AD146" i="42"/>
  <c r="BH152" i="42"/>
  <c r="BS152" i="42" s="1"/>
  <c r="BH155" i="42"/>
  <c r="BS155" i="42" s="1"/>
  <c r="BU157" i="42"/>
  <c r="BU162" i="42" s="1"/>
  <c r="BH158" i="42"/>
  <c r="BS158" i="42" s="1"/>
  <c r="BK171" i="42"/>
  <c r="AN173" i="42"/>
  <c r="AV179" i="42"/>
  <c r="BL173" i="42"/>
  <c r="AN175" i="42"/>
  <c r="BM175" i="42" s="1"/>
  <c r="BL180" i="42"/>
  <c r="BL185" i="42" s="1"/>
  <c r="AF181" i="42"/>
  <c r="BT181" i="42"/>
  <c r="BH181" i="42"/>
  <c r="BS181" i="42" s="1"/>
  <c r="BK184" i="42"/>
  <c r="AE191" i="42"/>
  <c r="BL186" i="42"/>
  <c r="AP186" i="42"/>
  <c r="BN191" i="42"/>
  <c r="BK188" i="42"/>
  <c r="AO188" i="42"/>
  <c r="AQ188" i="42" s="1"/>
  <c r="AF188" i="42"/>
  <c r="AF189" i="42"/>
  <c r="AO189" i="42"/>
  <c r="AQ189" i="42" s="1"/>
  <c r="BK189" i="42"/>
  <c r="AX199" i="42"/>
  <c r="BR198" i="42"/>
  <c r="AF193" i="42"/>
  <c r="BT195" i="42"/>
  <c r="AY199" i="42"/>
  <c r="BH175" i="42"/>
  <c r="BS175" i="42" s="1"/>
  <c r="BT178" i="42"/>
  <c r="BH178" i="42"/>
  <c r="BS178" i="42" s="1"/>
  <c r="AV185" i="42"/>
  <c r="BR180" i="42"/>
  <c r="BR185" i="42" s="1"/>
  <c r="BO181" i="42"/>
  <c r="BL183" i="42"/>
  <c r="AP183" i="42"/>
  <c r="AZ199" i="42"/>
  <c r="AL198" i="42"/>
  <c r="AN192" i="42"/>
  <c r="BN192" i="42"/>
  <c r="BL194" i="42"/>
  <c r="AP194" i="42"/>
  <c r="BT194" i="42"/>
  <c r="BT198" i="42" s="1"/>
  <c r="BH194" i="42"/>
  <c r="BS194" i="42" s="1"/>
  <c r="BG195" i="42"/>
  <c r="BU195" i="42" s="1"/>
  <c r="BW199" i="42"/>
  <c r="BV200" i="42" s="1"/>
  <c r="AD185" i="42"/>
  <c r="AO180" i="42"/>
  <c r="BT180" i="42"/>
  <c r="BF185" i="42"/>
  <c r="BN193" i="42"/>
  <c r="AN193" i="42"/>
  <c r="BM193" i="42" s="1"/>
  <c r="AN197" i="42"/>
  <c r="BM197" i="42" s="1"/>
  <c r="BN197" i="42"/>
  <c r="BG185" i="42"/>
  <c r="BU180" i="42"/>
  <c r="BU185" i="42" s="1"/>
  <c r="BV199" i="42"/>
  <c r="V191" i="42"/>
  <c r="AD186" i="42"/>
  <c r="BU187" i="42"/>
  <c r="BU191" i="42" s="1"/>
  <c r="BG191" i="42"/>
  <c r="BH187" i="42"/>
  <c r="BS187" i="42" s="1"/>
  <c r="AO190" i="42"/>
  <c r="BK190" i="42"/>
  <c r="AL191" i="42"/>
  <c r="BU193" i="42"/>
  <c r="BH193" i="42"/>
  <c r="AE195" i="42"/>
  <c r="AE198" i="42" s="1"/>
  <c r="AA198" i="42"/>
  <c r="AA199" i="42" s="1"/>
  <c r="X199" i="42"/>
  <c r="AG199" i="42"/>
  <c r="V200" i="42" s="1"/>
  <c r="S201" i="42"/>
  <c r="AL179" i="42"/>
  <c r="BN173" i="42"/>
  <c r="BN179" i="42" s="1"/>
  <c r="AT199" i="42"/>
  <c r="AF180" i="42"/>
  <c r="BL187" i="42"/>
  <c r="AP187" i="42"/>
  <c r="AQ187" i="42" s="1"/>
  <c r="AW187" i="42" s="1"/>
  <c r="BI187" i="42" s="1"/>
  <c r="AF190" i="42"/>
  <c r="BD199" i="42"/>
  <c r="AO198" i="42"/>
  <c r="AQ192" i="42"/>
  <c r="AO193" i="42"/>
  <c r="AQ193" i="42" s="1"/>
  <c r="BK194" i="42"/>
  <c r="AO194" i="42"/>
  <c r="AQ194" i="42" s="1"/>
  <c r="AF194" i="42"/>
  <c r="BK197" i="42"/>
  <c r="BK198" i="42" s="1"/>
  <c r="AF197" i="42"/>
  <c r="AO197" i="42"/>
  <c r="AQ197" i="42" s="1"/>
  <c r="Y199" i="42"/>
  <c r="CA199" i="42"/>
  <c r="M200" i="42"/>
  <c r="S200" i="42"/>
  <c r="AJ199" i="42"/>
  <c r="BF201" i="42"/>
  <c r="AM185" i="42"/>
  <c r="BO180" i="42"/>
  <c r="BO185" i="42" s="1"/>
  <c r="V198" i="42"/>
  <c r="BF198" i="42"/>
  <c r="AV201" i="42"/>
  <c r="AN186" i="42"/>
  <c r="AV191" i="42"/>
  <c r="BT188" i="42"/>
  <c r="BH188" i="42"/>
  <c r="BS188" i="42" s="1"/>
  <c r="BL190" i="42"/>
  <c r="AP190" i="42"/>
  <c r="AF192" i="42"/>
  <c r="AU199" i="42"/>
  <c r="BH197" i="42"/>
  <c r="BS197" i="42" s="1"/>
  <c r="BZ199" i="42"/>
  <c r="W198" i="42"/>
  <c r="W199" i="42" s="1"/>
  <c r="AH200" i="42" s="1"/>
  <c r="BL196" i="42"/>
  <c r="AP196" i="42"/>
  <c r="BA199" i="42"/>
  <c r="BY199" i="42"/>
  <c r="AC199" i="42"/>
  <c r="AI199" i="42"/>
  <c r="AU202" i="42"/>
  <c r="AS38" i="41"/>
  <c r="BQ38" i="41" s="1"/>
  <c r="AR38" i="41"/>
  <c r="BP38" i="41" s="1"/>
  <c r="BJ38" i="41"/>
  <c r="AO14" i="41"/>
  <c r="BF142" i="41"/>
  <c r="BF16" i="41"/>
  <c r="BT12" i="41"/>
  <c r="BH12" i="41"/>
  <c r="BL14" i="41"/>
  <c r="AP14" i="41"/>
  <c r="AL148" i="41"/>
  <c r="AN15" i="41"/>
  <c r="AL16" i="41"/>
  <c r="AM143" i="41"/>
  <c r="AM141" i="41" s="1"/>
  <c r="AM21" i="41"/>
  <c r="BL18" i="41"/>
  <c r="AP18" i="41"/>
  <c r="AF18" i="41"/>
  <c r="BO23" i="41"/>
  <c r="BO27" i="41" s="1"/>
  <c r="AP23" i="41"/>
  <c r="AM27" i="41"/>
  <c r="AF26" i="41"/>
  <c r="BK26" i="41"/>
  <c r="AO26" i="41"/>
  <c r="AQ26" i="41" s="1"/>
  <c r="BG142" i="41"/>
  <c r="BG16" i="41"/>
  <c r="BU12" i="41"/>
  <c r="AF14" i="41"/>
  <c r="AM148" i="41"/>
  <c r="BO15" i="41"/>
  <c r="BG148" i="41"/>
  <c r="BU15" i="41"/>
  <c r="BO17" i="41"/>
  <c r="BR27" i="41"/>
  <c r="AQ24" i="41"/>
  <c r="BL32" i="41"/>
  <c r="AP32" i="41"/>
  <c r="AQ32" i="41" s="1"/>
  <c r="BT13" i="41"/>
  <c r="BH13" i="41"/>
  <c r="BS13" i="41" s="1"/>
  <c r="W148" i="41"/>
  <c r="AE15" i="41"/>
  <c r="AE16" i="41" s="1"/>
  <c r="BJ13" i="41"/>
  <c r="AS13" i="41"/>
  <c r="BQ13" i="41" s="1"/>
  <c r="AR13" i="41"/>
  <c r="BP13" i="41" s="1"/>
  <c r="AV16" i="41"/>
  <c r="V143" i="41"/>
  <c r="V141" i="41" s="1"/>
  <c r="V21" i="41"/>
  <c r="AD17" i="41"/>
  <c r="BG149" i="41"/>
  <c r="BU19" i="41"/>
  <c r="BU21" i="41" s="1"/>
  <c r="BJ20" i="41"/>
  <c r="AS20" i="41"/>
  <c r="BQ20" i="41" s="1"/>
  <c r="AR20" i="41"/>
  <c r="BP20" i="41" s="1"/>
  <c r="AE27" i="41"/>
  <c r="BL22" i="41"/>
  <c r="AP22" i="41"/>
  <c r="AF23" i="41"/>
  <c r="AO23" i="41"/>
  <c r="AQ23" i="41" s="1"/>
  <c r="AP24" i="41"/>
  <c r="BL24" i="41"/>
  <c r="AP12" i="41"/>
  <c r="V148" i="41"/>
  <c r="AD15" i="41"/>
  <c r="BN18" i="41"/>
  <c r="BT20" i="41"/>
  <c r="BT21" i="41" s="1"/>
  <c r="BH20" i="41"/>
  <c r="BS20" i="41" s="1"/>
  <c r="BK24" i="41"/>
  <c r="AF24" i="41"/>
  <c r="AQ25" i="41"/>
  <c r="AW25" i="41" s="1"/>
  <c r="BI25" i="41" s="1"/>
  <c r="BC138" i="41"/>
  <c r="AL143" i="41"/>
  <c r="BN17" i="41"/>
  <c r="BT143" i="41"/>
  <c r="AP19" i="41"/>
  <c r="BF149" i="41"/>
  <c r="BL19" i="41"/>
  <c r="BR149" i="41"/>
  <c r="AO20" i="41"/>
  <c r="AQ20" i="41" s="1"/>
  <c r="AW20" i="41" s="1"/>
  <c r="BI20" i="41" s="1"/>
  <c r="BK20" i="41"/>
  <c r="BU22" i="41"/>
  <c r="BU27" i="41" s="1"/>
  <c r="AN23" i="41"/>
  <c r="BT26" i="41"/>
  <c r="BR28" i="41"/>
  <c r="AM29" i="41"/>
  <c r="AS30" i="41"/>
  <c r="BK34" i="41"/>
  <c r="AO34" i="41"/>
  <c r="AQ34" i="41" s="1"/>
  <c r="AE43" i="41"/>
  <c r="BL37" i="41"/>
  <c r="BR38" i="41"/>
  <c r="AV43" i="41"/>
  <c r="BJ40" i="41"/>
  <c r="AS40" i="41"/>
  <c r="BQ40" i="41" s="1"/>
  <c r="V61" i="41"/>
  <c r="AD59" i="41"/>
  <c r="BJ60" i="41"/>
  <c r="AS60" i="41"/>
  <c r="BQ60" i="41" s="1"/>
  <c r="AN67" i="41"/>
  <c r="BM67" i="41" s="1"/>
  <c r="BN67" i="41"/>
  <c r="BT70" i="41"/>
  <c r="BH70" i="41"/>
  <c r="BS70" i="41" s="1"/>
  <c r="BF72" i="41"/>
  <c r="BL71" i="41"/>
  <c r="AP71" i="41"/>
  <c r="AL72" i="41"/>
  <c r="AN28" i="41"/>
  <c r="BL28" i="41"/>
  <c r="BG29" i="41"/>
  <c r="AL36" i="41"/>
  <c r="AR30" i="41"/>
  <c r="BJ30" i="41"/>
  <c r="AD31" i="41"/>
  <c r="BF145" i="41"/>
  <c r="BT31" i="41"/>
  <c r="BH31" i="41"/>
  <c r="BM31" i="41"/>
  <c r="BU145" i="41"/>
  <c r="BN33" i="41"/>
  <c r="BN148" i="41" s="1"/>
  <c r="BG36" i="41"/>
  <c r="AL43" i="41"/>
  <c r="AN37" i="41"/>
  <c r="BK39" i="41"/>
  <c r="AO39" i="41"/>
  <c r="AQ39" i="41" s="1"/>
  <c r="AF39" i="41"/>
  <c r="BO39" i="41"/>
  <c r="BO43" i="41" s="1"/>
  <c r="W50" i="41"/>
  <c r="AE44" i="41"/>
  <c r="BU50" i="41"/>
  <c r="AF48" i="41"/>
  <c r="BK48" i="41"/>
  <c r="AO48" i="41"/>
  <c r="BN49" i="41"/>
  <c r="BN58" i="41"/>
  <c r="BJ52" i="41"/>
  <c r="AS52" i="41"/>
  <c r="BQ52" i="41" s="1"/>
  <c r="BJ55" i="41"/>
  <c r="AS55" i="41"/>
  <c r="BQ55" i="41" s="1"/>
  <c r="BL60" i="41"/>
  <c r="AP60" i="41"/>
  <c r="BJ64" i="41"/>
  <c r="AS64" i="41"/>
  <c r="BQ64" i="41" s="1"/>
  <c r="AR64" i="41"/>
  <c r="BP64" i="41" s="1"/>
  <c r="AV79" i="41"/>
  <c r="BR73" i="41"/>
  <c r="BR79" i="41" s="1"/>
  <c r="BN83" i="41"/>
  <c r="AP81" i="41"/>
  <c r="BL81" i="41"/>
  <c r="BL83" i="41" s="1"/>
  <c r="AF81" i="41"/>
  <c r="BT82" i="41"/>
  <c r="BH82" i="41"/>
  <c r="BS82" i="41" s="1"/>
  <c r="BO95" i="41"/>
  <c r="BO97" i="41" s="1"/>
  <c r="AM97" i="41"/>
  <c r="AL142" i="41"/>
  <c r="BN12" i="41"/>
  <c r="AA16" i="41"/>
  <c r="AG138" i="41"/>
  <c r="V139" i="41" s="1"/>
  <c r="AM16" i="41"/>
  <c r="AY138" i="41"/>
  <c r="BW138" i="41"/>
  <c r="W143" i="41"/>
  <c r="AN17" i="41"/>
  <c r="AV143" i="41"/>
  <c r="AL149" i="41"/>
  <c r="BH19" i="41"/>
  <c r="BN19" i="41"/>
  <c r="BT19" i="41"/>
  <c r="AF22" i="41"/>
  <c r="BK25" i="41"/>
  <c r="V27" i="41"/>
  <c r="AD28" i="41"/>
  <c r="BF150" i="41"/>
  <c r="BT28" i="41"/>
  <c r="BH28" i="41"/>
  <c r="BU28" i="41"/>
  <c r="AV29" i="41"/>
  <c r="AM36" i="41"/>
  <c r="AV36" i="41"/>
  <c r="BR30" i="41"/>
  <c r="AE31" i="41"/>
  <c r="AE36" i="41" s="1"/>
  <c r="BO31" i="41"/>
  <c r="AN32" i="41"/>
  <c r="BM32" i="41" s="1"/>
  <c r="BK32" i="41"/>
  <c r="BF43" i="41"/>
  <c r="BR43" i="41"/>
  <c r="BJ46" i="41"/>
  <c r="AS46" i="41"/>
  <c r="BQ46" i="41" s="1"/>
  <c r="BO51" i="41"/>
  <c r="BO58" i="41" s="1"/>
  <c r="BL53" i="41"/>
  <c r="AP53" i="41"/>
  <c r="BL56" i="41"/>
  <c r="AP56" i="41"/>
  <c r="AS57" i="41"/>
  <c r="BQ57" i="41" s="1"/>
  <c r="AS66" i="41"/>
  <c r="AN68" i="41"/>
  <c r="BM68" i="41" s="1"/>
  <c r="BN68" i="41"/>
  <c r="BR83" i="41"/>
  <c r="BO12" i="41"/>
  <c r="BN13" i="41"/>
  <c r="AV148" i="41"/>
  <c r="V16" i="41"/>
  <c r="AH138" i="41"/>
  <c r="W139" i="41" s="1"/>
  <c r="AT138" i="41"/>
  <c r="AZ138" i="41"/>
  <c r="BF139" i="41" s="1"/>
  <c r="V149" i="41"/>
  <c r="BO19" i="41"/>
  <c r="AL21" i="41"/>
  <c r="BL25" i="41"/>
  <c r="AP28" i="41"/>
  <c r="BO28" i="41"/>
  <c r="V29" i="41"/>
  <c r="BL30" i="41"/>
  <c r="BK33" i="41"/>
  <c r="AO33" i="41"/>
  <c r="AQ33" i="41" s="1"/>
  <c r="AF34" i="41"/>
  <c r="AA149" i="41"/>
  <c r="AE35" i="41"/>
  <c r="AF35" i="41" s="1"/>
  <c r="AA36" i="41"/>
  <c r="AO35" i="41"/>
  <c r="V36" i="41"/>
  <c r="V43" i="41"/>
  <c r="BT43" i="41"/>
  <c r="BT39" i="41"/>
  <c r="BH39" i="41"/>
  <c r="BS39" i="41" s="1"/>
  <c r="AO40" i="41"/>
  <c r="BK41" i="41"/>
  <c r="AO41" i="41"/>
  <c r="BO50" i="41"/>
  <c r="AP47" i="41"/>
  <c r="AL50" i="41"/>
  <c r="BR58" i="41"/>
  <c r="BL54" i="41"/>
  <c r="AP54" i="41"/>
  <c r="AQ54" i="41" s="1"/>
  <c r="BL57" i="41"/>
  <c r="AP57" i="41"/>
  <c r="AO65" i="41"/>
  <c r="BU77" i="41"/>
  <c r="BU79" i="41" s="1"/>
  <c r="BH77" i="41"/>
  <c r="BS77" i="41" s="1"/>
  <c r="BJ78" i="41"/>
  <c r="AS78" i="41"/>
  <c r="BQ78" i="41" s="1"/>
  <c r="AR78" i="41"/>
  <c r="BP78" i="41" s="1"/>
  <c r="BT78" i="41"/>
  <c r="BH78" i="41"/>
  <c r="BS78" i="41" s="1"/>
  <c r="W142" i="41"/>
  <c r="AN12" i="41"/>
  <c r="AV142" i="41"/>
  <c r="BH14" i="41"/>
  <c r="BS14" i="41" s="1"/>
  <c r="W16" i="41"/>
  <c r="AC138" i="41"/>
  <c r="V21" i="47" s="1"/>
  <c r="AI138" i="41"/>
  <c r="AU138" i="41"/>
  <c r="BA138" i="41"/>
  <c r="BY138" i="41"/>
  <c r="AP17" i="41"/>
  <c r="BF143" i="41"/>
  <c r="BF21" i="41"/>
  <c r="BL17" i="41"/>
  <c r="BR21" i="41"/>
  <c r="AO18" i="41"/>
  <c r="AQ18" i="41" s="1"/>
  <c r="W149" i="41"/>
  <c r="AN19" i="41"/>
  <c r="AV149" i="41"/>
  <c r="BN23" i="41"/>
  <c r="BN27" i="41" s="1"/>
  <c r="BT25" i="41"/>
  <c r="BH25" i="41"/>
  <c r="BS25" i="41" s="1"/>
  <c r="AD36" i="41"/>
  <c r="AO30" i="41"/>
  <c r="AF32" i="41"/>
  <c r="BL33" i="41"/>
  <c r="AP33" i="41"/>
  <c r="BT34" i="41"/>
  <c r="BT36" i="41" s="1"/>
  <c r="BH34" i="41"/>
  <c r="BS34" i="41" s="1"/>
  <c r="BK35" i="41"/>
  <c r="AP37" i="41"/>
  <c r="AQ37" i="41" s="1"/>
  <c r="BS37" i="41"/>
  <c r="AR40" i="41"/>
  <c r="BP40" i="41" s="1"/>
  <c r="BK40" i="41"/>
  <c r="BL41" i="41"/>
  <c r="AP41" i="41"/>
  <c r="AF42" i="41"/>
  <c r="BK42" i="41"/>
  <c r="AO42" i="41"/>
  <c r="AQ42" i="41" s="1"/>
  <c r="BM44" i="41"/>
  <c r="BT50" i="41"/>
  <c r="BJ49" i="41"/>
  <c r="AS49" i="41"/>
  <c r="BQ49" i="41" s="1"/>
  <c r="V58" i="41"/>
  <c r="AD51" i="41"/>
  <c r="BJ53" i="41"/>
  <c r="AS53" i="41"/>
  <c r="BQ53" i="41" s="1"/>
  <c r="AR53" i="41"/>
  <c r="BP53" i="41" s="1"/>
  <c r="BJ56" i="41"/>
  <c r="AS56" i="41"/>
  <c r="BQ56" i="41" s="1"/>
  <c r="AR56" i="41"/>
  <c r="BP56" i="41" s="1"/>
  <c r="AR60" i="41"/>
  <c r="BP60" i="41" s="1"/>
  <c r="BU63" i="41"/>
  <c r="BH63" i="41"/>
  <c r="BP66" i="41"/>
  <c r="BN79" i="41"/>
  <c r="AN77" i="41"/>
  <c r="BM77" i="41" s="1"/>
  <c r="BN77" i="41"/>
  <c r="BL90" i="41"/>
  <c r="AP90" i="41"/>
  <c r="AQ90" i="41" s="1"/>
  <c r="BJ92" i="41"/>
  <c r="AS92" i="41"/>
  <c r="BQ92" i="41" s="1"/>
  <c r="AR92" i="41"/>
  <c r="BP92" i="41" s="1"/>
  <c r="AD12" i="41"/>
  <c r="BR15" i="41"/>
  <c r="BR148" i="41" s="1"/>
  <c r="X138" i="41"/>
  <c r="AJ138" i="41"/>
  <c r="BZ138" i="41"/>
  <c r="BG143" i="41"/>
  <c r="AD19" i="41"/>
  <c r="BK22" i="41"/>
  <c r="BK27" i="41" s="1"/>
  <c r="AO22" i="41"/>
  <c r="BT22" i="41"/>
  <c r="BN36" i="41"/>
  <c r="BR31" i="41"/>
  <c r="BR145" i="41" s="1"/>
  <c r="AF33" i="41"/>
  <c r="AF37" i="41"/>
  <c r="AD43" i="41"/>
  <c r="BK37" i="41"/>
  <c r="BL38" i="41"/>
  <c r="AP38" i="41"/>
  <c r="BL40" i="41"/>
  <c r="AP40" i="41"/>
  <c r="AF41" i="41"/>
  <c r="AV50" i="41"/>
  <c r="BR44" i="41"/>
  <c r="BR50" i="41" s="1"/>
  <c r="AF45" i="41"/>
  <c r="BK45" i="41"/>
  <c r="AO45" i="41"/>
  <c r="AQ45" i="41" s="1"/>
  <c r="BN46" i="41"/>
  <c r="BN50" i="41" s="1"/>
  <c r="AQ47" i="41"/>
  <c r="BT58" i="41"/>
  <c r="BK54" i="41"/>
  <c r="AF54" i="41"/>
  <c r="BO62" i="41"/>
  <c r="BO65" i="41" s="1"/>
  <c r="AM65" i="41"/>
  <c r="BN72" i="41"/>
  <c r="AF70" i="41"/>
  <c r="BK70" i="41"/>
  <c r="AO70" i="41"/>
  <c r="AQ70" i="41" s="1"/>
  <c r="AF71" i="41"/>
  <c r="AO71" i="41"/>
  <c r="AQ71" i="41" s="1"/>
  <c r="BK71" i="41"/>
  <c r="BG93" i="41"/>
  <c r="BU88" i="41"/>
  <c r="BH88" i="41"/>
  <c r="AR89" i="41"/>
  <c r="BP89" i="41" s="1"/>
  <c r="BJ89" i="41"/>
  <c r="AS89" i="41"/>
  <c r="BQ89" i="41" s="1"/>
  <c r="AN34" i="41"/>
  <c r="BM34" i="41" s="1"/>
  <c r="BH35" i="41"/>
  <c r="BS35" i="41" s="1"/>
  <c r="BU37" i="41"/>
  <c r="BU43" i="41" s="1"/>
  <c r="BH38" i="41"/>
  <c r="BS38" i="41" s="1"/>
  <c r="AN42" i="41"/>
  <c r="BM42" i="41" s="1"/>
  <c r="AD44" i="41"/>
  <c r="AN45" i="41"/>
  <c r="BM45" i="41" s="1"/>
  <c r="AF47" i="41"/>
  <c r="BK47" i="41"/>
  <c r="AN48" i="41"/>
  <c r="BM48" i="41" s="1"/>
  <c r="AM50" i="41"/>
  <c r="W58" i="41"/>
  <c r="AN51" i="41"/>
  <c r="AV58" i="41"/>
  <c r="BH53" i="41"/>
  <c r="BS53" i="41" s="1"/>
  <c r="BH56" i="41"/>
  <c r="BS56" i="41" s="1"/>
  <c r="BU57" i="41"/>
  <c r="BU58" i="41" s="1"/>
  <c r="W61" i="41"/>
  <c r="AE59" i="41"/>
  <c r="BH61" i="41"/>
  <c r="BS59" i="41"/>
  <c r="BS61" i="41" s="1"/>
  <c r="AN62" i="41"/>
  <c r="BF65" i="41"/>
  <c r="BK63" i="41"/>
  <c r="BK65" i="41" s="1"/>
  <c r="AO63" i="41"/>
  <c r="AQ63" i="41" s="1"/>
  <c r="AW63" i="41" s="1"/>
  <c r="BI63" i="41" s="1"/>
  <c r="BR66" i="41"/>
  <c r="BR72" i="41" s="1"/>
  <c r="AV72" i="41"/>
  <c r="BM66" i="41"/>
  <c r="BM72" i="41" s="1"/>
  <c r="BU66" i="41"/>
  <c r="BU72" i="41" s="1"/>
  <c r="AM79" i="41"/>
  <c r="AO74" i="41"/>
  <c r="AO79" i="41" s="1"/>
  <c r="BG79" i="41"/>
  <c r="AF83" i="41"/>
  <c r="BJ80" i="41"/>
  <c r="AS80" i="41"/>
  <c r="BF83" i="41"/>
  <c r="BS80" i="41"/>
  <c r="V87" i="41"/>
  <c r="AD84" i="41"/>
  <c r="BT87" i="41"/>
  <c r="BH85" i="41"/>
  <c r="BS85" i="41" s="1"/>
  <c r="BF87" i="41"/>
  <c r="AL97" i="41"/>
  <c r="AN94" i="41"/>
  <c r="BN94" i="41"/>
  <c r="AO94" i="41"/>
  <c r="BK100" i="41"/>
  <c r="AO100" i="41"/>
  <c r="AQ100" i="41" s="1"/>
  <c r="AF100" i="41"/>
  <c r="BK101" i="41"/>
  <c r="AF101" i="41"/>
  <c r="AO101" i="41"/>
  <c r="AQ101" i="41" s="1"/>
  <c r="BJ103" i="41"/>
  <c r="AS103" i="41"/>
  <c r="BQ103" i="41" s="1"/>
  <c r="AR103" i="41"/>
  <c r="BP103" i="41" s="1"/>
  <c r="V112" i="41"/>
  <c r="AD106" i="41"/>
  <c r="BN28" i="41"/>
  <c r="AL29" i="41"/>
  <c r="BO30" i="41"/>
  <c r="BO36" i="41" s="1"/>
  <c r="AL145" i="41"/>
  <c r="BN31" i="41"/>
  <c r="BF58" i="41"/>
  <c r="BU60" i="41"/>
  <c r="V65" i="41"/>
  <c r="BG65" i="41"/>
  <c r="BL63" i="41"/>
  <c r="AP63" i="41"/>
  <c r="AR63" i="41"/>
  <c r="BP63" i="41" s="1"/>
  <c r="AV65" i="41"/>
  <c r="BK67" i="41"/>
  <c r="AO67" i="41"/>
  <c r="AP67" i="41"/>
  <c r="AO68" i="41"/>
  <c r="AQ68" i="41" s="1"/>
  <c r="BT69" i="41"/>
  <c r="BT148" i="41" s="1"/>
  <c r="BH69" i="41"/>
  <c r="BS69" i="41" s="1"/>
  <c r="AP70" i="41"/>
  <c r="V79" i="41"/>
  <c r="AN73" i="41"/>
  <c r="BF79" i="41"/>
  <c r="BT73" i="41"/>
  <c r="BT79" i="41" s="1"/>
  <c r="BH73" i="41"/>
  <c r="BO73" i="41"/>
  <c r="BO79" i="41" s="1"/>
  <c r="BL74" i="41"/>
  <c r="AP74" i="41"/>
  <c r="AR74" i="41"/>
  <c r="BP74" i="41" s="1"/>
  <c r="BJ74" i="41"/>
  <c r="AF76" i="41"/>
  <c r="BK76" i="41"/>
  <c r="AO76" i="41"/>
  <c r="BL78" i="41"/>
  <c r="AL83" i="41"/>
  <c r="AN80" i="41"/>
  <c r="BU83" i="41"/>
  <c r="BT81" i="41"/>
  <c r="BT83" i="41" s="1"/>
  <c r="BH81" i="41"/>
  <c r="BS81" i="41" s="1"/>
  <c r="AO82" i="41"/>
  <c r="AQ82" i="41" s="1"/>
  <c r="BK82" i="41"/>
  <c r="AD83" i="41"/>
  <c r="BS84" i="41"/>
  <c r="BS87" i="41" s="1"/>
  <c r="BK85" i="41"/>
  <c r="BH151" i="41"/>
  <c r="BS104" i="41"/>
  <c r="BS151" i="41" s="1"/>
  <c r="AS132" i="41"/>
  <c r="BQ132" i="41" s="1"/>
  <c r="BJ132" i="41"/>
  <c r="AR132" i="41"/>
  <c r="BP132" i="41" s="1"/>
  <c r="AP42" i="41"/>
  <c r="AP45" i="41"/>
  <c r="AO46" i="41"/>
  <c r="AQ46" i="41" s="1"/>
  <c r="AW46" i="41" s="1"/>
  <c r="BI46" i="41" s="1"/>
  <c r="BK46" i="41"/>
  <c r="AP48" i="41"/>
  <c r="AO49" i="41"/>
  <c r="BK49" i="41"/>
  <c r="BG50" i="41"/>
  <c r="AP51" i="41"/>
  <c r="AP58" i="41" s="1"/>
  <c r="BL51" i="41"/>
  <c r="AO52" i="41"/>
  <c r="BK52" i="41"/>
  <c r="AO55" i="41"/>
  <c r="BK55" i="41"/>
  <c r="BK57" i="41"/>
  <c r="AO57" i="41"/>
  <c r="AQ57" i="41" s="1"/>
  <c r="AW57" i="41" s="1"/>
  <c r="BI57" i="41" s="1"/>
  <c r="AV61" i="41"/>
  <c r="BR59" i="41"/>
  <c r="BR61" i="41" s="1"/>
  <c r="W65" i="41"/>
  <c r="AE62" i="41"/>
  <c r="AS63" i="41"/>
  <c r="BQ63" i="41" s="1"/>
  <c r="BO72" i="41"/>
  <c r="AO69" i="41"/>
  <c r="AQ69" i="41" s="1"/>
  <c r="BK74" i="41"/>
  <c r="BK79" i="41" s="1"/>
  <c r="BK75" i="41"/>
  <c r="AO75" i="41"/>
  <c r="BG83" i="41"/>
  <c r="AL151" i="41"/>
  <c r="AN104" i="41"/>
  <c r="BN104" i="41"/>
  <c r="BN151" i="41" s="1"/>
  <c r="AF110" i="41"/>
  <c r="BK110" i="41"/>
  <c r="AO110" i="41"/>
  <c r="AO38" i="41"/>
  <c r="AQ38" i="41" s="1"/>
  <c r="AW38" i="41" s="1"/>
  <c r="BI38" i="41" s="1"/>
  <c r="BH41" i="41"/>
  <c r="BS41" i="41" s="1"/>
  <c r="BH44" i="41"/>
  <c r="AP46" i="41"/>
  <c r="AN47" i="41"/>
  <c r="BM47" i="41" s="1"/>
  <c r="BH47" i="41"/>
  <c r="BS47" i="41" s="1"/>
  <c r="AP49" i="41"/>
  <c r="BG58" i="41"/>
  <c r="AP52" i="41"/>
  <c r="AO53" i="41"/>
  <c r="AP55" i="41"/>
  <c r="AO56" i="41"/>
  <c r="AQ56" i="41" s="1"/>
  <c r="AW56" i="41" s="1"/>
  <c r="BI56" i="41" s="1"/>
  <c r="AL58" i="41"/>
  <c r="AN60" i="41"/>
  <c r="BM60" i="41" s="1"/>
  <c r="AF62" i="41"/>
  <c r="BN64" i="41"/>
  <c r="BN65" i="41" s="1"/>
  <c r="AD65" i="41"/>
  <c r="AD72" i="41"/>
  <c r="BK66" i="41"/>
  <c r="BK72" i="41" s="1"/>
  <c r="AO66" i="41"/>
  <c r="BH66" i="41"/>
  <c r="BH68" i="41"/>
  <c r="BS68" i="41" s="1"/>
  <c r="AN71" i="41"/>
  <c r="BM71" i="41" s="1"/>
  <c r="V72" i="41"/>
  <c r="AF73" i="41"/>
  <c r="BL75" i="41"/>
  <c r="AP75" i="41"/>
  <c r="BJ82" i="41"/>
  <c r="AS82" i="41"/>
  <c r="BQ82" i="41" s="1"/>
  <c r="AR82" i="41"/>
  <c r="BP82" i="41" s="1"/>
  <c r="BN87" i="41"/>
  <c r="AQ88" i="41"/>
  <c r="AN98" i="41"/>
  <c r="BN98" i="41"/>
  <c r="AL105" i="41"/>
  <c r="BS112" i="41"/>
  <c r="BH42" i="41"/>
  <c r="BS42" i="41" s="1"/>
  <c r="BH45" i="41"/>
  <c r="BS45" i="41" s="1"/>
  <c r="BH48" i="41"/>
  <c r="BS48" i="41" s="1"/>
  <c r="BH51" i="41"/>
  <c r="AN54" i="41"/>
  <c r="BM54" i="41" s="1"/>
  <c r="BH54" i="41"/>
  <c r="BS54" i="41" s="1"/>
  <c r="AN59" i="41"/>
  <c r="BN59" i="41"/>
  <c r="BN61" i="41" s="1"/>
  <c r="BK60" i="41"/>
  <c r="AO60" i="41"/>
  <c r="AQ60" i="41" s="1"/>
  <c r="BR65" i="41"/>
  <c r="BK64" i="41"/>
  <c r="AO64" i="41"/>
  <c r="AP64" i="41"/>
  <c r="AE72" i="41"/>
  <c r="BL66" i="41"/>
  <c r="BL72" i="41" s="1"/>
  <c r="AP66" i="41"/>
  <c r="AF67" i="41"/>
  <c r="AF68" i="41"/>
  <c r="AF69" i="41"/>
  <c r="W72" i="41"/>
  <c r="AE73" i="41"/>
  <c r="AF75" i="41"/>
  <c r="AN76" i="41"/>
  <c r="BM76" i="41" s="1"/>
  <c r="BJ77" i="41"/>
  <c r="AS77" i="41"/>
  <c r="BQ77" i="41" s="1"/>
  <c r="BK83" i="41"/>
  <c r="BP80" i="41"/>
  <c r="BO84" i="41"/>
  <c r="BO87" i="41" s="1"/>
  <c r="AM87" i="41"/>
  <c r="BR87" i="41"/>
  <c r="AE93" i="41"/>
  <c r="BL88" i="41"/>
  <c r="AF88" i="41"/>
  <c r="BL89" i="41"/>
  <c r="AP89" i="41"/>
  <c r="AP93" i="41" s="1"/>
  <c r="AO91" i="41"/>
  <c r="AQ91" i="41" s="1"/>
  <c r="AF91" i="41"/>
  <c r="AD93" i="41"/>
  <c r="BK91" i="41"/>
  <c r="BL99" i="41"/>
  <c r="AP99" i="41"/>
  <c r="AL79" i="41"/>
  <c r="AE83" i="41"/>
  <c r="BL84" i="41"/>
  <c r="AE85" i="41"/>
  <c r="AF85" i="41" s="1"/>
  <c r="BN85" i="41"/>
  <c r="BK86" i="41"/>
  <c r="BT97" i="41"/>
  <c r="AP95" i="41"/>
  <c r="BL95" i="41"/>
  <c r="BH105" i="41"/>
  <c r="AN99" i="41"/>
  <c r="BM99" i="41" s="1"/>
  <c r="BN99" i="41"/>
  <c r="BO104" i="41"/>
  <c r="BO151" i="41" s="1"/>
  <c r="AF115" i="41"/>
  <c r="BK115" i="41"/>
  <c r="AO115" i="41"/>
  <c r="BK122" i="41"/>
  <c r="BK124" i="41" s="1"/>
  <c r="AO122" i="41"/>
  <c r="AD124" i="41"/>
  <c r="BL86" i="41"/>
  <c r="BG87" i="41"/>
  <c r="AN91" i="41"/>
  <c r="BM91" i="41" s="1"/>
  <c r="BU91" i="41"/>
  <c r="BU94" i="41"/>
  <c r="BU97" i="41" s="1"/>
  <c r="AS95" i="41"/>
  <c r="BQ95" i="41" s="1"/>
  <c r="AF96" i="41"/>
  <c r="AO96" i="41"/>
  <c r="AQ96" i="41" s="1"/>
  <c r="BK96" i="41"/>
  <c r="BN96" i="41"/>
  <c r="AP102" i="41"/>
  <c r="AP104" i="41"/>
  <c r="AP151" i="41" s="1"/>
  <c r="BT104" i="41"/>
  <c r="BT151" i="41" s="1"/>
  <c r="BJ108" i="41"/>
  <c r="AR108" i="41"/>
  <c r="BP108" i="41" s="1"/>
  <c r="AP109" i="41"/>
  <c r="BL109" i="41"/>
  <c r="BU116" i="41"/>
  <c r="BH116" i="41"/>
  <c r="BS116" i="41" s="1"/>
  <c r="AV137" i="41"/>
  <c r="BR131" i="41"/>
  <c r="BR137" i="41" s="1"/>
  <c r="AP76" i="41"/>
  <c r="AO77" i="41"/>
  <c r="AO80" i="41"/>
  <c r="BO82" i="41"/>
  <c r="BO83" i="41" s="1"/>
  <c r="AM83" i="41"/>
  <c r="BU84" i="41"/>
  <c r="BU87" i="41" s="1"/>
  <c r="AO86" i="41"/>
  <c r="AQ86" i="41" s="1"/>
  <c r="AW86" i="41" s="1"/>
  <c r="BI86" i="41" s="1"/>
  <c r="BT86" i="41"/>
  <c r="BH86" i="41"/>
  <c r="BS86" i="41" s="1"/>
  <c r="AV87" i="41"/>
  <c r="BK93" i="41"/>
  <c r="BR88" i="41"/>
  <c r="BR93" i="41" s="1"/>
  <c r="V93" i="41"/>
  <c r="BR95" i="41"/>
  <c r="BT101" i="41"/>
  <c r="BT105" i="41" s="1"/>
  <c r="BH101" i="41"/>
  <c r="BS101" i="41" s="1"/>
  <c r="V151" i="41"/>
  <c r="AD104" i="41"/>
  <c r="AV151" i="41"/>
  <c r="BR104" i="41"/>
  <c r="BR151" i="41" s="1"/>
  <c r="AO124" i="41"/>
  <c r="BH75" i="41"/>
  <c r="BS75" i="41" s="1"/>
  <c r="AP77" i="41"/>
  <c r="AO78" i="41"/>
  <c r="AQ78" i="41" s="1"/>
  <c r="AP80" i="41"/>
  <c r="AP83" i="41" s="1"/>
  <c r="AO81" i="41"/>
  <c r="AQ81" i="41" s="1"/>
  <c r="W93" i="41"/>
  <c r="AN93" i="41"/>
  <c r="AE94" i="41"/>
  <c r="AF94" i="41" s="1"/>
  <c r="W97" i="41"/>
  <c r="AD98" i="41"/>
  <c r="V105" i="41"/>
  <c r="BN107" i="41"/>
  <c r="AL112" i="41"/>
  <c r="AN107" i="41"/>
  <c r="BM107" i="41" s="1"/>
  <c r="AS109" i="41"/>
  <c r="BQ109" i="41" s="1"/>
  <c r="AR109" i="41"/>
  <c r="BP109" i="41" s="1"/>
  <c r="AE114" i="41"/>
  <c r="W120" i="41"/>
  <c r="BO124" i="41"/>
  <c r="AL87" i="41"/>
  <c r="AN84" i="41"/>
  <c r="BM88" i="41"/>
  <c r="BM93" i="41" s="1"/>
  <c r="AN89" i="41"/>
  <c r="BM89" i="41" s="1"/>
  <c r="AF90" i="41"/>
  <c r="BK90" i="41"/>
  <c r="AP92" i="41"/>
  <c r="BK94" i="41"/>
  <c r="AN95" i="41"/>
  <c r="BM95" i="41" s="1"/>
  <c r="W105" i="41"/>
  <c r="AE98" i="41"/>
  <c r="BF105" i="41"/>
  <c r="BR98" i="41"/>
  <c r="BR105" i="41" s="1"/>
  <c r="AO99" i="41"/>
  <c r="BK99" i="41"/>
  <c r="AF99" i="41"/>
  <c r="AF102" i="41"/>
  <c r="BK102" i="41"/>
  <c r="AO102" i="41"/>
  <c r="AQ102" i="41" s="1"/>
  <c r="BK103" i="41"/>
  <c r="AO103" i="41"/>
  <c r="AQ103" i="41" s="1"/>
  <c r="AW103" i="41" s="1"/>
  <c r="BI103" i="41" s="1"/>
  <c r="BM106" i="41"/>
  <c r="AS108" i="41"/>
  <c r="BQ108" i="41" s="1"/>
  <c r="AQ109" i="41"/>
  <c r="AW109" i="41" s="1"/>
  <c r="BI109" i="41" s="1"/>
  <c r="AF111" i="41"/>
  <c r="BK111" i="41"/>
  <c r="AO111" i="41"/>
  <c r="AQ111" i="41" s="1"/>
  <c r="BT113" i="41"/>
  <c r="BH113" i="41"/>
  <c r="BF120" i="41"/>
  <c r="AF117" i="41"/>
  <c r="BK117" i="41"/>
  <c r="AO117" i="41"/>
  <c r="AQ117" i="41" s="1"/>
  <c r="AR128" i="41"/>
  <c r="BP128" i="41" s="1"/>
  <c r="BJ128" i="41"/>
  <c r="AS128" i="41"/>
  <c r="BQ128" i="41" s="1"/>
  <c r="BT128" i="41"/>
  <c r="BH128" i="41"/>
  <c r="BS128" i="41" s="1"/>
  <c r="BO88" i="41"/>
  <c r="BO93" i="41" s="1"/>
  <c r="BH89" i="41"/>
  <c r="BS89" i="41" s="1"/>
  <c r="BK92" i="41"/>
  <c r="AO92" i="41"/>
  <c r="AQ92" i="41" s="1"/>
  <c r="AW92" i="41" s="1"/>
  <c r="BI92" i="41" s="1"/>
  <c r="BR97" i="41"/>
  <c r="BH95" i="41"/>
  <c r="BS95" i="41" s="1"/>
  <c r="BS97" i="41" s="1"/>
  <c r="AM105" i="41"/>
  <c r="AN100" i="41"/>
  <c r="BM100" i="41" s="1"/>
  <c r="AN102" i="41"/>
  <c r="BM102" i="41" s="1"/>
  <c r="AO108" i="41"/>
  <c r="AQ108" i="41" s="1"/>
  <c r="AW108" i="41" s="1"/>
  <c r="BI108" i="41" s="1"/>
  <c r="BN109" i="41"/>
  <c r="BO113" i="41"/>
  <c r="BO120" i="41" s="1"/>
  <c r="AM120" i="41"/>
  <c r="AN113" i="41"/>
  <c r="AF114" i="41"/>
  <c r="BK114" i="41"/>
  <c r="BT119" i="41"/>
  <c r="BH119" i="41"/>
  <c r="BS119" i="41" s="1"/>
  <c r="AP123" i="41"/>
  <c r="AE130" i="41"/>
  <c r="BL125" i="41"/>
  <c r="AP125" i="41"/>
  <c r="AP130" i="41" s="1"/>
  <c r="BT129" i="41"/>
  <c r="BH129" i="41"/>
  <c r="BS129" i="41" s="1"/>
  <c r="BH135" i="41"/>
  <c r="BS135" i="41" s="1"/>
  <c r="BT135" i="41"/>
  <c r="BV141" i="41"/>
  <c r="BG105" i="41"/>
  <c r="BL103" i="41"/>
  <c r="AP103" i="41"/>
  <c r="BL104" i="41"/>
  <c r="BL151" i="41" s="1"/>
  <c r="BN112" i="41"/>
  <c r="BU106" i="41"/>
  <c r="BT110" i="41"/>
  <c r="BT112" i="41" s="1"/>
  <c r="BH110" i="41"/>
  <c r="BS110" i="41" s="1"/>
  <c r="BG112" i="41"/>
  <c r="V120" i="41"/>
  <c r="AD113" i="41"/>
  <c r="BH117" i="41"/>
  <c r="BS117" i="41" s="1"/>
  <c r="BG120" i="41"/>
  <c r="BH133" i="41"/>
  <c r="BS133" i="41" s="1"/>
  <c r="BT133" i="41"/>
  <c r="BN134" i="41"/>
  <c r="AN134" i="41"/>
  <c r="BM134" i="41" s="1"/>
  <c r="BJ135" i="41"/>
  <c r="AR135" i="41"/>
  <c r="BP135" i="41" s="1"/>
  <c r="AS135" i="41"/>
  <c r="BQ135" i="41" s="1"/>
  <c r="AF107" i="41"/>
  <c r="BK107" i="41"/>
  <c r="AO107" i="41"/>
  <c r="AQ107" i="41" s="1"/>
  <c r="AN110" i="41"/>
  <c r="BM110" i="41" s="1"/>
  <c r="BO110" i="41"/>
  <c r="BO112" i="41" s="1"/>
  <c r="BR120" i="41"/>
  <c r="BU115" i="41"/>
  <c r="AN117" i="41"/>
  <c r="BM117" i="41" s="1"/>
  <c r="BN117" i="41"/>
  <c r="AP118" i="41"/>
  <c r="AQ118" i="41" s="1"/>
  <c r="BL118" i="41"/>
  <c r="BR124" i="41"/>
  <c r="AF123" i="41"/>
  <c r="AO123" i="41"/>
  <c r="BK123" i="41"/>
  <c r="BR130" i="41"/>
  <c r="AP126" i="41"/>
  <c r="BL126" i="41"/>
  <c r="AR133" i="41"/>
  <c r="BP133" i="41" s="1"/>
  <c r="AS133" i="41"/>
  <c r="BQ133" i="41" s="1"/>
  <c r="BN135" i="41"/>
  <c r="AN135" i="41"/>
  <c r="BM135" i="41" s="1"/>
  <c r="AQ119" i="41"/>
  <c r="BM125" i="41"/>
  <c r="AN126" i="41"/>
  <c r="BM126" i="41" s="1"/>
  <c r="BN126" i="41"/>
  <c r="BN130" i="41" s="1"/>
  <c r="AL130" i="41"/>
  <c r="BM137" i="41"/>
  <c r="BL132" i="41"/>
  <c r="AP132" i="41"/>
  <c r="AQ132" i="41" s="1"/>
  <c r="AW132" i="41" s="1"/>
  <c r="BI132" i="41" s="1"/>
  <c r="AQ134" i="41"/>
  <c r="BL91" i="41"/>
  <c r="AP91" i="41"/>
  <c r="BK95" i="41"/>
  <c r="AO95" i="41"/>
  <c r="AQ95" i="41" s="1"/>
  <c r="AN103" i="41"/>
  <c r="BM103" i="41" s="1"/>
  <c r="W112" i="41"/>
  <c r="AE106" i="41"/>
  <c r="AN108" i="41"/>
  <c r="BM108" i="41" s="1"/>
  <c r="BN108" i="41"/>
  <c r="AP110" i="41"/>
  <c r="BK119" i="41"/>
  <c r="AF119" i="41"/>
  <c r="AN121" i="41"/>
  <c r="AL124" i="41"/>
  <c r="BN121" i="41"/>
  <c r="BN124" i="41" s="1"/>
  <c r="BU121" i="41"/>
  <c r="BU124" i="41" s="1"/>
  <c r="BG124" i="41"/>
  <c r="W124" i="41"/>
  <c r="AE122" i="41"/>
  <c r="AF122" i="41" s="1"/>
  <c r="BO126" i="41"/>
  <c r="AM130" i="41"/>
  <c r="BK128" i="41"/>
  <c r="AO128" i="41"/>
  <c r="AQ128" i="41" s="1"/>
  <c r="AF129" i="41"/>
  <c r="BK129" i="41"/>
  <c r="AP119" i="41"/>
  <c r="BL119" i="41"/>
  <c r="AV124" i="41"/>
  <c r="BT122" i="41"/>
  <c r="BH122" i="41"/>
  <c r="BS122" i="41" s="1"/>
  <c r="AD125" i="41"/>
  <c r="V130" i="41"/>
  <c r="AE131" i="41"/>
  <c r="W137" i="41"/>
  <c r="BK133" i="41"/>
  <c r="AO133" i="41"/>
  <c r="AQ133" i="41" s="1"/>
  <c r="I140" i="41"/>
  <c r="BR112" i="41"/>
  <c r="BU109" i="41"/>
  <c r="BH109" i="41"/>
  <c r="BS109" i="41" s="1"/>
  <c r="AF116" i="41"/>
  <c r="AF118" i="41"/>
  <c r="AE124" i="41"/>
  <c r="BL121" i="41"/>
  <c r="AF121" i="41"/>
  <c r="AP121" i="41"/>
  <c r="BF124" i="41"/>
  <c r="BT121" i="41"/>
  <c r="BT124" i="41" s="1"/>
  <c r="BH121" i="41"/>
  <c r="BO123" i="41"/>
  <c r="AM124" i="41"/>
  <c r="AO126" i="41"/>
  <c r="AQ126" i="41" s="1"/>
  <c r="AS127" i="41"/>
  <c r="BQ127" i="41" s="1"/>
  <c r="BJ127" i="41"/>
  <c r="AR127" i="41"/>
  <c r="BP127" i="41" s="1"/>
  <c r="BO128" i="41"/>
  <c r="BG137" i="41"/>
  <c r="BH132" i="41"/>
  <c r="BS132" i="41" s="1"/>
  <c r="BK134" i="41"/>
  <c r="AF134" i="41"/>
  <c r="BV140" i="41"/>
  <c r="BL113" i="41"/>
  <c r="BL115" i="41"/>
  <c r="AP115" i="41"/>
  <c r="AE120" i="41"/>
  <c r="AO127" i="41"/>
  <c r="V137" i="41"/>
  <c r="AD131" i="41"/>
  <c r="AA141" i="41"/>
  <c r="AN116" i="41"/>
  <c r="BM116" i="41" s="1"/>
  <c r="BO130" i="41"/>
  <c r="AF126" i="41"/>
  <c r="BN132" i="41"/>
  <c r="BN137" i="41" s="1"/>
  <c r="AN132" i="41"/>
  <c r="BM132" i="41" s="1"/>
  <c r="BL133" i="41"/>
  <c r="BL134" i="41"/>
  <c r="AP134" i="41"/>
  <c r="BK135" i="41"/>
  <c r="AO135" i="41"/>
  <c r="AQ135" i="41" s="1"/>
  <c r="AW135" i="41" s="1"/>
  <c r="BI135" i="41" s="1"/>
  <c r="AO136" i="41"/>
  <c r="AQ136" i="41" s="1"/>
  <c r="AW136" i="41" s="1"/>
  <c r="BI136" i="41" s="1"/>
  <c r="AL137" i="41"/>
  <c r="I139" i="41"/>
  <c r="BG140" i="41"/>
  <c r="BK116" i="41"/>
  <c r="AO116" i="41"/>
  <c r="AQ116" i="41" s="1"/>
  <c r="BF130" i="41"/>
  <c r="BT125" i="41"/>
  <c r="BT130" i="41" s="1"/>
  <c r="BH125" i="41"/>
  <c r="BL127" i="41"/>
  <c r="AP127" i="41"/>
  <c r="AN129" i="41"/>
  <c r="BM129" i="41" s="1"/>
  <c r="BF137" i="41"/>
  <c r="BT131" i="41"/>
  <c r="BH131" i="41"/>
  <c r="AN136" i="41"/>
  <c r="BM136" i="41" s="1"/>
  <c r="BN136" i="41"/>
  <c r="J140" i="41"/>
  <c r="BN113" i="41"/>
  <c r="Z141" i="41"/>
  <c r="AU141" i="41"/>
  <c r="AV140" i="41" s="1"/>
  <c r="S139" i="41"/>
  <c r="BL18" i="40"/>
  <c r="AF18" i="40"/>
  <c r="AP18" i="40"/>
  <c r="BJ22" i="40"/>
  <c r="AR22" i="40"/>
  <c r="BP22" i="40" s="1"/>
  <c r="AS22" i="40"/>
  <c r="BQ22" i="40" s="1"/>
  <c r="BK26" i="40"/>
  <c r="AO26" i="40"/>
  <c r="AS50" i="40"/>
  <c r="BQ50" i="40" s="1"/>
  <c r="BJ50" i="40"/>
  <c r="AR50" i="40"/>
  <c r="BP50" i="40" s="1"/>
  <c r="BS16" i="40"/>
  <c r="BS19" i="40" s="1"/>
  <c r="BJ21" i="40"/>
  <c r="AS21" i="40"/>
  <c r="BQ21" i="40" s="1"/>
  <c r="AR21" i="40"/>
  <c r="BP21" i="40" s="1"/>
  <c r="AV170" i="40"/>
  <c r="AV15" i="40"/>
  <c r="BR12" i="40"/>
  <c r="AF40" i="40"/>
  <c r="BK40" i="40"/>
  <c r="AO40" i="40"/>
  <c r="AQ40" i="40" s="1"/>
  <c r="BL58" i="40"/>
  <c r="AP58" i="40"/>
  <c r="W170" i="40"/>
  <c r="AN12" i="40"/>
  <c r="W176" i="40"/>
  <c r="AE14" i="40"/>
  <c r="AM15" i="40"/>
  <c r="AN16" i="40"/>
  <c r="BR16" i="40"/>
  <c r="BR19" i="40" s="1"/>
  <c r="AF17" i="40"/>
  <c r="BH17" i="40"/>
  <c r="BS17" i="40" s="1"/>
  <c r="BK18" i="40"/>
  <c r="AO18" i="40"/>
  <c r="AQ18" i="40" s="1"/>
  <c r="BU18" i="40"/>
  <c r="BU19" i="40" s="1"/>
  <c r="V23" i="40"/>
  <c r="BG23" i="40"/>
  <c r="BL21" i="40"/>
  <c r="AP21" i="40"/>
  <c r="BL22" i="40"/>
  <c r="AV23" i="40"/>
  <c r="BN24" i="40"/>
  <c r="W171" i="40"/>
  <c r="W32" i="40"/>
  <c r="AE26" i="40"/>
  <c r="BS26" i="40"/>
  <c r="BG32" i="40"/>
  <c r="BU27" i="40"/>
  <c r="BH27" i="40"/>
  <c r="V174" i="40"/>
  <c r="AD28" i="40"/>
  <c r="BO28" i="40"/>
  <c r="BO174" i="40" s="1"/>
  <c r="BK31" i="40"/>
  <c r="AO31" i="40"/>
  <c r="AQ31" i="40" s="1"/>
  <c r="AF31" i="40"/>
  <c r="BO31" i="40"/>
  <c r="BF38" i="40"/>
  <c r="BL35" i="40"/>
  <c r="AP35" i="40"/>
  <c r="BK36" i="40"/>
  <c r="AO36" i="40"/>
  <c r="AP37" i="40"/>
  <c r="BF44" i="40"/>
  <c r="BT40" i="40"/>
  <c r="BH40" i="40"/>
  <c r="BS40" i="40" s="1"/>
  <c r="BL42" i="40"/>
  <c r="AP42" i="40"/>
  <c r="AN48" i="40"/>
  <c r="BM48" i="40" s="1"/>
  <c r="BN48" i="40"/>
  <c r="BN51" i="40" s="1"/>
  <c r="W51" i="40"/>
  <c r="AQ58" i="40"/>
  <c r="BJ68" i="40"/>
  <c r="AS68" i="40"/>
  <c r="AR68" i="40"/>
  <c r="BJ29" i="40"/>
  <c r="AS29" i="40"/>
  <c r="BQ29" i="40" s="1"/>
  <c r="BL48" i="40"/>
  <c r="AP48" i="40"/>
  <c r="BO61" i="40"/>
  <c r="BO67" i="40" s="1"/>
  <c r="AM67" i="40"/>
  <c r="AD12" i="40"/>
  <c r="BF170" i="40"/>
  <c r="BT12" i="40"/>
  <c r="BH12" i="40"/>
  <c r="AD14" i="40"/>
  <c r="BU14" i="40"/>
  <c r="AO19" i="40"/>
  <c r="BT16" i="40"/>
  <c r="BT19" i="40" s="1"/>
  <c r="W23" i="40"/>
  <c r="AE20" i="40"/>
  <c r="AN24" i="40"/>
  <c r="BG179" i="40"/>
  <c r="BG25" i="40"/>
  <c r="BG177" i="40"/>
  <c r="BU30" i="40"/>
  <c r="BJ35" i="40"/>
  <c r="AS35" i="40"/>
  <c r="BQ35" i="40" s="1"/>
  <c r="BL36" i="40"/>
  <c r="AP36" i="40"/>
  <c r="AF37" i="40"/>
  <c r="BK37" i="40"/>
  <c r="AO37" i="40"/>
  <c r="AQ37" i="40" s="1"/>
  <c r="AD38" i="40"/>
  <c r="BN44" i="40"/>
  <c r="BU39" i="40"/>
  <c r="BU44" i="40" s="1"/>
  <c r="BH39" i="40"/>
  <c r="BG44" i="40"/>
  <c r="AF41" i="40"/>
  <c r="BK41" i="40"/>
  <c r="BM45" i="40"/>
  <c r="AP57" i="40"/>
  <c r="BL57" i="40"/>
  <c r="AN64" i="40"/>
  <c r="BM64" i="40" s="1"/>
  <c r="BN64" i="40"/>
  <c r="BN176" i="40" s="1"/>
  <c r="W172" i="40"/>
  <c r="AE33" i="40"/>
  <c r="W38" i="40"/>
  <c r="AP50" i="40"/>
  <c r="AQ50" i="40" s="1"/>
  <c r="AW50" i="40" s="1"/>
  <c r="BI50" i="40" s="1"/>
  <c r="BL50" i="40"/>
  <c r="BF178" i="40"/>
  <c r="BF53" i="40"/>
  <c r="BH52" i="40"/>
  <c r="BT52" i="40"/>
  <c r="AF84" i="40"/>
  <c r="AO84" i="40"/>
  <c r="AQ84" i="40" s="1"/>
  <c r="BK84" i="40"/>
  <c r="AP12" i="40"/>
  <c r="BG170" i="40"/>
  <c r="BO12" i="40"/>
  <c r="BH14" i="40"/>
  <c r="V15" i="40"/>
  <c r="AD19" i="40"/>
  <c r="AF16" i="40"/>
  <c r="BG19" i="40"/>
  <c r="BN16" i="40"/>
  <c r="BN19" i="40" s="1"/>
  <c r="BF19" i="40"/>
  <c r="AF20" i="40"/>
  <c r="BN22" i="40"/>
  <c r="BN23" i="40" s="1"/>
  <c r="AD23" i="40"/>
  <c r="V179" i="40"/>
  <c r="AD24" i="40"/>
  <c r="BH24" i="40"/>
  <c r="AL25" i="40"/>
  <c r="AL171" i="40"/>
  <c r="AL32" i="40"/>
  <c r="AV171" i="40"/>
  <c r="BR26" i="40"/>
  <c r="AN27" i="40"/>
  <c r="BM27" i="40" s="1"/>
  <c r="BF174" i="40"/>
  <c r="BT28" i="40"/>
  <c r="BT174" i="40" s="1"/>
  <c r="BH28" i="40"/>
  <c r="BF32" i="40"/>
  <c r="BT31" i="40"/>
  <c r="BH31" i="40"/>
  <c r="BS31" i="40" s="1"/>
  <c r="AV32" i="40"/>
  <c r="AN34" i="40"/>
  <c r="BM34" i="40" s="1"/>
  <c r="AM38" i="40"/>
  <c r="BO34" i="40"/>
  <c r="AL38" i="40"/>
  <c r="AN35" i="40"/>
  <c r="BM35" i="40" s="1"/>
  <c r="AF36" i="40"/>
  <c r="BT37" i="40"/>
  <c r="BT177" i="40" s="1"/>
  <c r="BH37" i="40"/>
  <c r="BS37" i="40" s="1"/>
  <c r="BO44" i="40"/>
  <c r="BL40" i="40"/>
  <c r="AO61" i="40"/>
  <c r="BK61" i="40"/>
  <c r="BL70" i="40"/>
  <c r="AP70" i="40"/>
  <c r="AV177" i="40"/>
  <c r="BR30" i="40"/>
  <c r="BR177" i="40" s="1"/>
  <c r="AV172" i="40"/>
  <c r="BR33" i="40"/>
  <c r="BL59" i="40"/>
  <c r="AP59" i="40"/>
  <c r="BL13" i="40"/>
  <c r="AL176" i="40"/>
  <c r="AE16" i="40"/>
  <c r="BO16" i="40"/>
  <c r="BO19" i="40" s="1"/>
  <c r="BK17" i="40"/>
  <c r="BK19" i="40" s="1"/>
  <c r="BK22" i="40"/>
  <c r="AO22" i="40"/>
  <c r="AQ22" i="40" s="1"/>
  <c r="W179" i="40"/>
  <c r="AE24" i="40"/>
  <c r="W25" i="40"/>
  <c r="AM171" i="40"/>
  <c r="AM169" i="40" s="1"/>
  <c r="BO26" i="40"/>
  <c r="BK27" i="40"/>
  <c r="AO27" i="40"/>
  <c r="AQ27" i="40" s="1"/>
  <c r="AW27" i="40" s="1"/>
  <c r="BI27" i="40" s="1"/>
  <c r="AO29" i="40"/>
  <c r="BM30" i="40"/>
  <c r="AM32" i="40"/>
  <c r="BU36" i="40"/>
  <c r="BH36" i="40"/>
  <c r="BS36" i="40" s="1"/>
  <c r="AF43" i="40"/>
  <c r="AO43" i="40"/>
  <c r="AQ43" i="40" s="1"/>
  <c r="BK43" i="40"/>
  <c r="AE51" i="40"/>
  <c r="AP45" i="40"/>
  <c r="AF45" i="40"/>
  <c r="AF46" i="40"/>
  <c r="BK46" i="40"/>
  <c r="AO46" i="40"/>
  <c r="AO53" i="40"/>
  <c r="AE60" i="40"/>
  <c r="AF54" i="40"/>
  <c r="BL54" i="40"/>
  <c r="AP54" i="40"/>
  <c r="BJ56" i="40"/>
  <c r="AS56" i="40"/>
  <c r="BQ56" i="40" s="1"/>
  <c r="AR56" i="40"/>
  <c r="BP56" i="40" s="1"/>
  <c r="BT69" i="40"/>
  <c r="BH69" i="40"/>
  <c r="BS69" i="40" s="1"/>
  <c r="BM20" i="40"/>
  <c r="BK21" i="40"/>
  <c r="BK23" i="40" s="1"/>
  <c r="AO21" i="40"/>
  <c r="AQ21" i="40" s="1"/>
  <c r="AW21" i="40" s="1"/>
  <c r="BI21" i="40" s="1"/>
  <c r="AV179" i="40"/>
  <c r="AV25" i="40"/>
  <c r="BR24" i="40"/>
  <c r="V171" i="40"/>
  <c r="V169" i="40" s="1"/>
  <c r="V32" i="40"/>
  <c r="AS27" i="40"/>
  <c r="BQ27" i="40" s="1"/>
  <c r="AR27" i="40"/>
  <c r="BP27" i="40" s="1"/>
  <c r="AN46" i="40"/>
  <c r="BM46" i="40" s="1"/>
  <c r="BN46" i="40"/>
  <c r="AL51" i="40"/>
  <c r="BR62" i="40"/>
  <c r="BR67" i="40" s="1"/>
  <c r="AV67" i="40"/>
  <c r="AF13" i="40"/>
  <c r="AP13" i="40"/>
  <c r="AQ13" i="40" s="1"/>
  <c r="AM176" i="40"/>
  <c r="BR14" i="40"/>
  <c r="BL17" i="40"/>
  <c r="AP17" i="40"/>
  <c r="AQ17" i="40" s="1"/>
  <c r="AN21" i="40"/>
  <c r="BM21" i="40" s="1"/>
  <c r="BT179" i="40"/>
  <c r="BT25" i="40"/>
  <c r="BU25" i="40"/>
  <c r="AN26" i="40"/>
  <c r="BN171" i="40"/>
  <c r="BL27" i="40"/>
  <c r="AP27" i="40"/>
  <c r="AR29" i="40"/>
  <c r="BP29" i="40" s="1"/>
  <c r="BK29" i="40"/>
  <c r="W177" i="40"/>
  <c r="AE30" i="40"/>
  <c r="BM33" i="40"/>
  <c r="BK34" i="40"/>
  <c r="AO34" i="40"/>
  <c r="AF34" i="40"/>
  <c r="AR35" i="40"/>
  <c r="BP35" i="40" s="1"/>
  <c r="AV38" i="40"/>
  <c r="BT41" i="40"/>
  <c r="BT176" i="40" s="1"/>
  <c r="AD51" i="40"/>
  <c r="AP46" i="40"/>
  <c r="BL46" i="40"/>
  <c r="BL51" i="40" s="1"/>
  <c r="BL47" i="40"/>
  <c r="AP47" i="40"/>
  <c r="AQ47" i="40" s="1"/>
  <c r="AF47" i="40"/>
  <c r="AF48" i="40"/>
  <c r="AF49" i="40"/>
  <c r="AO49" i="40"/>
  <c r="AQ49" i="40" s="1"/>
  <c r="BK49" i="40"/>
  <c r="BL69" i="40"/>
  <c r="AP69" i="40"/>
  <c r="AP85" i="40"/>
  <c r="BL85" i="40"/>
  <c r="AP34" i="40"/>
  <c r="AO35" i="40"/>
  <c r="AQ35" i="40" s="1"/>
  <c r="BK35" i="40"/>
  <c r="AO42" i="40"/>
  <c r="BT42" i="40"/>
  <c r="BT44" i="40" s="1"/>
  <c r="BH42" i="40"/>
  <c r="BS42" i="40" s="1"/>
  <c r="BT46" i="40"/>
  <c r="BF51" i="40"/>
  <c r="BJ52" i="40"/>
  <c r="AS52" i="40"/>
  <c r="AR52" i="40"/>
  <c r="BK53" i="40"/>
  <c r="AL173" i="40"/>
  <c r="AN55" i="40"/>
  <c r="BL71" i="40"/>
  <c r="AP71" i="40"/>
  <c r="BT72" i="40"/>
  <c r="BH72" i="40"/>
  <c r="BS72" i="40" s="1"/>
  <c r="BL73" i="40"/>
  <c r="AP73" i="40"/>
  <c r="AF77" i="40"/>
  <c r="BK77" i="40"/>
  <c r="AO77" i="40"/>
  <c r="AP91" i="40"/>
  <c r="BL91" i="40"/>
  <c r="BN96" i="40"/>
  <c r="BN98" i="40" s="1"/>
  <c r="AN96" i="40"/>
  <c r="BM96" i="40" s="1"/>
  <c r="AL170" i="40"/>
  <c r="BN12" i="40"/>
  <c r="BF176" i="40"/>
  <c r="BF171" i="40"/>
  <c r="AN28" i="40"/>
  <c r="AL177" i="40"/>
  <c r="BH30" i="40"/>
  <c r="BN30" i="40"/>
  <c r="AL172" i="40"/>
  <c r="BH33" i="40"/>
  <c r="BN33" i="40"/>
  <c r="BT33" i="40"/>
  <c r="AN37" i="40"/>
  <c r="BM37" i="40" s="1"/>
  <c r="AD39" i="40"/>
  <c r="AD171" i="40" s="1"/>
  <c r="AN40" i="40"/>
  <c r="AL44" i="40"/>
  <c r="BH48" i="40"/>
  <c r="BS48" i="40" s="1"/>
  <c r="BG51" i="40"/>
  <c r="AL178" i="40"/>
  <c r="AN52" i="40"/>
  <c r="BL52" i="40"/>
  <c r="AD60" i="40"/>
  <c r="BK54" i="40"/>
  <c r="AO54" i="40"/>
  <c r="BU54" i="40"/>
  <c r="BU60" i="40" s="1"/>
  <c r="BH55" i="40"/>
  <c r="BL56" i="40"/>
  <c r="AP56" i="40"/>
  <c r="AO56" i="40"/>
  <c r="BT57" i="40"/>
  <c r="BH57" i="40"/>
  <c r="BS57" i="40" s="1"/>
  <c r="BJ64" i="40"/>
  <c r="AS64" i="40"/>
  <c r="BQ64" i="40" s="1"/>
  <c r="BF67" i="40"/>
  <c r="BL68" i="40"/>
  <c r="AP68" i="40"/>
  <c r="AP74" i="40" s="1"/>
  <c r="AE74" i="40"/>
  <c r="AO70" i="40"/>
  <c r="AQ70" i="40" s="1"/>
  <c r="AF73" i="40"/>
  <c r="BR81" i="40"/>
  <c r="BL77" i="40"/>
  <c r="AP77" i="40"/>
  <c r="AP78" i="40"/>
  <c r="AO79" i="40"/>
  <c r="AQ79" i="40" s="1"/>
  <c r="BK79" i="40"/>
  <c r="AF79" i="40"/>
  <c r="BO84" i="40"/>
  <c r="AN84" i="40"/>
  <c r="BM84" i="40" s="1"/>
  <c r="AF85" i="40"/>
  <c r="AO85" i="40"/>
  <c r="BK85" i="40"/>
  <c r="AP87" i="40"/>
  <c r="BL87" i="40"/>
  <c r="AO89" i="40"/>
  <c r="BK89" i="40"/>
  <c r="BK92" i="40" s="1"/>
  <c r="AD92" i="40"/>
  <c r="AF89" i="40"/>
  <c r="BG92" i="40"/>
  <c r="BH89" i="40"/>
  <c r="BJ90" i="40"/>
  <c r="AS90" i="40"/>
  <c r="BQ90" i="40" s="1"/>
  <c r="AR90" i="40"/>
  <c r="BP90" i="40" s="1"/>
  <c r="V98" i="40"/>
  <c r="AD94" i="40"/>
  <c r="BF98" i="40"/>
  <c r="BG171" i="40"/>
  <c r="V177" i="40"/>
  <c r="AM177" i="40"/>
  <c r="BO30" i="40"/>
  <c r="V172" i="40"/>
  <c r="AM172" i="40"/>
  <c r="BO33" i="40"/>
  <c r="BU33" i="40"/>
  <c r="BH34" i="40"/>
  <c r="BS34" i="40" s="1"/>
  <c r="BG38" i="40"/>
  <c r="AE39" i="40"/>
  <c r="BR39" i="40"/>
  <c r="BR44" i="40" s="1"/>
  <c r="AN41" i="40"/>
  <c r="BM41" i="40" s="1"/>
  <c r="BM176" i="40" s="1"/>
  <c r="BL41" i="40"/>
  <c r="AF42" i="40"/>
  <c r="AM44" i="40"/>
  <c r="AM51" i="40"/>
  <c r="BK45" i="40"/>
  <c r="BK51" i="40" s="1"/>
  <c r="BR45" i="40"/>
  <c r="BR51" i="40" s="1"/>
  <c r="AN47" i="40"/>
  <c r="BM47" i="40" s="1"/>
  <c r="W60" i="40"/>
  <c r="AP55" i="40"/>
  <c r="BL55" i="40"/>
  <c r="AF59" i="40"/>
  <c r="BK59" i="40"/>
  <c r="AO59" i="40"/>
  <c r="AQ59" i="40" s="1"/>
  <c r="AN61" i="40"/>
  <c r="BL65" i="40"/>
  <c r="AP65" i="40"/>
  <c r="BK66" i="40"/>
  <c r="AO66" i="40"/>
  <c r="AQ66" i="40" s="1"/>
  <c r="AF66" i="40"/>
  <c r="W74" i="40"/>
  <c r="AN78" i="40"/>
  <c r="BM78" i="40" s="1"/>
  <c r="AP80" i="40"/>
  <c r="AQ80" i="40" s="1"/>
  <c r="AW80" i="40" s="1"/>
  <c r="BI80" i="40" s="1"/>
  <c r="BL80" i="40"/>
  <c r="BJ87" i="40"/>
  <c r="AS87" i="40"/>
  <c r="BQ87" i="40" s="1"/>
  <c r="AP29" i="40"/>
  <c r="AD177" i="40"/>
  <c r="AO30" i="40"/>
  <c r="BK30" i="40"/>
  <c r="AO33" i="40"/>
  <c r="BK33" i="40"/>
  <c r="AO45" i="40"/>
  <c r="BT45" i="40"/>
  <c r="BT51" i="40" s="1"/>
  <c r="BH45" i="40"/>
  <c r="BN49" i="40"/>
  <c r="AP52" i="40"/>
  <c r="AQ52" i="40" s="1"/>
  <c r="BG178" i="40"/>
  <c r="BU52" i="40"/>
  <c r="BG53" i="40"/>
  <c r="AV60" i="40"/>
  <c r="BO54" i="40"/>
  <c r="BR173" i="40"/>
  <c r="AF58" i="40"/>
  <c r="AF62" i="40"/>
  <c r="BK62" i="40"/>
  <c r="AO62" i="40"/>
  <c r="AF63" i="40"/>
  <c r="BK63" i="40"/>
  <c r="AO63" i="40"/>
  <c r="BJ65" i="40"/>
  <c r="AS65" i="40"/>
  <c r="BQ65" i="40" s="1"/>
  <c r="AR65" i="40"/>
  <c r="BP65" i="40" s="1"/>
  <c r="BT66" i="40"/>
  <c r="BT67" i="40" s="1"/>
  <c r="BH66" i="40"/>
  <c r="BS66" i="40" s="1"/>
  <c r="AF70" i="40"/>
  <c r="AQ73" i="40"/>
  <c r="BF81" i="40"/>
  <c r="BT75" i="40"/>
  <c r="BT81" i="40" s="1"/>
  <c r="BH75" i="40"/>
  <c r="BL76" i="40"/>
  <c r="BL81" i="40" s="1"/>
  <c r="AP76" i="40"/>
  <c r="AS80" i="40"/>
  <c r="BQ80" i="40" s="1"/>
  <c r="BJ80" i="40"/>
  <c r="AR80" i="40"/>
  <c r="BP80" i="40" s="1"/>
  <c r="AQ83" i="40"/>
  <c r="AF86" i="40"/>
  <c r="AO86" i="40"/>
  <c r="BU92" i="40"/>
  <c r="AO91" i="40"/>
  <c r="AQ91" i="40" s="1"/>
  <c r="BK91" i="40"/>
  <c r="AF91" i="40"/>
  <c r="BH95" i="40"/>
  <c r="BS95" i="40" s="1"/>
  <c r="BT95" i="40"/>
  <c r="AN133" i="40"/>
  <c r="BM133" i="40" s="1"/>
  <c r="BN133" i="40"/>
  <c r="BN28" i="40"/>
  <c r="BN174" i="40" s="1"/>
  <c r="BF177" i="40"/>
  <c r="BF172" i="40"/>
  <c r="BK48" i="40"/>
  <c r="AO48" i="40"/>
  <c r="AQ48" i="40" s="1"/>
  <c r="BR53" i="40"/>
  <c r="AF53" i="40"/>
  <c r="BT54" i="40"/>
  <c r="BT60" i="40" s="1"/>
  <c r="BH54" i="40"/>
  <c r="BT55" i="40"/>
  <c r="BK57" i="40"/>
  <c r="AO57" i="40"/>
  <c r="AQ57" i="40" s="1"/>
  <c r="AF57" i="40"/>
  <c r="AN58" i="40"/>
  <c r="BM58" i="40" s="1"/>
  <c r="AL60" i="40"/>
  <c r="V67" i="40"/>
  <c r="BL62" i="40"/>
  <c r="AP62" i="40"/>
  <c r="AM74" i="40"/>
  <c r="BK71" i="40"/>
  <c r="AF71" i="40"/>
  <c r="AO71" i="40"/>
  <c r="AQ71" i="40" s="1"/>
  <c r="BK72" i="40"/>
  <c r="AO72" i="40"/>
  <c r="AQ72" i="40" s="1"/>
  <c r="AF72" i="40"/>
  <c r="AE81" i="40"/>
  <c r="AF76" i="40"/>
  <c r="BK78" i="40"/>
  <c r="AF78" i="40"/>
  <c r="AO78" i="40"/>
  <c r="V88" i="40"/>
  <c r="BO88" i="40"/>
  <c r="BL83" i="40"/>
  <c r="BL88" i="40" s="1"/>
  <c r="AE88" i="40"/>
  <c r="AN94" i="40"/>
  <c r="BM94" i="40" s="1"/>
  <c r="BO94" i="40"/>
  <c r="BO98" i="40" s="1"/>
  <c r="AM98" i="40"/>
  <c r="AP95" i="40"/>
  <c r="BL95" i="40"/>
  <c r="BL98" i="40" s="1"/>
  <c r="BJ97" i="40"/>
  <c r="AS97" i="40"/>
  <c r="BQ97" i="40" s="1"/>
  <c r="AR97" i="40"/>
  <c r="BP97" i="40" s="1"/>
  <c r="BO52" i="40"/>
  <c r="AM53" i="40"/>
  <c r="AN54" i="40"/>
  <c r="V173" i="40"/>
  <c r="AM173" i="40"/>
  <c r="BO55" i="40"/>
  <c r="BH56" i="40"/>
  <c r="BS56" i="40" s="1"/>
  <c r="AE61" i="40"/>
  <c r="AN63" i="40"/>
  <c r="BM63" i="40" s="1"/>
  <c r="BH65" i="40"/>
  <c r="BS65" i="40" s="1"/>
  <c r="BH68" i="40"/>
  <c r="BT68" i="40"/>
  <c r="BT74" i="40" s="1"/>
  <c r="AN71" i="40"/>
  <c r="BM71" i="40" s="1"/>
  <c r="BM74" i="40" s="1"/>
  <c r="BH71" i="40"/>
  <c r="BS71" i="40" s="1"/>
  <c r="AD74" i="40"/>
  <c r="BL78" i="40"/>
  <c r="BN79" i="40"/>
  <c r="AD82" i="40"/>
  <c r="AP82" i="40"/>
  <c r="BM82" i="40"/>
  <c r="BM88" i="40" s="1"/>
  <c r="AF83" i="40"/>
  <c r="BH83" i="40"/>
  <c r="BS83" i="40" s="1"/>
  <c r="BL84" i="40"/>
  <c r="BL86" i="40"/>
  <c r="AP86" i="40"/>
  <c r="BO89" i="40"/>
  <c r="BO92" i="40" s="1"/>
  <c r="BK90" i="40"/>
  <c r="AO90" i="40"/>
  <c r="AQ90" i="40" s="1"/>
  <c r="AW90" i="40" s="1"/>
  <c r="BI90" i="40" s="1"/>
  <c r="AN90" i="40"/>
  <c r="BM90" i="40" s="1"/>
  <c r="BH91" i="40"/>
  <c r="BS91" i="40" s="1"/>
  <c r="W92" i="40"/>
  <c r="AV92" i="40"/>
  <c r="W98" i="40"/>
  <c r="AN93" i="40"/>
  <c r="BT97" i="40"/>
  <c r="AM102" i="40"/>
  <c r="BO99" i="40"/>
  <c r="BO102" i="40" s="1"/>
  <c r="AN99" i="40"/>
  <c r="BN102" i="40"/>
  <c r="AP100" i="40"/>
  <c r="AF100" i="40"/>
  <c r="BK101" i="40"/>
  <c r="AO101" i="40"/>
  <c r="AF101" i="40"/>
  <c r="V102" i="40"/>
  <c r="AS109" i="40"/>
  <c r="AF110" i="40"/>
  <c r="BH110" i="40"/>
  <c r="BS109" i="40"/>
  <c r="BS110" i="40" s="1"/>
  <c r="BP111" i="40"/>
  <c r="BF114" i="40"/>
  <c r="BT111" i="40"/>
  <c r="BH111" i="40"/>
  <c r="W114" i="40"/>
  <c r="AE112" i="40"/>
  <c r="BL113" i="40"/>
  <c r="AF113" i="40"/>
  <c r="AP113" i="40"/>
  <c r="AQ113" i="40" s="1"/>
  <c r="BK116" i="40"/>
  <c r="AO116" i="40"/>
  <c r="AQ116" i="40" s="1"/>
  <c r="AF116" i="40"/>
  <c r="AF117" i="40"/>
  <c r="BK117" i="40"/>
  <c r="AO142" i="40"/>
  <c r="AQ142" i="40" s="1"/>
  <c r="AF142" i="40"/>
  <c r="BK142" i="40"/>
  <c r="AD144" i="40"/>
  <c r="BT148" i="40"/>
  <c r="BH148" i="40"/>
  <c r="BS148" i="40" s="1"/>
  <c r="V53" i="40"/>
  <c r="W173" i="40"/>
  <c r="AV173" i="40"/>
  <c r="AL67" i="40"/>
  <c r="AV71" i="40"/>
  <c r="BR71" i="40" s="1"/>
  <c r="BR74" i="40" s="1"/>
  <c r="BK80" i="40"/>
  <c r="BG88" i="40"/>
  <c r="BN82" i="40"/>
  <c r="BN88" i="40" s="1"/>
  <c r="BU82" i="40"/>
  <c r="BU88" i="40" s="1"/>
  <c r="BT84" i="40"/>
  <c r="BT88" i="40" s="1"/>
  <c r="BH84" i="40"/>
  <c r="BS84" i="40" s="1"/>
  <c r="AL88" i="40"/>
  <c r="AP90" i="40"/>
  <c r="AN91" i="40"/>
  <c r="BM91" i="40" s="1"/>
  <c r="AO93" i="40"/>
  <c r="BG98" i="40"/>
  <c r="BU93" i="40"/>
  <c r="BU98" i="40" s="1"/>
  <c r="AP94" i="40"/>
  <c r="AP98" i="40" s="1"/>
  <c r="AF95" i="40"/>
  <c r="AO95" i="40"/>
  <c r="AQ95" i="40" s="1"/>
  <c r="BH104" i="40"/>
  <c r="BS104" i="40" s="1"/>
  <c r="BF108" i="40"/>
  <c r="BT104" i="40"/>
  <c r="BT108" i="40" s="1"/>
  <c r="AP107" i="40"/>
  <c r="AQ107" i="40" s="1"/>
  <c r="BL107" i="40"/>
  <c r="AF107" i="40"/>
  <c r="BU112" i="40"/>
  <c r="BU114" i="40" s="1"/>
  <c r="BG114" i="40"/>
  <c r="BH112" i="40"/>
  <c r="BS112" i="40" s="1"/>
  <c r="AD118" i="40"/>
  <c r="BK115" i="40"/>
  <c r="BK118" i="40" s="1"/>
  <c r="AF115" i="40"/>
  <c r="AO115" i="40"/>
  <c r="AF124" i="40"/>
  <c r="AS119" i="40"/>
  <c r="BJ119" i="40"/>
  <c r="AR119" i="40"/>
  <c r="BK120" i="40"/>
  <c r="AF120" i="40"/>
  <c r="AO120" i="40"/>
  <c r="AQ120" i="40" s="1"/>
  <c r="AO55" i="40"/>
  <c r="BK55" i="40"/>
  <c r="BN58" i="40"/>
  <c r="BN60" i="40" s="1"/>
  <c r="BN61" i="40"/>
  <c r="AP63" i="40"/>
  <c r="AO64" i="40"/>
  <c r="BK64" i="40"/>
  <c r="BO69" i="40"/>
  <c r="BO74" i="40" s="1"/>
  <c r="BN70" i="40"/>
  <c r="BN74" i="40" s="1"/>
  <c r="BO72" i="40"/>
  <c r="BN73" i="40"/>
  <c r="AL74" i="40"/>
  <c r="AM81" i="40"/>
  <c r="BO75" i="40"/>
  <c r="BO81" i="40" s="1"/>
  <c r="BN76" i="40"/>
  <c r="BN173" i="40" s="1"/>
  <c r="BU78" i="40"/>
  <c r="BU81" i="40" s="1"/>
  <c r="AL81" i="40"/>
  <c r="BR83" i="40"/>
  <c r="BR88" i="40" s="1"/>
  <c r="BK87" i="40"/>
  <c r="AO87" i="40"/>
  <c r="BT87" i="40"/>
  <c r="BF88" i="40"/>
  <c r="BR92" i="40"/>
  <c r="AE92" i="40"/>
  <c r="AE98" i="40"/>
  <c r="AO96" i="40"/>
  <c r="AQ96" i="40" s="1"/>
  <c r="BR99" i="40"/>
  <c r="BR102" i="40" s="1"/>
  <c r="AV102" i="40"/>
  <c r="BL101" i="40"/>
  <c r="AP101" i="40"/>
  <c r="AD108" i="40"/>
  <c r="AF103" i="40"/>
  <c r="AO103" i="40"/>
  <c r="AE104" i="40"/>
  <c r="W108" i="40"/>
  <c r="AP123" i="40"/>
  <c r="BL123" i="40"/>
  <c r="AM137" i="40"/>
  <c r="BO131" i="40"/>
  <c r="AN131" i="40"/>
  <c r="AP64" i="40"/>
  <c r="AO65" i="40"/>
  <c r="AQ65" i="40" s="1"/>
  <c r="AW65" i="40" s="1"/>
  <c r="BI65" i="40" s="1"/>
  <c r="AO68" i="40"/>
  <c r="AN75" i="40"/>
  <c r="BH77" i="40"/>
  <c r="BS77" i="40" s="1"/>
  <c r="BG81" i="40"/>
  <c r="AN89" i="40"/>
  <c r="AF93" i="40"/>
  <c r="BR98" i="40"/>
  <c r="BK97" i="40"/>
  <c r="AO97" i="40"/>
  <c r="AQ97" i="40" s="1"/>
  <c r="AW97" i="40" s="1"/>
  <c r="BI97" i="40" s="1"/>
  <c r="BH103" i="40"/>
  <c r="BU103" i="40"/>
  <c r="BU108" i="40" s="1"/>
  <c r="AF105" i="40"/>
  <c r="AP105" i="40"/>
  <c r="AQ105" i="40" s="1"/>
  <c r="AO114" i="40"/>
  <c r="AQ111" i="40"/>
  <c r="AF55" i="40"/>
  <c r="BG173" i="40"/>
  <c r="BU62" i="40"/>
  <c r="BU67" i="40" s="1"/>
  <c r="BH63" i="40"/>
  <c r="AD69" i="40"/>
  <c r="AD75" i="40"/>
  <c r="BL89" i="40"/>
  <c r="BL92" i="40" s="1"/>
  <c r="AP89" i="40"/>
  <c r="AL98" i="40"/>
  <c r="AV98" i="40"/>
  <c r="BS93" i="40"/>
  <c r="BT94" i="40"/>
  <c r="BT98" i="40" s="1"/>
  <c r="BH94" i="40"/>
  <c r="BS94" i="40" s="1"/>
  <c r="AF96" i="40"/>
  <c r="BK96" i="40"/>
  <c r="AO99" i="40"/>
  <c r="AD102" i="40"/>
  <c r="BK99" i="40"/>
  <c r="BG102" i="40"/>
  <c r="BH99" i="40"/>
  <c r="BO100" i="40"/>
  <c r="BK103" i="40"/>
  <c r="BK108" i="40" s="1"/>
  <c r="BO104" i="40"/>
  <c r="BO108" i="40" s="1"/>
  <c r="AM108" i="40"/>
  <c r="AN104" i="40"/>
  <c r="BL105" i="40"/>
  <c r="AR110" i="40"/>
  <c r="BP109" i="40"/>
  <c r="BP110" i="40" s="1"/>
  <c r="BR114" i="40"/>
  <c r="BF110" i="40"/>
  <c r="AD114" i="40"/>
  <c r="BK111" i="40"/>
  <c r="BK114" i="40" s="1"/>
  <c r="BN118" i="40"/>
  <c r="AL118" i="40"/>
  <c r="AV118" i="40"/>
  <c r="AL124" i="40"/>
  <c r="AN119" i="40"/>
  <c r="BS119" i="40"/>
  <c r="AQ123" i="40"/>
  <c r="AF126" i="40"/>
  <c r="AO126" i="40"/>
  <c r="AF129" i="40"/>
  <c r="AO129" i="40"/>
  <c r="BK129" i="40"/>
  <c r="W102" i="40"/>
  <c r="AE99" i="40"/>
  <c r="BF102" i="40"/>
  <c r="BH101" i="40"/>
  <c r="BS101" i="40" s="1"/>
  <c r="BL103" i="40"/>
  <c r="AP103" i="40"/>
  <c r="BN103" i="40"/>
  <c r="BN108" i="40" s="1"/>
  <c r="BK104" i="40"/>
  <c r="AO104" i="40"/>
  <c r="BO107" i="40"/>
  <c r="BM109" i="40"/>
  <c r="BM110" i="40" s="1"/>
  <c r="W110" i="40"/>
  <c r="BF118" i="40"/>
  <c r="BH115" i="40"/>
  <c r="BL117" i="40"/>
  <c r="AN120" i="40"/>
  <c r="BM120" i="40" s="1"/>
  <c r="BN120" i="40"/>
  <c r="AN122" i="40"/>
  <c r="BM122" i="40" s="1"/>
  <c r="AF123" i="40"/>
  <c r="BK123" i="40"/>
  <c r="AE125" i="40"/>
  <c r="AL130" i="40"/>
  <c r="BN129" i="40"/>
  <c r="BN178" i="40" s="1"/>
  <c r="AN129" i="40"/>
  <c r="BO135" i="40"/>
  <c r="AP135" i="40"/>
  <c r="AS136" i="40"/>
  <c r="BQ136" i="40" s="1"/>
  <c r="AR136" i="40"/>
  <c r="BP136" i="40" s="1"/>
  <c r="BJ136" i="40"/>
  <c r="BJ111" i="40"/>
  <c r="AS111" i="40"/>
  <c r="BT116" i="40"/>
  <c r="BT118" i="40" s="1"/>
  <c r="BH116" i="40"/>
  <c r="BS116" i="40" s="1"/>
  <c r="BK122" i="40"/>
  <c r="V124" i="40"/>
  <c r="AD137" i="40"/>
  <c r="AO131" i="40"/>
  <c r="AF131" i="40"/>
  <c r="AQ135" i="40"/>
  <c r="BR140" i="40"/>
  <c r="BR144" i="40" s="1"/>
  <c r="AV144" i="40"/>
  <c r="BL96" i="40"/>
  <c r="AP96" i="40"/>
  <c r="BK100" i="40"/>
  <c r="AO100" i="40"/>
  <c r="AQ100" i="40" s="1"/>
  <c r="BH105" i="40"/>
  <c r="BS105" i="40" s="1"/>
  <c r="AE110" i="40"/>
  <c r="AP109" i="40"/>
  <c r="AP110" i="40" s="1"/>
  <c r="AO109" i="40"/>
  <c r="AL110" i="40"/>
  <c r="AL114" i="40"/>
  <c r="AN111" i="40"/>
  <c r="BN111" i="40"/>
  <c r="BN114" i="40" s="1"/>
  <c r="AD124" i="40"/>
  <c r="AP122" i="40"/>
  <c r="AP124" i="40" s="1"/>
  <c r="BL122" i="40"/>
  <c r="W124" i="40"/>
  <c r="AM124" i="40"/>
  <c r="AM127" i="40"/>
  <c r="AN126" i="40"/>
  <c r="BM126" i="40" s="1"/>
  <c r="AR134" i="40"/>
  <c r="BP134" i="40" s="1"/>
  <c r="BJ134" i="40"/>
  <c r="BL139" i="40"/>
  <c r="AP139" i="40"/>
  <c r="AE144" i="40"/>
  <c r="BT139" i="40"/>
  <c r="BH139" i="40"/>
  <c r="BS139" i="40" s="1"/>
  <c r="AN101" i="40"/>
  <c r="BM101" i="40" s="1"/>
  <c r="AV108" i="40"/>
  <c r="AN105" i="40"/>
  <c r="BM105" i="40" s="1"/>
  <c r="BN105" i="40"/>
  <c r="AF106" i="40"/>
  <c r="BL115" i="40"/>
  <c r="AP116" i="40"/>
  <c r="AP118" i="40" s="1"/>
  <c r="BL116" i="40"/>
  <c r="AN117" i="40"/>
  <c r="BM117" i="40" s="1"/>
  <c r="BM118" i="40" s="1"/>
  <c r="AE124" i="40"/>
  <c r="BL119" i="40"/>
  <c r="BL124" i="40" s="1"/>
  <c r="BN119" i="40"/>
  <c r="AF121" i="40"/>
  <c r="AF122" i="40"/>
  <c r="BN123" i="40"/>
  <c r="AN123" i="40"/>
  <c r="BM123" i="40" s="1"/>
  <c r="AE130" i="40"/>
  <c r="BL128" i="40"/>
  <c r="BK131" i="40"/>
  <c r="V137" i="40"/>
  <c r="BK139" i="40"/>
  <c r="BK144" i="40" s="1"/>
  <c r="AF139" i="40"/>
  <c r="AO139" i="40"/>
  <c r="AK166" i="40"/>
  <c r="AV110" i="40"/>
  <c r="BG118" i="40"/>
  <c r="BT122" i="40"/>
  <c r="BH122" i="40"/>
  <c r="BS122" i="40" s="1"/>
  <c r="BT128" i="40"/>
  <c r="BT130" i="40" s="1"/>
  <c r="BH128" i="40"/>
  <c r="BF130" i="40"/>
  <c r="AA166" i="40"/>
  <c r="AL137" i="40"/>
  <c r="AF135" i="40"/>
  <c r="BK135" i="40"/>
  <c r="BN136" i="40"/>
  <c r="AN136" i="40"/>
  <c r="BM136" i="40" s="1"/>
  <c r="V144" i="40"/>
  <c r="AO144" i="40"/>
  <c r="AQ138" i="40"/>
  <c r="BL142" i="40"/>
  <c r="AP142" i="40"/>
  <c r="BK143" i="40"/>
  <c r="AO143" i="40"/>
  <c r="AF143" i="40"/>
  <c r="AQ149" i="40"/>
  <c r="BN160" i="40"/>
  <c r="BN161" i="40" s="1"/>
  <c r="AN160" i="40"/>
  <c r="BM160" i="40" s="1"/>
  <c r="BK119" i="40"/>
  <c r="AO119" i="40"/>
  <c r="BT119" i="40"/>
  <c r="BT124" i="40" s="1"/>
  <c r="BF124" i="40"/>
  <c r="AN127" i="40"/>
  <c r="BM125" i="40"/>
  <c r="BM127" i="40" s="1"/>
  <c r="BF127" i="40"/>
  <c r="BT125" i="40"/>
  <c r="BT127" i="40" s="1"/>
  <c r="BH125" i="40"/>
  <c r="BO127" i="40"/>
  <c r="BL126" i="40"/>
  <c r="AP126" i="40"/>
  <c r="BK128" i="40"/>
  <c r="AD130" i="40"/>
  <c r="AO128" i="40"/>
  <c r="AO178" i="40" s="1"/>
  <c r="BG130" i="40"/>
  <c r="BU128" i="40"/>
  <c r="BU130" i="40" s="1"/>
  <c r="AV137" i="40"/>
  <c r="BR131" i="40"/>
  <c r="BR137" i="40" s="1"/>
  <c r="W144" i="40"/>
  <c r="AP144" i="40"/>
  <c r="AR140" i="40"/>
  <c r="BP140" i="40" s="1"/>
  <c r="AS140" i="40"/>
  <c r="BQ140" i="40" s="1"/>
  <c r="BJ140" i="40"/>
  <c r="AP146" i="40"/>
  <c r="BL146" i="40"/>
  <c r="BN154" i="40"/>
  <c r="AN154" i="40"/>
  <c r="BM154" i="40" s="1"/>
  <c r="AF141" i="40"/>
  <c r="AO141" i="40"/>
  <c r="AQ141" i="40" s="1"/>
  <c r="BT107" i="40"/>
  <c r="BH107" i="40"/>
  <c r="BS107" i="40" s="1"/>
  <c r="BT113" i="40"/>
  <c r="BH113" i="40"/>
  <c r="BS113" i="40" s="1"/>
  <c r="BO124" i="40"/>
  <c r="AD125" i="40"/>
  <c r="AF128" i="40"/>
  <c r="AF178" i="40" s="1"/>
  <c r="AE129" i="40"/>
  <c r="W130" i="40"/>
  <c r="AE137" i="40"/>
  <c r="AP131" i="40"/>
  <c r="AF133" i="40"/>
  <c r="BK133" i="40"/>
  <c r="AO133" i="40"/>
  <c r="BF144" i="40"/>
  <c r="BT138" i="40"/>
  <c r="BH138" i="40"/>
  <c r="AE145" i="40"/>
  <c r="W151" i="40"/>
  <c r="BL158" i="40"/>
  <c r="AP158" i="40"/>
  <c r="AV130" i="40"/>
  <c r="AF132" i="40"/>
  <c r="BK132" i="40"/>
  <c r="AO132" i="40"/>
  <c r="AQ132" i="40" s="1"/>
  <c r="W137" i="40"/>
  <c r="AP143" i="40"/>
  <c r="BL143" i="40"/>
  <c r="BX166" i="40"/>
  <c r="BN146" i="40"/>
  <c r="BN151" i="40" s="1"/>
  <c r="AL151" i="40"/>
  <c r="AS148" i="40"/>
  <c r="BQ148" i="40" s="1"/>
  <c r="AR148" i="40"/>
  <c r="BP148" i="40" s="1"/>
  <c r="BJ148" i="40"/>
  <c r="AP149" i="40"/>
  <c r="BC166" i="40"/>
  <c r="AO163" i="40"/>
  <c r="AQ163" i="40" s="1"/>
  <c r="BN163" i="40"/>
  <c r="AN163" i="40"/>
  <c r="BM163" i="40" s="1"/>
  <c r="BO109" i="40"/>
  <c r="BO110" i="40" s="1"/>
  <c r="BN125" i="40"/>
  <c r="BN127" i="40" s="1"/>
  <c r="AQ140" i="40"/>
  <c r="BO142" i="40"/>
  <c r="BO144" i="40" s="1"/>
  <c r="BG151" i="40"/>
  <c r="BK147" i="40"/>
  <c r="BN148" i="40"/>
  <c r="AN148" i="40"/>
  <c r="BM148" i="40" s="1"/>
  <c r="BK149" i="40"/>
  <c r="AF149" i="40"/>
  <c r="AF153" i="40"/>
  <c r="AO153" i="40"/>
  <c r="AQ153" i="40" s="1"/>
  <c r="BK153" i="40"/>
  <c r="BR161" i="40"/>
  <c r="AN159" i="40"/>
  <c r="BM159" i="40" s="1"/>
  <c r="AL161" i="40"/>
  <c r="BN159" i="40"/>
  <c r="AD165" i="40"/>
  <c r="AN132" i="40"/>
  <c r="BM132" i="40" s="1"/>
  <c r="BN132" i="40"/>
  <c r="BN137" i="40" s="1"/>
  <c r="BU133" i="40"/>
  <c r="BU137" i="40" s="1"/>
  <c r="AN135" i="40"/>
  <c r="BM135" i="40" s="1"/>
  <c r="BN135" i="40"/>
  <c r="AO136" i="40"/>
  <c r="AQ136" i="40" s="1"/>
  <c r="AW136" i="40" s="1"/>
  <c r="BI136" i="40" s="1"/>
  <c r="AF138" i="40"/>
  <c r="AN145" i="40"/>
  <c r="AM151" i="40"/>
  <c r="BS145" i="40"/>
  <c r="BU151" i="40"/>
  <c r="AN146" i="40"/>
  <c r="BM146" i="40" s="1"/>
  <c r="BK150" i="40"/>
  <c r="AP152" i="40"/>
  <c r="AE155" i="40"/>
  <c r="BL152" i="40"/>
  <c r="AF152" i="40"/>
  <c r="AE157" i="40"/>
  <c r="AE161" i="40" s="1"/>
  <c r="W161" i="40"/>
  <c r="BK164" i="40"/>
  <c r="AO164" i="40"/>
  <c r="AQ164" i="40" s="1"/>
  <c r="AF164" i="40"/>
  <c r="BA166" i="40"/>
  <c r="AN138" i="40"/>
  <c r="AL144" i="40"/>
  <c r="BN138" i="40"/>
  <c r="BN144" i="40" s="1"/>
  <c r="BJ147" i="40"/>
  <c r="AS147" i="40"/>
  <c r="BQ147" i="40" s="1"/>
  <c r="AW148" i="40"/>
  <c r="BI148" i="40" s="1"/>
  <c r="AF150" i="40"/>
  <c r="AO150" i="40"/>
  <c r="AQ150" i="40" s="1"/>
  <c r="AM161" i="40"/>
  <c r="AP156" i="40"/>
  <c r="BK165" i="40"/>
  <c r="BF151" i="40"/>
  <c r="BT146" i="40"/>
  <c r="BT151" i="40" s="1"/>
  <c r="AN153" i="40"/>
  <c r="BM153" i="40" s="1"/>
  <c r="BM155" i="40" s="1"/>
  <c r="AL155" i="40"/>
  <c r="AS154" i="40"/>
  <c r="BQ154" i="40" s="1"/>
  <c r="BJ154" i="40"/>
  <c r="AR154" i="40"/>
  <c r="BP154" i="40" s="1"/>
  <c r="AS160" i="40"/>
  <c r="BQ160" i="40" s="1"/>
  <c r="AR160" i="40"/>
  <c r="BP160" i="40" s="1"/>
  <c r="CA166" i="40"/>
  <c r="AM165" i="40"/>
  <c r="BO162" i="40"/>
  <c r="BO165" i="40" s="1"/>
  <c r="BW166" i="40"/>
  <c r="BK146" i="40"/>
  <c r="AO146" i="40"/>
  <c r="AQ146" i="40" s="1"/>
  <c r="AF146" i="40"/>
  <c r="AV155" i="40"/>
  <c r="BR152" i="40"/>
  <c r="BR155" i="40" s="1"/>
  <c r="BU157" i="40"/>
  <c r="BG161" i="40"/>
  <c r="BH157" i="40"/>
  <c r="BS157" i="40" s="1"/>
  <c r="BK158" i="40"/>
  <c r="AO158" i="40"/>
  <c r="AQ158" i="40" s="1"/>
  <c r="AF158" i="40"/>
  <c r="AF159" i="40"/>
  <c r="AO159" i="40"/>
  <c r="AQ159" i="40" s="1"/>
  <c r="Z166" i="40"/>
  <c r="AH166" i="40"/>
  <c r="W167" i="40" s="1"/>
  <c r="BU165" i="40"/>
  <c r="AX166" i="40"/>
  <c r="I168" i="40"/>
  <c r="BR128" i="40"/>
  <c r="BR130" i="40" s="1"/>
  <c r="BT131" i="40"/>
  <c r="BT137" i="40" s="1"/>
  <c r="BH131" i="40"/>
  <c r="BL133" i="40"/>
  <c r="BL137" i="40" s="1"/>
  <c r="AP133" i="40"/>
  <c r="BF137" i="40"/>
  <c r="BL144" i="40"/>
  <c r="BR145" i="40"/>
  <c r="BR151" i="40" s="1"/>
  <c r="AV151" i="40"/>
  <c r="BT149" i="40"/>
  <c r="BH149" i="40"/>
  <c r="BS149" i="40" s="1"/>
  <c r="BN155" i="40"/>
  <c r="BT156" i="40"/>
  <c r="BT161" i="40" s="1"/>
  <c r="BF161" i="40"/>
  <c r="BH156" i="40"/>
  <c r="AP159" i="40"/>
  <c r="BL159" i="40"/>
  <c r="AO160" i="40"/>
  <c r="AL165" i="40"/>
  <c r="AN162" i="40"/>
  <c r="BN162" i="40"/>
  <c r="BR163" i="40"/>
  <c r="AV165" i="40"/>
  <c r="AP164" i="40"/>
  <c r="AJ166" i="40"/>
  <c r="BT153" i="40"/>
  <c r="V161" i="40"/>
  <c r="AD156" i="40"/>
  <c r="BK134" i="40"/>
  <c r="AO134" i="40"/>
  <c r="AQ134" i="40" s="1"/>
  <c r="AW134" i="40" s="1"/>
  <c r="BI134" i="40" s="1"/>
  <c r="BG144" i="40"/>
  <c r="BU138" i="40"/>
  <c r="BU144" i="40" s="1"/>
  <c r="BT140" i="40"/>
  <c r="BH140" i="40"/>
  <c r="BS140" i="40" s="1"/>
  <c r="AN147" i="40"/>
  <c r="BM147" i="40" s="1"/>
  <c r="BL148" i="40"/>
  <c r="AM155" i="40"/>
  <c r="BT152" i="40"/>
  <c r="BH152" i="40"/>
  <c r="BO152" i="40"/>
  <c r="BO155" i="40" s="1"/>
  <c r="BL154" i="40"/>
  <c r="AP154" i="40"/>
  <c r="AO154" i="40"/>
  <c r="AB166" i="40"/>
  <c r="V165" i="40"/>
  <c r="V166" i="40" s="1"/>
  <c r="AG167" i="40" s="1"/>
  <c r="AO162" i="40"/>
  <c r="BF165" i="40"/>
  <c r="X166" i="40"/>
  <c r="AU166" i="40"/>
  <c r="BB166" i="40"/>
  <c r="AU20" i="47" s="1"/>
  <c r="BZ166" i="40"/>
  <c r="AZ166" i="40"/>
  <c r="AP162" i="40"/>
  <c r="AP165" i="40" s="1"/>
  <c r="BL163" i="40"/>
  <c r="BL165" i="40" s="1"/>
  <c r="AP163" i="40"/>
  <c r="Y166" i="40"/>
  <c r="BK152" i="40"/>
  <c r="BK155" i="40" s="1"/>
  <c r="AO152" i="40"/>
  <c r="AD155" i="40"/>
  <c r="AN156" i="40"/>
  <c r="AV161" i="40"/>
  <c r="BT158" i="40"/>
  <c r="BH158" i="40"/>
  <c r="BS158" i="40" s="1"/>
  <c r="BL160" i="40"/>
  <c r="AP160" i="40"/>
  <c r="AT166" i="40"/>
  <c r="AV167" i="40" s="1"/>
  <c r="AF162" i="40"/>
  <c r="BS162" i="40"/>
  <c r="BH163" i="40"/>
  <c r="BS163" i="40" s="1"/>
  <c r="AG166" i="40"/>
  <c r="V167" i="40" s="1"/>
  <c r="BD166" i="40"/>
  <c r="BV166" i="40"/>
  <c r="BG168" i="40"/>
  <c r="BR165" i="40"/>
  <c r="AR163" i="40"/>
  <c r="BP163" i="40" s="1"/>
  <c r="BJ163" i="40"/>
  <c r="BH164" i="40"/>
  <c r="BS164" i="40" s="1"/>
  <c r="AY166" i="40"/>
  <c r="AA169" i="40"/>
  <c r="AV168" i="40"/>
  <c r="W165" i="40"/>
  <c r="W166" i="40" s="1"/>
  <c r="AH167" i="40" s="1"/>
  <c r="AN164" i="40"/>
  <c r="BM164" i="40" s="1"/>
  <c r="AC166" i="40"/>
  <c r="AI166" i="40"/>
  <c r="S167" i="40"/>
  <c r="M167" i="40"/>
  <c r="X169" i="40"/>
  <c r="BG165" i="40"/>
  <c r="AU169" i="40"/>
  <c r="BY166" i="40"/>
  <c r="AR23" i="39"/>
  <c r="BP23" i="39" s="1"/>
  <c r="BJ23" i="39"/>
  <c r="AS23" i="39"/>
  <c r="BQ23" i="39" s="1"/>
  <c r="AF16" i="39"/>
  <c r="BS13" i="39"/>
  <c r="BL20" i="39"/>
  <c r="AP20" i="39"/>
  <c r="AF21" i="39"/>
  <c r="BK21" i="39"/>
  <c r="AO21" i="39"/>
  <c r="BH13" i="39"/>
  <c r="AF12" i="39"/>
  <c r="BK12" i="39"/>
  <c r="AL18" i="39"/>
  <c r="BF128" i="39"/>
  <c r="BT14" i="39"/>
  <c r="BH14" i="39"/>
  <c r="W18" i="39"/>
  <c r="AE16" i="39"/>
  <c r="AO16" i="39"/>
  <c r="V134" i="39"/>
  <c r="AD17" i="39"/>
  <c r="V24" i="39"/>
  <c r="BG129" i="39"/>
  <c r="BG24" i="39"/>
  <c r="BU19" i="39"/>
  <c r="AN20" i="39"/>
  <c r="BM20" i="39" s="1"/>
  <c r="W131" i="39"/>
  <c r="W30" i="39"/>
  <c r="AE25" i="39"/>
  <c r="BL29" i="39"/>
  <c r="AP29" i="39"/>
  <c r="AO32" i="39"/>
  <c r="AF33" i="39"/>
  <c r="BU35" i="39"/>
  <c r="BR42" i="39"/>
  <c r="AR39" i="39"/>
  <c r="BP39" i="39" s="1"/>
  <c r="BJ39" i="39"/>
  <c r="AS39" i="39"/>
  <c r="BQ39" i="39" s="1"/>
  <c r="AN40" i="39"/>
  <c r="BM40" i="39" s="1"/>
  <c r="BN40" i="39"/>
  <c r="BL40" i="39"/>
  <c r="BO42" i="39"/>
  <c r="BH47" i="39"/>
  <c r="BT47" i="39"/>
  <c r="BF50" i="39"/>
  <c r="AF51" i="39"/>
  <c r="AD56" i="39"/>
  <c r="BK51" i="39"/>
  <c r="AO51" i="39"/>
  <c r="AF61" i="39"/>
  <c r="BR137" i="39"/>
  <c r="BR13" i="39"/>
  <c r="BM17" i="39"/>
  <c r="AL137" i="39"/>
  <c r="AN12" i="39"/>
  <c r="BL12" i="39"/>
  <c r="BT13" i="39"/>
  <c r="BG128" i="39"/>
  <c r="BG18" i="39"/>
  <c r="BN15" i="39"/>
  <c r="BK16" i="39"/>
  <c r="AM18" i="39"/>
  <c r="W129" i="39"/>
  <c r="AE19" i="39"/>
  <c r="W24" i="39"/>
  <c r="AO129" i="39"/>
  <c r="BK20" i="39"/>
  <c r="AO20" i="39"/>
  <c r="AQ20" i="39" s="1"/>
  <c r="AF20" i="39"/>
  <c r="BG135" i="39"/>
  <c r="BU22" i="39"/>
  <c r="BT23" i="39"/>
  <c r="BH23" i="39"/>
  <c r="BS23" i="39" s="1"/>
  <c r="AV131" i="39"/>
  <c r="BR25" i="39"/>
  <c r="AV30" i="39"/>
  <c r="AS29" i="39"/>
  <c r="BQ29" i="39" s="1"/>
  <c r="BJ29" i="39"/>
  <c r="AR29" i="39"/>
  <c r="BP29" i="39" s="1"/>
  <c r="BT33" i="39"/>
  <c r="BH33" i="39"/>
  <c r="BS33" i="39" s="1"/>
  <c r="W36" i="39"/>
  <c r="AE130" i="39"/>
  <c r="AP37" i="39"/>
  <c r="BL37" i="39"/>
  <c r="AE42" i="39"/>
  <c r="AF46" i="39"/>
  <c r="AR45" i="39"/>
  <c r="BJ45" i="39"/>
  <c r="BJ46" i="39" s="1"/>
  <c r="AF49" i="39"/>
  <c r="AO49" i="39"/>
  <c r="AQ49" i="39" s="1"/>
  <c r="BK49" i="39"/>
  <c r="AP54" i="39"/>
  <c r="BL54" i="39"/>
  <c r="AF54" i="39"/>
  <c r="BL61" i="39"/>
  <c r="AP61" i="39"/>
  <c r="AQ61" i="39" s="1"/>
  <c r="AP82" i="39"/>
  <c r="BL82" i="39"/>
  <c r="BL92" i="39"/>
  <c r="AF92" i="39"/>
  <c r="AP92" i="39"/>
  <c r="BK26" i="39"/>
  <c r="AO26" i="39"/>
  <c r="AQ26" i="39" s="1"/>
  <c r="BJ28" i="39"/>
  <c r="AS28" i="39"/>
  <c r="BQ28" i="39" s="1"/>
  <c r="AF32" i="39"/>
  <c r="AP32" i="39"/>
  <c r="AF35" i="39"/>
  <c r="AO35" i="39"/>
  <c r="AQ35" i="39" s="1"/>
  <c r="BK35" i="39"/>
  <c r="V128" i="39"/>
  <c r="AD14" i="39"/>
  <c r="AP14" i="39"/>
  <c r="BU14" i="39"/>
  <c r="AE17" i="39"/>
  <c r="AD129" i="39"/>
  <c r="BK19" i="39"/>
  <c r="BL21" i="39"/>
  <c r="AP21" i="39"/>
  <c r="BH22" i="39"/>
  <c r="AL131" i="39"/>
  <c r="AL30" i="39"/>
  <c r="AF26" i="39"/>
  <c r="AQ28" i="39"/>
  <c r="AR28" i="39"/>
  <c r="BP28" i="39" s="1"/>
  <c r="BK29" i="39"/>
  <c r="AP31" i="39"/>
  <c r="BL31" i="39"/>
  <c r="AE36" i="39"/>
  <c r="BH31" i="39"/>
  <c r="AF38" i="39"/>
  <c r="AO38" i="39"/>
  <c r="W136" i="39"/>
  <c r="W44" i="39"/>
  <c r="AE43" i="39"/>
  <c r="AR48" i="39"/>
  <c r="BP48" i="39" s="1"/>
  <c r="AS48" i="39"/>
  <c r="BQ48" i="39" s="1"/>
  <c r="BJ48" i="39"/>
  <c r="AP75" i="39"/>
  <c r="BL75" i="39"/>
  <c r="BL77" i="39"/>
  <c r="AP77" i="39"/>
  <c r="BH77" i="39"/>
  <c r="BS77" i="39" s="1"/>
  <c r="BT77" i="39"/>
  <c r="BH137" i="39"/>
  <c r="BJ15" i="39"/>
  <c r="AS15" i="39"/>
  <c r="BQ15" i="39" s="1"/>
  <c r="AR15" i="39"/>
  <c r="BP15" i="39" s="1"/>
  <c r="AM24" i="39"/>
  <c r="AS46" i="39"/>
  <c r="BQ45" i="39"/>
  <c r="BQ46" i="39" s="1"/>
  <c r="AR55" i="39"/>
  <c r="BP55" i="39" s="1"/>
  <c r="BJ55" i="39"/>
  <c r="AS55" i="39"/>
  <c r="BQ55" i="39" s="1"/>
  <c r="BL60" i="39"/>
  <c r="AP60" i="39"/>
  <c r="AO12" i="39"/>
  <c r="BF137" i="39"/>
  <c r="BF13" i="39"/>
  <c r="BN12" i="39"/>
  <c r="AO15" i="39"/>
  <c r="AQ15" i="39" s="1"/>
  <c r="BF134" i="39"/>
  <c r="BT17" i="39"/>
  <c r="BH17" i="39"/>
  <c r="AF19" i="39"/>
  <c r="AV129" i="39"/>
  <c r="BR19" i="39"/>
  <c r="BK22" i="39"/>
  <c r="AO22" i="39"/>
  <c r="BK23" i="39"/>
  <c r="AO23" i="39"/>
  <c r="AQ23" i="39" s="1"/>
  <c r="AW23" i="39" s="1"/>
  <c r="BI23" i="39" s="1"/>
  <c r="AP23" i="39"/>
  <c r="BG131" i="39"/>
  <c r="BU25" i="39"/>
  <c r="BF30" i="39"/>
  <c r="BT26" i="39"/>
  <c r="BH26" i="39"/>
  <c r="BS26" i="39" s="1"/>
  <c r="BN27" i="39"/>
  <c r="BN30" i="39" s="1"/>
  <c r="AN27" i="39"/>
  <c r="BM27" i="39" s="1"/>
  <c r="AN31" i="39"/>
  <c r="AL36" i="39"/>
  <c r="BU31" i="39"/>
  <c r="BU36" i="39" s="1"/>
  <c r="AN32" i="39"/>
  <c r="BM32" i="39" s="1"/>
  <c r="AP34" i="39"/>
  <c r="BS37" i="39"/>
  <c r="BO53" i="39"/>
  <c r="BO134" i="39" s="1"/>
  <c r="AN53" i="39"/>
  <c r="BM53" i="39" s="1"/>
  <c r="BO18" i="39"/>
  <c r="BK15" i="39"/>
  <c r="AV135" i="39"/>
  <c r="BR22" i="39"/>
  <c r="BR135" i="39" s="1"/>
  <c r="AM36" i="39"/>
  <c r="BO34" i="39"/>
  <c r="BO36" i="39" s="1"/>
  <c r="AP12" i="39"/>
  <c r="BG137" i="39"/>
  <c r="BU12" i="39"/>
  <c r="AE13" i="39"/>
  <c r="BG13" i="39"/>
  <c r="BH15" i="39"/>
  <c r="BS15" i="39" s="1"/>
  <c r="BT15" i="39"/>
  <c r="AM134" i="39"/>
  <c r="BR17" i="39"/>
  <c r="BT20" i="39"/>
  <c r="BH20" i="39"/>
  <c r="BS20" i="39" s="1"/>
  <c r="AL24" i="39"/>
  <c r="AN21" i="39"/>
  <c r="BM21" i="39" s="1"/>
  <c r="BM24" i="39" s="1"/>
  <c r="BN21" i="39"/>
  <c r="W135" i="39"/>
  <c r="AE22" i="39"/>
  <c r="BM22" i="39"/>
  <c r="AD24" i="39"/>
  <c r="AN25" i="39"/>
  <c r="BH25" i="39"/>
  <c r="BT30" i="39"/>
  <c r="AP28" i="39"/>
  <c r="AO29" i="39"/>
  <c r="AQ29" i="39" s="1"/>
  <c r="AW29" i="39" s="1"/>
  <c r="BI29" i="39" s="1"/>
  <c r="AP33" i="39"/>
  <c r="BL33" i="39"/>
  <c r="AO33" i="39"/>
  <c r="AQ33" i="39" s="1"/>
  <c r="AN34" i="39"/>
  <c r="BM34" i="39" s="1"/>
  <c r="BS43" i="39"/>
  <c r="BH44" i="39"/>
  <c r="BR50" i="39"/>
  <c r="AV56" i="39"/>
  <c r="BR51" i="39"/>
  <c r="BR56" i="39" s="1"/>
  <c r="BO12" i="39"/>
  <c r="AM13" i="39"/>
  <c r="W128" i="39"/>
  <c r="AN14" i="39"/>
  <c r="AV128" i="39"/>
  <c r="BH16" i="39"/>
  <c r="BS16" i="39" s="1"/>
  <c r="BG134" i="39"/>
  <c r="AL129" i="39"/>
  <c r="BH19" i="39"/>
  <c r="BN19" i="39"/>
  <c r="BT19" i="39"/>
  <c r="AN23" i="39"/>
  <c r="BM23" i="39" s="1"/>
  <c r="AD25" i="39"/>
  <c r="AN26" i="39"/>
  <c r="BM26" i="39" s="1"/>
  <c r="BL28" i="39"/>
  <c r="BN29" i="39"/>
  <c r="BN135" i="39" s="1"/>
  <c r="AV36" i="39"/>
  <c r="BK31" i="39"/>
  <c r="AD34" i="39"/>
  <c r="BN34" i="39"/>
  <c r="BN36" i="39" s="1"/>
  <c r="AL130" i="39"/>
  <c r="BL38" i="39"/>
  <c r="AP38" i="39"/>
  <c r="BL39" i="39"/>
  <c r="AO41" i="39"/>
  <c r="BG42" i="39"/>
  <c r="BR136" i="39"/>
  <c r="AD46" i="39"/>
  <c r="BT55" i="39"/>
  <c r="BH55" i="39"/>
  <c r="BS55" i="39" s="1"/>
  <c r="BG56" i="39"/>
  <c r="BN57" i="39"/>
  <c r="BN58" i="39" s="1"/>
  <c r="AP63" i="39"/>
  <c r="BL63" i="39"/>
  <c r="AL72" i="39"/>
  <c r="AN66" i="39"/>
  <c r="BN66" i="39"/>
  <c r="BN72" i="39" s="1"/>
  <c r="AN70" i="39"/>
  <c r="BM70" i="39" s="1"/>
  <c r="BN70" i="39"/>
  <c r="AJ124" i="39"/>
  <c r="BT116" i="39"/>
  <c r="BH116" i="39"/>
  <c r="BS116" i="39" s="1"/>
  <c r="BF118" i="39"/>
  <c r="V13" i="39"/>
  <c r="AL134" i="39"/>
  <c r="BN17" i="39"/>
  <c r="V129" i="39"/>
  <c r="AM129" i="39"/>
  <c r="AM127" i="39" s="1"/>
  <c r="BO19" i="39"/>
  <c r="BF135" i="39"/>
  <c r="BF131" i="39"/>
  <c r="BF36" i="39"/>
  <c r="AM130" i="39"/>
  <c r="AV130" i="39"/>
  <c r="AV42" i="39"/>
  <c r="AN39" i="39"/>
  <c r="BM39" i="39" s="1"/>
  <c r="BT39" i="39"/>
  <c r="BH39" i="39"/>
  <c r="BS39" i="39" s="1"/>
  <c r="BL41" i="39"/>
  <c r="AP41" i="39"/>
  <c r="AL42" i="39"/>
  <c r="AL136" i="39"/>
  <c r="BN43" i="39"/>
  <c r="BT45" i="39"/>
  <c r="BT46" i="39" s="1"/>
  <c r="BH45" i="39"/>
  <c r="BF46" i="39"/>
  <c r="W50" i="39"/>
  <c r="AO47" i="39"/>
  <c r="V50" i="39"/>
  <c r="BG50" i="39"/>
  <c r="AM56" i="39"/>
  <c r="BO51" i="39"/>
  <c r="BO56" i="39" s="1"/>
  <c r="BF56" i="39"/>
  <c r="BT51" i="39"/>
  <c r="BH51" i="39"/>
  <c r="AF52" i="39"/>
  <c r="AO52" i="39"/>
  <c r="AQ52" i="39" s="1"/>
  <c r="BK52" i="39"/>
  <c r="AO53" i="39"/>
  <c r="AN54" i="39"/>
  <c r="BM54" i="39" s="1"/>
  <c r="BT54" i="39"/>
  <c r="BT135" i="39" s="1"/>
  <c r="BK57" i="39"/>
  <c r="BK58" i="39" s="1"/>
  <c r="AO57" i="39"/>
  <c r="AF57" i="39"/>
  <c r="BF58" i="39"/>
  <c r="BG65" i="39"/>
  <c r="BR79" i="39"/>
  <c r="AQ80" i="39"/>
  <c r="AQ88" i="39"/>
  <c r="AA124" i="39"/>
  <c r="AO27" i="39"/>
  <c r="AQ27" i="39" s="1"/>
  <c r="BT31" i="39"/>
  <c r="BT36" i="39" s="1"/>
  <c r="BL35" i="39"/>
  <c r="AP35" i="39"/>
  <c r="V130" i="39"/>
  <c r="V42" i="39"/>
  <c r="BM37" i="39"/>
  <c r="BR130" i="39"/>
  <c r="AO39" i="39"/>
  <c r="AQ39" i="39" s="1"/>
  <c r="AW39" i="39" s="1"/>
  <c r="BI39" i="39" s="1"/>
  <c r="AS41" i="39"/>
  <c r="BQ41" i="39" s="1"/>
  <c r="BJ41" i="39"/>
  <c r="AM136" i="39"/>
  <c r="AM44" i="39"/>
  <c r="AO45" i="39"/>
  <c r="AD50" i="39"/>
  <c r="AF47" i="39"/>
  <c r="AP47" i="39"/>
  <c r="AP50" i="39" s="1"/>
  <c r="BL53" i="39"/>
  <c r="BL56" i="39" s="1"/>
  <c r="AP53" i="39"/>
  <c r="BK53" i="39"/>
  <c r="AO55" i="39"/>
  <c r="AQ55" i="39" s="1"/>
  <c r="W58" i="39"/>
  <c r="AE57" i="39"/>
  <c r="BS59" i="39"/>
  <c r="BU65" i="39"/>
  <c r="AQ64" i="39"/>
  <c r="AV72" i="39"/>
  <c r="BR66" i="39"/>
  <c r="BR72" i="39" s="1"/>
  <c r="BT37" i="39"/>
  <c r="AF40" i="39"/>
  <c r="BK40" i="39"/>
  <c r="AN42" i="39"/>
  <c r="AN136" i="39"/>
  <c r="BM43" i="39"/>
  <c r="AN44" i="39"/>
  <c r="BO44" i="39"/>
  <c r="AE50" i="39"/>
  <c r="AL56" i="39"/>
  <c r="AN52" i="39"/>
  <c r="BM52" i="39" s="1"/>
  <c r="BM56" i="39" s="1"/>
  <c r="AS53" i="39"/>
  <c r="BQ53" i="39" s="1"/>
  <c r="AR53" i="39"/>
  <c r="BP53" i="39" s="1"/>
  <c r="W56" i="39"/>
  <c r="BU57" i="39"/>
  <c r="BU58" i="39" s="1"/>
  <c r="BG58" i="39"/>
  <c r="BL59" i="39"/>
  <c r="AP59" i="39"/>
  <c r="BK60" i="39"/>
  <c r="AO60" i="39"/>
  <c r="AQ60" i="39" s="1"/>
  <c r="AF60" i="39"/>
  <c r="V72" i="39"/>
  <c r="AD67" i="39"/>
  <c r="AL128" i="39"/>
  <c r="BN14" i="39"/>
  <c r="BF129" i="39"/>
  <c r="V135" i="39"/>
  <c r="AM135" i="39"/>
  <c r="BO22" i="39"/>
  <c r="V131" i="39"/>
  <c r="AM131" i="39"/>
  <c r="AM30" i="39"/>
  <c r="BO25" i="39"/>
  <c r="AF27" i="39"/>
  <c r="AN28" i="39"/>
  <c r="BM28" i="39" s="1"/>
  <c r="AF31" i="39"/>
  <c r="AD37" i="39"/>
  <c r="BN130" i="39"/>
  <c r="BN42" i="39"/>
  <c r="V136" i="39"/>
  <c r="AD43" i="39"/>
  <c r="BL45" i="39"/>
  <c r="BL46" i="39" s="1"/>
  <c r="AE46" i="39"/>
  <c r="BK48" i="39"/>
  <c r="BK50" i="39" s="1"/>
  <c r="AN50" i="39"/>
  <c r="AE56" i="39"/>
  <c r="AP51" i="39"/>
  <c r="BH57" i="39"/>
  <c r="AD59" i="39"/>
  <c r="AS63" i="39"/>
  <c r="BQ63" i="39" s="1"/>
  <c r="AR63" i="39"/>
  <c r="BP63" i="39" s="1"/>
  <c r="AR64" i="39"/>
  <c r="BP64" i="39" s="1"/>
  <c r="BJ64" i="39"/>
  <c r="BU72" i="39"/>
  <c r="BK71" i="39"/>
  <c r="AF71" i="39"/>
  <c r="V79" i="39"/>
  <c r="AD73" i="39"/>
  <c r="AO76" i="39"/>
  <c r="AQ76" i="39" s="1"/>
  <c r="AF76" i="39"/>
  <c r="BK76" i="39"/>
  <c r="BK85" i="39"/>
  <c r="AF85" i="39"/>
  <c r="AO85" i="39"/>
  <c r="AQ85" i="39" s="1"/>
  <c r="BF136" i="39"/>
  <c r="BT43" i="39"/>
  <c r="AM46" i="39"/>
  <c r="BK54" i="39"/>
  <c r="AO54" i="39"/>
  <c r="BL64" i="39"/>
  <c r="AO69" i="39"/>
  <c r="AF69" i="39"/>
  <c r="AP69" i="39"/>
  <c r="BL71" i="39"/>
  <c r="BL72" i="39" s="1"/>
  <c r="AP71" i="39"/>
  <c r="AQ71" i="39" s="1"/>
  <c r="W79" i="39"/>
  <c r="BU79" i="39"/>
  <c r="BG79" i="39"/>
  <c r="AF77" i="39"/>
  <c r="AP78" i="39"/>
  <c r="AE86" i="39"/>
  <c r="BL80" i="39"/>
  <c r="BS80" i="39"/>
  <c r="AP81" i="39"/>
  <c r="AP86" i="39" s="1"/>
  <c r="AP84" i="39"/>
  <c r="BL84" i="39"/>
  <c r="AS95" i="39"/>
  <c r="BQ95" i="39" s="1"/>
  <c r="BJ95" i="39"/>
  <c r="AR95" i="39"/>
  <c r="BP95" i="39" s="1"/>
  <c r="BR101" i="39"/>
  <c r="BR107" i="39" s="1"/>
  <c r="BK108" i="39"/>
  <c r="AO108" i="39"/>
  <c r="AD114" i="39"/>
  <c r="AF116" i="39"/>
  <c r="AO116" i="39"/>
  <c r="BK116" i="39"/>
  <c r="BG130" i="39"/>
  <c r="BU44" i="39"/>
  <c r="BT48" i="39"/>
  <c r="BH48" i="39"/>
  <c r="BS48" i="39" s="1"/>
  <c r="AL65" i="39"/>
  <c r="AN59" i="39"/>
  <c r="AV62" i="39"/>
  <c r="BK62" i="39"/>
  <c r="AD72" i="39"/>
  <c r="BK66" i="39"/>
  <c r="AO66" i="39"/>
  <c r="BK69" i="39"/>
  <c r="AV79" i="39"/>
  <c r="AO74" i="39"/>
  <c r="BH74" i="39"/>
  <c r="BS74" i="39" s="1"/>
  <c r="BK77" i="39"/>
  <c r="AF78" i="39"/>
  <c r="BU80" i="39"/>
  <c r="BG86" i="39"/>
  <c r="AF84" i="39"/>
  <c r="AN87" i="39"/>
  <c r="BN87" i="39"/>
  <c r="BN93" i="39" s="1"/>
  <c r="AL93" i="39"/>
  <c r="AO87" i="39"/>
  <c r="BJ97" i="39"/>
  <c r="AS97" i="39"/>
  <c r="BQ97" i="39" s="1"/>
  <c r="AR97" i="39"/>
  <c r="BP97" i="39" s="1"/>
  <c r="AE108" i="39"/>
  <c r="W114" i="39"/>
  <c r="AD118" i="39"/>
  <c r="BT61" i="39"/>
  <c r="BH61" i="39"/>
  <c r="BS61" i="39" s="1"/>
  <c r="AE62" i="39"/>
  <c r="BT64" i="39"/>
  <c r="BH64" i="39"/>
  <c r="BS64" i="39" s="1"/>
  <c r="AP66" i="39"/>
  <c r="AS68" i="39"/>
  <c r="BQ68" i="39" s="1"/>
  <c r="BJ68" i="39"/>
  <c r="AR68" i="39"/>
  <c r="BP68" i="39" s="1"/>
  <c r="AP70" i="39"/>
  <c r="BN73" i="39"/>
  <c r="BN79" i="39" s="1"/>
  <c r="BL74" i="39"/>
  <c r="AP74" i="39"/>
  <c r="BK86" i="39"/>
  <c r="BO81" i="39"/>
  <c r="BO86" i="39" s="1"/>
  <c r="AM86" i="39"/>
  <c r="AN81" i="39"/>
  <c r="BM81" i="39" s="1"/>
  <c r="BK93" i="39"/>
  <c r="AP88" i="39"/>
  <c r="AE93" i="39"/>
  <c r="BL88" i="39"/>
  <c r="AM93" i="39"/>
  <c r="BO91" i="39"/>
  <c r="BL99" i="39"/>
  <c r="AP99" i="39"/>
  <c r="BK106" i="39"/>
  <c r="AF106" i="39"/>
  <c r="AO106" i="39"/>
  <c r="AQ106" i="39" s="1"/>
  <c r="AF113" i="39"/>
  <c r="AO113" i="39"/>
  <c r="AQ113" i="39" s="1"/>
  <c r="BK113" i="39"/>
  <c r="BK63" i="39"/>
  <c r="AO63" i="39"/>
  <c r="AQ63" i="39" s="1"/>
  <c r="AW63" i="39" s="1"/>
  <c r="BI63" i="39" s="1"/>
  <c r="AF70" i="39"/>
  <c r="AO70" i="39"/>
  <c r="AQ70" i="39" s="1"/>
  <c r="AE72" i="39"/>
  <c r="BG72" i="39"/>
  <c r="AM79" i="39"/>
  <c r="BO73" i="39"/>
  <c r="BO79" i="39" s="1"/>
  <c r="BK75" i="39"/>
  <c r="AO75" i="39"/>
  <c r="AF75" i="39"/>
  <c r="AQ77" i="39"/>
  <c r="AF82" i="39"/>
  <c r="AO82" i="39"/>
  <c r="AQ82" i="39" s="1"/>
  <c r="BK82" i="39"/>
  <c r="AN97" i="39"/>
  <c r="BM97" i="39" s="1"/>
  <c r="AO97" i="39"/>
  <c r="AQ97" i="39" s="1"/>
  <c r="AW97" i="39" s="1"/>
  <c r="BI97" i="39" s="1"/>
  <c r="BL98" i="39"/>
  <c r="AP98" i="39"/>
  <c r="AQ98" i="39" s="1"/>
  <c r="AF98" i="39"/>
  <c r="BG107" i="39"/>
  <c r="BU102" i="39"/>
  <c r="BU107" i="39" s="1"/>
  <c r="BH63" i="39"/>
  <c r="BS63" i="39" s="1"/>
  <c r="AF66" i="39"/>
  <c r="AN71" i="39"/>
  <c r="BM71" i="39" s="1"/>
  <c r="AN73" i="39"/>
  <c r="AF74" i="39"/>
  <c r="AD86" i="39"/>
  <c r="AF81" i="39"/>
  <c r="AO81" i="39"/>
  <c r="AF83" i="39"/>
  <c r="AO83" i="39"/>
  <c r="AQ83" i="39" s="1"/>
  <c r="AV93" i="39"/>
  <c r="BO93" i="39"/>
  <c r="AS88" i="39"/>
  <c r="BQ88" i="39" s="1"/>
  <c r="BJ88" i="39"/>
  <c r="AR88" i="39"/>
  <c r="BP88" i="39" s="1"/>
  <c r="AQ91" i="39"/>
  <c r="BG136" i="39"/>
  <c r="BN45" i="39"/>
  <c r="BN46" i="39" s="1"/>
  <c r="AN55" i="39"/>
  <c r="BM55" i="39" s="1"/>
  <c r="AN61" i="39"/>
  <c r="BM61" i="39" s="1"/>
  <c r="AN64" i="39"/>
  <c r="BM64" i="39" s="1"/>
  <c r="AN67" i="39"/>
  <c r="BM67" i="39" s="1"/>
  <c r="AE73" i="39"/>
  <c r="BH73" i="39"/>
  <c r="BN77" i="39"/>
  <c r="BK78" i="39"/>
  <c r="BF79" i="39"/>
  <c r="AF80" i="39"/>
  <c r="BL81" i="39"/>
  <c r="BL83" i="39"/>
  <c r="AP83" i="39"/>
  <c r="BT87" i="39"/>
  <c r="BT88" i="39"/>
  <c r="BT131" i="39" s="1"/>
  <c r="BL89" i="39"/>
  <c r="BL90" i="39"/>
  <c r="AN91" i="39"/>
  <c r="BM91" i="39" s="1"/>
  <c r="BK92" i="39"/>
  <c r="AO92" i="39"/>
  <c r="AQ92" i="39" s="1"/>
  <c r="AN92" i="39"/>
  <c r="BM92" i="39" s="1"/>
  <c r="V100" i="39"/>
  <c r="BO95" i="39"/>
  <c r="BH97" i="39"/>
  <c r="BS97" i="39" s="1"/>
  <c r="AF99" i="39"/>
  <c r="AO99" i="39"/>
  <c r="AQ99" i="39" s="1"/>
  <c r="BH101" i="39"/>
  <c r="BT101" i="39"/>
  <c r="BF107" i="39"/>
  <c r="BH102" i="39"/>
  <c r="BS102" i="39" s="1"/>
  <c r="BL116" i="39"/>
  <c r="AP116" i="39"/>
  <c r="AP118" i="39" s="1"/>
  <c r="AV123" i="39"/>
  <c r="BT81" i="39"/>
  <c r="BH81" i="39"/>
  <c r="BS81" i="39" s="1"/>
  <c r="BU83" i="39"/>
  <c r="BN85" i="39"/>
  <c r="BN86" i="39" s="1"/>
  <c r="BU85" i="39"/>
  <c r="AQ90" i="39"/>
  <c r="W100" i="39"/>
  <c r="AE94" i="39"/>
  <c r="AE128" i="39" s="1"/>
  <c r="BJ96" i="39"/>
  <c r="AR96" i="39"/>
  <c r="BP96" i="39" s="1"/>
  <c r="AP102" i="39"/>
  <c r="AQ102" i="39" s="1"/>
  <c r="BL112" i="39"/>
  <c r="AP112" i="39"/>
  <c r="AF112" i="39"/>
  <c r="X124" i="39"/>
  <c r="AO117" i="39"/>
  <c r="AN117" i="39"/>
  <c r="BM117" i="39" s="1"/>
  <c r="AL118" i="39"/>
  <c r="BN117" i="39"/>
  <c r="BN118" i="39" s="1"/>
  <c r="AX124" i="39"/>
  <c r="AF120" i="39"/>
  <c r="AO120" i="39"/>
  <c r="AQ120" i="39" s="1"/>
  <c r="AO78" i="39"/>
  <c r="AQ78" i="39" s="1"/>
  <c r="BT78" i="39"/>
  <c r="BT79" i="39" s="1"/>
  <c r="BH78" i="39"/>
  <c r="BS78" i="39" s="1"/>
  <c r="V86" i="39"/>
  <c r="BR80" i="39"/>
  <c r="BR86" i="39" s="1"/>
  <c r="BK84" i="39"/>
  <c r="AO84" i="39"/>
  <c r="AQ84" i="39" s="1"/>
  <c r="AN84" i="39"/>
  <c r="BM84" i="39" s="1"/>
  <c r="BT84" i="39"/>
  <c r="AD93" i="39"/>
  <c r="AP93" i="39"/>
  <c r="AF90" i="39"/>
  <c r="BL91" i="39"/>
  <c r="AP91" i="39"/>
  <c r="AR91" i="39"/>
  <c r="BP91" i="39" s="1"/>
  <c r="BH92" i="39"/>
  <c r="BS92" i="39" s="1"/>
  <c r="AD100" i="39"/>
  <c r="AV100" i="39"/>
  <c r="BR94" i="39"/>
  <c r="BR100" i="39" s="1"/>
  <c r="AN96" i="39"/>
  <c r="BM96" i="39" s="1"/>
  <c r="BO96" i="39"/>
  <c r="BK97" i="39"/>
  <c r="BT99" i="39"/>
  <c r="BT100" i="39" s="1"/>
  <c r="AS101" i="39"/>
  <c r="BJ101" i="39"/>
  <c r="AR101" i="39"/>
  <c r="BK102" i="39"/>
  <c r="AF102" i="39"/>
  <c r="BL103" i="39"/>
  <c r="BL107" i="39" s="1"/>
  <c r="AF103" i="39"/>
  <c r="BM108" i="39"/>
  <c r="BM114" i="39" s="1"/>
  <c r="AN114" i="39"/>
  <c r="BS108" i="39"/>
  <c r="AO109" i="39"/>
  <c r="AF109" i="39"/>
  <c r="BM115" i="39"/>
  <c r="BL118" i="39"/>
  <c r="Z124" i="39"/>
  <c r="AP119" i="39"/>
  <c r="BL119" i="39"/>
  <c r="AE123" i="39"/>
  <c r="BK120" i="39"/>
  <c r="AP121" i="39"/>
  <c r="BL121" i="39"/>
  <c r="AS91" i="39"/>
  <c r="BQ91" i="39" s="1"/>
  <c r="AL100" i="39"/>
  <c r="BN94" i="39"/>
  <c r="BN100" i="39" s="1"/>
  <c r="AN94" i="39"/>
  <c r="BT98" i="39"/>
  <c r="BH98" i="39"/>
  <c r="BS98" i="39" s="1"/>
  <c r="BN101" i="39"/>
  <c r="AL107" i="39"/>
  <c r="AN101" i="39"/>
  <c r="V107" i="39"/>
  <c r="AD104" i="39"/>
  <c r="BL106" i="39"/>
  <c r="AP106" i="39"/>
  <c r="BK110" i="39"/>
  <c r="AO110" i="39"/>
  <c r="AQ110" i="39" s="1"/>
  <c r="AF110" i="39"/>
  <c r="AN113" i="39"/>
  <c r="BM113" i="39" s="1"/>
  <c r="BO113" i="39"/>
  <c r="BZ124" i="39"/>
  <c r="BO57" i="39"/>
  <c r="BO58" i="39" s="1"/>
  <c r="BT69" i="39"/>
  <c r="BT72" i="39" s="1"/>
  <c r="BH69" i="39"/>
  <c r="BS69" i="39" s="1"/>
  <c r="AN76" i="39"/>
  <c r="BM76" i="39" s="1"/>
  <c r="BF86" i="39"/>
  <c r="BM80" i="39"/>
  <c r="BT80" i="39"/>
  <c r="AF87" i="39"/>
  <c r="AF89" i="39"/>
  <c r="BO94" i="39"/>
  <c r="BO100" i="39" s="1"/>
  <c r="BL95" i="39"/>
  <c r="AP95" i="39"/>
  <c r="BK96" i="39"/>
  <c r="BK100" i="39" s="1"/>
  <c r="AO96" i="39"/>
  <c r="AQ96" i="39" s="1"/>
  <c r="AW96" i="39" s="1"/>
  <c r="BI96" i="39" s="1"/>
  <c r="BH96" i="39"/>
  <c r="BS96" i="39" s="1"/>
  <c r="BL104" i="39"/>
  <c r="AP104" i="39"/>
  <c r="BT104" i="39"/>
  <c r="BH104" i="39"/>
  <c r="BS104" i="39" s="1"/>
  <c r="V114" i="39"/>
  <c r="BJ111" i="39"/>
  <c r="AS111" i="39"/>
  <c r="BQ111" i="39" s="1"/>
  <c r="AR111" i="39"/>
  <c r="BP111" i="39" s="1"/>
  <c r="AE118" i="39"/>
  <c r="AF115" i="39"/>
  <c r="AM123" i="39"/>
  <c r="AN119" i="39"/>
  <c r="BO121" i="39"/>
  <c r="BO123" i="39" s="1"/>
  <c r="AN121" i="39"/>
  <c r="BM121" i="39" s="1"/>
  <c r="BG93" i="39"/>
  <c r="BU87" i="39"/>
  <c r="BU93" i="39" s="1"/>
  <c r="BT89" i="39"/>
  <c r="BH89" i="39"/>
  <c r="BS89" i="39" s="1"/>
  <c r="BS93" i="39" s="1"/>
  <c r="BK95" i="39"/>
  <c r="AO95" i="39"/>
  <c r="AQ95" i="39" s="1"/>
  <c r="AW95" i="39" s="1"/>
  <c r="BI95" i="39" s="1"/>
  <c r="AD107" i="39"/>
  <c r="BK101" i="39"/>
  <c r="AO101" i="39"/>
  <c r="BN103" i="39"/>
  <c r="AF105" i="39"/>
  <c r="AO105" i="39"/>
  <c r="BO108" i="39"/>
  <c r="BO109" i="39"/>
  <c r="BT112" i="39"/>
  <c r="BH112" i="39"/>
  <c r="BS112" i="39" s="1"/>
  <c r="AY124" i="39"/>
  <c r="BE124" i="39"/>
  <c r="AX19" i="47" s="1"/>
  <c r="AB124" i="39"/>
  <c r="BC124" i="39"/>
  <c r="CA124" i="39"/>
  <c r="W107" i="39"/>
  <c r="BF114" i="39"/>
  <c r="BT108" i="39"/>
  <c r="AV118" i="39"/>
  <c r="BR115" i="39"/>
  <c r="BR118" i="39" s="1"/>
  <c r="BL117" i="39"/>
  <c r="AP117" i="39"/>
  <c r="AG124" i="39"/>
  <c r="V125" i="39" s="1"/>
  <c r="AK124" i="39"/>
  <c r="BD124" i="39"/>
  <c r="AE107" i="39"/>
  <c r="AP105" i="39"/>
  <c r="BL105" i="39"/>
  <c r="BU114" i="39"/>
  <c r="BG114" i="39"/>
  <c r="AD123" i="39"/>
  <c r="AF119" i="39"/>
  <c r="AO119" i="39"/>
  <c r="BK119" i="39"/>
  <c r="BF123" i="39"/>
  <c r="BT119" i="39"/>
  <c r="BT123" i="39" s="1"/>
  <c r="BH119" i="39"/>
  <c r="BK121" i="39"/>
  <c r="AO121" i="39"/>
  <c r="AQ121" i="39" s="1"/>
  <c r="AF121" i="39"/>
  <c r="BJ122" i="39"/>
  <c r="AS122" i="39"/>
  <c r="BQ122" i="39" s="1"/>
  <c r="AR122" i="39"/>
  <c r="BP122" i="39" s="1"/>
  <c r="BU122" i="39"/>
  <c r="BU123" i="39" s="1"/>
  <c r="BH122" i="39"/>
  <c r="BS122" i="39" s="1"/>
  <c r="BG123" i="39"/>
  <c r="BN123" i="39"/>
  <c r="BL120" i="39"/>
  <c r="AP120" i="39"/>
  <c r="BY124" i="39"/>
  <c r="BF100" i="39"/>
  <c r="AP101" i="39"/>
  <c r="AN102" i="39"/>
  <c r="BM102" i="39" s="1"/>
  <c r="BN111" i="39"/>
  <c r="BN114" i="39" s="1"/>
  <c r="AP113" i="39"/>
  <c r="AN116" i="39"/>
  <c r="BM116" i="39" s="1"/>
  <c r="BO116" i="39"/>
  <c r="BG118" i="39"/>
  <c r="AN122" i="39"/>
  <c r="BM122" i="39" s="1"/>
  <c r="BN122" i="39"/>
  <c r="Y124" i="39"/>
  <c r="AN99" i="39"/>
  <c r="BM99" i="39" s="1"/>
  <c r="BT113" i="39"/>
  <c r="BH113" i="39"/>
  <c r="BS113" i="39" s="1"/>
  <c r="BO118" i="39"/>
  <c r="BW124" i="39"/>
  <c r="W123" i="39"/>
  <c r="W124" i="39" s="1"/>
  <c r="AH125" i="39" s="1"/>
  <c r="AL114" i="39"/>
  <c r="BL109" i="39"/>
  <c r="AP109" i="39"/>
  <c r="BT115" i="39"/>
  <c r="BT118" i="39" s="1"/>
  <c r="BH115" i="39"/>
  <c r="AF117" i="39"/>
  <c r="BK117" i="39"/>
  <c r="BV124" i="39"/>
  <c r="V123" i="39"/>
  <c r="BR123" i="39"/>
  <c r="AO122" i="39"/>
  <c r="AQ122" i="39" s="1"/>
  <c r="AW122" i="39" s="1"/>
  <c r="BI122" i="39" s="1"/>
  <c r="AH124" i="39"/>
  <c r="W125" i="39" s="1"/>
  <c r="AT124" i="39"/>
  <c r="AZ124" i="39"/>
  <c r="BF126" i="39"/>
  <c r="M127" i="39"/>
  <c r="I126" i="39" s="1"/>
  <c r="AV126" i="39"/>
  <c r="AU127" i="39"/>
  <c r="AP111" i="39"/>
  <c r="AQ111" i="39" s="1"/>
  <c r="AW111" i="39" s="1"/>
  <c r="BI111" i="39" s="1"/>
  <c r="AO112" i="39"/>
  <c r="AO115" i="39"/>
  <c r="BK115" i="39"/>
  <c r="AM118" i="39"/>
  <c r="AL123" i="39"/>
  <c r="AU124" i="39"/>
  <c r="BA124" i="39"/>
  <c r="BX124" i="39"/>
  <c r="AA127" i="39"/>
  <c r="AY127" i="39"/>
  <c r="BG126" i="39" s="1"/>
  <c r="BE127" i="39"/>
  <c r="AH127" i="39"/>
  <c r="W126" i="39" s="1"/>
  <c r="BY127" i="39"/>
  <c r="BV126" i="39" s="1"/>
  <c r="AC124" i="39"/>
  <c r="AI124" i="39"/>
  <c r="M125" i="39"/>
  <c r="S125" i="39"/>
  <c r="BB465" i="43"/>
  <c r="AU13" i="47" s="1"/>
  <c r="AU465" i="43"/>
  <c r="AN13" i="47" s="1"/>
  <c r="AA465" i="43"/>
  <c r="T13" i="47" s="1"/>
  <c r="BB468" i="43"/>
  <c r="AU468" i="43"/>
  <c r="AA468" i="43"/>
  <c r="BU166" i="42" l="1"/>
  <c r="BU95" i="42"/>
  <c r="BH25" i="42"/>
  <c r="BH148" i="42"/>
  <c r="BU198" i="42"/>
  <c r="BU179" i="42"/>
  <c r="BU210" i="42"/>
  <c r="BU21" i="42"/>
  <c r="BS210" i="42"/>
  <c r="BU203" i="42"/>
  <c r="BS146" i="42"/>
  <c r="BS148" i="42" s="1"/>
  <c r="BG209" i="42"/>
  <c r="BH21" i="41"/>
  <c r="BU61" i="41"/>
  <c r="BU65" i="41"/>
  <c r="BU120" i="41"/>
  <c r="BS105" i="41"/>
  <c r="BS148" i="41"/>
  <c r="BS124" i="40"/>
  <c r="BH23" i="40"/>
  <c r="BS165" i="40"/>
  <c r="BU161" i="40"/>
  <c r="BU171" i="40"/>
  <c r="BS98" i="40"/>
  <c r="BH171" i="40"/>
  <c r="BU32" i="40"/>
  <c r="BG166" i="40"/>
  <c r="BH98" i="40"/>
  <c r="BU170" i="40"/>
  <c r="BG167" i="40"/>
  <c r="BS88" i="40"/>
  <c r="BS72" i="39"/>
  <c r="BH72" i="39"/>
  <c r="BS65" i="39"/>
  <c r="BU86" i="39"/>
  <c r="BU134" i="39"/>
  <c r="BS100" i="39"/>
  <c r="AF227" i="32"/>
  <c r="BJ221" i="32"/>
  <c r="AS221" i="32"/>
  <c r="AR221" i="32"/>
  <c r="BH295" i="32"/>
  <c r="AN294" i="32"/>
  <c r="BN294" i="32"/>
  <c r="BJ277" i="32"/>
  <c r="AS277" i="32"/>
  <c r="AR277" i="32"/>
  <c r="AF188" i="32"/>
  <c r="BJ183" i="32"/>
  <c r="AS183" i="32"/>
  <c r="AR183" i="32"/>
  <c r="BH290" i="32"/>
  <c r="BM277" i="32"/>
  <c r="BM283" i="32" s="1"/>
  <c r="AN283" i="32"/>
  <c r="AQ275" i="32"/>
  <c r="AW275" i="32" s="1"/>
  <c r="BI275" i="32" s="1"/>
  <c r="AN248" i="32"/>
  <c r="BH292" i="32"/>
  <c r="BS291" i="32"/>
  <c r="BS292" i="32" s="1"/>
  <c r="BL269" i="32"/>
  <c r="BK280" i="32"/>
  <c r="BK303" i="32" s="1"/>
  <c r="AF280" i="32"/>
  <c r="AO280" i="32"/>
  <c r="AQ280" i="32" s="1"/>
  <c r="BM263" i="32"/>
  <c r="BM269" i="32" s="1"/>
  <c r="AN269" i="32"/>
  <c r="BU269" i="32"/>
  <c r="BM255" i="32"/>
  <c r="AP245" i="32"/>
  <c r="AS243" i="32"/>
  <c r="BQ243" i="32" s="1"/>
  <c r="AR243" i="32"/>
  <c r="BP243" i="32" s="1"/>
  <c r="BJ243" i="32"/>
  <c r="BK245" i="32"/>
  <c r="BJ224" i="32"/>
  <c r="AS224" i="32"/>
  <c r="BQ224" i="32" s="1"/>
  <c r="AR224" i="32"/>
  <c r="BP224" i="32" s="1"/>
  <c r="AF215" i="32"/>
  <c r="AO215" i="32"/>
  <c r="BK215" i="32"/>
  <c r="BK216" i="32" s="1"/>
  <c r="AD216" i="32"/>
  <c r="AQ226" i="32"/>
  <c r="AW226" i="32" s="1"/>
  <c r="BI226" i="32" s="1"/>
  <c r="AQ210" i="32"/>
  <c r="AW210" i="32" s="1"/>
  <c r="BI210" i="32" s="1"/>
  <c r="BJ246" i="32"/>
  <c r="BJ248" i="32" s="1"/>
  <c r="AS246" i="32"/>
  <c r="AF248" i="32"/>
  <c r="AR246" i="32"/>
  <c r="AP238" i="32"/>
  <c r="AD205" i="32"/>
  <c r="BK200" i="32"/>
  <c r="BK205" i="32" s="1"/>
  <c r="AO200" i="32"/>
  <c r="AF200" i="32"/>
  <c r="BJ168" i="32"/>
  <c r="AS168" i="32"/>
  <c r="BQ168" i="32" s="1"/>
  <c r="AR168" i="32"/>
  <c r="BP168" i="32" s="1"/>
  <c r="AR230" i="32"/>
  <c r="BP230" i="32" s="1"/>
  <c r="BJ230" i="32"/>
  <c r="AS230" i="32"/>
  <c r="BQ230" i="32" s="1"/>
  <c r="BJ209" i="32"/>
  <c r="AS209" i="32"/>
  <c r="BQ209" i="32" s="1"/>
  <c r="AR209" i="32"/>
  <c r="BP209" i="32" s="1"/>
  <c r="BH205" i="32"/>
  <c r="BS200" i="32"/>
  <c r="BS205" i="32" s="1"/>
  <c r="BH182" i="32"/>
  <c r="BS179" i="32"/>
  <c r="BS182" i="32" s="1"/>
  <c r="AW189" i="32"/>
  <c r="AS198" i="32"/>
  <c r="BQ198" i="32" s="1"/>
  <c r="BJ198" i="32"/>
  <c r="AR198" i="32"/>
  <c r="BP198" i="32" s="1"/>
  <c r="BJ223" i="32"/>
  <c r="AS223" i="32"/>
  <c r="BQ223" i="32" s="1"/>
  <c r="AR223" i="32"/>
  <c r="BP223" i="32" s="1"/>
  <c r="AQ173" i="32"/>
  <c r="AF158" i="32"/>
  <c r="AD164" i="32"/>
  <c r="BK158" i="32"/>
  <c r="BK164" i="32" s="1"/>
  <c r="AO158" i="32"/>
  <c r="AQ156" i="32"/>
  <c r="AQ117" i="32"/>
  <c r="AW117" i="32" s="1"/>
  <c r="BI117" i="32" s="1"/>
  <c r="BP189" i="32"/>
  <c r="AN164" i="32"/>
  <c r="AN171" i="32"/>
  <c r="BH137" i="32"/>
  <c r="AP157" i="32"/>
  <c r="BJ194" i="32"/>
  <c r="AS194" i="32"/>
  <c r="BQ194" i="32" s="1"/>
  <c r="AR194" i="32"/>
  <c r="BP194" i="32" s="1"/>
  <c r="AS166" i="32"/>
  <c r="BQ166" i="32" s="1"/>
  <c r="BJ166" i="32"/>
  <c r="AR166" i="32"/>
  <c r="BP166" i="32" s="1"/>
  <c r="AN150" i="32"/>
  <c r="BM147" i="32"/>
  <c r="BM150" i="32" s="1"/>
  <c r="AQ177" i="32"/>
  <c r="AQ162" i="32"/>
  <c r="AN157" i="32"/>
  <c r="BM151" i="32"/>
  <c r="BM157" i="32" s="1"/>
  <c r="AQ140" i="32"/>
  <c r="AN300" i="32"/>
  <c r="BM115" i="32"/>
  <c r="BM300" i="32" s="1"/>
  <c r="AP144" i="32"/>
  <c r="AS112" i="32"/>
  <c r="BQ112" i="32" s="1"/>
  <c r="AR112" i="32"/>
  <c r="BP112" i="32" s="1"/>
  <c r="BJ112" i="32"/>
  <c r="AN302" i="32"/>
  <c r="BM101" i="32"/>
  <c r="BM302" i="32" s="1"/>
  <c r="BL150" i="32"/>
  <c r="BJ141" i="32"/>
  <c r="AS141" i="32"/>
  <c r="BQ141" i="32" s="1"/>
  <c r="AR141" i="32"/>
  <c r="BP141" i="32" s="1"/>
  <c r="AN107" i="32"/>
  <c r="AQ85" i="32"/>
  <c r="AR149" i="32"/>
  <c r="BP149" i="32" s="1"/>
  <c r="BJ149" i="32"/>
  <c r="AS149" i="32"/>
  <c r="BQ149" i="32" s="1"/>
  <c r="BT305" i="32"/>
  <c r="BH302" i="32"/>
  <c r="BS101" i="32"/>
  <c r="BS302" i="32" s="1"/>
  <c r="BS97" i="32"/>
  <c r="BH107" i="32"/>
  <c r="AQ138" i="32"/>
  <c r="AF124" i="32"/>
  <c r="BJ121" i="32"/>
  <c r="AS121" i="32"/>
  <c r="AR121" i="32"/>
  <c r="AR80" i="32"/>
  <c r="BP80" i="32" s="1"/>
  <c r="BJ80" i="32"/>
  <c r="AS80" i="32"/>
  <c r="BQ80" i="32" s="1"/>
  <c r="BS72" i="32"/>
  <c r="BS77" i="32" s="1"/>
  <c r="BH77" i="32"/>
  <c r="BN298" i="32"/>
  <c r="AW100" i="32"/>
  <c r="BI100" i="32" s="1"/>
  <c r="AQ93" i="32"/>
  <c r="AS85" i="32"/>
  <c r="BJ85" i="32"/>
  <c r="AR85" i="32"/>
  <c r="AN298" i="32"/>
  <c r="AN296" i="32" s="1"/>
  <c r="BM47" i="32"/>
  <c r="BJ88" i="32"/>
  <c r="AS88" i="32"/>
  <c r="BQ88" i="32" s="1"/>
  <c r="AR88" i="32"/>
  <c r="BP88" i="32" s="1"/>
  <c r="AQ75" i="32"/>
  <c r="AW56" i="32"/>
  <c r="BI56" i="32" s="1"/>
  <c r="AF50" i="32"/>
  <c r="BT65" i="32"/>
  <c r="BU304" i="32"/>
  <c r="BU52" i="32"/>
  <c r="BH58" i="32"/>
  <c r="BS53" i="32"/>
  <c r="BS58" i="32" s="1"/>
  <c r="AS41" i="32"/>
  <c r="BQ41" i="32" s="1"/>
  <c r="BJ41" i="32"/>
  <c r="AR41" i="32"/>
  <c r="BP41" i="32" s="1"/>
  <c r="BK35" i="32"/>
  <c r="AS30" i="32"/>
  <c r="BQ30" i="32" s="1"/>
  <c r="AR30" i="32"/>
  <c r="BP30" i="32" s="1"/>
  <c r="BJ30" i="32"/>
  <c r="BT22" i="32"/>
  <c r="BT306" i="32"/>
  <c r="BT13" i="32"/>
  <c r="BH31" i="32"/>
  <c r="BS28" i="32"/>
  <c r="BS31" i="32" s="1"/>
  <c r="BH27" i="32"/>
  <c r="BS23" i="32"/>
  <c r="BS27" i="32" s="1"/>
  <c r="AS38" i="32"/>
  <c r="BQ38" i="32" s="1"/>
  <c r="BJ38" i="32"/>
  <c r="AR38" i="32"/>
  <c r="BP38" i="32" s="1"/>
  <c r="AD303" i="32"/>
  <c r="AN306" i="32"/>
  <c r="AN13" i="32"/>
  <c r="BM12" i="32"/>
  <c r="BJ289" i="32"/>
  <c r="AR289" i="32"/>
  <c r="BP289" i="32" s="1"/>
  <c r="AS289" i="32"/>
  <c r="BQ289" i="32" s="1"/>
  <c r="AR291" i="32"/>
  <c r="AF292" i="32"/>
  <c r="AS291" i="32"/>
  <c r="BJ291" i="32"/>
  <c r="BJ292" i="32" s="1"/>
  <c r="AP269" i="32"/>
  <c r="BJ258" i="32"/>
  <c r="AS258" i="32"/>
  <c r="BQ258" i="32" s="1"/>
  <c r="AR258" i="32"/>
  <c r="BP258" i="32" s="1"/>
  <c r="BJ252" i="32"/>
  <c r="AS252" i="32"/>
  <c r="BQ252" i="32" s="1"/>
  <c r="AR252" i="32"/>
  <c r="BP252" i="32" s="1"/>
  <c r="BH269" i="32"/>
  <c r="AQ274" i="32"/>
  <c r="AR260" i="32"/>
  <c r="BP260" i="32" s="1"/>
  <c r="AS260" i="32"/>
  <c r="BQ260" i="32" s="1"/>
  <c r="BJ260" i="32"/>
  <c r="AQ252" i="32"/>
  <c r="AW252" i="32" s="1"/>
  <c r="BI252" i="32" s="1"/>
  <c r="AN255" i="32"/>
  <c r="AW266" i="32"/>
  <c r="BI266" i="32" s="1"/>
  <c r="AW241" i="32"/>
  <c r="BI241" i="32" s="1"/>
  <c r="AN245" i="32"/>
  <c r="BJ218" i="32"/>
  <c r="AS218" i="32"/>
  <c r="BQ218" i="32" s="1"/>
  <c r="AR218" i="32"/>
  <c r="AQ235" i="32"/>
  <c r="AO238" i="32"/>
  <c r="AQ231" i="32"/>
  <c r="AW231" i="32" s="1"/>
  <c r="BI231" i="32" s="1"/>
  <c r="BS221" i="32"/>
  <c r="BS227" i="32" s="1"/>
  <c r="BH227" i="32"/>
  <c r="BQ228" i="32"/>
  <c r="BL234" i="32"/>
  <c r="BJ213" i="32"/>
  <c r="AS213" i="32"/>
  <c r="BQ213" i="32" s="1"/>
  <c r="AR213" i="32"/>
  <c r="BP213" i="32" s="1"/>
  <c r="AR203" i="32"/>
  <c r="BP203" i="32" s="1"/>
  <c r="AS203" i="32"/>
  <c r="BQ203" i="32" s="1"/>
  <c r="BJ203" i="32"/>
  <c r="AD214" i="32"/>
  <c r="AF206" i="32"/>
  <c r="BK206" i="32"/>
  <c r="BK214" i="32" s="1"/>
  <c r="AO206" i="32"/>
  <c r="BK188" i="32"/>
  <c r="BJ212" i="32"/>
  <c r="AS212" i="32"/>
  <c r="BQ212" i="32" s="1"/>
  <c r="AR212" i="32"/>
  <c r="BP212" i="32" s="1"/>
  <c r="AR233" i="32"/>
  <c r="BP233" i="32" s="1"/>
  <c r="BJ233" i="32"/>
  <c r="AS233" i="32"/>
  <c r="BQ233" i="32" s="1"/>
  <c r="AW201" i="32"/>
  <c r="BI201" i="32" s="1"/>
  <c r="AO199" i="32"/>
  <c r="AQ196" i="32"/>
  <c r="BQ189" i="32"/>
  <c r="BO305" i="32"/>
  <c r="BO109" i="32"/>
  <c r="AS187" i="32"/>
  <c r="BQ187" i="32" s="1"/>
  <c r="BJ187" i="32"/>
  <c r="AR187" i="32"/>
  <c r="BP187" i="32" s="1"/>
  <c r="BL164" i="32"/>
  <c r="BP131" i="32"/>
  <c r="AQ181" i="32"/>
  <c r="BU130" i="32"/>
  <c r="BJ127" i="32"/>
  <c r="AS127" i="32"/>
  <c r="BQ127" i="32" s="1"/>
  <c r="AR127" i="32"/>
  <c r="AW119" i="32"/>
  <c r="BI119" i="32" s="1"/>
  <c r="AQ193" i="32"/>
  <c r="AS177" i="32"/>
  <c r="BQ177" i="32" s="1"/>
  <c r="AR177" i="32"/>
  <c r="BP177" i="32" s="1"/>
  <c r="BJ177" i="32"/>
  <c r="AN146" i="32"/>
  <c r="BM145" i="32"/>
  <c r="BM146" i="32" s="1"/>
  <c r="AS133" i="32"/>
  <c r="BQ133" i="32" s="1"/>
  <c r="BJ133" i="32"/>
  <c r="AR133" i="32"/>
  <c r="BP133" i="32" s="1"/>
  <c r="AF150" i="32"/>
  <c r="BJ147" i="32"/>
  <c r="AS147" i="32"/>
  <c r="AR147" i="32"/>
  <c r="BN305" i="32"/>
  <c r="AR123" i="32"/>
  <c r="BP123" i="32" s="1"/>
  <c r="BJ123" i="32"/>
  <c r="AS123" i="32"/>
  <c r="BQ123" i="32" s="1"/>
  <c r="BM109" i="32"/>
  <c r="AD299" i="32"/>
  <c r="BK99" i="32"/>
  <c r="BK299" i="32" s="1"/>
  <c r="AO99" i="32"/>
  <c r="AF99" i="32"/>
  <c r="AQ139" i="32"/>
  <c r="AP96" i="32"/>
  <c r="AW112" i="32"/>
  <c r="BI112" i="32" s="1"/>
  <c r="AF302" i="32"/>
  <c r="AS101" i="32"/>
  <c r="BJ101" i="32"/>
  <c r="AR101" i="32"/>
  <c r="AQ131" i="32"/>
  <c r="AW89" i="32"/>
  <c r="BI89" i="32" s="1"/>
  <c r="BK124" i="32"/>
  <c r="AO302" i="32"/>
  <c r="AQ101" i="32"/>
  <c r="BN107" i="32"/>
  <c r="AS79" i="32"/>
  <c r="BQ79" i="32" s="1"/>
  <c r="BJ79" i="32"/>
  <c r="AR79" i="32"/>
  <c r="BP79" i="32" s="1"/>
  <c r="BU298" i="32"/>
  <c r="AP44" i="32"/>
  <c r="AP45" i="32" s="1"/>
  <c r="BL44" i="32"/>
  <c r="BL45" i="32" s="1"/>
  <c r="AE45" i="32"/>
  <c r="AQ103" i="32"/>
  <c r="AR93" i="32"/>
  <c r="BP93" i="32" s="1"/>
  <c r="BJ93" i="32"/>
  <c r="AS93" i="32"/>
  <c r="BQ93" i="32" s="1"/>
  <c r="AN43" i="32"/>
  <c r="BM40" i="32"/>
  <c r="BM43" i="32" s="1"/>
  <c r="AQ104" i="32"/>
  <c r="BK77" i="32"/>
  <c r="BU65" i="32"/>
  <c r="AQ37" i="32"/>
  <c r="BM78" i="32"/>
  <c r="BM84" i="32" s="1"/>
  <c r="AN84" i="32"/>
  <c r="AO65" i="32"/>
  <c r="AQ59" i="32"/>
  <c r="BJ95" i="32"/>
  <c r="AS95" i="32"/>
  <c r="BQ95" i="32" s="1"/>
  <c r="AR95" i="32"/>
  <c r="BP95" i="32" s="1"/>
  <c r="AR83" i="32"/>
  <c r="BP83" i="32" s="1"/>
  <c r="AS83" i="32"/>
  <c r="BQ83" i="32" s="1"/>
  <c r="BJ83" i="32"/>
  <c r="BH71" i="32"/>
  <c r="BS66" i="32"/>
  <c r="BS71" i="32" s="1"/>
  <c r="AF58" i="32"/>
  <c r="BJ53" i="32"/>
  <c r="AS53" i="32"/>
  <c r="AR53" i="32"/>
  <c r="AD52" i="32"/>
  <c r="AO46" i="32"/>
  <c r="BK46" i="32"/>
  <c r="BK52" i="32" s="1"/>
  <c r="AF46" i="32"/>
  <c r="AN39" i="32"/>
  <c r="BM36" i="32"/>
  <c r="BM39" i="32" s="1"/>
  <c r="BS18" i="32"/>
  <c r="BS22" i="32" s="1"/>
  <c r="BH22" i="32"/>
  <c r="BU297" i="32"/>
  <c r="BU17" i="32"/>
  <c r="AF35" i="32"/>
  <c r="BJ32" i="32"/>
  <c r="AS32" i="32"/>
  <c r="AR32" i="32"/>
  <c r="BR303" i="32"/>
  <c r="BU306" i="32"/>
  <c r="BU13" i="32"/>
  <c r="AQ62" i="32"/>
  <c r="AW41" i="32"/>
  <c r="BI41" i="32" s="1"/>
  <c r="BL37" i="32"/>
  <c r="BL39" i="32" s="1"/>
  <c r="AP37" i="32"/>
  <c r="AP39" i="32" s="1"/>
  <c r="AE39" i="32"/>
  <c r="AP23" i="32"/>
  <c r="AP27" i="32" s="1"/>
  <c r="AE27" i="32"/>
  <c r="BL23" i="32"/>
  <c r="BL27" i="32" s="1"/>
  <c r="BF293" i="32"/>
  <c r="AO304" i="32"/>
  <c r="AS36" i="32"/>
  <c r="AR36" i="32"/>
  <c r="AF39" i="32"/>
  <c r="BJ36" i="32"/>
  <c r="AR57" i="32"/>
  <c r="BP57" i="32" s="1"/>
  <c r="BJ57" i="32"/>
  <c r="AS57" i="32"/>
  <c r="BQ57" i="32" s="1"/>
  <c r="AF43" i="32"/>
  <c r="BJ40" i="32"/>
  <c r="AS40" i="32"/>
  <c r="AR40" i="32"/>
  <c r="AE303" i="32"/>
  <c r="BM18" i="32"/>
  <c r="BM22" i="32" s="1"/>
  <c r="AN22" i="32"/>
  <c r="BH297" i="32"/>
  <c r="BS14" i="32"/>
  <c r="BH17" i="32"/>
  <c r="BH293" i="32" s="1"/>
  <c r="BK290" i="32"/>
  <c r="AO262" i="32"/>
  <c r="AQ287" i="32"/>
  <c r="AW287" i="32" s="1"/>
  <c r="BI287" i="32" s="1"/>
  <c r="AR282" i="32"/>
  <c r="BP282" i="32" s="1"/>
  <c r="AS282" i="32"/>
  <c r="BQ282" i="32" s="1"/>
  <c r="BJ282" i="32"/>
  <c r="BS277" i="32"/>
  <c r="BS283" i="32" s="1"/>
  <c r="BH283" i="32"/>
  <c r="BT276" i="32"/>
  <c r="BJ264" i="32"/>
  <c r="AR264" i="32"/>
  <c r="BP264" i="32" s="1"/>
  <c r="AS264" i="32"/>
  <c r="BQ264" i="32" s="1"/>
  <c r="AD269" i="32"/>
  <c r="BK263" i="32"/>
  <c r="BK269" i="32" s="1"/>
  <c r="AF263" i="32"/>
  <c r="AO263" i="32"/>
  <c r="AS249" i="32"/>
  <c r="AF255" i="32"/>
  <c r="BJ249" i="32"/>
  <c r="AR249" i="32"/>
  <c r="AW249" i="32" s="1"/>
  <c r="BJ251" i="32"/>
  <c r="AS251" i="32"/>
  <c r="BQ251" i="32" s="1"/>
  <c r="AR251" i="32"/>
  <c r="BP251" i="32" s="1"/>
  <c r="BH220" i="32"/>
  <c r="BS217" i="32"/>
  <c r="BS220" i="32" s="1"/>
  <c r="BH245" i="32"/>
  <c r="BS239" i="32"/>
  <c r="BS245" i="32" s="1"/>
  <c r="BJ237" i="32"/>
  <c r="AS237" i="32"/>
  <c r="BQ237" i="32" s="1"/>
  <c r="AR237" i="32"/>
  <c r="BP237" i="32" s="1"/>
  <c r="BS249" i="32"/>
  <c r="BS255" i="32" s="1"/>
  <c r="BH255" i="32"/>
  <c r="AP221" i="32"/>
  <c r="AP227" i="32" s="1"/>
  <c r="BL221" i="32"/>
  <c r="BL227" i="32" s="1"/>
  <c r="AE227" i="32"/>
  <c r="BH214" i="32"/>
  <c r="BS206" i="32"/>
  <c r="BS214" i="32" s="1"/>
  <c r="AP234" i="32"/>
  <c r="AW213" i="32"/>
  <c r="BI213" i="32" s="1"/>
  <c r="BH195" i="32"/>
  <c r="BS189" i="32"/>
  <c r="BS195" i="32" s="1"/>
  <c r="AD182" i="32"/>
  <c r="AO179" i="32"/>
  <c r="BK179" i="32"/>
  <c r="BK182" i="32" s="1"/>
  <c r="AF179" i="32"/>
  <c r="BJ186" i="32"/>
  <c r="AS186" i="32"/>
  <c r="BQ186" i="32" s="1"/>
  <c r="AR186" i="32"/>
  <c r="BP186" i="32" s="1"/>
  <c r="BM183" i="32"/>
  <c r="BM188" i="32" s="1"/>
  <c r="AN188" i="32"/>
  <c r="BJ197" i="32"/>
  <c r="AS197" i="32"/>
  <c r="BQ197" i="32" s="1"/>
  <c r="AR197" i="32"/>
  <c r="BP197" i="32" s="1"/>
  <c r="AS190" i="32"/>
  <c r="BQ190" i="32" s="1"/>
  <c r="BJ190" i="32"/>
  <c r="BJ195" i="32" s="1"/>
  <c r="AR190" i="32"/>
  <c r="BP190" i="32" s="1"/>
  <c r="AW233" i="32"/>
  <c r="BI233" i="32" s="1"/>
  <c r="AR202" i="32"/>
  <c r="BP202" i="32" s="1"/>
  <c r="AS202" i="32"/>
  <c r="BQ202" i="32" s="1"/>
  <c r="BJ202" i="32"/>
  <c r="BS183" i="32"/>
  <c r="BS188" i="32" s="1"/>
  <c r="BH188" i="32"/>
  <c r="BT300" i="32"/>
  <c r="AS145" i="32"/>
  <c r="BJ145" i="32"/>
  <c r="BJ146" i="32" s="1"/>
  <c r="AR145" i="32"/>
  <c r="AF146" i="32"/>
  <c r="AR181" i="32"/>
  <c r="BP181" i="32" s="1"/>
  <c r="BJ181" i="32"/>
  <c r="AS181" i="32"/>
  <c r="BQ181" i="32" s="1"/>
  <c r="AS175" i="32"/>
  <c r="BQ175" i="32" s="1"/>
  <c r="BJ175" i="32"/>
  <c r="AR175" i="32"/>
  <c r="BP175" i="32" s="1"/>
  <c r="AF144" i="32"/>
  <c r="BJ138" i="32"/>
  <c r="AS138" i="32"/>
  <c r="AR138" i="32"/>
  <c r="BS158" i="32"/>
  <c r="BS164" i="32" s="1"/>
  <c r="BH164" i="32"/>
  <c r="BJ153" i="32"/>
  <c r="AS153" i="32"/>
  <c r="BQ153" i="32" s="1"/>
  <c r="AR153" i="32"/>
  <c r="BT130" i="32"/>
  <c r="AS193" i="32"/>
  <c r="BQ193" i="32" s="1"/>
  <c r="AR193" i="32"/>
  <c r="BP193" i="32" s="1"/>
  <c r="BJ193" i="32"/>
  <c r="AW174" i="32"/>
  <c r="BI174" i="32" s="1"/>
  <c r="AW136" i="32"/>
  <c r="BI136" i="32" s="1"/>
  <c r="AD120" i="32"/>
  <c r="BK114" i="32"/>
  <c r="AO114" i="32"/>
  <c r="AF114" i="32"/>
  <c r="BK150" i="32"/>
  <c r="BM120" i="32"/>
  <c r="BR305" i="32"/>
  <c r="BR109" i="32"/>
  <c r="AW141" i="32"/>
  <c r="BI141" i="32" s="1"/>
  <c r="BH113" i="32"/>
  <c r="BS111" i="32"/>
  <c r="BS113" i="32" s="1"/>
  <c r="BU107" i="32"/>
  <c r="BL96" i="32"/>
  <c r="AW149" i="32"/>
  <c r="BI149" i="32" s="1"/>
  <c r="BH305" i="32"/>
  <c r="AR143" i="32"/>
  <c r="BP143" i="32" s="1"/>
  <c r="BJ143" i="32"/>
  <c r="AS143" i="32"/>
  <c r="BQ143" i="32" s="1"/>
  <c r="AF97" i="32"/>
  <c r="AO97" i="32"/>
  <c r="BK97" i="32"/>
  <c r="BK107" i="32" s="1"/>
  <c r="AD107" i="32"/>
  <c r="AR51" i="32"/>
  <c r="BP51" i="32" s="1"/>
  <c r="BJ51" i="32"/>
  <c r="AS51" i="32"/>
  <c r="BQ51" i="32" s="1"/>
  <c r="BJ75" i="32"/>
  <c r="AS75" i="32"/>
  <c r="BQ75" i="32" s="1"/>
  <c r="AR75" i="32"/>
  <c r="BP75" i="32" s="1"/>
  <c r="AO58" i="32"/>
  <c r="AQ53" i="32"/>
  <c r="BJ103" i="32"/>
  <c r="AS103" i="32"/>
  <c r="BQ103" i="32" s="1"/>
  <c r="AR103" i="32"/>
  <c r="BP103" i="32" s="1"/>
  <c r="BJ54" i="32"/>
  <c r="AS54" i="32"/>
  <c r="BQ54" i="32" s="1"/>
  <c r="AR54" i="32"/>
  <c r="BP54" i="32" s="1"/>
  <c r="AS104" i="32"/>
  <c r="BQ104" i="32" s="1"/>
  <c r="AR104" i="32"/>
  <c r="BP104" i="32" s="1"/>
  <c r="BJ104" i="32"/>
  <c r="AQ88" i="32"/>
  <c r="AW88" i="32" s="1"/>
  <c r="BI88" i="32" s="1"/>
  <c r="AQ79" i="32"/>
  <c r="AW79" i="32" s="1"/>
  <c r="BI79" i="32" s="1"/>
  <c r="BJ74" i="32"/>
  <c r="AS74" i="32"/>
  <c r="BQ74" i="32" s="1"/>
  <c r="AR74" i="32"/>
  <c r="BP74" i="32" s="1"/>
  <c r="AW51" i="32"/>
  <c r="BI51" i="32" s="1"/>
  <c r="BS305" i="32"/>
  <c r="AR102" i="32"/>
  <c r="BP102" i="32" s="1"/>
  <c r="BJ102" i="32"/>
  <c r="AS102" i="32"/>
  <c r="BQ102" i="32" s="1"/>
  <c r="AN90" i="32"/>
  <c r="AO71" i="32"/>
  <c r="AQ66" i="32"/>
  <c r="AP84" i="32"/>
  <c r="AN77" i="32"/>
  <c r="AR60" i="32"/>
  <c r="BP60" i="32" s="1"/>
  <c r="BJ60" i="32"/>
  <c r="AS60" i="32"/>
  <c r="BQ60" i="32" s="1"/>
  <c r="BN297" i="32"/>
  <c r="BN296" i="32" s="1"/>
  <c r="AQ73" i="32"/>
  <c r="AQ25" i="32"/>
  <c r="AW25" i="32" s="1"/>
  <c r="BI25" i="32" s="1"/>
  <c r="AD297" i="32"/>
  <c r="BK14" i="32"/>
  <c r="AO14" i="32"/>
  <c r="AD17" i="32"/>
  <c r="AF14" i="32"/>
  <c r="AR62" i="32"/>
  <c r="BP62" i="32" s="1"/>
  <c r="BJ62" i="32"/>
  <c r="AS62" i="32"/>
  <c r="BQ62" i="32" s="1"/>
  <c r="BH43" i="32"/>
  <c r="BK28" i="32"/>
  <c r="BK31" i="32" s="1"/>
  <c r="AO28" i="32"/>
  <c r="AF28" i="32"/>
  <c r="AD31" i="32"/>
  <c r="AQ26" i="32"/>
  <c r="AR34" i="32"/>
  <c r="BP34" i="32" s="1"/>
  <c r="AS34" i="32"/>
  <c r="BQ34" i="32" s="1"/>
  <c r="BJ34" i="32"/>
  <c r="V293" i="32"/>
  <c r="AG294" i="32" s="1"/>
  <c r="BJ64" i="32"/>
  <c r="AR64" i="32"/>
  <c r="BP64" i="32" s="1"/>
  <c r="AS64" i="32"/>
  <c r="BQ64" i="32" s="1"/>
  <c r="AN31" i="32"/>
  <c r="BM28" i="32"/>
  <c r="BM31" i="32" s="1"/>
  <c r="AE297" i="32"/>
  <c r="AP14" i="32"/>
  <c r="AE17" i="32"/>
  <c r="BL14" i="32"/>
  <c r="AF23" i="32"/>
  <c r="AR20" i="32"/>
  <c r="BP20" i="32" s="1"/>
  <c r="BJ20" i="32"/>
  <c r="AS20" i="32"/>
  <c r="BQ20" i="32" s="1"/>
  <c r="BO297" i="32"/>
  <c r="BK22" i="32"/>
  <c r="BN290" i="32"/>
  <c r="AS288" i="32"/>
  <c r="BQ288" i="32" s="1"/>
  <c r="AR288" i="32"/>
  <c r="BP288" i="32" s="1"/>
  <c r="BJ288" i="32"/>
  <c r="AS284" i="32"/>
  <c r="AF290" i="32"/>
  <c r="BJ284" i="32"/>
  <c r="AR284" i="32"/>
  <c r="BH276" i="32"/>
  <c r="BS270" i="32"/>
  <c r="BS276" i="32" s="1"/>
  <c r="AO292" i="32"/>
  <c r="AQ291" i="32"/>
  <c r="BJ257" i="32"/>
  <c r="AR257" i="32"/>
  <c r="BP257" i="32" s="1"/>
  <c r="AS257" i="32"/>
  <c r="BQ257" i="32" s="1"/>
  <c r="AR273" i="32"/>
  <c r="BP273" i="32" s="1"/>
  <c r="BJ273" i="32"/>
  <c r="AS273" i="32"/>
  <c r="BQ273" i="32" s="1"/>
  <c r="BJ274" i="32"/>
  <c r="AS274" i="32"/>
  <c r="BQ274" i="32" s="1"/>
  <c r="AR274" i="32"/>
  <c r="BP274" i="32" s="1"/>
  <c r="BM276" i="32"/>
  <c r="AR242" i="32"/>
  <c r="BP242" i="32" s="1"/>
  <c r="BJ242" i="32"/>
  <c r="AS242" i="32"/>
  <c r="BQ242" i="32" s="1"/>
  <c r="AR229" i="32"/>
  <c r="BP229" i="32" s="1"/>
  <c r="BJ229" i="32"/>
  <c r="BJ234" i="32" s="1"/>
  <c r="AS229" i="32"/>
  <c r="BQ229" i="32" s="1"/>
  <c r="AW223" i="32"/>
  <c r="BI223" i="32" s="1"/>
  <c r="AQ244" i="32"/>
  <c r="AW244" i="32" s="1"/>
  <c r="BI244" i="32" s="1"/>
  <c r="AF238" i="32"/>
  <c r="BJ235" i="32"/>
  <c r="AS235" i="32"/>
  <c r="AR235" i="32"/>
  <c r="BJ207" i="32"/>
  <c r="AS207" i="32"/>
  <c r="BQ207" i="32" s="1"/>
  <c r="AR207" i="32"/>
  <c r="BP207" i="32" s="1"/>
  <c r="BL206" i="32"/>
  <c r="BL214" i="32" s="1"/>
  <c r="AP206" i="32"/>
  <c r="AP214" i="32" s="1"/>
  <c r="AE214" i="32"/>
  <c r="BL202" i="32"/>
  <c r="BL205" i="32" s="1"/>
  <c r="AP202" i="32"/>
  <c r="AQ202" i="32" s="1"/>
  <c r="AW202" i="32" s="1"/>
  <c r="BI202" i="32" s="1"/>
  <c r="AS225" i="32"/>
  <c r="BQ225" i="32" s="1"/>
  <c r="BJ225" i="32"/>
  <c r="AR225" i="32"/>
  <c r="BP225" i="32" s="1"/>
  <c r="BN205" i="32"/>
  <c r="AN182" i="32"/>
  <c r="BM179" i="32"/>
  <c r="BM182" i="32" s="1"/>
  <c r="BL220" i="32"/>
  <c r="BJ196" i="32"/>
  <c r="BJ199" i="32" s="1"/>
  <c r="AS196" i="32"/>
  <c r="AR196" i="32"/>
  <c r="AF199" i="32"/>
  <c r="BT195" i="32"/>
  <c r="AE205" i="32"/>
  <c r="AP183" i="32"/>
  <c r="BL183" i="32"/>
  <c r="BL188" i="32" s="1"/>
  <c r="AE188" i="32"/>
  <c r="AO172" i="32"/>
  <c r="BK172" i="32"/>
  <c r="BK178" i="32" s="1"/>
  <c r="AF172" i="32"/>
  <c r="AD178" i="32"/>
  <c r="AQ204" i="32"/>
  <c r="AR191" i="32"/>
  <c r="BP191" i="32" s="1"/>
  <c r="BJ191" i="32"/>
  <c r="AS191" i="32"/>
  <c r="BQ191" i="32" s="1"/>
  <c r="AP164" i="32"/>
  <c r="BO300" i="32"/>
  <c r="AW187" i="32"/>
  <c r="BI187" i="32" s="1"/>
  <c r="BQ131" i="32"/>
  <c r="BN300" i="32"/>
  <c r="BH157" i="32"/>
  <c r="BS151" i="32"/>
  <c r="BS157" i="32" s="1"/>
  <c r="BJ140" i="32"/>
  <c r="AS140" i="32"/>
  <c r="BQ140" i="32" s="1"/>
  <c r="AR140" i="32"/>
  <c r="BP140" i="32" s="1"/>
  <c r="AR134" i="32"/>
  <c r="BP134" i="32" s="1"/>
  <c r="BJ134" i="32"/>
  <c r="AS134" i="32"/>
  <c r="BQ134" i="32" s="1"/>
  <c r="AQ176" i="32"/>
  <c r="BL300" i="32"/>
  <c r="AQ190" i="32"/>
  <c r="AQ195" i="32" s="1"/>
  <c r="BT157" i="32"/>
  <c r="BL137" i="32"/>
  <c r="AO130" i="32"/>
  <c r="AQ125" i="32"/>
  <c r="AD300" i="32"/>
  <c r="AF115" i="32"/>
  <c r="BK115" i="32"/>
  <c r="AO115" i="32"/>
  <c r="AN195" i="32"/>
  <c r="AO132" i="32"/>
  <c r="BK132" i="32"/>
  <c r="BK137" i="32" s="1"/>
  <c r="AF132" i="32"/>
  <c r="AN120" i="32"/>
  <c r="AW111" i="32"/>
  <c r="BI111" i="32" s="1"/>
  <c r="AR126" i="32"/>
  <c r="BP126" i="32" s="1"/>
  <c r="BJ126" i="32"/>
  <c r="AS126" i="32"/>
  <c r="AW123" i="32"/>
  <c r="BI123" i="32" s="1"/>
  <c r="BH120" i="32"/>
  <c r="BS114" i="32"/>
  <c r="AE305" i="32"/>
  <c r="BL108" i="32"/>
  <c r="AP108" i="32"/>
  <c r="AE109" i="32"/>
  <c r="AS87" i="32"/>
  <c r="BQ87" i="32" s="1"/>
  <c r="BJ87" i="32"/>
  <c r="AR87" i="32"/>
  <c r="BP87" i="32" s="1"/>
  <c r="AN305" i="32"/>
  <c r="AW80" i="32"/>
  <c r="BI80" i="32" s="1"/>
  <c r="BU305" i="32"/>
  <c r="BU109" i="32"/>
  <c r="AQ92" i="32"/>
  <c r="AW92" i="32" s="1"/>
  <c r="BI92" i="32" s="1"/>
  <c r="AO124" i="32"/>
  <c r="AQ121" i="32"/>
  <c r="AF78" i="32"/>
  <c r="BK78" i="32"/>
  <c r="BK84" i="32" s="1"/>
  <c r="AO78" i="32"/>
  <c r="AD84" i="32"/>
  <c r="AS67" i="32"/>
  <c r="BQ67" i="32" s="1"/>
  <c r="BJ67" i="32"/>
  <c r="AR67" i="32"/>
  <c r="BP67" i="32" s="1"/>
  <c r="BS304" i="32"/>
  <c r="BM32" i="32"/>
  <c r="BM35" i="32" s="1"/>
  <c r="AN35" i="32"/>
  <c r="BS90" i="32"/>
  <c r="AN71" i="32"/>
  <c r="BM66" i="32"/>
  <c r="BM71" i="32" s="1"/>
  <c r="BT298" i="32"/>
  <c r="BH39" i="32"/>
  <c r="BS36" i="32"/>
  <c r="BS39" i="32" s="1"/>
  <c r="AN58" i="32"/>
  <c r="BM53" i="32"/>
  <c r="BM58" i="32" s="1"/>
  <c r="AQ44" i="32"/>
  <c r="AO45" i="32"/>
  <c r="AQ74" i="32"/>
  <c r="AW74" i="32" s="1"/>
  <c r="BI74" i="32" s="1"/>
  <c r="AS72" i="32"/>
  <c r="AR72" i="32"/>
  <c r="AF77" i="32"/>
  <c r="BJ72" i="32"/>
  <c r="BR298" i="32"/>
  <c r="BS96" i="32"/>
  <c r="AS82" i="32"/>
  <c r="BQ82" i="32" s="1"/>
  <c r="BJ82" i="32"/>
  <c r="AR82" i="32"/>
  <c r="BP82" i="32" s="1"/>
  <c r="BK71" i="32"/>
  <c r="AQ95" i="32"/>
  <c r="AW95" i="32" s="1"/>
  <c r="BI95" i="32" s="1"/>
  <c r="BL84" i="32"/>
  <c r="BL65" i="32"/>
  <c r="BH298" i="32"/>
  <c r="BS47" i="32"/>
  <c r="AF44" i="32"/>
  <c r="BJ26" i="32"/>
  <c r="AS26" i="32"/>
  <c r="BQ26" i="32" s="1"/>
  <c r="AR26" i="32"/>
  <c r="BP26" i="32" s="1"/>
  <c r="V296" i="32"/>
  <c r="AO77" i="32"/>
  <c r="BS43" i="32"/>
  <c r="AM296" i="32"/>
  <c r="AN295" i="32" s="1"/>
  <c r="AP306" i="32"/>
  <c r="AP13" i="32"/>
  <c r="AN52" i="32"/>
  <c r="AO27" i="32"/>
  <c r="AQ23" i="32"/>
  <c r="BH303" i="32"/>
  <c r="BS16" i="32"/>
  <c r="BS303" i="32" s="1"/>
  <c r="BS306" i="32"/>
  <c r="BS13" i="32"/>
  <c r="AW15" i="32"/>
  <c r="BI15" i="32" s="1"/>
  <c r="BL34" i="32"/>
  <c r="BL35" i="32" s="1"/>
  <c r="AP34" i="32"/>
  <c r="AP303" i="32" s="1"/>
  <c r="BT303" i="32"/>
  <c r="AQ18" i="32"/>
  <c r="AO22" i="32"/>
  <c r="AN290" i="32"/>
  <c r="BM284" i="32"/>
  <c r="BM290" i="32" s="1"/>
  <c r="BL290" i="32"/>
  <c r="AQ277" i="32"/>
  <c r="AO283" i="32"/>
  <c r="AS272" i="32"/>
  <c r="BQ272" i="32" s="1"/>
  <c r="BJ272" i="32"/>
  <c r="AR272" i="32"/>
  <c r="BP272" i="32" s="1"/>
  <c r="AP277" i="32"/>
  <c r="AP283" i="32" s="1"/>
  <c r="BL277" i="32"/>
  <c r="BL283" i="32" s="1"/>
  <c r="AE283" i="32"/>
  <c r="AW264" i="32"/>
  <c r="BI264" i="32" s="1"/>
  <c r="AE262" i="32"/>
  <c r="BL256" i="32"/>
  <c r="BL262" i="32" s="1"/>
  <c r="AF256" i="32"/>
  <c r="AP256" i="32"/>
  <c r="AP262" i="32" s="1"/>
  <c r="AO290" i="32"/>
  <c r="BH262" i="32"/>
  <c r="BS256" i="32"/>
  <c r="BS262" i="32" s="1"/>
  <c r="BO248" i="32"/>
  <c r="AW273" i="32"/>
  <c r="BI273" i="32" s="1"/>
  <c r="AN276" i="32"/>
  <c r="AS265" i="32"/>
  <c r="BQ265" i="32" s="1"/>
  <c r="BJ265" i="32"/>
  <c r="AR265" i="32"/>
  <c r="BP265" i="32" s="1"/>
  <c r="AW261" i="32"/>
  <c r="BI261" i="32" s="1"/>
  <c r="BL255" i="32"/>
  <c r="AR250" i="32"/>
  <c r="BP250" i="32" s="1"/>
  <c r="BJ250" i="32"/>
  <c r="AS250" i="32"/>
  <c r="BQ250" i="32" s="1"/>
  <c r="AR232" i="32"/>
  <c r="BP232" i="32" s="1"/>
  <c r="BJ232" i="32"/>
  <c r="AS232" i="32"/>
  <c r="BQ232" i="32" s="1"/>
  <c r="BT234" i="32"/>
  <c r="AD220" i="32"/>
  <c r="AO217" i="32"/>
  <c r="BK217" i="32"/>
  <c r="BK220" i="32" s="1"/>
  <c r="AF217" i="32"/>
  <c r="BJ239" i="32"/>
  <c r="BJ245" i="32" s="1"/>
  <c r="AS239" i="32"/>
  <c r="AF245" i="32"/>
  <c r="AR239" i="32"/>
  <c r="AW237" i="32"/>
  <c r="BI237" i="32" s="1"/>
  <c r="AN234" i="32"/>
  <c r="BM228" i="32"/>
  <c r="BM234" i="32" s="1"/>
  <c r="AN220" i="32"/>
  <c r="BM217" i="32"/>
  <c r="BM220" i="32" s="1"/>
  <c r="AQ246" i="32"/>
  <c r="AO248" i="32"/>
  <c r="AW224" i="32"/>
  <c r="BI224" i="32" s="1"/>
  <c r="AQ219" i="32"/>
  <c r="AW219" i="32" s="1"/>
  <c r="BI219" i="32" s="1"/>
  <c r="AW209" i="32"/>
  <c r="BI209" i="32" s="1"/>
  <c r="BJ173" i="32"/>
  <c r="AS173" i="32"/>
  <c r="BQ173" i="32" s="1"/>
  <c r="AR173" i="32"/>
  <c r="BP173" i="32" s="1"/>
  <c r="BJ208" i="32"/>
  <c r="AS208" i="32"/>
  <c r="BQ208" i="32" s="1"/>
  <c r="AR208" i="32"/>
  <c r="BP208" i="32" s="1"/>
  <c r="AN205" i="32"/>
  <c r="BM200" i="32"/>
  <c r="BM205" i="32" s="1"/>
  <c r="AP220" i="32"/>
  <c r="AQ208" i="32"/>
  <c r="BK227" i="32"/>
  <c r="AW180" i="32"/>
  <c r="BI180" i="32" s="1"/>
  <c r="BJ204" i="32"/>
  <c r="AS204" i="32"/>
  <c r="BQ204" i="32" s="1"/>
  <c r="AR204" i="32"/>
  <c r="BP204" i="32" s="1"/>
  <c r="AR167" i="32"/>
  <c r="BP167" i="32" s="1"/>
  <c r="BJ167" i="32"/>
  <c r="AS167" i="32"/>
  <c r="BQ167" i="32" s="1"/>
  <c r="AW168" i="32"/>
  <c r="BI168" i="32" s="1"/>
  <c r="BJ161" i="32"/>
  <c r="AS161" i="32"/>
  <c r="BQ161" i="32" s="1"/>
  <c r="AR161" i="32"/>
  <c r="BP161" i="32" s="1"/>
  <c r="AR130" i="32"/>
  <c r="BP125" i="32"/>
  <c r="BH300" i="32"/>
  <c r="BS115" i="32"/>
  <c r="BS300" i="32" s="1"/>
  <c r="AF157" i="32"/>
  <c r="AS151" i="32"/>
  <c r="BJ151" i="32"/>
  <c r="AR151" i="32"/>
  <c r="AO188" i="32"/>
  <c r="AR176" i="32"/>
  <c r="BP176" i="32" s="1"/>
  <c r="BJ176" i="32"/>
  <c r="AS176" i="32"/>
  <c r="BQ176" i="32" s="1"/>
  <c r="AW166" i="32"/>
  <c r="BI166" i="32" s="1"/>
  <c r="AP300" i="32"/>
  <c r="BJ163" i="32"/>
  <c r="AS163" i="32"/>
  <c r="BQ163" i="32" s="1"/>
  <c r="AR163" i="32"/>
  <c r="BP163" i="32" s="1"/>
  <c r="AO157" i="32"/>
  <c r="AQ151" i="32"/>
  <c r="AQ145" i="32"/>
  <c r="AO146" i="32"/>
  <c r="AQ192" i="32"/>
  <c r="BH150" i="32"/>
  <c r="BS147" i="32"/>
  <c r="BS150" i="32" s="1"/>
  <c r="BK144" i="32"/>
  <c r="BL130" i="32"/>
  <c r="BO124" i="32"/>
  <c r="BL110" i="32"/>
  <c r="BL113" i="32" s="1"/>
  <c r="AP110" i="32"/>
  <c r="AP113" i="32" s="1"/>
  <c r="AE113" i="32"/>
  <c r="AO150" i="32"/>
  <c r="AQ147" i="32"/>
  <c r="AR91" i="32"/>
  <c r="AF96" i="32"/>
  <c r="BJ91" i="32"/>
  <c r="AS91" i="32"/>
  <c r="AQ154" i="32"/>
  <c r="BU120" i="32"/>
  <c r="BR107" i="32"/>
  <c r="BJ155" i="32"/>
  <c r="AS155" i="32"/>
  <c r="BQ155" i="32" s="1"/>
  <c r="AR155" i="32"/>
  <c r="BP155" i="32" s="1"/>
  <c r="AW133" i="32"/>
  <c r="BI133" i="32" s="1"/>
  <c r="AD305" i="32"/>
  <c r="AD109" i="32"/>
  <c r="BK108" i="32"/>
  <c r="AO108" i="32"/>
  <c r="AF108" i="32"/>
  <c r="AS94" i="32"/>
  <c r="BQ94" i="32" s="1"/>
  <c r="AR94" i="32"/>
  <c r="BP94" i="32" s="1"/>
  <c r="BJ94" i="32"/>
  <c r="BH130" i="32"/>
  <c r="BK110" i="32"/>
  <c r="BK113" i="32" s="1"/>
  <c r="AO110" i="32"/>
  <c r="AF110" i="32"/>
  <c r="AD113" i="32"/>
  <c r="AW143" i="32"/>
  <c r="BI143" i="32" s="1"/>
  <c r="AQ128" i="32"/>
  <c r="BT120" i="32"/>
  <c r="BH299" i="32"/>
  <c r="BS99" i="32"/>
  <c r="BS299" i="32" s="1"/>
  <c r="BO107" i="32"/>
  <c r="BK304" i="32"/>
  <c r="AE298" i="32"/>
  <c r="BH90" i="32"/>
  <c r="AQ76" i="32"/>
  <c r="AW76" i="32" s="1"/>
  <c r="BI76" i="32" s="1"/>
  <c r="BJ66" i="32"/>
  <c r="AF71" i="32"/>
  <c r="AS66" i="32"/>
  <c r="AR66" i="32"/>
  <c r="BH65" i="32"/>
  <c r="BS59" i="32"/>
  <c r="BS65" i="32" s="1"/>
  <c r="AQ49" i="32"/>
  <c r="AW49" i="32" s="1"/>
  <c r="BI49" i="32" s="1"/>
  <c r="BH84" i="32"/>
  <c r="BL71" i="32"/>
  <c r="BS46" i="32"/>
  <c r="BS52" i="32" s="1"/>
  <c r="BH52" i="32"/>
  <c r="BH96" i="32"/>
  <c r="AS69" i="32"/>
  <c r="BQ69" i="32" s="1"/>
  <c r="AR69" i="32"/>
  <c r="BP69" i="32" s="1"/>
  <c r="BJ69" i="32"/>
  <c r="AW42" i="32"/>
  <c r="BI42" i="32" s="1"/>
  <c r="AN65" i="32"/>
  <c r="BM59" i="32"/>
  <c r="BM65" i="32" s="1"/>
  <c r="AE304" i="32"/>
  <c r="BL50" i="32"/>
  <c r="BL304" i="32" s="1"/>
  <c r="AP50" i="32"/>
  <c r="AP52" i="32" s="1"/>
  <c r="AS47" i="32"/>
  <c r="BJ47" i="32"/>
  <c r="AR47" i="32"/>
  <c r="AW60" i="32"/>
  <c r="BI60" i="32" s="1"/>
  <c r="BK39" i="32"/>
  <c r="BH35" i="32"/>
  <c r="BS32" i="32"/>
  <c r="BS35" i="32" s="1"/>
  <c r="BL303" i="32"/>
  <c r="AR73" i="32"/>
  <c r="BP73" i="32" s="1"/>
  <c r="BJ73" i="32"/>
  <c r="AS73" i="32"/>
  <c r="BQ73" i="32" s="1"/>
  <c r="AR37" i="32"/>
  <c r="BP37" i="32" s="1"/>
  <c r="AS37" i="32"/>
  <c r="BQ37" i="32" s="1"/>
  <c r="BJ37" i="32"/>
  <c r="BT297" i="32"/>
  <c r="BT17" i="32"/>
  <c r="AQ33" i="32"/>
  <c r="AW33" i="32" s="1"/>
  <c r="BI33" i="32" s="1"/>
  <c r="BG293" i="32"/>
  <c r="BU294" i="32" s="1"/>
  <c r="AD306" i="32"/>
  <c r="AF12" i="32"/>
  <c r="AO12" i="32"/>
  <c r="BK12" i="32"/>
  <c r="AD13" i="32"/>
  <c r="AS16" i="32"/>
  <c r="BJ16" i="32"/>
  <c r="AR16" i="32"/>
  <c r="BL306" i="32"/>
  <c r="BL13" i="32"/>
  <c r="AO43" i="32"/>
  <c r="AQ40" i="32"/>
  <c r="AW30" i="32"/>
  <c r="BI30" i="32" s="1"/>
  <c r="BU303" i="32"/>
  <c r="AW21" i="32"/>
  <c r="BI21" i="32" s="1"/>
  <c r="AQ36" i="32"/>
  <c r="AW20" i="32"/>
  <c r="BI20" i="32" s="1"/>
  <c r="AN292" i="32"/>
  <c r="BM291" i="32"/>
  <c r="BM292" i="32" s="1"/>
  <c r="BS290" i="32"/>
  <c r="BK283" i="32"/>
  <c r="AS286" i="32"/>
  <c r="BQ286" i="32" s="1"/>
  <c r="AR286" i="32"/>
  <c r="BP286" i="32" s="1"/>
  <c r="BJ286" i="32"/>
  <c r="AR267" i="32"/>
  <c r="BP267" i="32" s="1"/>
  <c r="AS267" i="32"/>
  <c r="BQ267" i="32" s="1"/>
  <c r="BJ267" i="32"/>
  <c r="BM262" i="32"/>
  <c r="AW284" i="32"/>
  <c r="AQ290" i="32"/>
  <c r="AD276" i="32"/>
  <c r="AF270" i="32"/>
  <c r="AO270" i="32"/>
  <c r="BK270" i="32"/>
  <c r="BK276" i="32" s="1"/>
  <c r="AW257" i="32"/>
  <c r="BI257" i="32" s="1"/>
  <c r="BJ268" i="32"/>
  <c r="AR268" i="32"/>
  <c r="BP268" i="32" s="1"/>
  <c r="AS268" i="32"/>
  <c r="BQ268" i="32" s="1"/>
  <c r="AQ260" i="32"/>
  <c r="AW260" i="32" s="1"/>
  <c r="BI260" i="32" s="1"/>
  <c r="BM245" i="32"/>
  <c r="BL245" i="32"/>
  <c r="AO234" i="32"/>
  <c r="AQ228" i="32"/>
  <c r="AE216" i="32"/>
  <c r="AP215" i="32"/>
  <c r="AP216" i="32" s="1"/>
  <c r="BL215" i="32"/>
  <c r="BL216" i="32" s="1"/>
  <c r="AW243" i="32"/>
  <c r="BI243" i="32" s="1"/>
  <c r="AQ239" i="32"/>
  <c r="AO245" i="32"/>
  <c r="AS236" i="32"/>
  <c r="BQ236" i="32" s="1"/>
  <c r="AR236" i="32"/>
  <c r="BP236" i="32" s="1"/>
  <c r="BJ236" i="32"/>
  <c r="BM221" i="32"/>
  <c r="BM227" i="32" s="1"/>
  <c r="AN227" i="32"/>
  <c r="AW254" i="32"/>
  <c r="BI254" i="32" s="1"/>
  <c r="BS235" i="32"/>
  <c r="BS238" i="32" s="1"/>
  <c r="BH238" i="32"/>
  <c r="AQ211" i="32"/>
  <c r="AW211" i="32" s="1"/>
  <c r="BI211" i="32" s="1"/>
  <c r="AO255" i="32"/>
  <c r="BK248" i="32"/>
  <c r="BH234" i="32"/>
  <c r="BS228" i="32"/>
  <c r="BS234" i="32" s="1"/>
  <c r="BP228" i="32"/>
  <c r="BP234" i="32" s="1"/>
  <c r="AP205" i="32"/>
  <c r="AQ230" i="32"/>
  <c r="AW230" i="32" s="1"/>
  <c r="BI230" i="32" s="1"/>
  <c r="AR219" i="32"/>
  <c r="BP219" i="32" s="1"/>
  <c r="BJ219" i="32"/>
  <c r="AS219" i="32"/>
  <c r="BQ219" i="32" s="1"/>
  <c r="AW203" i="32"/>
  <c r="BI203" i="32" s="1"/>
  <c r="AW194" i="32"/>
  <c r="BI194" i="32" s="1"/>
  <c r="BT188" i="32"/>
  <c r="BK165" i="32"/>
  <c r="BK171" i="32" s="1"/>
  <c r="AO165" i="32"/>
  <c r="AD171" i="32"/>
  <c r="AF165" i="32"/>
  <c r="AQ212" i="32"/>
  <c r="AW212" i="32" s="1"/>
  <c r="BI212" i="32" s="1"/>
  <c r="AW167" i="32"/>
  <c r="BI167" i="32" s="1"/>
  <c r="BN171" i="32"/>
  <c r="AQ221" i="32"/>
  <c r="AO227" i="32"/>
  <c r="AW198" i="32"/>
  <c r="BI198" i="32" s="1"/>
  <c r="AW186" i="32"/>
  <c r="BI186" i="32" s="1"/>
  <c r="AF195" i="32"/>
  <c r="BO120" i="32"/>
  <c r="BM171" i="32"/>
  <c r="BS138" i="32"/>
  <c r="BS144" i="32" s="1"/>
  <c r="BH144" i="32"/>
  <c r="BH171" i="32"/>
  <c r="AS156" i="32"/>
  <c r="BQ156" i="32" s="1"/>
  <c r="AR156" i="32"/>
  <c r="BP156" i="32" s="1"/>
  <c r="BJ156" i="32"/>
  <c r="AN124" i="32"/>
  <c r="BM121" i="32"/>
  <c r="BM124" i="32" s="1"/>
  <c r="AE120" i="32"/>
  <c r="BL114" i="32"/>
  <c r="BL120" i="32" s="1"/>
  <c r="AP114" i="32"/>
  <c r="AP120" i="32" s="1"/>
  <c r="BJ192" i="32"/>
  <c r="AS192" i="32"/>
  <c r="BQ192" i="32" s="1"/>
  <c r="AR192" i="32"/>
  <c r="BP192" i="32" s="1"/>
  <c r="BJ162" i="32"/>
  <c r="AS162" i="32"/>
  <c r="BQ162" i="32" s="1"/>
  <c r="AR162" i="32"/>
  <c r="BP162" i="32" s="1"/>
  <c r="BM138" i="32"/>
  <c r="BM144" i="32" s="1"/>
  <c r="AN144" i="32"/>
  <c r="AN137" i="32"/>
  <c r="BM131" i="32"/>
  <c r="BM137" i="32" s="1"/>
  <c r="BM125" i="32"/>
  <c r="BM130" i="32" s="1"/>
  <c r="AN130" i="32"/>
  <c r="BH124" i="32"/>
  <c r="BS121" i="32"/>
  <c r="BS124" i="32" s="1"/>
  <c r="AS148" i="32"/>
  <c r="BQ148" i="32" s="1"/>
  <c r="BJ148" i="32"/>
  <c r="AR148" i="32"/>
  <c r="BP148" i="32" s="1"/>
  <c r="BL144" i="32"/>
  <c r="AR154" i="32"/>
  <c r="BP154" i="32" s="1"/>
  <c r="BJ154" i="32"/>
  <c r="AS154" i="32"/>
  <c r="BQ154" i="32" s="1"/>
  <c r="AQ126" i="32"/>
  <c r="AW126" i="32" s="1"/>
  <c r="BI126" i="32" s="1"/>
  <c r="BM110" i="32"/>
  <c r="BM113" i="32" s="1"/>
  <c r="AN113" i="32"/>
  <c r="BM107" i="32"/>
  <c r="BJ139" i="32"/>
  <c r="AS139" i="32"/>
  <c r="BQ139" i="32" s="1"/>
  <c r="AR139" i="32"/>
  <c r="BP139" i="32" s="1"/>
  <c r="AR135" i="32"/>
  <c r="BP135" i="32" s="1"/>
  <c r="BJ135" i="32"/>
  <c r="AS135" i="32"/>
  <c r="BQ135" i="32" s="1"/>
  <c r="AR152" i="32"/>
  <c r="BP152" i="32" s="1"/>
  <c r="BJ152" i="32"/>
  <c r="AS152" i="32"/>
  <c r="BQ152" i="32" s="1"/>
  <c r="AR128" i="32"/>
  <c r="BP128" i="32" s="1"/>
  <c r="BJ128" i="32"/>
  <c r="BJ130" i="32" s="1"/>
  <c r="AS128" i="32"/>
  <c r="BQ128" i="32" s="1"/>
  <c r="AO144" i="32"/>
  <c r="BT302" i="32"/>
  <c r="AE299" i="32"/>
  <c r="AP99" i="32"/>
  <c r="AP299" i="32" s="1"/>
  <c r="BL99" i="32"/>
  <c r="BL299" i="32" s="1"/>
  <c r="BO298" i="32"/>
  <c r="AN304" i="32"/>
  <c r="BM50" i="32"/>
  <c r="BM304" i="32" s="1"/>
  <c r="BL90" i="32"/>
  <c r="AQ47" i="32"/>
  <c r="BJ105" i="32"/>
  <c r="AS105" i="32"/>
  <c r="BQ105" i="32" s="1"/>
  <c r="AR105" i="32"/>
  <c r="BP105" i="32" s="1"/>
  <c r="BL107" i="32"/>
  <c r="AE77" i="32"/>
  <c r="BL72" i="32"/>
  <c r="BL77" i="32" s="1"/>
  <c r="AP72" i="32"/>
  <c r="AP298" i="32" s="1"/>
  <c r="AS59" i="32"/>
  <c r="AF65" i="32"/>
  <c r="BJ59" i="32"/>
  <c r="AR59" i="32"/>
  <c r="AR48" i="32"/>
  <c r="BP48" i="32" s="1"/>
  <c r="BJ48" i="32"/>
  <c r="AS48" i="32"/>
  <c r="BQ48" i="32" s="1"/>
  <c r="AR42" i="32"/>
  <c r="BP42" i="32" s="1"/>
  <c r="BJ42" i="32"/>
  <c r="AS42" i="32"/>
  <c r="BQ42" i="32" s="1"/>
  <c r="AD90" i="32"/>
  <c r="AF86" i="32"/>
  <c r="AO86" i="32"/>
  <c r="AQ86" i="32" s="1"/>
  <c r="BK86" i="32"/>
  <c r="BK90" i="32" s="1"/>
  <c r="BS84" i="32"/>
  <c r="BH304" i="32"/>
  <c r="AQ34" i="32"/>
  <c r="AW34" i="32" s="1"/>
  <c r="BI34" i="32" s="1"/>
  <c r="AO96" i="32"/>
  <c r="BJ61" i="32"/>
  <c r="AS61" i="32"/>
  <c r="BQ61" i="32" s="1"/>
  <c r="AR61" i="32"/>
  <c r="BP61" i="32" s="1"/>
  <c r="BJ81" i="32"/>
  <c r="AS81" i="32"/>
  <c r="BQ81" i="32" s="1"/>
  <c r="AR81" i="32"/>
  <c r="BP81" i="32" s="1"/>
  <c r="AW70" i="32"/>
  <c r="BI70" i="32" s="1"/>
  <c r="BO58" i="32"/>
  <c r="BM52" i="32"/>
  <c r="BO303" i="32"/>
  <c r="BJ55" i="32"/>
  <c r="AS55" i="32"/>
  <c r="BQ55" i="32" s="1"/>
  <c r="AR55" i="32"/>
  <c r="BP55" i="32" s="1"/>
  <c r="AN303" i="32"/>
  <c r="BM16" i="32"/>
  <c r="BM303" i="32" s="1"/>
  <c r="AW61" i="32"/>
  <c r="BI61" i="32" s="1"/>
  <c r="BK58" i="32"/>
  <c r="AO35" i="32"/>
  <c r="AQ32" i="32"/>
  <c r="BM17" i="32"/>
  <c r="BO293" i="32"/>
  <c r="AW68" i="32"/>
  <c r="BI68" i="32" s="1"/>
  <c r="BL43" i="32"/>
  <c r="AS19" i="32"/>
  <c r="BQ19" i="32" s="1"/>
  <c r="BJ19" i="32"/>
  <c r="AR19" i="32"/>
  <c r="BP19" i="32" s="1"/>
  <c r="AW57" i="32"/>
  <c r="BI57" i="32" s="1"/>
  <c r="BR297" i="32"/>
  <c r="BR17" i="32"/>
  <c r="BR293" i="32" s="1"/>
  <c r="BN52" i="32"/>
  <c r="BN293" i="32" s="1"/>
  <c r="BM294" i="32" s="1"/>
  <c r="AQ38" i="32"/>
  <c r="AW38" i="32" s="1"/>
  <c r="BI38" i="32" s="1"/>
  <c r="AE35" i="32"/>
  <c r="AE293" i="32" s="1"/>
  <c r="BL294" i="32" s="1"/>
  <c r="BK27" i="32"/>
  <c r="AO303" i="32"/>
  <c r="AQ16" i="32"/>
  <c r="AO39" i="32"/>
  <c r="BJ24" i="32"/>
  <c r="AS24" i="32"/>
  <c r="BQ24" i="32" s="1"/>
  <c r="AR24" i="32"/>
  <c r="BP24" i="32" s="1"/>
  <c r="BJ18" i="32"/>
  <c r="BJ22" i="32" s="1"/>
  <c r="AF22" i="32"/>
  <c r="AR18" i="32"/>
  <c r="AS18" i="32"/>
  <c r="AR17" i="31"/>
  <c r="BP17" i="31" s="1"/>
  <c r="BJ17" i="31"/>
  <c r="AS17" i="31"/>
  <c r="BQ17" i="31" s="1"/>
  <c r="BJ63" i="31"/>
  <c r="AS63" i="31"/>
  <c r="BQ63" i="31" s="1"/>
  <c r="AR63" i="31"/>
  <c r="BP63" i="31" s="1"/>
  <c r="AD81" i="31"/>
  <c r="AD48" i="31"/>
  <c r="BK44" i="31"/>
  <c r="AO44" i="31"/>
  <c r="AF44" i="31"/>
  <c r="BN79" i="31"/>
  <c r="BN32" i="31"/>
  <c r="BL58" i="31"/>
  <c r="BL64" i="31" s="1"/>
  <c r="AP58" i="31"/>
  <c r="AP64" i="31" s="1"/>
  <c r="AE64" i="31"/>
  <c r="BL85" i="31"/>
  <c r="AD87" i="31"/>
  <c r="AD25" i="31"/>
  <c r="AF24" i="31"/>
  <c r="BK24" i="31"/>
  <c r="AO24" i="31"/>
  <c r="AE84" i="31"/>
  <c r="BL14" i="31"/>
  <c r="BL84" i="31" s="1"/>
  <c r="AP14" i="31"/>
  <c r="AP84" i="31" s="1"/>
  <c r="BT79" i="31"/>
  <c r="AS53" i="31"/>
  <c r="BJ53" i="31"/>
  <c r="AR53" i="31"/>
  <c r="AF57" i="31"/>
  <c r="BP33" i="31"/>
  <c r="AQ26" i="31"/>
  <c r="AO32" i="31"/>
  <c r="AF86" i="31"/>
  <c r="BJ39" i="31"/>
  <c r="AS39" i="31"/>
  <c r="AF40" i="31"/>
  <c r="AR39" i="31"/>
  <c r="BH85" i="31"/>
  <c r="BS30" i="31"/>
  <c r="BS85" i="31" s="1"/>
  <c r="BT75" i="31"/>
  <c r="BS86" i="31"/>
  <c r="BS40" i="31"/>
  <c r="BG75" i="31"/>
  <c r="BJ28" i="31"/>
  <c r="AS28" i="31"/>
  <c r="BQ28" i="31" s="1"/>
  <c r="AR28" i="31"/>
  <c r="BP28" i="31" s="1"/>
  <c r="AW18" i="31"/>
  <c r="BI18" i="31" s="1"/>
  <c r="AS31" i="31"/>
  <c r="BQ31" i="31" s="1"/>
  <c r="AR31" i="31"/>
  <c r="BP31" i="31" s="1"/>
  <c r="BJ31" i="31"/>
  <c r="BF76" i="31"/>
  <c r="AD67" i="31"/>
  <c r="AF65" i="31"/>
  <c r="BK65" i="31"/>
  <c r="BK67" i="31" s="1"/>
  <c r="AO65" i="31"/>
  <c r="BH67" i="31"/>
  <c r="BS65" i="31"/>
  <c r="BS67" i="31" s="1"/>
  <c r="BJ72" i="31"/>
  <c r="AR72" i="31"/>
  <c r="AS72" i="31"/>
  <c r="BQ72" i="31" s="1"/>
  <c r="AO57" i="31"/>
  <c r="AQ53" i="31"/>
  <c r="AQ63" i="31"/>
  <c r="AW63" i="31" s="1"/>
  <c r="BI63" i="31" s="1"/>
  <c r="AQ58" i="31"/>
  <c r="AO64" i="31"/>
  <c r="AS50" i="31"/>
  <c r="BQ50" i="31" s="1"/>
  <c r="BJ50" i="31"/>
  <c r="AR50" i="31"/>
  <c r="BP50" i="31" s="1"/>
  <c r="AN73" i="31"/>
  <c r="BJ61" i="31"/>
  <c r="AS61" i="31"/>
  <c r="BQ61" i="31" s="1"/>
  <c r="AR61" i="31"/>
  <c r="AN57" i="31"/>
  <c r="BQ49" i="31"/>
  <c r="AS52" i="31"/>
  <c r="BO64" i="31"/>
  <c r="AP43" i="31"/>
  <c r="AN64" i="31"/>
  <c r="BM58" i="31"/>
  <c r="BM64" i="31" s="1"/>
  <c r="AR54" i="31"/>
  <c r="BP54" i="31" s="1"/>
  <c r="BJ54" i="31"/>
  <c r="AS54" i="31"/>
  <c r="BQ54" i="31" s="1"/>
  <c r="BK41" i="31"/>
  <c r="BK43" i="31" s="1"/>
  <c r="AO41" i="31"/>
  <c r="AF41" i="31"/>
  <c r="AD43" i="31"/>
  <c r="AF79" i="31"/>
  <c r="AR26" i="31"/>
  <c r="BJ26" i="31"/>
  <c r="AS26" i="31"/>
  <c r="BU78" i="31"/>
  <c r="BU15" i="31"/>
  <c r="AN85" i="31"/>
  <c r="BM30" i="31"/>
  <c r="BM85" i="31" s="1"/>
  <c r="AP79" i="31"/>
  <c r="AP32" i="31"/>
  <c r="BK21" i="31"/>
  <c r="BK23" i="31" s="1"/>
  <c r="AO21" i="31"/>
  <c r="AQ21" i="31" s="1"/>
  <c r="AD23" i="31"/>
  <c r="AF21" i="31"/>
  <c r="AV74" i="31"/>
  <c r="BR75" i="31" s="1"/>
  <c r="BT78" i="31"/>
  <c r="BT15" i="31"/>
  <c r="AL74" i="31"/>
  <c r="BL57" i="31"/>
  <c r="BQ33" i="31"/>
  <c r="BG77" i="31"/>
  <c r="BH76" i="31" s="1"/>
  <c r="AW54" i="31"/>
  <c r="BI54" i="31" s="1"/>
  <c r="AE78" i="31"/>
  <c r="AE15" i="31"/>
  <c r="BL12" i="31"/>
  <c r="AP12" i="31"/>
  <c r="AE86" i="31"/>
  <c r="AE40" i="31"/>
  <c r="BL39" i="31"/>
  <c r="AP39" i="31"/>
  <c r="BU38" i="31"/>
  <c r="AD85" i="31"/>
  <c r="AD77" i="31" s="1"/>
  <c r="AO30" i="31"/>
  <c r="BK30" i="31"/>
  <c r="BK85" i="31" s="1"/>
  <c r="AF30" i="31"/>
  <c r="AQ28" i="31"/>
  <c r="BM79" i="31"/>
  <c r="BH64" i="31"/>
  <c r="BU81" i="31"/>
  <c r="BU48" i="31"/>
  <c r="AN43" i="31"/>
  <c r="BM41" i="31"/>
  <c r="BM43" i="31" s="1"/>
  <c r="AN86" i="31"/>
  <c r="AN40" i="31"/>
  <c r="BM39" i="31"/>
  <c r="AW42" i="31"/>
  <c r="BI42" i="31" s="1"/>
  <c r="AF58" i="31"/>
  <c r="AR71" i="31"/>
  <c r="BP71" i="31" s="1"/>
  <c r="BJ71" i="31"/>
  <c r="AS71" i="31"/>
  <c r="BQ71" i="31" s="1"/>
  <c r="AN67" i="31"/>
  <c r="BJ52" i="31"/>
  <c r="AS62" i="31"/>
  <c r="BQ62" i="31" s="1"/>
  <c r="AR62" i="31"/>
  <c r="BP62" i="31" s="1"/>
  <c r="BJ62" i="31"/>
  <c r="AO52" i="31"/>
  <c r="AQ49" i="31"/>
  <c r="AD73" i="31"/>
  <c r="AF68" i="31"/>
  <c r="BK68" i="31"/>
  <c r="BK73" i="31" s="1"/>
  <c r="AO68" i="31"/>
  <c r="BN64" i="31"/>
  <c r="BS42" i="31"/>
  <c r="BS43" i="31" s="1"/>
  <c r="BH43" i="31"/>
  <c r="AW37" i="31"/>
  <c r="BI37" i="31" s="1"/>
  <c r="BO78" i="31"/>
  <c r="BO15" i="31"/>
  <c r="BJ56" i="31"/>
  <c r="AS56" i="31"/>
  <c r="BQ56" i="31" s="1"/>
  <c r="AR56" i="31"/>
  <c r="BP56" i="31" s="1"/>
  <c r="AN48" i="31"/>
  <c r="BT38" i="31"/>
  <c r="BL20" i="31"/>
  <c r="BL23" i="31" s="1"/>
  <c r="AP20" i="31"/>
  <c r="AP23" i="31" s="1"/>
  <c r="AE23" i="31"/>
  <c r="BN78" i="31"/>
  <c r="BN77" i="31" s="1"/>
  <c r="BN15" i="31"/>
  <c r="AN78" i="31"/>
  <c r="AP57" i="31"/>
  <c r="BT81" i="31"/>
  <c r="BT48" i="31"/>
  <c r="BK38" i="31"/>
  <c r="W74" i="31"/>
  <c r="AH75" i="31" s="1"/>
  <c r="BJ29" i="31"/>
  <c r="AS29" i="31"/>
  <c r="BQ29" i="31" s="1"/>
  <c r="AR29" i="31"/>
  <c r="BP29" i="31" s="1"/>
  <c r="BM20" i="31"/>
  <c r="BM23" i="31" s="1"/>
  <c r="AN23" i="31"/>
  <c r="AN15" i="31"/>
  <c r="BH81" i="31"/>
  <c r="BH48" i="31"/>
  <c r="BS44" i="31"/>
  <c r="BH79" i="31"/>
  <c r="BT87" i="31"/>
  <c r="BT25" i="31"/>
  <c r="BH23" i="31"/>
  <c r="AW71" i="31"/>
  <c r="BI71" i="31" s="1"/>
  <c r="BJ60" i="31"/>
  <c r="AS60" i="31"/>
  <c r="BQ60" i="31" s="1"/>
  <c r="AR60" i="31"/>
  <c r="BP60" i="31" s="1"/>
  <c r="BK52" i="31"/>
  <c r="BM67" i="31"/>
  <c r="AQ70" i="31"/>
  <c r="AQ66" i="31"/>
  <c r="AW66" i="31" s="1"/>
  <c r="BI66" i="31" s="1"/>
  <c r="BO81" i="31"/>
  <c r="BO48" i="31"/>
  <c r="AR51" i="31"/>
  <c r="BP51" i="31" s="1"/>
  <c r="BJ51" i="31"/>
  <c r="AS51" i="31"/>
  <c r="BQ51" i="31" s="1"/>
  <c r="BJ42" i="31"/>
  <c r="AS42" i="31"/>
  <c r="BQ42" i="31" s="1"/>
  <c r="AR42" i="31"/>
  <c r="BP42" i="31" s="1"/>
  <c r="BR87" i="31"/>
  <c r="BR25" i="31"/>
  <c r="BS84" i="31"/>
  <c r="AM77" i="31"/>
  <c r="BN84" i="31"/>
  <c r="AQ56" i="31"/>
  <c r="AN81" i="31"/>
  <c r="BM33" i="31"/>
  <c r="BM38" i="31" s="1"/>
  <c r="AN38" i="31"/>
  <c r="BK27" i="31"/>
  <c r="BK32" i="31" s="1"/>
  <c r="AO27" i="31"/>
  <c r="AQ27" i="31" s="1"/>
  <c r="AD32" i="31"/>
  <c r="AF27" i="31"/>
  <c r="BH78" i="31"/>
  <c r="BH15" i="31"/>
  <c r="BS12" i="31"/>
  <c r="BK84" i="31"/>
  <c r="BU87" i="31"/>
  <c r="BU25" i="31"/>
  <c r="AN84" i="31"/>
  <c r="BM14" i="31"/>
  <c r="BM84" i="31" s="1"/>
  <c r="AW45" i="31"/>
  <c r="BI45" i="31" s="1"/>
  <c r="AP38" i="31"/>
  <c r="BO79" i="31"/>
  <c r="BO32" i="31"/>
  <c r="BN87" i="31"/>
  <c r="BN25" i="31"/>
  <c r="BM16" i="31"/>
  <c r="BM19" i="31" s="1"/>
  <c r="AN19" i="31"/>
  <c r="BO84" i="31"/>
  <c r="BU32" i="31"/>
  <c r="AS34" i="31"/>
  <c r="BQ34" i="31" s="1"/>
  <c r="AR34" i="31"/>
  <c r="BP34" i="31" s="1"/>
  <c r="BJ34" i="31"/>
  <c r="BJ38" i="31" s="1"/>
  <c r="AO15" i="31"/>
  <c r="AQ12" i="31"/>
  <c r="AQ33" i="31"/>
  <c r="BJ66" i="31"/>
  <c r="AS66" i="31"/>
  <c r="BQ66" i="31" s="1"/>
  <c r="AR66" i="31"/>
  <c r="BP66" i="31" s="1"/>
  <c r="BP49" i="31"/>
  <c r="BP52" i="31" s="1"/>
  <c r="AE81" i="31"/>
  <c r="BL44" i="31"/>
  <c r="AE48" i="31"/>
  <c r="AP44" i="31"/>
  <c r="BR86" i="31"/>
  <c r="BR40" i="31"/>
  <c r="AE87" i="31"/>
  <c r="BL24" i="31"/>
  <c r="AP24" i="31"/>
  <c r="AE25" i="31"/>
  <c r="V77" i="31"/>
  <c r="AO38" i="31"/>
  <c r="BH84" i="31"/>
  <c r="BR79" i="31"/>
  <c r="BR32" i="31"/>
  <c r="BL17" i="31"/>
  <c r="BL19" i="31" s="1"/>
  <c r="AP17" i="31"/>
  <c r="AQ17" i="31" s="1"/>
  <c r="AW17" i="31" s="1"/>
  <c r="BI17" i="31" s="1"/>
  <c r="AE19" i="31"/>
  <c r="AL77" i="31"/>
  <c r="AO84" i="31"/>
  <c r="AQ14" i="31"/>
  <c r="BH38" i="31"/>
  <c r="BS33" i="31"/>
  <c r="BS38" i="31" s="1"/>
  <c r="BO87" i="31"/>
  <c r="BO25" i="31"/>
  <c r="AD19" i="31"/>
  <c r="AD74" i="31" s="1"/>
  <c r="AF16" i="31"/>
  <c r="BK16" i="31"/>
  <c r="BK19" i="31" s="1"/>
  <c r="AO16" i="31"/>
  <c r="AF13" i="31"/>
  <c r="BK13" i="31"/>
  <c r="BK78" i="31" s="1"/>
  <c r="AO13" i="31"/>
  <c r="AQ13" i="31" s="1"/>
  <c r="BH87" i="31"/>
  <c r="BH25" i="31"/>
  <c r="BS24" i="31"/>
  <c r="BV75" i="31"/>
  <c r="BU84" i="31"/>
  <c r="BK15" i="31"/>
  <c r="BH32" i="31"/>
  <c r="BM48" i="31"/>
  <c r="AQ31" i="31"/>
  <c r="AW31" i="31" s="1"/>
  <c r="BI31" i="31" s="1"/>
  <c r="AF20" i="31"/>
  <c r="BO86" i="31"/>
  <c r="BO40" i="31"/>
  <c r="AS55" i="31"/>
  <c r="BQ55" i="31" s="1"/>
  <c r="AR55" i="31"/>
  <c r="BP55" i="31" s="1"/>
  <c r="BJ55" i="31"/>
  <c r="AS70" i="31"/>
  <c r="BQ70" i="31" s="1"/>
  <c r="BJ70" i="31"/>
  <c r="AR70" i="31"/>
  <c r="BP70" i="31" s="1"/>
  <c r="BS64" i="31"/>
  <c r="AS36" i="31"/>
  <c r="BQ36" i="31" s="1"/>
  <c r="BJ36" i="31"/>
  <c r="AR36" i="31"/>
  <c r="BP36" i="31" s="1"/>
  <c r="BS79" i="31"/>
  <c r="BS32" i="31"/>
  <c r="BH19" i="31"/>
  <c r="BS16" i="31"/>
  <c r="BS19" i="31" s="1"/>
  <c r="AF14" i="31"/>
  <c r="BT85" i="31"/>
  <c r="BL79" i="31"/>
  <c r="BL32" i="31"/>
  <c r="BK79" i="31"/>
  <c r="BG74" i="31"/>
  <c r="BU75" i="31" s="1"/>
  <c r="BR78" i="31"/>
  <c r="BR15" i="31"/>
  <c r="BU85" i="31"/>
  <c r="BJ18" i="31"/>
  <c r="AS18" i="31"/>
  <c r="BQ18" i="31" s="1"/>
  <c r="AR18" i="31"/>
  <c r="BP18" i="31" s="1"/>
  <c r="AF78" i="31"/>
  <c r="AS12" i="31"/>
  <c r="AR12" i="31"/>
  <c r="AF15" i="31"/>
  <c r="BJ12" i="31"/>
  <c r="BJ22" i="31"/>
  <c r="AS22" i="31"/>
  <c r="BQ22" i="31" s="1"/>
  <c r="AR22" i="31"/>
  <c r="BP22" i="31" s="1"/>
  <c r="BT32" i="31"/>
  <c r="AS72" i="30"/>
  <c r="AF75" i="30"/>
  <c r="BJ72" i="30"/>
  <c r="AR72" i="30"/>
  <c r="AW93" i="30"/>
  <c r="BK71" i="30"/>
  <c r="BJ12" i="30"/>
  <c r="AR12" i="30"/>
  <c r="AS12" i="30"/>
  <c r="AR31" i="30"/>
  <c r="BJ31" i="30"/>
  <c r="AS31" i="30"/>
  <c r="BL99" i="30"/>
  <c r="AS86" i="30"/>
  <c r="BJ86" i="30"/>
  <c r="AR86" i="30"/>
  <c r="AQ91" i="30"/>
  <c r="AW45" i="30"/>
  <c r="BH85" i="30"/>
  <c r="BS82" i="30"/>
  <c r="BS85" i="30" s="1"/>
  <c r="AP62" i="30"/>
  <c r="AP65" i="30" s="1"/>
  <c r="BL62" i="30"/>
  <c r="BL65" i="30" s="1"/>
  <c r="AE65" i="30"/>
  <c r="BL55" i="30"/>
  <c r="BL61" i="30" s="1"/>
  <c r="AP55" i="30"/>
  <c r="AP61" i="30" s="1"/>
  <c r="AE61" i="30"/>
  <c r="AQ74" i="30"/>
  <c r="BH71" i="30"/>
  <c r="BS66" i="30"/>
  <c r="BS71" i="30" s="1"/>
  <c r="BJ50" i="30"/>
  <c r="AR50" i="30"/>
  <c r="BP50" i="30" s="1"/>
  <c r="AS50" i="30"/>
  <c r="BQ50" i="30" s="1"/>
  <c r="AS43" i="30"/>
  <c r="BQ43" i="30" s="1"/>
  <c r="AR43" i="30"/>
  <c r="BP43" i="30" s="1"/>
  <c r="BJ43" i="30"/>
  <c r="AD107" i="30"/>
  <c r="AF32" i="30"/>
  <c r="AF37" i="30" s="1"/>
  <c r="BK32" i="30"/>
  <c r="BK107" i="30" s="1"/>
  <c r="AO32" i="30"/>
  <c r="BG103" i="30"/>
  <c r="AP111" i="30"/>
  <c r="BN104" i="30"/>
  <c r="BN15" i="30"/>
  <c r="BJ53" i="30"/>
  <c r="AS53" i="30"/>
  <c r="BQ53" i="30" s="1"/>
  <c r="AR53" i="30"/>
  <c r="BT112" i="30"/>
  <c r="BT30" i="30"/>
  <c r="BR104" i="30"/>
  <c r="BR15" i="30"/>
  <c r="AW52" i="30"/>
  <c r="BI52" i="30" s="1"/>
  <c r="AW34" i="30"/>
  <c r="BI34" i="30" s="1"/>
  <c r="BO61" i="30"/>
  <c r="BU107" i="30"/>
  <c r="AW27" i="30"/>
  <c r="BI27" i="30" s="1"/>
  <c r="BU113" i="30"/>
  <c r="BU17" i="30"/>
  <c r="BU100" i="30" s="1"/>
  <c r="BN110" i="30"/>
  <c r="BT107" i="30"/>
  <c r="BT37" i="30"/>
  <c r="AN28" i="30"/>
  <c r="BM24" i="30"/>
  <c r="BM28" i="30" s="1"/>
  <c r="BO105" i="30"/>
  <c r="BO23" i="30"/>
  <c r="BH113" i="30"/>
  <c r="BH17" i="30"/>
  <c r="BH100" i="30" s="1"/>
  <c r="BS16" i="30"/>
  <c r="BL111" i="30"/>
  <c r="BJ33" i="30"/>
  <c r="AR33" i="30"/>
  <c r="BP33" i="30" s="1"/>
  <c r="AS33" i="30"/>
  <c r="BQ33" i="30" s="1"/>
  <c r="AS34" i="30"/>
  <c r="BQ34" i="30" s="1"/>
  <c r="BJ34" i="30"/>
  <c r="AR34" i="30"/>
  <c r="BP34" i="30" s="1"/>
  <c r="AQ42" i="30"/>
  <c r="AD37" i="30"/>
  <c r="AF99" i="30"/>
  <c r="AR93" i="30"/>
  <c r="AS93" i="30"/>
  <c r="BJ93" i="30"/>
  <c r="AR95" i="30"/>
  <c r="BP95" i="30" s="1"/>
  <c r="BJ95" i="30"/>
  <c r="AS95" i="30"/>
  <c r="BQ95" i="30" s="1"/>
  <c r="AS91" i="30"/>
  <c r="BQ91" i="30" s="1"/>
  <c r="BJ91" i="30"/>
  <c r="AR91" i="30"/>
  <c r="BP91" i="30" s="1"/>
  <c r="BT81" i="30"/>
  <c r="BK76" i="30"/>
  <c r="BK81" i="30" s="1"/>
  <c r="AO76" i="30"/>
  <c r="AD81" i="30"/>
  <c r="AF76" i="30"/>
  <c r="AQ84" i="30"/>
  <c r="AW84" i="30" s="1"/>
  <c r="BI84" i="30" s="1"/>
  <c r="BM81" i="30"/>
  <c r="BK73" i="30"/>
  <c r="AO73" i="30"/>
  <c r="AF73" i="30"/>
  <c r="AQ39" i="30"/>
  <c r="BL48" i="30"/>
  <c r="AF62" i="30"/>
  <c r="AD65" i="30"/>
  <c r="BK62" i="30"/>
  <c r="BK65" i="30" s="1"/>
  <c r="AO62" i="30"/>
  <c r="BN71" i="30"/>
  <c r="AR70" i="30"/>
  <c r="BP70" i="30" s="1"/>
  <c r="BJ70" i="30"/>
  <c r="AS70" i="30"/>
  <c r="BQ70" i="30" s="1"/>
  <c r="AD61" i="30"/>
  <c r="BK55" i="30"/>
  <c r="BK61" i="30" s="1"/>
  <c r="AF55" i="30"/>
  <c r="AO55" i="30"/>
  <c r="BJ47" i="30"/>
  <c r="AS47" i="30"/>
  <c r="BQ47" i="30" s="1"/>
  <c r="AR47" i="30"/>
  <c r="BP47" i="30" s="1"/>
  <c r="BR113" i="30"/>
  <c r="BR17" i="30"/>
  <c r="BH104" i="30"/>
  <c r="AE112" i="30"/>
  <c r="AE30" i="30"/>
  <c r="BL29" i="30"/>
  <c r="AP29" i="30"/>
  <c r="AV101" i="30"/>
  <c r="BH102" i="30"/>
  <c r="BS31" i="30"/>
  <c r="BH37" i="30"/>
  <c r="AQ66" i="30"/>
  <c r="AR57" i="30"/>
  <c r="BP57" i="30" s="1"/>
  <c r="BJ57" i="30"/>
  <c r="AS57" i="30"/>
  <c r="BQ57" i="30" s="1"/>
  <c r="BO111" i="30"/>
  <c r="AR58" i="30"/>
  <c r="BP58" i="30" s="1"/>
  <c r="AS58" i="30"/>
  <c r="BQ58" i="30" s="1"/>
  <c r="BJ58" i="30"/>
  <c r="AW47" i="30"/>
  <c r="BI47" i="30" s="1"/>
  <c r="BH112" i="30"/>
  <c r="BS29" i="30"/>
  <c r="BH30" i="30"/>
  <c r="BO113" i="30"/>
  <c r="BO17" i="30"/>
  <c r="BH110" i="30"/>
  <c r="BS14" i="30"/>
  <c r="BS110" i="30" s="1"/>
  <c r="BS62" i="30"/>
  <c r="BS65" i="30" s="1"/>
  <c r="BH65" i="30"/>
  <c r="BJ46" i="30"/>
  <c r="AS46" i="30"/>
  <c r="BQ46" i="30" s="1"/>
  <c r="AR46" i="30"/>
  <c r="AE107" i="30"/>
  <c r="AP32" i="30"/>
  <c r="AP107" i="30" s="1"/>
  <c r="BL32" i="30"/>
  <c r="BL107" i="30" s="1"/>
  <c r="BO104" i="30"/>
  <c r="BO15" i="30"/>
  <c r="AQ33" i="30"/>
  <c r="AW33" i="30" s="1"/>
  <c r="BI33" i="30" s="1"/>
  <c r="BJ25" i="30"/>
  <c r="AS25" i="30"/>
  <c r="BQ25" i="30" s="1"/>
  <c r="AR25" i="30"/>
  <c r="BP25" i="30" s="1"/>
  <c r="AR98" i="30"/>
  <c r="BP98" i="30" s="1"/>
  <c r="BJ98" i="30"/>
  <c r="AS98" i="30"/>
  <c r="BQ98" i="30" s="1"/>
  <c r="BO99" i="30"/>
  <c r="AN85" i="30"/>
  <c r="BM82" i="30"/>
  <c r="BM85" i="30" s="1"/>
  <c r="AQ89" i="30"/>
  <c r="BH81" i="30"/>
  <c r="BS76" i="30"/>
  <c r="BS81" i="30" s="1"/>
  <c r="AE85" i="30"/>
  <c r="AP82" i="30"/>
  <c r="BL82" i="30"/>
  <c r="BL85" i="30" s="1"/>
  <c r="AQ83" i="30"/>
  <c r="AF82" i="30"/>
  <c r="BL72" i="30"/>
  <c r="BL75" i="30" s="1"/>
  <c r="AP72" i="30"/>
  <c r="AE75" i="30"/>
  <c r="AW51" i="30"/>
  <c r="BI51" i="30" s="1"/>
  <c r="AS39" i="30"/>
  <c r="BQ39" i="30" s="1"/>
  <c r="BJ39" i="30"/>
  <c r="AR39" i="30"/>
  <c r="BP39" i="30" s="1"/>
  <c r="AS48" i="30"/>
  <c r="BQ45" i="30"/>
  <c r="BJ38" i="30"/>
  <c r="AR38" i="30"/>
  <c r="AS38" i="30"/>
  <c r="AF44" i="30"/>
  <c r="AD111" i="30"/>
  <c r="BK20" i="30"/>
  <c r="BK111" i="30" s="1"/>
  <c r="AO20" i="30"/>
  <c r="AF20" i="30"/>
  <c r="AE113" i="30"/>
  <c r="BL16" i="30"/>
  <c r="AP16" i="30"/>
  <c r="AE17" i="30"/>
  <c r="BT105" i="30"/>
  <c r="BT103" i="30" s="1"/>
  <c r="AN54" i="30"/>
  <c r="BK44" i="30"/>
  <c r="BO107" i="30"/>
  <c r="AN111" i="30"/>
  <c r="BM20" i="30"/>
  <c r="BM111" i="30" s="1"/>
  <c r="AE104" i="30"/>
  <c r="AE103" i="30" s="1"/>
  <c r="BL12" i="30"/>
  <c r="AP12" i="30"/>
  <c r="AQ12" i="30" s="1"/>
  <c r="AE15" i="30"/>
  <c r="AF28" i="30"/>
  <c r="AS24" i="30"/>
  <c r="AR24" i="30"/>
  <c r="AW24" i="30" s="1"/>
  <c r="BJ24" i="30"/>
  <c r="BJ28" i="30" s="1"/>
  <c r="BV101" i="30"/>
  <c r="BO110" i="30"/>
  <c r="AE37" i="30"/>
  <c r="BL31" i="30"/>
  <c r="AP31" i="30"/>
  <c r="AP37" i="30" s="1"/>
  <c r="AS41" i="30"/>
  <c r="BQ41" i="30" s="1"/>
  <c r="AR41" i="30"/>
  <c r="BP41" i="30" s="1"/>
  <c r="BJ41" i="30"/>
  <c r="AD112" i="30"/>
  <c r="AF29" i="30"/>
  <c r="BK29" i="30"/>
  <c r="AO29" i="30"/>
  <c r="AD30" i="30"/>
  <c r="AV103" i="30"/>
  <c r="BJ63" i="30"/>
  <c r="AS63" i="30"/>
  <c r="BQ63" i="30" s="1"/>
  <c r="AR63" i="30"/>
  <c r="BP63" i="30" s="1"/>
  <c r="AQ46" i="30"/>
  <c r="AM103" i="30"/>
  <c r="AN102" i="30" s="1"/>
  <c r="BJ22" i="30"/>
  <c r="AS22" i="30"/>
  <c r="BQ22" i="30" s="1"/>
  <c r="AR22" i="30"/>
  <c r="BP22" i="30" s="1"/>
  <c r="BK37" i="30"/>
  <c r="AW98" i="30"/>
  <c r="BI98" i="30" s="1"/>
  <c r="BH75" i="30"/>
  <c r="BS73" i="30"/>
  <c r="BS75" i="30" s="1"/>
  <c r="BJ77" i="30"/>
  <c r="AR77" i="30"/>
  <c r="BP77" i="30" s="1"/>
  <c r="AS77" i="30"/>
  <c r="BQ77" i="30" s="1"/>
  <c r="AN48" i="30"/>
  <c r="BM45" i="30"/>
  <c r="BM48" i="30" s="1"/>
  <c r="AN71" i="30"/>
  <c r="BM66" i="30"/>
  <c r="BM71" i="30" s="1"/>
  <c r="BJ66" i="30"/>
  <c r="AR66" i="30"/>
  <c r="AS66" i="30"/>
  <c r="BM31" i="30"/>
  <c r="AN37" i="30"/>
  <c r="BS105" i="30"/>
  <c r="AD113" i="30"/>
  <c r="AD17" i="30"/>
  <c r="BK16" i="30"/>
  <c r="AO16" i="30"/>
  <c r="AF16" i="30"/>
  <c r="AR56" i="30"/>
  <c r="BP56" i="30" s="1"/>
  <c r="BJ56" i="30"/>
  <c r="AS56" i="30"/>
  <c r="BQ56" i="30" s="1"/>
  <c r="BT111" i="30"/>
  <c r="AN105" i="30"/>
  <c r="BM18" i="30"/>
  <c r="AN23" i="30"/>
  <c r="AN104" i="30"/>
  <c r="BM12" i="30"/>
  <c r="AN15" i="30"/>
  <c r="V103" i="30"/>
  <c r="AQ38" i="30"/>
  <c r="AO37" i="30"/>
  <c r="AQ31" i="30"/>
  <c r="BN99" i="30"/>
  <c r="AR97" i="30"/>
  <c r="BP97" i="30" s="1"/>
  <c r="AS97" i="30"/>
  <c r="BQ97" i="30" s="1"/>
  <c r="BJ97" i="30"/>
  <c r="BS92" i="30"/>
  <c r="AO99" i="30"/>
  <c r="AN92" i="30"/>
  <c r="BM86" i="30"/>
  <c r="BM92" i="30" s="1"/>
  <c r="AR96" i="30"/>
  <c r="BP96" i="30" s="1"/>
  <c r="AS96" i="30"/>
  <c r="BQ96" i="30" s="1"/>
  <c r="BJ96" i="30"/>
  <c r="AW77" i="30"/>
  <c r="BI77" i="30" s="1"/>
  <c r="BK87" i="30"/>
  <c r="AO87" i="30"/>
  <c r="AO105" i="30" s="1"/>
  <c r="AF87" i="30"/>
  <c r="BS93" i="30"/>
  <c r="BS99" i="30" s="1"/>
  <c r="BH99" i="30"/>
  <c r="AQ90" i="30"/>
  <c r="AW90" i="30" s="1"/>
  <c r="BI90" i="30" s="1"/>
  <c r="AW67" i="30"/>
  <c r="BI67" i="30" s="1"/>
  <c r="AQ80" i="30"/>
  <c r="AW80" i="30" s="1"/>
  <c r="BI80" i="30" s="1"/>
  <c r="AO54" i="30"/>
  <c r="AQ36" i="30"/>
  <c r="BJ78" i="30"/>
  <c r="AS78" i="30"/>
  <c r="BQ78" i="30" s="1"/>
  <c r="AR78" i="30"/>
  <c r="BP78" i="30" s="1"/>
  <c r="AR64" i="30"/>
  <c r="BP64" i="30" s="1"/>
  <c r="AS64" i="30"/>
  <c r="BQ64" i="30" s="1"/>
  <c r="BJ64" i="30"/>
  <c r="AQ97" i="30"/>
  <c r="AW97" i="30" s="1"/>
  <c r="BI97" i="30" s="1"/>
  <c r="BH61" i="30"/>
  <c r="BS55" i="30"/>
  <c r="BS61" i="30" s="1"/>
  <c r="BS49" i="30"/>
  <c r="BS54" i="30" s="1"/>
  <c r="BH54" i="30"/>
  <c r="BH44" i="30"/>
  <c r="BS38" i="30"/>
  <c r="BS44" i="30" s="1"/>
  <c r="AW50" i="30"/>
  <c r="BI50" i="30" s="1"/>
  <c r="AQ43" i="30"/>
  <c r="AW43" i="30" s="1"/>
  <c r="BI43" i="30" s="1"/>
  <c r="BG100" i="30"/>
  <c r="BU101" i="30" s="1"/>
  <c r="AD110" i="30"/>
  <c r="BK14" i="30"/>
  <c r="AO14" i="30"/>
  <c r="AF14" i="30"/>
  <c r="BU37" i="30"/>
  <c r="BR105" i="30"/>
  <c r="BR23" i="30"/>
  <c r="AN110" i="30"/>
  <c r="BM14" i="30"/>
  <c r="BM110" i="30" s="1"/>
  <c r="AS60" i="30"/>
  <c r="BQ60" i="30" s="1"/>
  <c r="AR60" i="30"/>
  <c r="BP60" i="30" s="1"/>
  <c r="BJ60" i="30"/>
  <c r="AO23" i="30"/>
  <c r="BG101" i="30"/>
  <c r="BN105" i="30"/>
  <c r="BN23" i="30"/>
  <c r="AR59" i="30"/>
  <c r="BP59" i="30" s="1"/>
  <c r="BJ59" i="30"/>
  <c r="AS59" i="30"/>
  <c r="BQ59" i="30" s="1"/>
  <c r="AN61" i="30"/>
  <c r="BM55" i="30"/>
  <c r="BM61" i="30" s="1"/>
  <c r="AE54" i="30"/>
  <c r="BL49" i="30"/>
  <c r="BL54" i="30" s="1"/>
  <c r="AF49" i="30"/>
  <c r="AF105" i="30" s="1"/>
  <c r="AP49" i="30"/>
  <c r="AP54" i="30" s="1"/>
  <c r="AQ35" i="30"/>
  <c r="AW35" i="30" s="1"/>
  <c r="BI35" i="30" s="1"/>
  <c r="BN111" i="30"/>
  <c r="W103" i="30"/>
  <c r="AN112" i="30"/>
  <c r="BM29" i="30"/>
  <c r="AN30" i="30"/>
  <c r="BT113" i="30"/>
  <c r="BT17" i="30"/>
  <c r="AO44" i="30"/>
  <c r="BJ19" i="30"/>
  <c r="AS19" i="30"/>
  <c r="BQ19" i="30" s="1"/>
  <c r="AR19" i="30"/>
  <c r="BP19" i="30" s="1"/>
  <c r="AO28" i="30"/>
  <c r="BL28" i="30"/>
  <c r="BK92" i="30"/>
  <c r="AS94" i="30"/>
  <c r="BQ94" i="30" s="1"/>
  <c r="AR94" i="30"/>
  <c r="BP94" i="30" s="1"/>
  <c r="BJ94" i="30"/>
  <c r="AW95" i="30"/>
  <c r="BI95" i="30" s="1"/>
  <c r="AW94" i="30"/>
  <c r="BI94" i="30" s="1"/>
  <c r="AS69" i="30"/>
  <c r="BQ69" i="30" s="1"/>
  <c r="AR69" i="30"/>
  <c r="BJ69" i="30"/>
  <c r="W100" i="30"/>
  <c r="AH101" i="30" s="1"/>
  <c r="AN107" i="30"/>
  <c r="BM32" i="30"/>
  <c r="BM107" i="30" s="1"/>
  <c r="BK105" i="30"/>
  <c r="BK23" i="30"/>
  <c r="AL100" i="30"/>
  <c r="BO112" i="30"/>
  <c r="BO30" i="30"/>
  <c r="AS89" i="30"/>
  <c r="BQ89" i="30" s="1"/>
  <c r="BJ89" i="30"/>
  <c r="AR89" i="30"/>
  <c r="BP89" i="30" s="1"/>
  <c r="BJ88" i="30"/>
  <c r="AS88" i="30"/>
  <c r="BQ88" i="30" s="1"/>
  <c r="AR88" i="30"/>
  <c r="BP88" i="30" s="1"/>
  <c r="BK99" i="30"/>
  <c r="AE92" i="30"/>
  <c r="AP86" i="30"/>
  <c r="BL86" i="30"/>
  <c r="BL92" i="30" s="1"/>
  <c r="AP99" i="30"/>
  <c r="BH92" i="30"/>
  <c r="AN99" i="30"/>
  <c r="AS83" i="30"/>
  <c r="BQ83" i="30" s="1"/>
  <c r="BJ83" i="30"/>
  <c r="AR83" i="30"/>
  <c r="BP83" i="30" s="1"/>
  <c r="BK75" i="30"/>
  <c r="BT99" i="30"/>
  <c r="AR90" i="30"/>
  <c r="BP90" i="30" s="1"/>
  <c r="BJ90" i="30"/>
  <c r="AS90" i="30"/>
  <c r="BQ90" i="30" s="1"/>
  <c r="AW79" i="30"/>
  <c r="BI79" i="30" s="1"/>
  <c r="BK68" i="30"/>
  <c r="AF68" i="30"/>
  <c r="AO68" i="30"/>
  <c r="BN65" i="30"/>
  <c r="BK54" i="30"/>
  <c r="BJ74" i="30"/>
  <c r="AS74" i="30"/>
  <c r="BQ74" i="30" s="1"/>
  <c r="AR74" i="30"/>
  <c r="BP74" i="30" s="1"/>
  <c r="AW64" i="30"/>
  <c r="BI64" i="30" s="1"/>
  <c r="BT61" i="30"/>
  <c r="BT100" i="30" s="1"/>
  <c r="BS101" i="30" s="1"/>
  <c r="AS36" i="30"/>
  <c r="BQ36" i="30" s="1"/>
  <c r="BJ36" i="30"/>
  <c r="AR36" i="30"/>
  <c r="BP36" i="30" s="1"/>
  <c r="BH107" i="30"/>
  <c r="BS32" i="30"/>
  <c r="AR18" i="30"/>
  <c r="AF23" i="30"/>
  <c r="BJ18" i="30"/>
  <c r="AS18" i="30"/>
  <c r="BS15" i="30"/>
  <c r="BL110" i="30"/>
  <c r="BH28" i="30"/>
  <c r="BS24" i="30"/>
  <c r="BS28" i="30" s="1"/>
  <c r="AE105" i="30"/>
  <c r="AE23" i="30"/>
  <c r="BL18" i="30"/>
  <c r="AP18" i="30"/>
  <c r="BF100" i="30"/>
  <c r="AF13" i="30"/>
  <c r="AF104" i="30" s="1"/>
  <c r="BK13" i="30"/>
  <c r="BK104" i="30" s="1"/>
  <c r="AO13" i="30"/>
  <c r="AQ13" i="30" s="1"/>
  <c r="AD15" i="30"/>
  <c r="BL76" i="30"/>
  <c r="BL81" i="30" s="1"/>
  <c r="AP76" i="30"/>
  <c r="AP81" i="30" s="1"/>
  <c r="AE81" i="30"/>
  <c r="AD23" i="30"/>
  <c r="AM100" i="30"/>
  <c r="BO101" i="30" s="1"/>
  <c r="AD104" i="30"/>
  <c r="AQ58" i="30"/>
  <c r="AW58" i="30" s="1"/>
  <c r="BI58" i="30" s="1"/>
  <c r="BH111" i="30"/>
  <c r="BS20" i="30"/>
  <c r="BS111" i="30" s="1"/>
  <c r="BT110" i="30"/>
  <c r="AP110" i="30"/>
  <c r="BK28" i="30"/>
  <c r="BU105" i="30"/>
  <c r="BU103" i="30" s="1"/>
  <c r="BU23" i="30"/>
  <c r="BN113" i="30"/>
  <c r="BN17" i="30"/>
  <c r="AW19" i="30"/>
  <c r="BI19" i="30" s="1"/>
  <c r="AQ28" i="30"/>
  <c r="AR42" i="30"/>
  <c r="BP42" i="30" s="1"/>
  <c r="BJ42" i="30"/>
  <c r="AS42" i="30"/>
  <c r="BQ42" i="30" s="1"/>
  <c r="AP28" i="30"/>
  <c r="BJ40" i="30"/>
  <c r="AR40" i="30"/>
  <c r="BP40" i="30" s="1"/>
  <c r="AS40" i="30"/>
  <c r="BQ40" i="30" s="1"/>
  <c r="BJ21" i="30"/>
  <c r="AS21" i="30"/>
  <c r="BQ21" i="30" s="1"/>
  <c r="AR21" i="30"/>
  <c r="BP21" i="30" s="1"/>
  <c r="BO204" i="29"/>
  <c r="BO140" i="29"/>
  <c r="BJ158" i="29"/>
  <c r="AS158" i="29"/>
  <c r="BQ158" i="29" s="1"/>
  <c r="AR158" i="29"/>
  <c r="BP158" i="29" s="1"/>
  <c r="BJ144" i="29"/>
  <c r="AR144" i="29"/>
  <c r="BP144" i="29" s="1"/>
  <c r="AS144" i="29"/>
  <c r="BQ144" i="29" s="1"/>
  <c r="BT203" i="29"/>
  <c r="AF156" i="29"/>
  <c r="AD159" i="29"/>
  <c r="BK156" i="29"/>
  <c r="BK159" i="29" s="1"/>
  <c r="AO156" i="29"/>
  <c r="AQ166" i="29"/>
  <c r="AR113" i="29"/>
  <c r="BP113" i="29" s="1"/>
  <c r="AS113" i="29"/>
  <c r="BQ113" i="29" s="1"/>
  <c r="BJ113" i="29"/>
  <c r="AS99" i="29"/>
  <c r="BQ99" i="29" s="1"/>
  <c r="BJ99" i="29"/>
  <c r="AR99" i="29"/>
  <c r="BP99" i="29" s="1"/>
  <c r="AR89" i="29"/>
  <c r="BP89" i="29" s="1"/>
  <c r="AS89" i="29"/>
  <c r="BQ89" i="29" s="1"/>
  <c r="BJ89" i="29"/>
  <c r="BH40" i="29"/>
  <c r="BS37" i="29"/>
  <c r="BS40" i="29" s="1"/>
  <c r="AN204" i="29"/>
  <c r="AN140" i="29"/>
  <c r="BM139" i="29"/>
  <c r="AO75" i="29"/>
  <c r="AO25" i="29"/>
  <c r="AQ22" i="29"/>
  <c r="V192" i="29"/>
  <c r="AG193" i="29" s="1"/>
  <c r="AR123" i="29"/>
  <c r="BP123" i="29" s="1"/>
  <c r="BJ123" i="29"/>
  <c r="AS123" i="29"/>
  <c r="BQ123" i="29" s="1"/>
  <c r="BJ47" i="29"/>
  <c r="AR47" i="29"/>
  <c r="BP47" i="29" s="1"/>
  <c r="AS47" i="29"/>
  <c r="BQ47" i="29" s="1"/>
  <c r="AE102" i="29"/>
  <c r="BL97" i="29"/>
  <c r="BL102" i="29" s="1"/>
  <c r="AF97" i="29"/>
  <c r="AP97" i="29"/>
  <c r="AP102" i="29" s="1"/>
  <c r="BO197" i="29"/>
  <c r="BO90" i="29"/>
  <c r="AQ68" i="29"/>
  <c r="AO71" i="29"/>
  <c r="AF44" i="29"/>
  <c r="BJ41" i="29"/>
  <c r="AS41" i="29"/>
  <c r="AR41" i="29"/>
  <c r="BL203" i="29"/>
  <c r="AR43" i="29"/>
  <c r="BP43" i="29" s="1"/>
  <c r="BJ43" i="29"/>
  <c r="AS43" i="29"/>
  <c r="BQ43" i="29" s="1"/>
  <c r="AS24" i="29"/>
  <c r="BQ24" i="29" s="1"/>
  <c r="BJ24" i="29"/>
  <c r="AR24" i="29"/>
  <c r="BP24" i="29" s="1"/>
  <c r="AN202" i="29"/>
  <c r="BM16" i="29"/>
  <c r="BM202" i="29" s="1"/>
  <c r="AF205" i="29"/>
  <c r="BJ12" i="29"/>
  <c r="AF13" i="29"/>
  <c r="AS12" i="29"/>
  <c r="AR12" i="29"/>
  <c r="AF64" i="29"/>
  <c r="AO64" i="29"/>
  <c r="AD67" i="29"/>
  <c r="BK64" i="29"/>
  <c r="BK67" i="29" s="1"/>
  <c r="BJ55" i="29"/>
  <c r="AR55" i="29"/>
  <c r="BP55" i="29" s="1"/>
  <c r="AS55" i="29"/>
  <c r="BQ55" i="29" s="1"/>
  <c r="AS45" i="29"/>
  <c r="AR45" i="29"/>
  <c r="BJ45" i="29"/>
  <c r="BJ48" i="29" s="1"/>
  <c r="AF48" i="29"/>
  <c r="BU205" i="29"/>
  <c r="BU13" i="29"/>
  <c r="BF192" i="29"/>
  <c r="BM17" i="29"/>
  <c r="BM176" i="29"/>
  <c r="BM178" i="29" s="1"/>
  <c r="AN178" i="29"/>
  <c r="BH184" i="29"/>
  <c r="BS179" i="29"/>
  <c r="BS184" i="29" s="1"/>
  <c r="AW187" i="29"/>
  <c r="BI187" i="29" s="1"/>
  <c r="BL185" i="29"/>
  <c r="BL191" i="29" s="1"/>
  <c r="AP185" i="29"/>
  <c r="AP191" i="29" s="1"/>
  <c r="AE191" i="29"/>
  <c r="BN199" i="29"/>
  <c r="BK175" i="29"/>
  <c r="BJ161" i="29"/>
  <c r="AS161" i="29"/>
  <c r="BQ161" i="29" s="1"/>
  <c r="AR161" i="29"/>
  <c r="BP161" i="29" s="1"/>
  <c r="AD204" i="29"/>
  <c r="AD140" i="29"/>
  <c r="BK139" i="29"/>
  <c r="AO139" i="29"/>
  <c r="AF139" i="29"/>
  <c r="AP177" i="29"/>
  <c r="AP202" i="29" s="1"/>
  <c r="AE178" i="29"/>
  <c r="AF177" i="29"/>
  <c r="BL177" i="29"/>
  <c r="BL178" i="29" s="1"/>
  <c r="BJ173" i="29"/>
  <c r="AR173" i="29"/>
  <c r="BP173" i="29" s="1"/>
  <c r="AS173" i="29"/>
  <c r="BQ173" i="29" s="1"/>
  <c r="AQ150" i="29"/>
  <c r="AW150" i="29" s="1"/>
  <c r="BI150" i="29" s="1"/>
  <c r="AP169" i="29"/>
  <c r="AE175" i="29"/>
  <c r="BL169" i="29"/>
  <c r="BL175" i="29" s="1"/>
  <c r="AO168" i="29"/>
  <c r="AW158" i="29"/>
  <c r="BI158" i="29" s="1"/>
  <c r="AR152" i="29"/>
  <c r="BP152" i="29" s="1"/>
  <c r="BJ152" i="29"/>
  <c r="AS152" i="29"/>
  <c r="BQ152" i="29" s="1"/>
  <c r="BH203" i="29"/>
  <c r="BS88" i="29"/>
  <c r="BS203" i="29" s="1"/>
  <c r="BH90" i="29"/>
  <c r="BH191" i="29"/>
  <c r="BS185" i="29"/>
  <c r="BS191" i="29" s="1"/>
  <c r="AN148" i="29"/>
  <c r="BM141" i="29"/>
  <c r="BM148" i="29" s="1"/>
  <c r="BT164" i="29"/>
  <c r="BH148" i="29"/>
  <c r="AQ104" i="29"/>
  <c r="AQ147" i="29"/>
  <c r="BR204" i="29"/>
  <c r="BR140" i="29"/>
  <c r="AR116" i="29"/>
  <c r="BP116" i="29" s="1"/>
  <c r="AS116" i="29"/>
  <c r="BQ116" i="29" s="1"/>
  <c r="BJ116" i="29"/>
  <c r="AQ127" i="29"/>
  <c r="BK98" i="29"/>
  <c r="BK102" i="29" s="1"/>
  <c r="AF98" i="29"/>
  <c r="AD102" i="29"/>
  <c r="AO98" i="29"/>
  <c r="AQ98" i="29" s="1"/>
  <c r="AN203" i="29"/>
  <c r="BM88" i="29"/>
  <c r="BM203" i="29" s="1"/>
  <c r="AP71" i="29"/>
  <c r="AS112" i="29"/>
  <c r="BQ112" i="29" s="1"/>
  <c r="AR112" i="29"/>
  <c r="BP112" i="29" s="1"/>
  <c r="BJ112" i="29"/>
  <c r="AW82" i="29"/>
  <c r="BI82" i="29" s="1"/>
  <c r="BM41" i="29"/>
  <c r="BM44" i="29" s="1"/>
  <c r="AN44" i="29"/>
  <c r="BO202" i="29"/>
  <c r="BJ107" i="29"/>
  <c r="AR107" i="29"/>
  <c r="BP107" i="29" s="1"/>
  <c r="AS107" i="29"/>
  <c r="BQ107" i="29" s="1"/>
  <c r="AS85" i="29"/>
  <c r="AR85" i="29"/>
  <c r="BJ85" i="29"/>
  <c r="AN75" i="29"/>
  <c r="BM53" i="29"/>
  <c r="BM56" i="29" s="1"/>
  <c r="AN56" i="29"/>
  <c r="BJ87" i="29"/>
  <c r="AS87" i="29"/>
  <c r="BQ87" i="29" s="1"/>
  <c r="AR87" i="29"/>
  <c r="BP87" i="29" s="1"/>
  <c r="AR60" i="29"/>
  <c r="AF63" i="29"/>
  <c r="BJ60" i="29"/>
  <c r="AS60" i="29"/>
  <c r="AR46" i="29"/>
  <c r="BP46" i="29" s="1"/>
  <c r="BJ46" i="29"/>
  <c r="AS46" i="29"/>
  <c r="BQ46" i="29" s="1"/>
  <c r="AS39" i="29"/>
  <c r="BQ39" i="29" s="1"/>
  <c r="AR39" i="29"/>
  <c r="BP39" i="29" s="1"/>
  <c r="BJ39" i="29"/>
  <c r="AS16" i="29"/>
  <c r="BJ16" i="29"/>
  <c r="AR16" i="29"/>
  <c r="AL192" i="29"/>
  <c r="BJ50" i="29"/>
  <c r="AS50" i="29"/>
  <c r="BQ50" i="29" s="1"/>
  <c r="AR50" i="29"/>
  <c r="BP50" i="29" s="1"/>
  <c r="AQ39" i="29"/>
  <c r="AE202" i="29"/>
  <c r="BN63" i="29"/>
  <c r="BJ119" i="29"/>
  <c r="AR119" i="29"/>
  <c r="BP119" i="29" s="1"/>
  <c r="AS119" i="29"/>
  <c r="BQ119" i="29" s="1"/>
  <c r="AP84" i="29"/>
  <c r="AP63" i="29"/>
  <c r="AF56" i="29"/>
  <c r="BJ53" i="29"/>
  <c r="BJ56" i="29" s="1"/>
  <c r="AS53" i="29"/>
  <c r="AR53" i="29"/>
  <c r="BO196" i="29"/>
  <c r="BO17" i="29"/>
  <c r="BH52" i="29"/>
  <c r="BS49" i="29"/>
  <c r="BS52" i="29" s="1"/>
  <c r="BJ61" i="29"/>
  <c r="AR61" i="29"/>
  <c r="BP61" i="29" s="1"/>
  <c r="AS61" i="29"/>
  <c r="BQ61" i="29" s="1"/>
  <c r="BL29" i="29"/>
  <c r="BG195" i="29"/>
  <c r="BS44" i="29"/>
  <c r="BK29" i="29"/>
  <c r="BF195" i="29"/>
  <c r="BH194" i="29" s="1"/>
  <c r="AQ78" i="29"/>
  <c r="AN17" i="29"/>
  <c r="BS29" i="29"/>
  <c r="AE168" i="29"/>
  <c r="BL165" i="29"/>
  <c r="BL168" i="29" s="1"/>
  <c r="AP165" i="29"/>
  <c r="BM179" i="29"/>
  <c r="BM184" i="29" s="1"/>
  <c r="AN184" i="29"/>
  <c r="BQ179" i="29"/>
  <c r="AO175" i="29"/>
  <c r="AQ169" i="29"/>
  <c r="BJ183" i="29"/>
  <c r="AS183" i="29"/>
  <c r="BQ183" i="29" s="1"/>
  <c r="AR183" i="29"/>
  <c r="BP183" i="29" s="1"/>
  <c r="AF165" i="29"/>
  <c r="AQ109" i="29"/>
  <c r="AN155" i="29"/>
  <c r="BJ147" i="29"/>
  <c r="AS147" i="29"/>
  <c r="BQ147" i="29" s="1"/>
  <c r="AR147" i="29"/>
  <c r="BP147" i="29" s="1"/>
  <c r="AN138" i="29"/>
  <c r="BM133" i="29"/>
  <c r="BM138" i="29" s="1"/>
  <c r="AS130" i="29"/>
  <c r="BQ130" i="29" s="1"/>
  <c r="AR130" i="29"/>
  <c r="BP130" i="29" s="1"/>
  <c r="BJ130" i="29"/>
  <c r="BJ124" i="29"/>
  <c r="AR124" i="29"/>
  <c r="BP124" i="29" s="1"/>
  <c r="AS124" i="29"/>
  <c r="BQ124" i="29" s="1"/>
  <c r="AW87" i="29"/>
  <c r="BI87" i="29" s="1"/>
  <c r="AS136" i="29"/>
  <c r="BQ136" i="29" s="1"/>
  <c r="AR136" i="29"/>
  <c r="BP136" i="29" s="1"/>
  <c r="BJ136" i="29"/>
  <c r="AF91" i="29"/>
  <c r="AO91" i="29"/>
  <c r="AD96" i="29"/>
  <c r="BK91" i="29"/>
  <c r="BK96" i="29" s="1"/>
  <c r="AR125" i="29"/>
  <c r="BP125" i="29" s="1"/>
  <c r="BJ125" i="29"/>
  <c r="AS125" i="29"/>
  <c r="BQ125" i="29" s="1"/>
  <c r="BL109" i="29"/>
  <c r="BL114" i="29" s="1"/>
  <c r="AP109" i="29"/>
  <c r="AP114" i="29" s="1"/>
  <c r="AE114" i="29"/>
  <c r="AF109" i="29"/>
  <c r="AP36" i="29"/>
  <c r="AQ33" i="29"/>
  <c r="BJ93" i="29"/>
  <c r="AS93" i="29"/>
  <c r="BQ93" i="29" s="1"/>
  <c r="AR93" i="29"/>
  <c r="BP93" i="29" s="1"/>
  <c r="BK110" i="29"/>
  <c r="BK114" i="29" s="1"/>
  <c r="AO110" i="29"/>
  <c r="AQ110" i="29" s="1"/>
  <c r="AD114" i="29"/>
  <c r="AF110" i="29"/>
  <c r="AQ85" i="29"/>
  <c r="BL91" i="29"/>
  <c r="BL96" i="29" s="1"/>
  <c r="AP91" i="29"/>
  <c r="AE96" i="29"/>
  <c r="AN71" i="29"/>
  <c r="BM68" i="29"/>
  <c r="BM71" i="29" s="1"/>
  <c r="AS42" i="29"/>
  <c r="BQ42" i="29" s="1"/>
  <c r="AR42" i="29"/>
  <c r="BP42" i="29" s="1"/>
  <c r="BJ42" i="29"/>
  <c r="BH202" i="29"/>
  <c r="BS16" i="29"/>
  <c r="BS202" i="29" s="1"/>
  <c r="I194" i="29"/>
  <c r="AW183" i="29"/>
  <c r="BI183" i="29" s="1"/>
  <c r="BH175" i="29"/>
  <c r="BS169" i="29"/>
  <c r="AW182" i="29"/>
  <c r="BI182" i="29" s="1"/>
  <c r="BT184" i="29"/>
  <c r="BK199" i="29"/>
  <c r="AE199" i="29"/>
  <c r="BL170" i="29"/>
  <c r="BL199" i="29" s="1"/>
  <c r="AP170" i="29"/>
  <c r="AW176" i="29"/>
  <c r="BH155" i="29"/>
  <c r="BS149" i="29"/>
  <c r="BS155" i="29" s="1"/>
  <c r="AR163" i="29"/>
  <c r="BP163" i="29" s="1"/>
  <c r="BJ163" i="29"/>
  <c r="AS163" i="29"/>
  <c r="BQ163" i="29" s="1"/>
  <c r="BL204" i="29"/>
  <c r="BL140" i="29"/>
  <c r="AR145" i="29"/>
  <c r="BP145" i="29" s="1"/>
  <c r="BJ145" i="29"/>
  <c r="AS145" i="29"/>
  <c r="BQ145" i="29" s="1"/>
  <c r="BM127" i="29"/>
  <c r="BM132" i="29" s="1"/>
  <c r="AN132" i="29"/>
  <c r="AR166" i="29"/>
  <c r="BP166" i="29" s="1"/>
  <c r="BJ166" i="29"/>
  <c r="AS166" i="29"/>
  <c r="BQ166" i="29" s="1"/>
  <c r="AD155" i="29"/>
  <c r="BK149" i="29"/>
  <c r="BK155" i="29" s="1"/>
  <c r="AO149" i="29"/>
  <c r="AF149" i="29"/>
  <c r="BS160" i="29"/>
  <c r="BS164" i="29" s="1"/>
  <c r="BH164" i="29"/>
  <c r="BS110" i="29"/>
  <c r="BS114" i="29" s="1"/>
  <c r="BH114" i="29"/>
  <c r="AR154" i="29"/>
  <c r="BP154" i="29" s="1"/>
  <c r="BJ154" i="29"/>
  <c r="AS154" i="29"/>
  <c r="BQ154" i="29" s="1"/>
  <c r="AQ145" i="29"/>
  <c r="AW145" i="29" s="1"/>
  <c r="BI145" i="29" s="1"/>
  <c r="AF141" i="29"/>
  <c r="AD148" i="29"/>
  <c r="AO141" i="29"/>
  <c r="BK141" i="29"/>
  <c r="BK148" i="29" s="1"/>
  <c r="AW128" i="29"/>
  <c r="BI128" i="29" s="1"/>
  <c r="AO120" i="29"/>
  <c r="AN120" i="29"/>
  <c r="BN203" i="29"/>
  <c r="BH63" i="29"/>
  <c r="BS60" i="29"/>
  <c r="BS63" i="29" s="1"/>
  <c r="BK138" i="29"/>
  <c r="AQ80" i="29"/>
  <c r="AO84" i="29"/>
  <c r="AO138" i="29"/>
  <c r="AQ153" i="29"/>
  <c r="AW153" i="29" s="1"/>
  <c r="BI153" i="29" s="1"/>
  <c r="BJ82" i="29"/>
  <c r="AS82" i="29"/>
  <c r="BQ82" i="29" s="1"/>
  <c r="AR82" i="29"/>
  <c r="BP82" i="29" s="1"/>
  <c r="BL72" i="29"/>
  <c r="BL75" i="29" s="1"/>
  <c r="AE75" i="29"/>
  <c r="AP72" i="29"/>
  <c r="AP75" i="29" s="1"/>
  <c r="BU203" i="29"/>
  <c r="AN102" i="29"/>
  <c r="BM97" i="29"/>
  <c r="BM102" i="29" s="1"/>
  <c r="BL57" i="29"/>
  <c r="BL59" i="29" s="1"/>
  <c r="AP57" i="29"/>
  <c r="AP59" i="29" s="1"/>
  <c r="AE59" i="29"/>
  <c r="AF57" i="29"/>
  <c r="AS51" i="29"/>
  <c r="BQ51" i="29" s="1"/>
  <c r="AR51" i="29"/>
  <c r="BP51" i="29" s="1"/>
  <c r="BJ51" i="29"/>
  <c r="AO48" i="29"/>
  <c r="AQ45" i="29"/>
  <c r="AS27" i="29"/>
  <c r="BQ27" i="29" s="1"/>
  <c r="BJ27" i="29"/>
  <c r="AR27" i="29"/>
  <c r="BP27" i="29" s="1"/>
  <c r="BR196" i="29"/>
  <c r="BR195" i="29" s="1"/>
  <c r="BR17" i="29"/>
  <c r="AW73" i="29"/>
  <c r="BI73" i="29" s="1"/>
  <c r="AW38" i="29"/>
  <c r="BI38" i="29" s="1"/>
  <c r="AQ105" i="29"/>
  <c r="AN197" i="29"/>
  <c r="BM85" i="29"/>
  <c r="AN90" i="29"/>
  <c r="BL84" i="29"/>
  <c r="AS18" i="29"/>
  <c r="AF21" i="29"/>
  <c r="BJ18" i="29"/>
  <c r="BJ21" i="29" s="1"/>
  <c r="AR18" i="29"/>
  <c r="BH196" i="29"/>
  <c r="BS14" i="29"/>
  <c r="BH17" i="29"/>
  <c r="AN205" i="29"/>
  <c r="AN13" i="29"/>
  <c r="BM12" i="29"/>
  <c r="BS72" i="29"/>
  <c r="BS75" i="29" s="1"/>
  <c r="BH75" i="29"/>
  <c r="BH59" i="29"/>
  <c r="AP44" i="29"/>
  <c r="BK36" i="29"/>
  <c r="BM26" i="29"/>
  <c r="BM29" i="29" s="1"/>
  <c r="AN29" i="29"/>
  <c r="W195" i="29"/>
  <c r="BH36" i="29"/>
  <c r="BL196" i="29"/>
  <c r="BT96" i="29"/>
  <c r="AQ41" i="29"/>
  <c r="AO40" i="29"/>
  <c r="AQ37" i="29"/>
  <c r="AO36" i="29"/>
  <c r="BH21" i="29"/>
  <c r="BS18" i="29"/>
  <c r="BS21" i="29" s="1"/>
  <c r="BR202" i="29"/>
  <c r="AD196" i="29"/>
  <c r="BK14" i="29"/>
  <c r="AO14" i="29"/>
  <c r="AF14" i="29"/>
  <c r="AD17" i="29"/>
  <c r="AD192" i="29" s="1"/>
  <c r="AO108" i="29"/>
  <c r="AR78" i="29"/>
  <c r="BP78" i="29" s="1"/>
  <c r="BJ78" i="29"/>
  <c r="AS78" i="29"/>
  <c r="BQ78" i="29" s="1"/>
  <c r="BK48" i="29"/>
  <c r="AN196" i="29"/>
  <c r="AO21" i="29"/>
  <c r="AO32" i="29"/>
  <c r="BM36" i="29"/>
  <c r="AS189" i="29"/>
  <c r="BQ189" i="29" s="1"/>
  <c r="AR189" i="29"/>
  <c r="BP189" i="29" s="1"/>
  <c r="BJ189" i="29"/>
  <c r="AR182" i="29"/>
  <c r="BP182" i="29" s="1"/>
  <c r="AS182" i="29"/>
  <c r="BQ182" i="29" s="1"/>
  <c r="BJ182" i="29"/>
  <c r="BH199" i="29"/>
  <c r="BS170" i="29"/>
  <c r="BS199" i="29" s="1"/>
  <c r="BQ176" i="29"/>
  <c r="AR170" i="29"/>
  <c r="BJ170" i="29"/>
  <c r="AS170" i="29"/>
  <c r="AR171" i="29"/>
  <c r="BP171" i="29" s="1"/>
  <c r="AS171" i="29"/>
  <c r="BQ171" i="29" s="1"/>
  <c r="BJ171" i="29"/>
  <c r="AF185" i="29"/>
  <c r="AD191" i="29"/>
  <c r="AO185" i="29"/>
  <c r="BK185" i="29"/>
  <c r="BK191" i="29" s="1"/>
  <c r="BH138" i="29"/>
  <c r="BS133" i="29"/>
  <c r="BS138" i="29" s="1"/>
  <c r="AW171" i="29"/>
  <c r="BI171" i="29" s="1"/>
  <c r="BM191" i="29"/>
  <c r="BJ153" i="29"/>
  <c r="AS153" i="29"/>
  <c r="BQ153" i="29" s="1"/>
  <c r="AR153" i="29"/>
  <c r="BP153" i="29" s="1"/>
  <c r="AD126" i="29"/>
  <c r="AO121" i="29"/>
  <c r="BK121" i="29"/>
  <c r="BK126" i="29" s="1"/>
  <c r="AF121" i="29"/>
  <c r="AO102" i="29"/>
  <c r="AQ97" i="29"/>
  <c r="BU204" i="29"/>
  <c r="BU140" i="29"/>
  <c r="AR104" i="29"/>
  <c r="BP104" i="29" s="1"/>
  <c r="BJ104" i="29"/>
  <c r="AS104" i="29"/>
  <c r="BQ104" i="29" s="1"/>
  <c r="BJ129" i="29"/>
  <c r="AR129" i="29"/>
  <c r="BP129" i="29" s="1"/>
  <c r="AS129" i="29"/>
  <c r="BQ129" i="29" s="1"/>
  <c r="BS103" i="29"/>
  <c r="BS108" i="29" s="1"/>
  <c r="BH108" i="29"/>
  <c r="BL115" i="29"/>
  <c r="BL120" i="29" s="1"/>
  <c r="AP115" i="29"/>
  <c r="AP120" i="29" s="1"/>
  <c r="AE120" i="29"/>
  <c r="AF115" i="29"/>
  <c r="BJ92" i="29"/>
  <c r="AS92" i="29"/>
  <c r="BQ92" i="29" s="1"/>
  <c r="AR92" i="29"/>
  <c r="BP92" i="29" s="1"/>
  <c r="AW51" i="29"/>
  <c r="BI51" i="29" s="1"/>
  <c r="AR134" i="29"/>
  <c r="BP134" i="29" s="1"/>
  <c r="AS134" i="29"/>
  <c r="BQ134" i="29" s="1"/>
  <c r="BJ134" i="29"/>
  <c r="AQ111" i="29"/>
  <c r="AO52" i="29"/>
  <c r="AQ49" i="29"/>
  <c r="BR197" i="29"/>
  <c r="BR90" i="29"/>
  <c r="AD197" i="29"/>
  <c r="AO76" i="29"/>
  <c r="AD79" i="29"/>
  <c r="AF76" i="29"/>
  <c r="BK76" i="29"/>
  <c r="BK79" i="29" s="1"/>
  <c r="BP26" i="29"/>
  <c r="AL195" i="29"/>
  <c r="AN194" i="29" s="1"/>
  <c r="BL205" i="29"/>
  <c r="BL13" i="29"/>
  <c r="AP52" i="29"/>
  <c r="BM64" i="29"/>
  <c r="BM67" i="29" s="1"/>
  <c r="AN67" i="29"/>
  <c r="AW55" i="29"/>
  <c r="BI55" i="29" s="1"/>
  <c r="AW47" i="29"/>
  <c r="BI47" i="29" s="1"/>
  <c r="AF40" i="29"/>
  <c r="AR37" i="29"/>
  <c r="AS37" i="29"/>
  <c r="BJ37" i="29"/>
  <c r="BN202" i="29"/>
  <c r="BR192" i="29"/>
  <c r="AO131" i="29"/>
  <c r="AQ131" i="29" s="1"/>
  <c r="BK131" i="29"/>
  <c r="BK132" i="29" s="1"/>
  <c r="AF131" i="29"/>
  <c r="BJ105" i="29"/>
  <c r="AR105" i="29"/>
  <c r="BP105" i="29" s="1"/>
  <c r="AS105" i="29"/>
  <c r="BQ105" i="29" s="1"/>
  <c r="BH102" i="29"/>
  <c r="BS97" i="29"/>
  <c r="BS102" i="29" s="1"/>
  <c r="AF86" i="29"/>
  <c r="AO86" i="29"/>
  <c r="AQ86" i="29" s="1"/>
  <c r="BK86" i="29"/>
  <c r="AF71" i="29"/>
  <c r="AS68" i="29"/>
  <c r="AR68" i="29"/>
  <c r="BJ68" i="29"/>
  <c r="BJ71" i="29" s="1"/>
  <c r="BK32" i="29"/>
  <c r="BJ23" i="29"/>
  <c r="AS23" i="29"/>
  <c r="BQ23" i="29" s="1"/>
  <c r="AR23" i="29"/>
  <c r="BP23" i="29" s="1"/>
  <c r="BT202" i="29"/>
  <c r="AE196" i="29"/>
  <c r="AE195" i="29" s="1"/>
  <c r="AM195" i="29"/>
  <c r="AR122" i="29"/>
  <c r="BP122" i="29" s="1"/>
  <c r="BJ122" i="29"/>
  <c r="AS122" i="29"/>
  <c r="BQ122" i="29" s="1"/>
  <c r="AR81" i="29"/>
  <c r="BP81" i="29" s="1"/>
  <c r="BJ81" i="29"/>
  <c r="AS81" i="29"/>
  <c r="BQ81" i="29" s="1"/>
  <c r="BL30" i="29"/>
  <c r="BL32" i="29" s="1"/>
  <c r="AP30" i="29"/>
  <c r="AF30" i="29"/>
  <c r="AE32" i="29"/>
  <c r="AE192" i="29" s="1"/>
  <c r="BL193" i="29" s="1"/>
  <c r="BU196" i="29"/>
  <c r="BU17" i="29"/>
  <c r="BV193" i="29"/>
  <c r="BJ29" i="29"/>
  <c r="BL103" i="29"/>
  <c r="BL108" i="29" s="1"/>
  <c r="AP103" i="29"/>
  <c r="AE108" i="29"/>
  <c r="AF103" i="29"/>
  <c r="BM84" i="29"/>
  <c r="AS74" i="29"/>
  <c r="BQ74" i="29" s="1"/>
  <c r="BJ74" i="29"/>
  <c r="AR74" i="29"/>
  <c r="BP74" i="29" s="1"/>
  <c r="AP46" i="29"/>
  <c r="AQ46" i="29" s="1"/>
  <c r="AW46" i="29" s="1"/>
  <c r="BI46" i="29" s="1"/>
  <c r="BL46" i="29"/>
  <c r="AO44" i="29"/>
  <c r="BK40" i="29"/>
  <c r="AQ18" i="29"/>
  <c r="V195" i="29"/>
  <c r="AD203" i="29"/>
  <c r="BK88" i="29"/>
  <c r="AF88" i="29"/>
  <c r="AO88" i="29"/>
  <c r="BJ15" i="29"/>
  <c r="AS15" i="29"/>
  <c r="BQ15" i="29" s="1"/>
  <c r="AR15" i="29"/>
  <c r="BP15" i="29" s="1"/>
  <c r="AF72" i="29"/>
  <c r="AN36" i="29"/>
  <c r="BJ181" i="29"/>
  <c r="AR181" i="29"/>
  <c r="AS181" i="29"/>
  <c r="BQ181" i="29" s="1"/>
  <c r="BN184" i="29"/>
  <c r="AO180" i="29"/>
  <c r="BK180" i="29"/>
  <c r="BK184" i="29" s="1"/>
  <c r="AF180" i="29"/>
  <c r="BR175" i="29"/>
  <c r="AN168" i="29"/>
  <c r="BM165" i="29"/>
  <c r="BM168" i="29" s="1"/>
  <c r="AR146" i="29"/>
  <c r="BP146" i="29" s="1"/>
  <c r="AS146" i="29"/>
  <c r="BQ146" i="29" s="1"/>
  <c r="BJ146" i="29"/>
  <c r="BT199" i="29"/>
  <c r="AN191" i="29"/>
  <c r="AQ190" i="29"/>
  <c r="AR143" i="29"/>
  <c r="BP143" i="29" s="1"/>
  <c r="BJ143" i="29"/>
  <c r="AS143" i="29"/>
  <c r="BQ143" i="29" s="1"/>
  <c r="BH204" i="29"/>
  <c r="BH140" i="29"/>
  <c r="BS139" i="29"/>
  <c r="BT120" i="29"/>
  <c r="AW151" i="29"/>
  <c r="BI151" i="29" s="1"/>
  <c r="BK108" i="29"/>
  <c r="AP148" i="29"/>
  <c r="BJ135" i="29"/>
  <c r="AS135" i="29"/>
  <c r="BQ135" i="29" s="1"/>
  <c r="AR135" i="29"/>
  <c r="BP135" i="29" s="1"/>
  <c r="AR101" i="29"/>
  <c r="BP101" i="29" s="1"/>
  <c r="BJ101" i="29"/>
  <c r="AS101" i="29"/>
  <c r="BQ101" i="29" s="1"/>
  <c r="BH132" i="29"/>
  <c r="BS127" i="29"/>
  <c r="BS132" i="29" s="1"/>
  <c r="BR203" i="29"/>
  <c r="AE164" i="29"/>
  <c r="AP160" i="29"/>
  <c r="AP164" i="29" s="1"/>
  <c r="BL160" i="29"/>
  <c r="BL164" i="29" s="1"/>
  <c r="AW113" i="29"/>
  <c r="BI113" i="29" s="1"/>
  <c r="AW89" i="29"/>
  <c r="BI89" i="29" s="1"/>
  <c r="BT197" i="29"/>
  <c r="BT90" i="29"/>
  <c r="AN159" i="29"/>
  <c r="BM156" i="29"/>
  <c r="BM159" i="29" s="1"/>
  <c r="AO63" i="29"/>
  <c r="AQ60" i="29"/>
  <c r="BJ137" i="29"/>
  <c r="AR137" i="29"/>
  <c r="BP137" i="29" s="1"/>
  <c r="AS137" i="29"/>
  <c r="BQ137" i="29" s="1"/>
  <c r="BJ111" i="29"/>
  <c r="AS111" i="29"/>
  <c r="BQ111" i="29" s="1"/>
  <c r="AR111" i="29"/>
  <c r="BP111" i="29" s="1"/>
  <c r="AQ66" i="29"/>
  <c r="AW66" i="29" s="1"/>
  <c r="BI66" i="29" s="1"/>
  <c r="BN204" i="29"/>
  <c r="BN140" i="29"/>
  <c r="BM50" i="29"/>
  <c r="BM52" i="29" s="1"/>
  <c r="AN52" i="29"/>
  <c r="BN197" i="29"/>
  <c r="AW61" i="29"/>
  <c r="BI61" i="29" s="1"/>
  <c r="BL48" i="29"/>
  <c r="AN25" i="29"/>
  <c r="AO205" i="29"/>
  <c r="AO13" i="29"/>
  <c r="AQ12" i="29"/>
  <c r="BH84" i="29"/>
  <c r="BS80" i="29"/>
  <c r="BS84" i="29" s="1"/>
  <c r="BJ69" i="29"/>
  <c r="AS69" i="29"/>
  <c r="BQ69" i="29" s="1"/>
  <c r="AR69" i="29"/>
  <c r="BP69" i="29" s="1"/>
  <c r="AW27" i="29"/>
  <c r="BI27" i="29" s="1"/>
  <c r="AW20" i="29"/>
  <c r="BI20" i="29" s="1"/>
  <c r="BU202" i="29"/>
  <c r="AQ123" i="29"/>
  <c r="AW123" i="29" s="1"/>
  <c r="BI123" i="29" s="1"/>
  <c r="BU102" i="29"/>
  <c r="BS197" i="29"/>
  <c r="BS90" i="29"/>
  <c r="AS80" i="29"/>
  <c r="BJ80" i="29"/>
  <c r="BJ84" i="29" s="1"/>
  <c r="AR80" i="29"/>
  <c r="AF84" i="29"/>
  <c r="BL67" i="29"/>
  <c r="AN59" i="29"/>
  <c r="BM57" i="29"/>
  <c r="BM59" i="29" s="1"/>
  <c r="AW81" i="29"/>
  <c r="BI81" i="29" s="1"/>
  <c r="AW43" i="29"/>
  <c r="BI43" i="29" s="1"/>
  <c r="BN17" i="29"/>
  <c r="BO205" i="29"/>
  <c r="BO13" i="29"/>
  <c r="AQ62" i="29"/>
  <c r="AW62" i="29" s="1"/>
  <c r="BI62" i="29" s="1"/>
  <c r="AF29" i="29"/>
  <c r="BQ127" i="29"/>
  <c r="AN96" i="29"/>
  <c r="BM91" i="29"/>
  <c r="BM96" i="29" s="1"/>
  <c r="AN84" i="29"/>
  <c r="BL25" i="29"/>
  <c r="AP17" i="29"/>
  <c r="BH178" i="29"/>
  <c r="BS176" i="29"/>
  <c r="BS178" i="29" s="1"/>
  <c r="AN199" i="29"/>
  <c r="BM170" i="29"/>
  <c r="BM199" i="29" s="1"/>
  <c r="BK160" i="29"/>
  <c r="BK164" i="29" s="1"/>
  <c r="AO160" i="29"/>
  <c r="AF160" i="29"/>
  <c r="AD164" i="29"/>
  <c r="BS166" i="29"/>
  <c r="BS168" i="29" s="1"/>
  <c r="BH168" i="29"/>
  <c r="AW174" i="29"/>
  <c r="BI174" i="29" s="1"/>
  <c r="AF169" i="29"/>
  <c r="AQ146" i="29"/>
  <c r="AW146" i="29" s="1"/>
  <c r="BI146" i="29" s="1"/>
  <c r="BJ188" i="29"/>
  <c r="AS188" i="29"/>
  <c r="BQ188" i="29" s="1"/>
  <c r="AR188" i="29"/>
  <c r="AW179" i="29"/>
  <c r="BM175" i="29"/>
  <c r="AW161" i="29"/>
  <c r="BI161" i="29" s="1"/>
  <c r="AR190" i="29"/>
  <c r="BP190" i="29" s="1"/>
  <c r="AS190" i="29"/>
  <c r="BQ190" i="29" s="1"/>
  <c r="BJ190" i="29"/>
  <c r="AS167" i="29"/>
  <c r="BQ167" i="29" s="1"/>
  <c r="AR167" i="29"/>
  <c r="BP167" i="29" s="1"/>
  <c r="BJ167" i="29"/>
  <c r="AS142" i="29"/>
  <c r="BQ142" i="29" s="1"/>
  <c r="AR142" i="29"/>
  <c r="BP142" i="29" s="1"/>
  <c r="BJ142" i="29"/>
  <c r="BS115" i="29"/>
  <c r="BS120" i="29" s="1"/>
  <c r="BH120" i="29"/>
  <c r="AR172" i="29"/>
  <c r="BP172" i="29" s="1"/>
  <c r="BJ172" i="29"/>
  <c r="AS172" i="29"/>
  <c r="BQ172" i="29" s="1"/>
  <c r="BM155" i="29"/>
  <c r="AQ142" i="29"/>
  <c r="AW142" i="29" s="1"/>
  <c r="BI142" i="29" s="1"/>
  <c r="BL132" i="29"/>
  <c r="BL148" i="29"/>
  <c r="AQ135" i="29"/>
  <c r="BK120" i="29"/>
  <c r="AW130" i="29"/>
  <c r="BI130" i="29" s="1"/>
  <c r="AQ116" i="29"/>
  <c r="AW116" i="29" s="1"/>
  <c r="BI116" i="29" s="1"/>
  <c r="AP121" i="29"/>
  <c r="AP126" i="29" s="1"/>
  <c r="AE126" i="29"/>
  <c r="BL121" i="29"/>
  <c r="BL126" i="29" s="1"/>
  <c r="AN126" i="29"/>
  <c r="AW99" i="29"/>
  <c r="BI99" i="29" s="1"/>
  <c r="AQ137" i="29"/>
  <c r="BL133" i="29"/>
  <c r="BL138" i="29" s="1"/>
  <c r="AP133" i="29"/>
  <c r="AE138" i="29"/>
  <c r="AF133" i="29"/>
  <c r="BS126" i="29"/>
  <c r="AQ112" i="29"/>
  <c r="AW112" i="29" s="1"/>
  <c r="BI112" i="29" s="1"/>
  <c r="AN79" i="29"/>
  <c r="BM76" i="29"/>
  <c r="BM79" i="29" s="1"/>
  <c r="AR49" i="29"/>
  <c r="BJ49" i="29"/>
  <c r="BJ52" i="29" s="1"/>
  <c r="AS49" i="29"/>
  <c r="AF52" i="29"/>
  <c r="AQ93" i="29"/>
  <c r="BL197" i="29"/>
  <c r="BL90" i="29"/>
  <c r="BK90" i="29"/>
  <c r="BJ83" i="29"/>
  <c r="AS83" i="29"/>
  <c r="BQ83" i="29" s="1"/>
  <c r="AR83" i="29"/>
  <c r="BP83" i="29" s="1"/>
  <c r="BJ70" i="29"/>
  <c r="AS70" i="29"/>
  <c r="BQ70" i="29" s="1"/>
  <c r="AR70" i="29"/>
  <c r="BP70" i="29" s="1"/>
  <c r="AQ28" i="29"/>
  <c r="AS29" i="29"/>
  <c r="BQ26" i="29"/>
  <c r="AR100" i="29"/>
  <c r="BP100" i="29" s="1"/>
  <c r="BJ100" i="29"/>
  <c r="AS100" i="29"/>
  <c r="BQ100" i="29" s="1"/>
  <c r="BS91" i="29"/>
  <c r="BS96" i="29" s="1"/>
  <c r="BH96" i="29"/>
  <c r="BH48" i="29"/>
  <c r="BS45" i="29"/>
  <c r="BS48" i="29" s="1"/>
  <c r="AN40" i="29"/>
  <c r="BJ35" i="29"/>
  <c r="AS35" i="29"/>
  <c r="BQ35" i="29" s="1"/>
  <c r="AR35" i="29"/>
  <c r="AO29" i="29"/>
  <c r="AQ26" i="29"/>
  <c r="AN21" i="29"/>
  <c r="BM18" i="29"/>
  <c r="BM21" i="29" s="1"/>
  <c r="BF193" i="29"/>
  <c r="BK205" i="29"/>
  <c r="BK13" i="29"/>
  <c r="AN63" i="29"/>
  <c r="BM60" i="29"/>
  <c r="BM63" i="29" s="1"/>
  <c r="BH197" i="29"/>
  <c r="BU75" i="29"/>
  <c r="BK71" i="29"/>
  <c r="AP67" i="29"/>
  <c r="AO56" i="29"/>
  <c r="AQ53" i="29"/>
  <c r="BL44" i="29"/>
  <c r="BH25" i="29"/>
  <c r="BS22" i="29"/>
  <c r="BS25" i="29" s="1"/>
  <c r="AW19" i="29"/>
  <c r="BI19" i="29" s="1"/>
  <c r="AO202" i="29"/>
  <c r="AQ16" i="29"/>
  <c r="AP203" i="29"/>
  <c r="BK58" i="29"/>
  <c r="BK59" i="29" s="1"/>
  <c r="AO58" i="29"/>
  <c r="AQ58" i="29" s="1"/>
  <c r="AF58" i="29"/>
  <c r="AD59" i="29"/>
  <c r="AS33" i="29"/>
  <c r="AF36" i="29"/>
  <c r="BJ33" i="29"/>
  <c r="BJ36" i="29" s="1"/>
  <c r="AR33" i="29"/>
  <c r="BN196" i="29"/>
  <c r="BH205" i="29"/>
  <c r="BS12" i="29"/>
  <c r="BH13" i="29"/>
  <c r="BP127" i="29"/>
  <c r="AW77" i="29"/>
  <c r="BI77" i="29" s="1"/>
  <c r="BJ65" i="29"/>
  <c r="AS65" i="29"/>
  <c r="BQ65" i="29" s="1"/>
  <c r="AR65" i="29"/>
  <c r="BP65" i="29" s="1"/>
  <c r="AR28" i="29"/>
  <c r="BP28" i="29" s="1"/>
  <c r="BJ28" i="29"/>
  <c r="AS28" i="29"/>
  <c r="BQ28" i="29" s="1"/>
  <c r="AR22" i="29"/>
  <c r="AF25" i="29"/>
  <c r="AS22" i="29"/>
  <c r="BJ22" i="29"/>
  <c r="BJ25" i="29" s="1"/>
  <c r="BT196" i="29"/>
  <c r="BT17" i="29"/>
  <c r="BT205" i="29"/>
  <c r="BT13" i="29"/>
  <c r="AW15" i="29"/>
  <c r="BI15" i="29" s="1"/>
  <c r="AR31" i="29"/>
  <c r="BP31" i="29" s="1"/>
  <c r="AS31" i="29"/>
  <c r="BQ31" i="29" s="1"/>
  <c r="BJ31" i="29"/>
  <c r="BJ70" i="42"/>
  <c r="AS70" i="42"/>
  <c r="AR70" i="42"/>
  <c r="AF76" i="42"/>
  <c r="BG198" i="42"/>
  <c r="BF199" i="42"/>
  <c r="BS193" i="42"/>
  <c r="BN198" i="42"/>
  <c r="BG200" i="42"/>
  <c r="AN179" i="42"/>
  <c r="BM173" i="42"/>
  <c r="BM179" i="42" s="1"/>
  <c r="BK146" i="42"/>
  <c r="BK148" i="42" s="1"/>
  <c r="AO146" i="42"/>
  <c r="AD148" i="42"/>
  <c r="AF146" i="42"/>
  <c r="AS184" i="42"/>
  <c r="BQ184" i="42" s="1"/>
  <c r="BJ184" i="42"/>
  <c r="AR184" i="42"/>
  <c r="BP184" i="42" s="1"/>
  <c r="AS196" i="42"/>
  <c r="BQ196" i="42" s="1"/>
  <c r="BJ196" i="42"/>
  <c r="AR196" i="42"/>
  <c r="BP196" i="42" s="1"/>
  <c r="AP166" i="42"/>
  <c r="BM156" i="42"/>
  <c r="AR170" i="42"/>
  <c r="BP170" i="42" s="1"/>
  <c r="BJ170" i="42"/>
  <c r="AS170" i="42"/>
  <c r="BQ170" i="42" s="1"/>
  <c r="BK113" i="42"/>
  <c r="BK115" i="42" s="1"/>
  <c r="AO113" i="42"/>
  <c r="AD115" i="42"/>
  <c r="AF113" i="42"/>
  <c r="BJ165" i="42"/>
  <c r="AS165" i="42"/>
  <c r="BQ165" i="42" s="1"/>
  <c r="AR165" i="42"/>
  <c r="BP165" i="42" s="1"/>
  <c r="BJ167" i="42"/>
  <c r="AF172" i="42"/>
  <c r="AS167" i="42"/>
  <c r="AR167" i="42"/>
  <c r="BK131" i="42"/>
  <c r="BU131" i="42"/>
  <c r="AD135" i="42"/>
  <c r="BK132" i="42"/>
  <c r="BK135" i="42" s="1"/>
  <c r="AO132" i="42"/>
  <c r="AF132" i="42"/>
  <c r="BL113" i="42"/>
  <c r="BL115" i="42" s="1"/>
  <c r="AP113" i="42"/>
  <c r="AP115" i="42" s="1"/>
  <c r="AE115" i="42"/>
  <c r="BL145" i="42"/>
  <c r="BH115" i="42"/>
  <c r="BN112" i="42"/>
  <c r="AQ94" i="42"/>
  <c r="AW94" i="42" s="1"/>
  <c r="BI94" i="42" s="1"/>
  <c r="BS79" i="42"/>
  <c r="BS85" i="42" s="1"/>
  <c r="BH85" i="42"/>
  <c r="BL126" i="42"/>
  <c r="BL131" i="42" s="1"/>
  <c r="AP126" i="42"/>
  <c r="AP131" i="42" s="1"/>
  <c r="AE131" i="42"/>
  <c r="AR134" i="42"/>
  <c r="BP134" i="42" s="1"/>
  <c r="BJ134" i="42"/>
  <c r="AS134" i="42"/>
  <c r="BQ134" i="42" s="1"/>
  <c r="BJ124" i="42"/>
  <c r="AR124" i="42"/>
  <c r="BP124" i="42" s="1"/>
  <c r="AS124" i="42"/>
  <c r="BQ124" i="42" s="1"/>
  <c r="AS120" i="42"/>
  <c r="BQ120" i="42" s="1"/>
  <c r="AR120" i="42"/>
  <c r="BP120" i="42" s="1"/>
  <c r="BJ120" i="42"/>
  <c r="AQ111" i="42"/>
  <c r="AW111" i="42" s="1"/>
  <c r="BI111" i="42" s="1"/>
  <c r="AQ127" i="42"/>
  <c r="AQ160" i="42"/>
  <c r="AS118" i="42"/>
  <c r="BQ118" i="42" s="1"/>
  <c r="AR118" i="42"/>
  <c r="BP118" i="42" s="1"/>
  <c r="BJ118" i="42"/>
  <c r="BK121" i="42"/>
  <c r="BR211" i="42"/>
  <c r="BR78" i="42"/>
  <c r="BO206" i="42"/>
  <c r="BO64" i="42"/>
  <c r="BM145" i="42"/>
  <c r="BH105" i="42"/>
  <c r="BS100" i="42"/>
  <c r="BS105" i="42" s="1"/>
  <c r="BM66" i="42"/>
  <c r="BM69" i="42" s="1"/>
  <c r="AN69" i="42"/>
  <c r="BJ117" i="42"/>
  <c r="AS117" i="42"/>
  <c r="BQ117" i="42" s="1"/>
  <c r="AR117" i="42"/>
  <c r="BP117" i="42" s="1"/>
  <c r="BL106" i="42"/>
  <c r="BL112" i="42" s="1"/>
  <c r="AP106" i="42"/>
  <c r="AP112" i="42" s="1"/>
  <c r="AE112" i="42"/>
  <c r="BQ79" i="42"/>
  <c r="BJ128" i="42"/>
  <c r="AS128" i="42"/>
  <c r="BQ128" i="42" s="1"/>
  <c r="AR128" i="42"/>
  <c r="BP128" i="42" s="1"/>
  <c r="AS84" i="42"/>
  <c r="BQ84" i="42" s="1"/>
  <c r="AR84" i="42"/>
  <c r="BP84" i="42" s="1"/>
  <c r="BJ84" i="42"/>
  <c r="BO211" i="42"/>
  <c r="BO78" i="42"/>
  <c r="BJ129" i="42"/>
  <c r="AS129" i="42"/>
  <c r="BQ129" i="42" s="1"/>
  <c r="AR129" i="42"/>
  <c r="BP129" i="42" s="1"/>
  <c r="AR92" i="42"/>
  <c r="BP92" i="42" s="1"/>
  <c r="AS92" i="42"/>
  <c r="BQ92" i="42" s="1"/>
  <c r="BJ92" i="42"/>
  <c r="BT211" i="42"/>
  <c r="BT78" i="42"/>
  <c r="BU211" i="42"/>
  <c r="BU78" i="42"/>
  <c r="AO37" i="42"/>
  <c r="AQ34" i="42"/>
  <c r="AQ72" i="42"/>
  <c r="AQ30" i="42"/>
  <c r="AP69" i="42"/>
  <c r="AR54" i="42"/>
  <c r="BP54" i="42" s="1"/>
  <c r="BJ54" i="42"/>
  <c r="AS54" i="42"/>
  <c r="BQ54" i="42" s="1"/>
  <c r="BH204" i="42"/>
  <c r="BH52" i="42"/>
  <c r="BS47" i="42"/>
  <c r="BO212" i="42"/>
  <c r="BO46" i="42"/>
  <c r="AF26" i="42"/>
  <c r="BK26" i="42"/>
  <c r="BK29" i="42" s="1"/>
  <c r="AO26" i="42"/>
  <c r="AD29" i="42"/>
  <c r="AQ19" i="42"/>
  <c r="AQ210" i="42" s="1"/>
  <c r="BH44" i="42"/>
  <c r="BS41" i="42"/>
  <c r="BS44" i="42" s="1"/>
  <c r="AO95" i="42"/>
  <c r="AQ90" i="42"/>
  <c r="BT89" i="42"/>
  <c r="AN44" i="42"/>
  <c r="BM41" i="42"/>
  <c r="BM44" i="42" s="1"/>
  <c r="BJ30" i="42"/>
  <c r="AS30" i="42"/>
  <c r="AR30" i="42"/>
  <c r="AF22" i="42"/>
  <c r="BL22" i="42"/>
  <c r="BL25" i="42" s="1"/>
  <c r="AP22" i="42"/>
  <c r="AP25" i="42" s="1"/>
  <c r="AE25" i="42"/>
  <c r="BO203" i="42"/>
  <c r="BM25" i="42"/>
  <c r="BN29" i="42"/>
  <c r="AN209" i="42"/>
  <c r="BM17" i="42"/>
  <c r="BM209" i="42" s="1"/>
  <c r="BT203" i="42"/>
  <c r="BT21" i="42"/>
  <c r="AW15" i="42"/>
  <c r="BI15" i="42" s="1"/>
  <c r="V202" i="42"/>
  <c r="V199" i="42"/>
  <c r="AG200" i="42" s="1"/>
  <c r="BT185" i="42"/>
  <c r="AN198" i="42"/>
  <c r="BM192" i="42"/>
  <c r="BM198" i="42" s="1"/>
  <c r="BH195" i="42"/>
  <c r="BS195" i="42" s="1"/>
  <c r="AP191" i="42"/>
  <c r="AR181" i="42"/>
  <c r="BP181" i="42" s="1"/>
  <c r="BJ181" i="42"/>
  <c r="AS181" i="42"/>
  <c r="BQ181" i="42" s="1"/>
  <c r="AW143" i="42"/>
  <c r="BI143" i="42" s="1"/>
  <c r="AR176" i="42"/>
  <c r="BP176" i="42" s="1"/>
  <c r="BJ176" i="42"/>
  <c r="AS176" i="42"/>
  <c r="BQ176" i="42" s="1"/>
  <c r="AQ159" i="42"/>
  <c r="AW159" i="42" s="1"/>
  <c r="BI159" i="42" s="1"/>
  <c r="AP185" i="42"/>
  <c r="AQ183" i="42"/>
  <c r="AQ147" i="42"/>
  <c r="AW147" i="42" s="1"/>
  <c r="BI147" i="42" s="1"/>
  <c r="BJ164" i="42"/>
  <c r="AS164" i="42"/>
  <c r="BQ164" i="42" s="1"/>
  <c r="AR164" i="42"/>
  <c r="BP164" i="42" s="1"/>
  <c r="AQ142" i="42"/>
  <c r="AW142" i="42" s="1"/>
  <c r="BI142" i="42" s="1"/>
  <c r="BN145" i="42"/>
  <c r="AO179" i="42"/>
  <c r="AQ173" i="42"/>
  <c r="AO172" i="42"/>
  <c r="AQ167" i="42"/>
  <c r="AS141" i="42"/>
  <c r="BQ141" i="42" s="1"/>
  <c r="BJ141" i="42"/>
  <c r="AR141" i="42"/>
  <c r="BP141" i="42" s="1"/>
  <c r="AQ126" i="42"/>
  <c r="AO131" i="42"/>
  <c r="AW120" i="42"/>
  <c r="BI120" i="42" s="1"/>
  <c r="AN172" i="42"/>
  <c r="BM167" i="42"/>
  <c r="BM172" i="42" s="1"/>
  <c r="BH109" i="42"/>
  <c r="BS109" i="42" s="1"/>
  <c r="BU109" i="42"/>
  <c r="BU112" i="42" s="1"/>
  <c r="BS106" i="42"/>
  <c r="AO138" i="42"/>
  <c r="BG112" i="42"/>
  <c r="AQ134" i="42"/>
  <c r="AW134" i="42" s="1"/>
  <c r="BI134" i="42" s="1"/>
  <c r="AQ124" i="42"/>
  <c r="AW124" i="42" s="1"/>
  <c r="BI124" i="42" s="1"/>
  <c r="BM95" i="42"/>
  <c r="AR158" i="42"/>
  <c r="BP158" i="42" s="1"/>
  <c r="BJ158" i="42"/>
  <c r="AS158" i="42"/>
  <c r="BQ158" i="42" s="1"/>
  <c r="AQ149" i="42"/>
  <c r="AO153" i="42"/>
  <c r="BM116" i="42"/>
  <c r="BM121" i="42" s="1"/>
  <c r="AN121" i="42"/>
  <c r="BK112" i="42"/>
  <c r="BN105" i="42"/>
  <c r="AR152" i="42"/>
  <c r="BP152" i="42" s="1"/>
  <c r="BJ152" i="42"/>
  <c r="AS152" i="42"/>
  <c r="BQ152" i="42" s="1"/>
  <c r="AW117" i="42"/>
  <c r="BI117" i="42" s="1"/>
  <c r="BL105" i="42"/>
  <c r="AE211" i="42"/>
  <c r="BL77" i="42"/>
  <c r="AP77" i="42"/>
  <c r="AE78" i="42"/>
  <c r="AN145" i="42"/>
  <c r="AQ82" i="42"/>
  <c r="AW82" i="42" s="1"/>
  <c r="BI82" i="42" s="1"/>
  <c r="AD211" i="42"/>
  <c r="AD78" i="42"/>
  <c r="BK77" i="42"/>
  <c r="AO77" i="42"/>
  <c r="AF77" i="42"/>
  <c r="BH58" i="42"/>
  <c r="BS53" i="42"/>
  <c r="BS58" i="42" s="1"/>
  <c r="AQ128" i="42"/>
  <c r="AW128" i="42" s="1"/>
  <c r="BI128" i="42" s="1"/>
  <c r="AQ129" i="42"/>
  <c r="AW129" i="42" s="1"/>
  <c r="BI129" i="42" s="1"/>
  <c r="AQ84" i="42"/>
  <c r="AW84" i="42" s="1"/>
  <c r="BI84" i="42" s="1"/>
  <c r="BN211" i="42"/>
  <c r="BN78" i="42"/>
  <c r="BH69" i="42"/>
  <c r="BS65" i="42"/>
  <c r="BS69" i="42" s="1"/>
  <c r="AP99" i="42"/>
  <c r="AQ56" i="42"/>
  <c r="AW56" i="42" s="1"/>
  <c r="BI56" i="42" s="1"/>
  <c r="AQ51" i="42"/>
  <c r="BO210" i="42"/>
  <c r="BO204" i="42"/>
  <c r="BO52" i="42"/>
  <c r="AQ27" i="42"/>
  <c r="AF104" i="42"/>
  <c r="BK104" i="42"/>
  <c r="BK210" i="42" s="1"/>
  <c r="AO104" i="42"/>
  <c r="AQ104" i="42" s="1"/>
  <c r="BL69" i="42"/>
  <c r="BT204" i="42"/>
  <c r="BT52" i="42"/>
  <c r="BH212" i="42"/>
  <c r="BS45" i="42"/>
  <c r="BH46" i="42"/>
  <c r="BS38" i="42"/>
  <c r="BS40" i="42" s="1"/>
  <c r="BH40" i="42"/>
  <c r="AV58" i="42"/>
  <c r="AV199" i="42" s="1"/>
  <c r="BR200" i="42" s="1"/>
  <c r="AQ49" i="42"/>
  <c r="BN212" i="42"/>
  <c r="BN46" i="42"/>
  <c r="AQ67" i="42"/>
  <c r="AW67" i="42" s="1"/>
  <c r="BI67" i="42" s="1"/>
  <c r="AP55" i="42"/>
  <c r="AQ55" i="42" s="1"/>
  <c r="BL55" i="42"/>
  <c r="AF55" i="42"/>
  <c r="AQ36" i="42"/>
  <c r="AW36" i="42" s="1"/>
  <c r="BI36" i="42" s="1"/>
  <c r="BK95" i="42"/>
  <c r="AS71" i="42"/>
  <c r="BQ71" i="42" s="1"/>
  <c r="AR71" i="42"/>
  <c r="BP71" i="42" s="1"/>
  <c r="BJ71" i="42"/>
  <c r="AQ43" i="42"/>
  <c r="AE29" i="42"/>
  <c r="AF28" i="42"/>
  <c r="BL28" i="42"/>
  <c r="BL29" i="42" s="1"/>
  <c r="AP28" i="42"/>
  <c r="BG202" i="42"/>
  <c r="AR38" i="42"/>
  <c r="AF40" i="42"/>
  <c r="BJ38" i="42"/>
  <c r="AS38" i="42"/>
  <c r="BH203" i="42"/>
  <c r="BH21" i="42"/>
  <c r="BS12" i="42"/>
  <c r="BH33" i="42"/>
  <c r="BS17" i="42"/>
  <c r="BN209" i="42"/>
  <c r="W202" i="42"/>
  <c r="AQ35" i="42"/>
  <c r="AN205" i="42"/>
  <c r="BM14" i="42"/>
  <c r="BM205" i="42" s="1"/>
  <c r="AS18" i="42"/>
  <c r="AR18" i="42"/>
  <c r="AW18" i="42" s="1"/>
  <c r="BJ18" i="42"/>
  <c r="AM202" i="42"/>
  <c r="BJ197" i="42"/>
  <c r="AS197" i="42"/>
  <c r="BQ197" i="42" s="1"/>
  <c r="AR197" i="42"/>
  <c r="BP197" i="42" s="1"/>
  <c r="AD191" i="42"/>
  <c r="AF186" i="42"/>
  <c r="BK186" i="42"/>
  <c r="BK191" i="42" s="1"/>
  <c r="AO186" i="42"/>
  <c r="AQ180" i="42"/>
  <c r="AO185" i="42"/>
  <c r="AL199" i="42"/>
  <c r="BJ189" i="42"/>
  <c r="AS189" i="42"/>
  <c r="BQ189" i="42" s="1"/>
  <c r="AR189" i="42"/>
  <c r="BP189" i="42" s="1"/>
  <c r="BL191" i="42"/>
  <c r="AF157" i="42"/>
  <c r="BK157" i="42"/>
  <c r="BK162" i="42" s="1"/>
  <c r="AO157" i="42"/>
  <c r="AD162" i="42"/>
  <c r="AQ196" i="42"/>
  <c r="AW196" i="42" s="1"/>
  <c r="BI196" i="42" s="1"/>
  <c r="AR183" i="42"/>
  <c r="BP183" i="42" s="1"/>
  <c r="BJ183" i="42"/>
  <c r="AS183" i="42"/>
  <c r="BQ183" i="42" s="1"/>
  <c r="AP172" i="42"/>
  <c r="AW164" i="42"/>
  <c r="BI164" i="42" s="1"/>
  <c r="BL136" i="42"/>
  <c r="BL138" i="42" s="1"/>
  <c r="AP136" i="42"/>
  <c r="AP138" i="42" s="1"/>
  <c r="AE138" i="42"/>
  <c r="AE199" i="42" s="1"/>
  <c r="BL200" i="42" s="1"/>
  <c r="AF179" i="42"/>
  <c r="AR173" i="42"/>
  <c r="BJ173" i="42"/>
  <c r="AS173" i="42"/>
  <c r="AN166" i="42"/>
  <c r="BM163" i="42"/>
  <c r="BM166" i="42" s="1"/>
  <c r="AF131" i="42"/>
  <c r="AS126" i="42"/>
  <c r="AR126" i="42"/>
  <c r="BJ126" i="42"/>
  <c r="AN115" i="42"/>
  <c r="BM113" i="42"/>
  <c r="BM115" i="42" s="1"/>
  <c r="BJ137" i="42"/>
  <c r="AS137" i="42"/>
  <c r="BQ137" i="42" s="1"/>
  <c r="AR137" i="42"/>
  <c r="BP137" i="42" s="1"/>
  <c r="BJ110" i="42"/>
  <c r="AS110" i="42"/>
  <c r="BQ110" i="42" s="1"/>
  <c r="AR110" i="42"/>
  <c r="BP110" i="42" s="1"/>
  <c r="AF112" i="42"/>
  <c r="AR106" i="42"/>
  <c r="AS106" i="42"/>
  <c r="BJ106" i="42"/>
  <c r="AS174" i="42"/>
  <c r="BQ174" i="42" s="1"/>
  <c r="BJ174" i="42"/>
  <c r="AR174" i="42"/>
  <c r="BP174" i="42" s="1"/>
  <c r="BJ108" i="42"/>
  <c r="AS108" i="42"/>
  <c r="BQ108" i="42" s="1"/>
  <c r="AR108" i="42"/>
  <c r="BP108" i="42" s="1"/>
  <c r="AO112" i="42"/>
  <c r="AQ106" i="42"/>
  <c r="BS157" i="42"/>
  <c r="BS162" i="42" s="1"/>
  <c r="BH162" i="42"/>
  <c r="AO89" i="42"/>
  <c r="AQ86" i="42"/>
  <c r="AR91" i="42"/>
  <c r="BP91" i="42" s="1"/>
  <c r="AS91" i="42"/>
  <c r="BQ91" i="42" s="1"/>
  <c r="BJ91" i="42"/>
  <c r="AF89" i="42"/>
  <c r="BJ86" i="42"/>
  <c r="AS86" i="42"/>
  <c r="AR86" i="42"/>
  <c r="BT206" i="42"/>
  <c r="BT64" i="42"/>
  <c r="AQ155" i="42"/>
  <c r="AS130" i="42"/>
  <c r="BQ130" i="42" s="1"/>
  <c r="AR130" i="42"/>
  <c r="BP130" i="42" s="1"/>
  <c r="BJ130" i="42"/>
  <c r="BS90" i="42"/>
  <c r="BS95" i="42" s="1"/>
  <c r="BH95" i="42"/>
  <c r="BP79" i="42"/>
  <c r="AP85" i="42"/>
  <c r="AR88" i="42"/>
  <c r="BP88" i="42" s="1"/>
  <c r="AS88" i="42"/>
  <c r="BQ88" i="42" s="1"/>
  <c r="BJ88" i="42"/>
  <c r="BK85" i="42"/>
  <c r="BH211" i="42"/>
  <c r="BH78" i="42"/>
  <c r="BS77" i="42"/>
  <c r="BK53" i="42"/>
  <c r="BK58" i="42" s="1"/>
  <c r="AO53" i="42"/>
  <c r="AD58" i="42"/>
  <c r="AF53" i="42"/>
  <c r="BR206" i="42"/>
  <c r="BR64" i="42"/>
  <c r="AR72" i="42"/>
  <c r="BP72" i="42" s="1"/>
  <c r="BJ72" i="42"/>
  <c r="AS72" i="42"/>
  <c r="BQ72" i="42" s="1"/>
  <c r="AP29" i="42"/>
  <c r="BN210" i="42"/>
  <c r="AE212" i="42"/>
  <c r="AE46" i="42"/>
  <c r="AP45" i="42"/>
  <c r="BL45" i="42"/>
  <c r="AO69" i="42"/>
  <c r="AQ65" i="42"/>
  <c r="AN204" i="42"/>
  <c r="AN52" i="42"/>
  <c r="BM47" i="42"/>
  <c r="AF45" i="42"/>
  <c r="BM38" i="42"/>
  <c r="BM40" i="42" s="1"/>
  <c r="AN40" i="42"/>
  <c r="BT212" i="42"/>
  <c r="BT46" i="42"/>
  <c r="AQ41" i="42"/>
  <c r="AO44" i="42"/>
  <c r="BT85" i="42"/>
  <c r="BM58" i="42"/>
  <c r="BJ27" i="42"/>
  <c r="AS27" i="42"/>
  <c r="BQ27" i="42" s="1"/>
  <c r="AR27" i="42"/>
  <c r="BP27" i="42" s="1"/>
  <c r="AL202" i="42"/>
  <c r="AN201" i="42" s="1"/>
  <c r="AE203" i="42"/>
  <c r="AE202" i="42" s="1"/>
  <c r="AE21" i="42"/>
  <c r="AP12" i="42"/>
  <c r="BL12" i="42"/>
  <c r="BT209" i="42"/>
  <c r="BO205" i="42"/>
  <c r="BF202" i="42"/>
  <c r="BH201" i="42" s="1"/>
  <c r="BL52" i="42"/>
  <c r="BU204" i="42"/>
  <c r="AD210" i="42"/>
  <c r="BJ13" i="42"/>
  <c r="AS13" i="42"/>
  <c r="BQ13" i="42" s="1"/>
  <c r="AR13" i="42"/>
  <c r="BP13" i="42" s="1"/>
  <c r="AS180" i="42"/>
  <c r="AF185" i="42"/>
  <c r="AR180" i="42"/>
  <c r="BJ180" i="42"/>
  <c r="BJ185" i="42" s="1"/>
  <c r="AS193" i="42"/>
  <c r="BQ193" i="42" s="1"/>
  <c r="BJ193" i="42"/>
  <c r="AR193" i="42"/>
  <c r="BP193" i="42" s="1"/>
  <c r="AR188" i="42"/>
  <c r="BP188" i="42" s="1"/>
  <c r="AS188" i="42"/>
  <c r="BQ188" i="42" s="1"/>
  <c r="BJ188" i="42"/>
  <c r="BH191" i="42"/>
  <c r="BS186" i="42"/>
  <c r="BS191" i="42" s="1"/>
  <c r="AS182" i="42"/>
  <c r="BQ182" i="42" s="1"/>
  <c r="BJ182" i="42"/>
  <c r="AR182" i="42"/>
  <c r="BP182" i="42" s="1"/>
  <c r="BO179" i="42"/>
  <c r="BO199" i="42" s="1"/>
  <c r="AR175" i="42"/>
  <c r="BP175" i="42" s="1"/>
  <c r="BJ175" i="42"/>
  <c r="AS175" i="42"/>
  <c r="BQ175" i="42" s="1"/>
  <c r="BL172" i="42"/>
  <c r="BK179" i="42"/>
  <c r="AW165" i="42"/>
  <c r="BI165" i="42" s="1"/>
  <c r="AS139" i="42"/>
  <c r="AR139" i="42"/>
  <c r="AW139" i="42" s="1"/>
  <c r="AF145" i="42"/>
  <c r="BJ139" i="42"/>
  <c r="BJ177" i="42"/>
  <c r="AS177" i="42"/>
  <c r="BQ177" i="42" s="1"/>
  <c r="AR177" i="42"/>
  <c r="BP177" i="42" s="1"/>
  <c r="BL132" i="42"/>
  <c r="BL135" i="42" s="1"/>
  <c r="AP132" i="42"/>
  <c r="AP135" i="42" s="1"/>
  <c r="AE135" i="42"/>
  <c r="BS136" i="42"/>
  <c r="BS138" i="42" s="1"/>
  <c r="BH138" i="42"/>
  <c r="BS126" i="42"/>
  <c r="BS131" i="42" s="1"/>
  <c r="BH131" i="42"/>
  <c r="AR122" i="42"/>
  <c r="AF125" i="42"/>
  <c r="BJ122" i="42"/>
  <c r="BJ125" i="42" s="1"/>
  <c r="AS122" i="42"/>
  <c r="AQ110" i="42"/>
  <c r="AW110" i="42" s="1"/>
  <c r="BI110" i="42" s="1"/>
  <c r="AW133" i="42"/>
  <c r="BI133" i="42" s="1"/>
  <c r="BJ116" i="42"/>
  <c r="AS116" i="42"/>
  <c r="AF121" i="42"/>
  <c r="AR116" i="42"/>
  <c r="BS71" i="42"/>
  <c r="BS76" i="42" s="1"/>
  <c r="BH76" i="42"/>
  <c r="BN206" i="42"/>
  <c r="BN64" i="42"/>
  <c r="AQ107" i="42"/>
  <c r="BH99" i="42"/>
  <c r="BS97" i="42"/>
  <c r="BS99" i="42" s="1"/>
  <c r="AS87" i="42"/>
  <c r="BQ87" i="42" s="1"/>
  <c r="AR87" i="42"/>
  <c r="BP87" i="42" s="1"/>
  <c r="BJ87" i="42"/>
  <c r="BL85" i="42"/>
  <c r="AP162" i="42"/>
  <c r="AQ87" i="42"/>
  <c r="AQ79" i="42"/>
  <c r="AO85" i="42"/>
  <c r="BJ63" i="42"/>
  <c r="AS63" i="42"/>
  <c r="BQ63" i="42" s="1"/>
  <c r="AR63" i="42"/>
  <c r="BP63" i="42" s="1"/>
  <c r="AQ28" i="42"/>
  <c r="BH210" i="42"/>
  <c r="BM64" i="42"/>
  <c r="BK69" i="42"/>
  <c r="AE58" i="42"/>
  <c r="BL53" i="42"/>
  <c r="AP53" i="42"/>
  <c r="AP58" i="42" s="1"/>
  <c r="BJ101" i="42"/>
  <c r="AS101" i="42"/>
  <c r="BQ101" i="42" s="1"/>
  <c r="AR101" i="42"/>
  <c r="BP101" i="42" s="1"/>
  <c r="AS90" i="42"/>
  <c r="AR90" i="42"/>
  <c r="AF95" i="42"/>
  <c r="BJ90" i="42"/>
  <c r="BJ95" i="42" s="1"/>
  <c r="AN58" i="42"/>
  <c r="AP37" i="42"/>
  <c r="AP205" i="42"/>
  <c r="BN21" i="42"/>
  <c r="BJ35" i="42"/>
  <c r="AS35" i="42"/>
  <c r="BQ35" i="42" s="1"/>
  <c r="AR35" i="42"/>
  <c r="BP35" i="42" s="1"/>
  <c r="BO209" i="42"/>
  <c r="AR16" i="42"/>
  <c r="BP16" i="42" s="1"/>
  <c r="AS16" i="42"/>
  <c r="BQ16" i="42" s="1"/>
  <c r="BJ16" i="42"/>
  <c r="AQ13" i="42"/>
  <c r="BJ192" i="42"/>
  <c r="AR192" i="42"/>
  <c r="AW192" i="42" s="1"/>
  <c r="AS192" i="42"/>
  <c r="BM186" i="42"/>
  <c r="BM191" i="42" s="1"/>
  <c r="AN191" i="42"/>
  <c r="AR194" i="42"/>
  <c r="BP194" i="42" s="1"/>
  <c r="AS194" i="42"/>
  <c r="BQ194" i="42" s="1"/>
  <c r="BJ194" i="42"/>
  <c r="AV200" i="42"/>
  <c r="AQ190" i="42"/>
  <c r="BL179" i="42"/>
  <c r="AM199" i="42"/>
  <c r="BO200" i="42" s="1"/>
  <c r="BT191" i="42"/>
  <c r="BT199" i="42" s="1"/>
  <c r="BH179" i="42"/>
  <c r="BS173" i="42"/>
  <c r="BS179" i="42" s="1"/>
  <c r="AD156" i="42"/>
  <c r="AF154" i="42"/>
  <c r="BK154" i="42"/>
  <c r="BK156" i="42" s="1"/>
  <c r="AO154" i="42"/>
  <c r="BH153" i="42"/>
  <c r="BS149" i="42"/>
  <c r="BS153" i="42" s="1"/>
  <c r="BH125" i="42"/>
  <c r="BS122" i="42"/>
  <c r="BS125" i="42" s="1"/>
  <c r="BH156" i="42"/>
  <c r="BS154" i="42"/>
  <c r="BS156" i="42" s="1"/>
  <c r="AQ123" i="42"/>
  <c r="AW123" i="42" s="1"/>
  <c r="BI123" i="42" s="1"/>
  <c r="BN131" i="42"/>
  <c r="BM122" i="42"/>
  <c r="BM125" i="42" s="1"/>
  <c r="AN125" i="42"/>
  <c r="AR178" i="42"/>
  <c r="BP178" i="42" s="1"/>
  <c r="AS178" i="42"/>
  <c r="BQ178" i="42" s="1"/>
  <c r="BJ178" i="42"/>
  <c r="BN162" i="42"/>
  <c r="AE121" i="42"/>
  <c r="BL116" i="42"/>
  <c r="BL121" i="42" s="1"/>
  <c r="AP116" i="42"/>
  <c r="AP121" i="42" s="1"/>
  <c r="BH135" i="42"/>
  <c r="BS132" i="42"/>
  <c r="BS135" i="42" s="1"/>
  <c r="BJ114" i="42"/>
  <c r="AS114" i="42"/>
  <c r="BQ114" i="42" s="1"/>
  <c r="AR114" i="42"/>
  <c r="BP114" i="42" s="1"/>
  <c r="AO105" i="42"/>
  <c r="AQ100" i="42"/>
  <c r="AF136" i="42"/>
  <c r="BK96" i="42"/>
  <c r="BK99" i="42" s="1"/>
  <c r="AO96" i="42"/>
  <c r="AF96" i="42"/>
  <c r="AD99" i="42"/>
  <c r="AQ140" i="42"/>
  <c r="BS185" i="42"/>
  <c r="AF151" i="42"/>
  <c r="AF210" i="42" s="1"/>
  <c r="BL151" i="42"/>
  <c r="BL210" i="42" s="1"/>
  <c r="AP151" i="42"/>
  <c r="AQ151" i="42" s="1"/>
  <c r="BS121" i="42"/>
  <c r="AW118" i="42"/>
  <c r="BI118" i="42" s="1"/>
  <c r="BM136" i="42"/>
  <c r="BM138" i="42" s="1"/>
  <c r="AN138" i="42"/>
  <c r="BP100" i="42"/>
  <c r="BJ93" i="42"/>
  <c r="AS93" i="42"/>
  <c r="BQ93" i="42" s="1"/>
  <c r="AR93" i="42"/>
  <c r="BP93" i="42" s="1"/>
  <c r="BH206" i="42"/>
  <c r="BS59" i="42"/>
  <c r="BH64" i="42"/>
  <c r="AR155" i="42"/>
  <c r="BP155" i="42" s="1"/>
  <c r="BJ155" i="42"/>
  <c r="AS155" i="42"/>
  <c r="BQ155" i="42" s="1"/>
  <c r="AQ119" i="42"/>
  <c r="AW119" i="42" s="1"/>
  <c r="BI119" i="42" s="1"/>
  <c r="BL162" i="42"/>
  <c r="BM112" i="42"/>
  <c r="AQ92" i="42"/>
  <c r="AW92" i="42" s="1"/>
  <c r="BI92" i="42" s="1"/>
  <c r="AD206" i="42"/>
  <c r="BK59" i="42"/>
  <c r="AO59" i="42"/>
  <c r="AD64" i="42"/>
  <c r="AF59" i="42"/>
  <c r="BN204" i="42"/>
  <c r="BN202" i="42" s="1"/>
  <c r="BN52" i="42"/>
  <c r="AN85" i="42"/>
  <c r="BJ75" i="42"/>
  <c r="AS75" i="42"/>
  <c r="BQ75" i="42" s="1"/>
  <c r="AR75" i="42"/>
  <c r="BP75" i="42" s="1"/>
  <c r="AE206" i="42"/>
  <c r="BL59" i="42"/>
  <c r="AP59" i="42"/>
  <c r="AE64" i="42"/>
  <c r="AE209" i="42"/>
  <c r="AP17" i="42"/>
  <c r="BL17" i="42"/>
  <c r="BL88" i="42"/>
  <c r="BL89" i="42" s="1"/>
  <c r="AP88" i="42"/>
  <c r="AQ88" i="42" s="1"/>
  <c r="AW88" i="42" s="1"/>
  <c r="BI88" i="42" s="1"/>
  <c r="BP65" i="42"/>
  <c r="AR60" i="42"/>
  <c r="BP60" i="42" s="1"/>
  <c r="BJ60" i="42"/>
  <c r="AS60" i="42"/>
  <c r="BQ60" i="42" s="1"/>
  <c r="AR48" i="42"/>
  <c r="BP48" i="42" s="1"/>
  <c r="BJ48" i="42"/>
  <c r="AS48" i="42"/>
  <c r="BQ48" i="42" s="1"/>
  <c r="AP52" i="42"/>
  <c r="AQ24" i="42"/>
  <c r="AN64" i="42"/>
  <c r="AW54" i="42"/>
  <c r="BI54" i="42" s="1"/>
  <c r="AD204" i="42"/>
  <c r="AD202" i="42" s="1"/>
  <c r="AF201" i="42" s="1"/>
  <c r="AF47" i="42"/>
  <c r="AO47" i="42"/>
  <c r="BK47" i="42"/>
  <c r="AD52" i="42"/>
  <c r="AQ42" i="42"/>
  <c r="AW42" i="42" s="1"/>
  <c r="BI42" i="42" s="1"/>
  <c r="BJ81" i="42"/>
  <c r="AR81" i="42"/>
  <c r="BP81" i="42" s="1"/>
  <c r="AS81" i="42"/>
  <c r="BQ81" i="42" s="1"/>
  <c r="BJ66" i="42"/>
  <c r="BJ69" i="42" s="1"/>
  <c r="AS66" i="42"/>
  <c r="BQ66" i="42" s="1"/>
  <c r="AR66" i="42"/>
  <c r="BP66" i="42" s="1"/>
  <c r="BM26" i="42"/>
  <c r="BM29" i="42" s="1"/>
  <c r="AN29" i="42"/>
  <c r="BM76" i="42"/>
  <c r="AR57" i="42"/>
  <c r="BP57" i="42" s="1"/>
  <c r="BJ57" i="42"/>
  <c r="AS57" i="42"/>
  <c r="BQ57" i="42" s="1"/>
  <c r="AR51" i="42"/>
  <c r="BP51" i="42" s="1"/>
  <c r="BJ51" i="42"/>
  <c r="AS51" i="42"/>
  <c r="BQ51" i="42" s="1"/>
  <c r="BR212" i="42"/>
  <c r="BR46" i="42"/>
  <c r="AF32" i="42"/>
  <c r="AF33" i="42" s="1"/>
  <c r="AD33" i="42"/>
  <c r="BK32" i="42"/>
  <c r="BK33" i="42" s="1"/>
  <c r="AO32" i="42"/>
  <c r="AQ32" i="42" s="1"/>
  <c r="BS26" i="42"/>
  <c r="BS29" i="42" s="1"/>
  <c r="BH29" i="42"/>
  <c r="AD25" i="42"/>
  <c r="AF23" i="42"/>
  <c r="BK23" i="42"/>
  <c r="BK25" i="42" s="1"/>
  <c r="AO23" i="42"/>
  <c r="AQ23" i="42" s="1"/>
  <c r="AR19" i="42"/>
  <c r="BP19" i="42" s="1"/>
  <c r="AS19" i="42"/>
  <c r="BQ19" i="42" s="1"/>
  <c r="BJ19" i="42"/>
  <c r="BH205" i="42"/>
  <c r="BS14" i="42"/>
  <c r="BS205" i="42" s="1"/>
  <c r="BJ20" i="42"/>
  <c r="AR20" i="42"/>
  <c r="BP20" i="42" s="1"/>
  <c r="AS20" i="42"/>
  <c r="BQ20" i="42" s="1"/>
  <c r="AD205" i="42"/>
  <c r="BK14" i="42"/>
  <c r="BK205" i="42" s="1"/>
  <c r="AO14" i="42"/>
  <c r="AF14" i="42"/>
  <c r="BJ31" i="42"/>
  <c r="AS31" i="42"/>
  <c r="BQ31" i="42" s="1"/>
  <c r="AR31" i="42"/>
  <c r="BP31" i="42" s="1"/>
  <c r="BT205" i="42"/>
  <c r="AN37" i="42"/>
  <c r="AV209" i="42"/>
  <c r="AV202" i="42" s="1"/>
  <c r="BR203" i="42"/>
  <c r="AQ39" i="42"/>
  <c r="BS25" i="42"/>
  <c r="BU205" i="42"/>
  <c r="AS190" i="42"/>
  <c r="BQ190" i="42" s="1"/>
  <c r="AR190" i="42"/>
  <c r="BP190" i="42" s="1"/>
  <c r="BJ190" i="42"/>
  <c r="AP195" i="42"/>
  <c r="AQ195" i="42" s="1"/>
  <c r="BL195" i="42"/>
  <c r="BL198" i="42" s="1"/>
  <c r="BF200" i="42"/>
  <c r="AS171" i="42"/>
  <c r="BQ171" i="42" s="1"/>
  <c r="BJ171" i="42"/>
  <c r="AR171" i="42"/>
  <c r="BP171" i="42" s="1"/>
  <c r="AP198" i="42"/>
  <c r="BT179" i="42"/>
  <c r="BH166" i="42"/>
  <c r="BS163" i="42"/>
  <c r="BS166" i="42" s="1"/>
  <c r="AW184" i="42"/>
  <c r="BI184" i="42" s="1"/>
  <c r="AF195" i="42"/>
  <c r="AF198" i="42" s="1"/>
  <c r="AN156" i="42"/>
  <c r="AN185" i="42"/>
  <c r="BM180" i="42"/>
  <c r="BM185" i="42" s="1"/>
  <c r="AW170" i="42"/>
  <c r="BI170" i="42" s="1"/>
  <c r="AN153" i="42"/>
  <c r="BM149" i="42"/>
  <c r="BM153" i="42" s="1"/>
  <c r="BS139" i="42"/>
  <c r="BS145" i="42" s="1"/>
  <c r="BH145" i="42"/>
  <c r="BJ161" i="42"/>
  <c r="AS161" i="42"/>
  <c r="BQ161" i="42" s="1"/>
  <c r="AR161" i="42"/>
  <c r="BP161" i="42" s="1"/>
  <c r="AQ175" i="42"/>
  <c r="AW175" i="42" s="1"/>
  <c r="BI175" i="42" s="1"/>
  <c r="AQ141" i="42"/>
  <c r="AW141" i="42" s="1"/>
  <c r="BI141" i="42" s="1"/>
  <c r="AP125" i="42"/>
  <c r="BH172" i="42"/>
  <c r="BS167" i="42"/>
  <c r="BS172" i="42" s="1"/>
  <c r="AN148" i="42"/>
  <c r="BM146" i="42"/>
  <c r="BM148" i="42" s="1"/>
  <c r="BK163" i="42"/>
  <c r="BK166" i="42" s="1"/>
  <c r="AO163" i="42"/>
  <c r="AD166" i="42"/>
  <c r="AD199" i="42" s="1"/>
  <c r="AF163" i="42"/>
  <c r="BS115" i="42"/>
  <c r="BK138" i="42"/>
  <c r="AR109" i="42"/>
  <c r="BP109" i="42" s="1"/>
  <c r="BJ109" i="42"/>
  <c r="AS109" i="42"/>
  <c r="BQ109" i="42" s="1"/>
  <c r="AR140" i="42"/>
  <c r="BP140" i="42" s="1"/>
  <c r="BJ140" i="42"/>
  <c r="AS140" i="42"/>
  <c r="BQ140" i="42" s="1"/>
  <c r="BH185" i="42"/>
  <c r="BJ149" i="42"/>
  <c r="AS149" i="42"/>
  <c r="AR149" i="42"/>
  <c r="BJ127" i="42"/>
  <c r="AR127" i="42"/>
  <c r="BP127" i="42" s="1"/>
  <c r="AS127" i="42"/>
  <c r="BQ127" i="42" s="1"/>
  <c r="BH121" i="42"/>
  <c r="BJ160" i="42"/>
  <c r="AR160" i="42"/>
  <c r="BP160" i="42" s="1"/>
  <c r="AS160" i="42"/>
  <c r="BQ160" i="42" s="1"/>
  <c r="AQ152" i="42"/>
  <c r="AW152" i="42" s="1"/>
  <c r="BI152" i="42" s="1"/>
  <c r="AO121" i="42"/>
  <c r="AQ116" i="42"/>
  <c r="AQ108" i="42"/>
  <c r="AW108" i="42" s="1"/>
  <c r="BI108" i="42" s="1"/>
  <c r="BK105" i="42"/>
  <c r="BU206" i="42"/>
  <c r="BU64" i="42"/>
  <c r="AS169" i="42"/>
  <c r="BQ169" i="42" s="1"/>
  <c r="AR169" i="42"/>
  <c r="BP169" i="42" s="1"/>
  <c r="BJ169" i="42"/>
  <c r="AW102" i="42"/>
  <c r="BI102" i="42" s="1"/>
  <c r="BQ100" i="42"/>
  <c r="AR80" i="42"/>
  <c r="BP80" i="42" s="1"/>
  <c r="AS80" i="42"/>
  <c r="BQ80" i="42" s="1"/>
  <c r="BJ80" i="42"/>
  <c r="BJ85" i="42" s="1"/>
  <c r="AR119" i="42"/>
  <c r="BP119" i="42" s="1"/>
  <c r="BJ119" i="42"/>
  <c r="AS119" i="42"/>
  <c r="BQ119" i="42" s="1"/>
  <c r="BJ107" i="42"/>
  <c r="AR107" i="42"/>
  <c r="BP107" i="42" s="1"/>
  <c r="AS107" i="42"/>
  <c r="BQ107" i="42" s="1"/>
  <c r="AN99" i="42"/>
  <c r="BM96" i="42"/>
  <c r="BM99" i="42" s="1"/>
  <c r="AE76" i="42"/>
  <c r="BL70" i="42"/>
  <c r="BL76" i="42" s="1"/>
  <c r="AP70" i="42"/>
  <c r="BM85" i="42"/>
  <c r="AW75" i="42"/>
  <c r="BI75" i="42" s="1"/>
  <c r="BJ49" i="42"/>
  <c r="AS49" i="42"/>
  <c r="BQ49" i="42" s="1"/>
  <c r="AR49" i="42"/>
  <c r="BP49" i="42" s="1"/>
  <c r="AS68" i="42"/>
  <c r="BQ68" i="42" s="1"/>
  <c r="AR68" i="42"/>
  <c r="BP68" i="42" s="1"/>
  <c r="BJ68" i="42"/>
  <c r="BQ65" i="42"/>
  <c r="AW48" i="42"/>
  <c r="BI48" i="42" s="1"/>
  <c r="AN206" i="42"/>
  <c r="AR41" i="42"/>
  <c r="AF44" i="42"/>
  <c r="BJ41" i="42"/>
  <c r="AS41" i="42"/>
  <c r="AN33" i="42"/>
  <c r="BM30" i="42"/>
  <c r="BM33" i="42" s="1"/>
  <c r="AQ81" i="42"/>
  <c r="AW81" i="42" s="1"/>
  <c r="BI81" i="42" s="1"/>
  <c r="AW66" i="42"/>
  <c r="BI66" i="42" s="1"/>
  <c r="BJ43" i="42"/>
  <c r="AS43" i="42"/>
  <c r="BQ43" i="42" s="1"/>
  <c r="AR43" i="42"/>
  <c r="BP43" i="42" s="1"/>
  <c r="BH37" i="42"/>
  <c r="BS34" i="42"/>
  <c r="BS37" i="42" s="1"/>
  <c r="AQ22" i="42"/>
  <c r="AE210" i="42"/>
  <c r="AN76" i="42"/>
  <c r="BR204" i="42"/>
  <c r="BR52" i="42"/>
  <c r="BR199" i="42" s="1"/>
  <c r="BH89" i="42"/>
  <c r="BS86" i="42"/>
  <c r="BS89" i="42" s="1"/>
  <c r="AQ71" i="42"/>
  <c r="AW71" i="42" s="1"/>
  <c r="BI71" i="42" s="1"/>
  <c r="AN212" i="42"/>
  <c r="BM45" i="42"/>
  <c r="AN46" i="42"/>
  <c r="BL44" i="42"/>
  <c r="BS33" i="42"/>
  <c r="BJ24" i="42"/>
  <c r="AS24" i="42"/>
  <c r="BQ24" i="42" s="1"/>
  <c r="AR24" i="42"/>
  <c r="BP24" i="42" s="1"/>
  <c r="AN210" i="42"/>
  <c r="BM18" i="42"/>
  <c r="BM210" i="42" s="1"/>
  <c r="AQ38" i="42"/>
  <c r="AO40" i="42"/>
  <c r="AF37" i="42"/>
  <c r="BJ34" i="42"/>
  <c r="BJ37" i="42" s="1"/>
  <c r="AS34" i="42"/>
  <c r="AR34" i="42"/>
  <c r="AF12" i="42"/>
  <c r="AD209" i="42"/>
  <c r="BK17" i="42"/>
  <c r="BK209" i="42" s="1"/>
  <c r="AF17" i="42"/>
  <c r="AO17" i="42"/>
  <c r="BJ39" i="42"/>
  <c r="AS39" i="42"/>
  <c r="BQ39" i="42" s="1"/>
  <c r="AR39" i="42"/>
  <c r="BP39" i="42" s="1"/>
  <c r="AN203" i="42"/>
  <c r="AN202" i="42" s="1"/>
  <c r="AR94" i="41"/>
  <c r="AF97" i="41"/>
  <c r="BJ94" i="41"/>
  <c r="AS94" i="41"/>
  <c r="AS85" i="41"/>
  <c r="BQ85" i="41" s="1"/>
  <c r="BJ85" i="41"/>
  <c r="AR85" i="41"/>
  <c r="BP85" i="41" s="1"/>
  <c r="AS35" i="41"/>
  <c r="BQ35" i="41" s="1"/>
  <c r="AR35" i="41"/>
  <c r="BP35" i="41" s="1"/>
  <c r="BJ35" i="41"/>
  <c r="AE138" i="41"/>
  <c r="AR122" i="41"/>
  <c r="BP122" i="41" s="1"/>
  <c r="AS122" i="41"/>
  <c r="BQ122" i="41" s="1"/>
  <c r="BJ122" i="41"/>
  <c r="AW90" i="41"/>
  <c r="BI90" i="41" s="1"/>
  <c r="BK125" i="41"/>
  <c r="BK130" i="41" s="1"/>
  <c r="AO125" i="41"/>
  <c r="AD130" i="41"/>
  <c r="AF125" i="41"/>
  <c r="AN130" i="41"/>
  <c r="BJ123" i="41"/>
  <c r="AS123" i="41"/>
  <c r="BQ123" i="41" s="1"/>
  <c r="AR123" i="41"/>
  <c r="BP123" i="41" s="1"/>
  <c r="BJ76" i="41"/>
  <c r="AS76" i="41"/>
  <c r="BQ76" i="41" s="1"/>
  <c r="AR76" i="41"/>
  <c r="BP76" i="41" s="1"/>
  <c r="BM145" i="41"/>
  <c r="BP30" i="41"/>
  <c r="BJ126" i="41"/>
  <c r="AS126" i="41"/>
  <c r="BQ126" i="41" s="1"/>
  <c r="AR126" i="41"/>
  <c r="BP126" i="41" s="1"/>
  <c r="AS118" i="41"/>
  <c r="BQ118" i="41" s="1"/>
  <c r="BJ118" i="41"/>
  <c r="AR118" i="41"/>
  <c r="BP118" i="41" s="1"/>
  <c r="AW133" i="41"/>
  <c r="BI133" i="41" s="1"/>
  <c r="BJ129" i="41"/>
  <c r="AS129" i="41"/>
  <c r="BQ129" i="41" s="1"/>
  <c r="AR129" i="41"/>
  <c r="AR119" i="41"/>
  <c r="BP119" i="41" s="1"/>
  <c r="AS119" i="41"/>
  <c r="BQ119" i="41" s="1"/>
  <c r="BJ119" i="41"/>
  <c r="BH112" i="41"/>
  <c r="AW119" i="41"/>
  <c r="BI119" i="41" s="1"/>
  <c r="BL130" i="41"/>
  <c r="AS114" i="41"/>
  <c r="BQ114" i="41" s="1"/>
  <c r="AR114" i="41"/>
  <c r="BP114" i="41" s="1"/>
  <c r="BJ114" i="41"/>
  <c r="BH120" i="41"/>
  <c r="BS113" i="41"/>
  <c r="BS120" i="41" s="1"/>
  <c r="AN87" i="41"/>
  <c r="BM84" i="41"/>
  <c r="BM87" i="41" s="1"/>
  <c r="BK98" i="41"/>
  <c r="AO98" i="41"/>
  <c r="AF98" i="41"/>
  <c r="AD105" i="41"/>
  <c r="BL93" i="41"/>
  <c r="AR75" i="41"/>
  <c r="BP75" i="41" s="1"/>
  <c r="AS75" i="41"/>
  <c r="BQ75" i="41" s="1"/>
  <c r="BJ75" i="41"/>
  <c r="AP72" i="41"/>
  <c r="AQ110" i="41"/>
  <c r="AQ89" i="41"/>
  <c r="AW89" i="41" s="1"/>
  <c r="BI89" i="41" s="1"/>
  <c r="BL62" i="41"/>
  <c r="BL65" i="41" s="1"/>
  <c r="AP62" i="41"/>
  <c r="AE65" i="41"/>
  <c r="AN83" i="41"/>
  <c r="BM80" i="41"/>
  <c r="BM83" i="41" s="1"/>
  <c r="BK106" i="41"/>
  <c r="BK112" i="41" s="1"/>
  <c r="AO106" i="41"/>
  <c r="AF106" i="41"/>
  <c r="AD112" i="41"/>
  <c r="AR101" i="41"/>
  <c r="BP101" i="41" s="1"/>
  <c r="BJ101" i="41"/>
  <c r="AS101" i="41"/>
  <c r="BQ101" i="41" s="1"/>
  <c r="BN97" i="41"/>
  <c r="AF84" i="41"/>
  <c r="AO84" i="41"/>
  <c r="BK84" i="41"/>
  <c r="BK87" i="41" s="1"/>
  <c r="AD87" i="41"/>
  <c r="AN50" i="41"/>
  <c r="AR32" i="41"/>
  <c r="BP32" i="41" s="1"/>
  <c r="BJ32" i="41"/>
  <c r="AS32" i="41"/>
  <c r="BQ32" i="41" s="1"/>
  <c r="BL21" i="41"/>
  <c r="AV141" i="41"/>
  <c r="AQ35" i="41"/>
  <c r="AW35" i="41" s="1"/>
  <c r="BI35" i="41" s="1"/>
  <c r="AV139" i="41"/>
  <c r="BT72" i="41"/>
  <c r="BR36" i="41"/>
  <c r="BT150" i="41"/>
  <c r="BT29" i="41"/>
  <c r="BT149" i="41"/>
  <c r="AA138" i="41"/>
  <c r="AE50" i="41"/>
  <c r="BL44" i="41"/>
  <c r="BL50" i="41" s="1"/>
  <c r="AP44" i="41"/>
  <c r="AP50" i="41" s="1"/>
  <c r="BM37" i="41"/>
  <c r="BM43" i="41" s="1"/>
  <c r="AN43" i="41"/>
  <c r="BH145" i="41"/>
  <c r="BS31" i="41"/>
  <c r="BS36" i="41" s="1"/>
  <c r="BR150" i="41"/>
  <c r="BR29" i="41"/>
  <c r="BN143" i="41"/>
  <c r="BN21" i="41"/>
  <c r="BH27" i="41"/>
  <c r="BJ23" i="41"/>
  <c r="AR23" i="41"/>
  <c r="BP23" i="41" s="1"/>
  <c r="AS23" i="41"/>
  <c r="BQ23" i="41" s="1"/>
  <c r="BH148" i="41"/>
  <c r="BR16" i="41"/>
  <c r="BR138" i="41" s="1"/>
  <c r="AS14" i="41"/>
  <c r="BQ14" i="41" s="1"/>
  <c r="AR14" i="41"/>
  <c r="BP14" i="41" s="1"/>
  <c r="BJ14" i="41"/>
  <c r="AL138" i="41"/>
  <c r="BH142" i="41"/>
  <c r="BH16" i="41"/>
  <c r="BS12" i="41"/>
  <c r="AQ14" i="41"/>
  <c r="BJ134" i="41"/>
  <c r="AS134" i="41"/>
  <c r="BQ134" i="41" s="1"/>
  <c r="AR134" i="41"/>
  <c r="BP134" i="41" s="1"/>
  <c r="AP122" i="41"/>
  <c r="BL122" i="41"/>
  <c r="BK97" i="41"/>
  <c r="AW101" i="41"/>
  <c r="BI101" i="41" s="1"/>
  <c r="BR143" i="41"/>
  <c r="BH150" i="41"/>
  <c r="BH29" i="41"/>
  <c r="BS28" i="41"/>
  <c r="AN137" i="41"/>
  <c r="AR116" i="41"/>
  <c r="BP116" i="41" s="1"/>
  <c r="AS116" i="41"/>
  <c r="BQ116" i="41" s="1"/>
  <c r="BJ116" i="41"/>
  <c r="AW128" i="41"/>
  <c r="BI128" i="41" s="1"/>
  <c r="AE112" i="41"/>
  <c r="BL106" i="41"/>
  <c r="BL112" i="41" s="1"/>
  <c r="AP106" i="41"/>
  <c r="AP112" i="41" s="1"/>
  <c r="AN120" i="41"/>
  <c r="BM113" i="41"/>
  <c r="BM120" i="41" s="1"/>
  <c r="BT120" i="41"/>
  <c r="BM112" i="41"/>
  <c r="AR102" i="41"/>
  <c r="BP102" i="41" s="1"/>
  <c r="BJ102" i="41"/>
  <c r="AS102" i="41"/>
  <c r="BQ102" i="41" s="1"/>
  <c r="AE105" i="41"/>
  <c r="BL98" i="41"/>
  <c r="BL105" i="41" s="1"/>
  <c r="AP98" i="41"/>
  <c r="AP105" i="41" s="1"/>
  <c r="AW78" i="41"/>
  <c r="BI78" i="41" s="1"/>
  <c r="AQ80" i="41"/>
  <c r="AO83" i="41"/>
  <c r="AQ115" i="41"/>
  <c r="AE87" i="41"/>
  <c r="AS91" i="41"/>
  <c r="BQ91" i="41" s="1"/>
  <c r="AR91" i="41"/>
  <c r="BP91" i="41" s="1"/>
  <c r="BJ91" i="41"/>
  <c r="AP73" i="41"/>
  <c r="AE79" i="41"/>
  <c r="BL73" i="41"/>
  <c r="BL79" i="41" s="1"/>
  <c r="AW60" i="41"/>
  <c r="BI60" i="41" s="1"/>
  <c r="BH58" i="41"/>
  <c r="BS51" i="41"/>
  <c r="BS58" i="41" s="1"/>
  <c r="BN105" i="41"/>
  <c r="AQ55" i="41"/>
  <c r="AW55" i="41" s="1"/>
  <c r="BI55" i="41" s="1"/>
  <c r="AW82" i="41"/>
  <c r="BI82" i="41" s="1"/>
  <c r="BN145" i="41"/>
  <c r="AN97" i="41"/>
  <c r="BM94" i="41"/>
  <c r="BM97" i="41" s="1"/>
  <c r="BS88" i="41"/>
  <c r="BS93" i="41" s="1"/>
  <c r="BH93" i="41"/>
  <c r="BJ71" i="41"/>
  <c r="AS71" i="41"/>
  <c r="BQ71" i="41" s="1"/>
  <c r="AR71" i="41"/>
  <c r="BP71" i="41" s="1"/>
  <c r="BK43" i="41"/>
  <c r="BT27" i="41"/>
  <c r="AD142" i="41"/>
  <c r="AD16" i="41"/>
  <c r="BK12" i="41"/>
  <c r="AO12" i="41"/>
  <c r="AF12" i="41"/>
  <c r="AD58" i="41"/>
  <c r="AF51" i="41"/>
  <c r="BK51" i="41"/>
  <c r="BK58" i="41" s="1"/>
  <c r="AO51" i="41"/>
  <c r="BM50" i="41"/>
  <c r="AQ30" i="41"/>
  <c r="AN149" i="41"/>
  <c r="BM19" i="41"/>
  <c r="BM149" i="41" s="1"/>
  <c r="AN142" i="41"/>
  <c r="AN16" i="41"/>
  <c r="BM12" i="41"/>
  <c r="BQ66" i="41"/>
  <c r="BN149" i="41"/>
  <c r="BV139" i="41"/>
  <c r="BN142" i="41"/>
  <c r="BN16" i="41"/>
  <c r="BJ81" i="41"/>
  <c r="BJ83" i="41" s="1"/>
  <c r="AS81" i="41"/>
  <c r="BQ81" i="41" s="1"/>
  <c r="AR81" i="41"/>
  <c r="AW81" i="41" s="1"/>
  <c r="BI81" i="41" s="1"/>
  <c r="AN72" i="41"/>
  <c r="BT145" i="41"/>
  <c r="AN145" i="41"/>
  <c r="BL149" i="41"/>
  <c r="BH143" i="41"/>
  <c r="AD148" i="41"/>
  <c r="AF15" i="41"/>
  <c r="BK15" i="41"/>
  <c r="BK148" i="41" s="1"/>
  <c r="AO15" i="41"/>
  <c r="AP27" i="41"/>
  <c r="BU149" i="41"/>
  <c r="AV138" i="41"/>
  <c r="BR139" i="41" s="1"/>
  <c r="BR142" i="41"/>
  <c r="BO143" i="41"/>
  <c r="BO21" i="41"/>
  <c r="BU142" i="41"/>
  <c r="BU16" i="41"/>
  <c r="BJ18" i="41"/>
  <c r="AS18" i="41"/>
  <c r="BQ18" i="41" s="1"/>
  <c r="AR18" i="41"/>
  <c r="BP18" i="41" s="1"/>
  <c r="BT142" i="41"/>
  <c r="BT16" i="41"/>
  <c r="BT138" i="41" s="1"/>
  <c r="BU143" i="41"/>
  <c r="AS88" i="41"/>
  <c r="AF93" i="41"/>
  <c r="BJ88" i="41"/>
  <c r="AR88" i="41"/>
  <c r="AR73" i="41"/>
  <c r="AF79" i="41"/>
  <c r="BJ73" i="41"/>
  <c r="AS73" i="41"/>
  <c r="BH137" i="41"/>
  <c r="BS131" i="41"/>
  <c r="BS137" i="41" s="1"/>
  <c r="BH130" i="41"/>
  <c r="BS125" i="41"/>
  <c r="BS130" i="41" s="1"/>
  <c r="BK131" i="41"/>
  <c r="BK137" i="41" s="1"/>
  <c r="AO131" i="41"/>
  <c r="AF131" i="41"/>
  <c r="AD137" i="41"/>
  <c r="AW126" i="41"/>
  <c r="BI126" i="41" s="1"/>
  <c r="AP124" i="41"/>
  <c r="AN112" i="41"/>
  <c r="BJ99" i="41"/>
  <c r="AS99" i="41"/>
  <c r="BQ99" i="41" s="1"/>
  <c r="AR99" i="41"/>
  <c r="BP99" i="41" s="1"/>
  <c r="BL94" i="41"/>
  <c r="BL97" i="41" s="1"/>
  <c r="AP94" i="41"/>
  <c r="AP97" i="41" s="1"/>
  <c r="AE97" i="41"/>
  <c r="AD151" i="41"/>
  <c r="BK104" i="41"/>
  <c r="BK151" i="41" s="1"/>
  <c r="AO104" i="41"/>
  <c r="AF104" i="41"/>
  <c r="AQ77" i="41"/>
  <c r="AW77" i="41" s="1"/>
  <c r="BI77" i="41" s="1"/>
  <c r="BJ96" i="41"/>
  <c r="AR96" i="41"/>
  <c r="BP96" i="41" s="1"/>
  <c r="AS96" i="41"/>
  <c r="BQ96" i="41" s="1"/>
  <c r="AN105" i="41"/>
  <c r="BM98" i="41"/>
  <c r="AQ53" i="41"/>
  <c r="AW53" i="41" s="1"/>
  <c r="BI53" i="41" s="1"/>
  <c r="AR110" i="41"/>
  <c r="BP110" i="41" s="1"/>
  <c r="BJ110" i="41"/>
  <c r="AS110" i="41"/>
  <c r="BQ110" i="41" s="1"/>
  <c r="AQ49" i="41"/>
  <c r="AW49" i="41" s="1"/>
  <c r="BI49" i="41" s="1"/>
  <c r="AN79" i="41"/>
  <c r="BM73" i="41"/>
  <c r="BM79" i="41" s="1"/>
  <c r="AS100" i="41"/>
  <c r="BQ100" i="41" s="1"/>
  <c r="BJ100" i="41"/>
  <c r="AR100" i="41"/>
  <c r="BP100" i="41" s="1"/>
  <c r="BS83" i="41"/>
  <c r="AQ74" i="41"/>
  <c r="AW74" i="41" s="1"/>
  <c r="BI74" i="41" s="1"/>
  <c r="BL59" i="41"/>
  <c r="BL61" i="41" s="1"/>
  <c r="AP59" i="41"/>
  <c r="AP61" i="41" s="1"/>
  <c r="AE61" i="41"/>
  <c r="BM51" i="41"/>
  <c r="BM58" i="41" s="1"/>
  <c r="AN58" i="41"/>
  <c r="AS47" i="41"/>
  <c r="BQ47" i="41" s="1"/>
  <c r="AR47" i="41"/>
  <c r="BP47" i="41" s="1"/>
  <c r="BJ47" i="41"/>
  <c r="BU93" i="41"/>
  <c r="AS41" i="41"/>
  <c r="BQ41" i="41" s="1"/>
  <c r="AR41" i="41"/>
  <c r="BP41" i="41" s="1"/>
  <c r="BJ41" i="41"/>
  <c r="AO27" i="41"/>
  <c r="AQ22" i="41"/>
  <c r="BS63" i="41"/>
  <c r="BS65" i="41" s="1"/>
  <c r="BH65" i="41"/>
  <c r="W141" i="41"/>
  <c r="AQ41" i="41"/>
  <c r="AO43" i="41"/>
  <c r="BL35" i="41"/>
  <c r="AP35" i="41"/>
  <c r="BL36" i="41"/>
  <c r="V138" i="41"/>
  <c r="AG139" i="41" s="1"/>
  <c r="AD150" i="41"/>
  <c r="AD29" i="41"/>
  <c r="AF28" i="41"/>
  <c r="AO28" i="41"/>
  <c r="BK28" i="41"/>
  <c r="BH149" i="41"/>
  <c r="BS19" i="41"/>
  <c r="BS149" i="41" s="1"/>
  <c r="AL141" i="41"/>
  <c r="AN140" i="41" s="1"/>
  <c r="AQ48" i="41"/>
  <c r="BL150" i="41"/>
  <c r="BL29" i="41"/>
  <c r="BH36" i="41"/>
  <c r="BM23" i="41"/>
  <c r="BM27" i="41" s="1"/>
  <c r="AN27" i="41"/>
  <c r="AS24" i="41"/>
  <c r="BQ24" i="41" s="1"/>
  <c r="BJ24" i="41"/>
  <c r="AR24" i="41"/>
  <c r="BP24" i="41" s="1"/>
  <c r="AN36" i="41"/>
  <c r="BL27" i="41"/>
  <c r="AE148" i="41"/>
  <c r="BL15" i="41"/>
  <c r="AP15" i="41"/>
  <c r="AP148" i="41" s="1"/>
  <c r="BU148" i="41"/>
  <c r="BG138" i="41"/>
  <c r="BJ26" i="41"/>
  <c r="AS26" i="41"/>
  <c r="BQ26" i="41" s="1"/>
  <c r="AR26" i="41"/>
  <c r="BP26" i="41" s="1"/>
  <c r="AN148" i="41"/>
  <c r="BM15" i="41"/>
  <c r="BM148" i="41" s="1"/>
  <c r="BF138" i="41"/>
  <c r="AE142" i="41"/>
  <c r="AN124" i="41"/>
  <c r="BM121" i="41"/>
  <c r="BM124" i="41" s="1"/>
  <c r="BJ107" i="41"/>
  <c r="AS107" i="41"/>
  <c r="BQ107" i="41" s="1"/>
  <c r="AR107" i="41"/>
  <c r="BP107" i="41" s="1"/>
  <c r="BS73" i="41"/>
  <c r="BS79" i="41" s="1"/>
  <c r="BH79" i="41"/>
  <c r="BN150" i="41"/>
  <c r="BN29" i="41"/>
  <c r="BM62" i="41"/>
  <c r="BM65" i="41" s="1"/>
  <c r="AN65" i="41"/>
  <c r="AR45" i="41"/>
  <c r="BP45" i="41" s="1"/>
  <c r="BJ45" i="41"/>
  <c r="AS45" i="41"/>
  <c r="BQ45" i="41" s="1"/>
  <c r="AD149" i="41"/>
  <c r="BK19" i="41"/>
  <c r="BK149" i="41" s="1"/>
  <c r="AO19" i="41"/>
  <c r="AF19" i="41"/>
  <c r="BO142" i="41"/>
  <c r="BO16" i="41"/>
  <c r="BO138" i="41" s="1"/>
  <c r="AE145" i="41"/>
  <c r="AP31" i="41"/>
  <c r="BL31" i="41"/>
  <c r="BL145" i="41" s="1"/>
  <c r="AF27" i="41"/>
  <c r="BJ22" i="41"/>
  <c r="AS22" i="41"/>
  <c r="AR22" i="41"/>
  <c r="AN143" i="41"/>
  <c r="AN21" i="41"/>
  <c r="BM17" i="41"/>
  <c r="BT137" i="41"/>
  <c r="AS121" i="41"/>
  <c r="AR121" i="41"/>
  <c r="AF124" i="41"/>
  <c r="BJ121" i="41"/>
  <c r="AE137" i="41"/>
  <c r="BL131" i="41"/>
  <c r="BL137" i="41" s="1"/>
  <c r="AP131" i="41"/>
  <c r="AP137" i="41" s="1"/>
  <c r="AW107" i="41"/>
  <c r="BI107" i="41" s="1"/>
  <c r="BO105" i="41"/>
  <c r="BH97" i="41"/>
  <c r="AS90" i="41"/>
  <c r="BQ90" i="41" s="1"/>
  <c r="AR90" i="41"/>
  <c r="BP90" i="41" s="1"/>
  <c r="BJ90" i="41"/>
  <c r="AR115" i="41"/>
  <c r="BP115" i="41" s="1"/>
  <c r="BJ115" i="41"/>
  <c r="AS115" i="41"/>
  <c r="BQ115" i="41" s="1"/>
  <c r="AS69" i="41"/>
  <c r="BQ69" i="41" s="1"/>
  <c r="AR69" i="41"/>
  <c r="BP69" i="41" s="1"/>
  <c r="BJ69" i="41"/>
  <c r="AW88" i="41"/>
  <c r="AQ93" i="41"/>
  <c r="BH72" i="41"/>
  <c r="BS66" i="41"/>
  <c r="BS72" i="41" s="1"/>
  <c r="BJ62" i="41"/>
  <c r="BJ65" i="41" s="1"/>
  <c r="AS62" i="41"/>
  <c r="AR62" i="41"/>
  <c r="AF65" i="41"/>
  <c r="BH50" i="41"/>
  <c r="BS44" i="41"/>
  <c r="BS50" i="41" s="1"/>
  <c r="AQ75" i="41"/>
  <c r="AW75" i="41" s="1"/>
  <c r="BI75" i="41" s="1"/>
  <c r="AQ52" i="41"/>
  <c r="AW52" i="41" s="1"/>
  <c r="BI52" i="41" s="1"/>
  <c r="AQ76" i="41"/>
  <c r="AW76" i="41" s="1"/>
  <c r="BI76" i="41" s="1"/>
  <c r="AQ67" i="41"/>
  <c r="AW100" i="41"/>
  <c r="BI100" i="41" s="1"/>
  <c r="AF43" i="41"/>
  <c r="BJ37" i="41"/>
  <c r="AS37" i="41"/>
  <c r="AR37" i="41"/>
  <c r="AW37" i="41" s="1"/>
  <c r="BH43" i="41"/>
  <c r="AW18" i="41"/>
  <c r="BI18" i="41" s="1"/>
  <c r="AP21" i="41"/>
  <c r="BO149" i="41"/>
  <c r="BG139" i="41"/>
  <c r="BJ39" i="41"/>
  <c r="AR39" i="41"/>
  <c r="BP39" i="41" s="1"/>
  <c r="AS39" i="41"/>
  <c r="BQ39" i="41" s="1"/>
  <c r="AD145" i="41"/>
  <c r="BK31" i="41"/>
  <c r="AF31" i="41"/>
  <c r="AO31" i="41"/>
  <c r="AO36" i="41" s="1"/>
  <c r="AN150" i="41"/>
  <c r="BM28" i="41"/>
  <c r="AN29" i="41"/>
  <c r="AD61" i="41"/>
  <c r="AF59" i="41"/>
  <c r="BK59" i="41"/>
  <c r="BK61" i="41" s="1"/>
  <c r="AO59" i="41"/>
  <c r="BL43" i="41"/>
  <c r="AP149" i="41"/>
  <c r="AP142" i="41"/>
  <c r="AP16" i="41"/>
  <c r="AD143" i="41"/>
  <c r="AF17" i="41"/>
  <c r="BK17" i="41"/>
  <c r="AO17" i="41"/>
  <c r="AD21" i="41"/>
  <c r="BG141" i="41"/>
  <c r="BF141" i="41"/>
  <c r="AW13" i="41"/>
  <c r="BI13" i="41" s="1"/>
  <c r="BS121" i="41"/>
  <c r="BS124" i="41" s="1"/>
  <c r="BH124" i="41"/>
  <c r="AD120" i="41"/>
  <c r="AO113" i="41"/>
  <c r="AF113" i="41"/>
  <c r="BK113" i="41"/>
  <c r="BK120" i="41" s="1"/>
  <c r="BL87" i="41"/>
  <c r="BJ67" i="41"/>
  <c r="BJ72" i="41" s="1"/>
  <c r="AS67" i="41"/>
  <c r="BQ67" i="41" s="1"/>
  <c r="AR67" i="41"/>
  <c r="AF72" i="41"/>
  <c r="AO97" i="41"/>
  <c r="AQ94" i="41"/>
  <c r="AP43" i="41"/>
  <c r="AP150" i="41"/>
  <c r="AP29" i="41"/>
  <c r="BN120" i="41"/>
  <c r="AQ127" i="41"/>
  <c r="AW127" i="41" s="1"/>
  <c r="BI127" i="41" s="1"/>
  <c r="BL124" i="41"/>
  <c r="AW95" i="41"/>
  <c r="BI95" i="41" s="1"/>
  <c r="BM130" i="41"/>
  <c r="AQ123" i="41"/>
  <c r="BU112" i="41"/>
  <c r="BJ117" i="41"/>
  <c r="AR117" i="41"/>
  <c r="BP117" i="41" s="1"/>
  <c r="AS117" i="41"/>
  <c r="BQ117" i="41" s="1"/>
  <c r="AS111" i="41"/>
  <c r="BQ111" i="41" s="1"/>
  <c r="BJ111" i="41"/>
  <c r="AR111" i="41"/>
  <c r="BP111" i="41" s="1"/>
  <c r="AQ99" i="41"/>
  <c r="AW99" i="41" s="1"/>
  <c r="BI99" i="41" s="1"/>
  <c r="BL114" i="41"/>
  <c r="BL120" i="41" s="1"/>
  <c r="AP114" i="41"/>
  <c r="AP143" i="41" s="1"/>
  <c r="AQ121" i="41"/>
  <c r="AQ122" i="41"/>
  <c r="AW122" i="41" s="1"/>
  <c r="BI122" i="41" s="1"/>
  <c r="BL85" i="41"/>
  <c r="AP85" i="41"/>
  <c r="BJ68" i="41"/>
  <c r="AS68" i="41"/>
  <c r="BQ68" i="41" s="1"/>
  <c r="AR68" i="41"/>
  <c r="BP68" i="41" s="1"/>
  <c r="AQ64" i="41"/>
  <c r="AW64" i="41" s="1"/>
  <c r="BI64" i="41" s="1"/>
  <c r="BM59" i="41"/>
  <c r="BM61" i="41" s="1"/>
  <c r="AN61" i="41"/>
  <c r="AO93" i="41"/>
  <c r="AQ66" i="41"/>
  <c r="AO72" i="41"/>
  <c r="AN151" i="41"/>
  <c r="BM104" i="41"/>
  <c r="BM151" i="41" s="1"/>
  <c r="BL58" i="41"/>
  <c r="BH87" i="41"/>
  <c r="AS83" i="41"/>
  <c r="BQ80" i="41"/>
  <c r="AD50" i="41"/>
  <c r="AF44" i="41"/>
  <c r="BK44" i="41"/>
  <c r="BK50" i="41" s="1"/>
  <c r="AO44" i="41"/>
  <c r="AR70" i="41"/>
  <c r="BP70" i="41" s="1"/>
  <c r="BJ70" i="41"/>
  <c r="AS70" i="41"/>
  <c r="BQ70" i="41" s="1"/>
  <c r="AS54" i="41"/>
  <c r="BQ54" i="41" s="1"/>
  <c r="AR54" i="41"/>
  <c r="BP54" i="41" s="1"/>
  <c r="BJ54" i="41"/>
  <c r="BJ33" i="41"/>
  <c r="AS33" i="41"/>
  <c r="BQ33" i="41" s="1"/>
  <c r="AR33" i="41"/>
  <c r="BP33" i="41" s="1"/>
  <c r="AR42" i="41"/>
  <c r="BP42" i="41" s="1"/>
  <c r="BJ42" i="41"/>
  <c r="AS42" i="41"/>
  <c r="BQ42" i="41" s="1"/>
  <c r="BS43" i="41"/>
  <c r="AE143" i="41"/>
  <c r="W138" i="41"/>
  <c r="AH139" i="41" s="1"/>
  <c r="AQ40" i="41"/>
  <c r="AW40" i="41" s="1"/>
  <c r="BI40" i="41" s="1"/>
  <c r="AR34" i="41"/>
  <c r="BP34" i="41" s="1"/>
  <c r="BJ34" i="41"/>
  <c r="AS34" i="41"/>
  <c r="BQ34" i="41" s="1"/>
  <c r="BO150" i="41"/>
  <c r="BO29" i="41"/>
  <c r="BO145" i="41"/>
  <c r="BU150" i="41"/>
  <c r="BU29" i="41"/>
  <c r="AM138" i="41"/>
  <c r="BO139" i="41" s="1"/>
  <c r="AR48" i="41"/>
  <c r="BP48" i="41" s="1"/>
  <c r="BJ48" i="41"/>
  <c r="AS48" i="41"/>
  <c r="BQ48" i="41" s="1"/>
  <c r="AW39" i="41"/>
  <c r="BI39" i="41" s="1"/>
  <c r="BH83" i="41"/>
  <c r="BQ30" i="41"/>
  <c r="AE149" i="41"/>
  <c r="BM36" i="41"/>
  <c r="BO148" i="41"/>
  <c r="AQ53" i="40"/>
  <c r="AW52" i="40"/>
  <c r="AW47" i="40"/>
  <c r="BI47" i="40" s="1"/>
  <c r="AP173" i="40"/>
  <c r="BU173" i="40"/>
  <c r="AS53" i="40"/>
  <c r="BQ52" i="40"/>
  <c r="BJ49" i="40"/>
  <c r="AR49" i="40"/>
  <c r="BP49" i="40" s="1"/>
  <c r="AS49" i="40"/>
  <c r="BQ49" i="40" s="1"/>
  <c r="BJ34" i="40"/>
  <c r="AR34" i="40"/>
  <c r="BP34" i="40" s="1"/>
  <c r="AS34" i="40"/>
  <c r="BQ34" i="40" s="1"/>
  <c r="AE177" i="40"/>
  <c r="BL30" i="40"/>
  <c r="BL177" i="40" s="1"/>
  <c r="AP30" i="40"/>
  <c r="AP177" i="40" s="1"/>
  <c r="AF30" i="40"/>
  <c r="AN176" i="40"/>
  <c r="AP51" i="40"/>
  <c r="AF23" i="40"/>
  <c r="BJ20" i="40"/>
  <c r="BJ23" i="40" s="1"/>
  <c r="AS20" i="40"/>
  <c r="AR20" i="40"/>
  <c r="BP68" i="40"/>
  <c r="BM16" i="40"/>
  <c r="BM19" i="40" s="1"/>
  <c r="AN19" i="40"/>
  <c r="W169" i="40"/>
  <c r="BK32" i="40"/>
  <c r="BH165" i="40"/>
  <c r="BT155" i="40"/>
  <c r="BT166" i="40" s="1"/>
  <c r="BJ159" i="40"/>
  <c r="AR159" i="40"/>
  <c r="BP159" i="40" s="1"/>
  <c r="AS159" i="40"/>
  <c r="BQ159" i="40" s="1"/>
  <c r="BK151" i="40"/>
  <c r="BL155" i="40"/>
  <c r="BH151" i="40"/>
  <c r="BJ132" i="40"/>
  <c r="AS132" i="40"/>
  <c r="BQ132" i="40" s="1"/>
  <c r="AR132" i="40"/>
  <c r="BP132" i="40" s="1"/>
  <c r="AR133" i="40"/>
  <c r="BP133" i="40" s="1"/>
  <c r="AS133" i="40"/>
  <c r="BQ133" i="40" s="1"/>
  <c r="BJ133" i="40"/>
  <c r="AF125" i="40"/>
  <c r="AD127" i="40"/>
  <c r="AO125" i="40"/>
  <c r="BK125" i="40"/>
  <c r="BK127" i="40" s="1"/>
  <c r="AQ119" i="40"/>
  <c r="AO124" i="40"/>
  <c r="AQ143" i="40"/>
  <c r="AR122" i="40"/>
  <c r="BP122" i="40" s="1"/>
  <c r="BJ122" i="40"/>
  <c r="AS122" i="40"/>
  <c r="BQ122" i="40" s="1"/>
  <c r="BQ111" i="40"/>
  <c r="BH118" i="40"/>
  <c r="BS115" i="40"/>
  <c r="BS118" i="40" s="1"/>
  <c r="AQ126" i="40"/>
  <c r="BM104" i="40"/>
  <c r="BM108" i="40" s="1"/>
  <c r="AN108" i="40"/>
  <c r="BJ96" i="40"/>
  <c r="AS96" i="40"/>
  <c r="BQ96" i="40" s="1"/>
  <c r="AR96" i="40"/>
  <c r="BP96" i="40" s="1"/>
  <c r="AN81" i="40"/>
  <c r="BM75" i="40"/>
  <c r="BM81" i="40" s="1"/>
  <c r="BO137" i="40"/>
  <c r="AO108" i="40"/>
  <c r="AQ103" i="40"/>
  <c r="BN67" i="40"/>
  <c r="BJ120" i="40"/>
  <c r="AR120" i="40"/>
  <c r="BP120" i="40" s="1"/>
  <c r="AS120" i="40"/>
  <c r="BQ120" i="40" s="1"/>
  <c r="AO118" i="40"/>
  <c r="AQ115" i="40"/>
  <c r="BJ101" i="40"/>
  <c r="AS101" i="40"/>
  <c r="BQ101" i="40" s="1"/>
  <c r="AR101" i="40"/>
  <c r="BP101" i="40" s="1"/>
  <c r="AN102" i="40"/>
  <c r="BM99" i="40"/>
  <c r="BM102" i="40" s="1"/>
  <c r="AS83" i="40"/>
  <c r="BQ83" i="40" s="1"/>
  <c r="BJ83" i="40"/>
  <c r="AR83" i="40"/>
  <c r="BP83" i="40" s="1"/>
  <c r="AV74" i="40"/>
  <c r="AV166" i="40" s="1"/>
  <c r="BR167" i="40" s="1"/>
  <c r="AQ78" i="40"/>
  <c r="AS57" i="40"/>
  <c r="BQ57" i="40" s="1"/>
  <c r="AR57" i="40"/>
  <c r="BP57" i="40" s="1"/>
  <c r="BJ57" i="40"/>
  <c r="AQ62" i="40"/>
  <c r="BO60" i="40"/>
  <c r="AD172" i="40"/>
  <c r="AN67" i="40"/>
  <c r="BM61" i="40"/>
  <c r="BM67" i="40" s="1"/>
  <c r="AR42" i="40"/>
  <c r="BP42" i="40" s="1"/>
  <c r="AS42" i="40"/>
  <c r="BQ42" i="40" s="1"/>
  <c r="BJ42" i="40"/>
  <c r="AF92" i="40"/>
  <c r="BJ89" i="40"/>
  <c r="BJ92" i="40" s="1"/>
  <c r="AS89" i="40"/>
  <c r="AR89" i="40"/>
  <c r="BL74" i="40"/>
  <c r="AQ56" i="40"/>
  <c r="AW56" i="40" s="1"/>
  <c r="BI56" i="40" s="1"/>
  <c r="BK60" i="40"/>
  <c r="BN172" i="40"/>
  <c r="BN38" i="40"/>
  <c r="AN174" i="40"/>
  <c r="BM28" i="40"/>
  <c r="BM174" i="40" s="1"/>
  <c r="AS77" i="40"/>
  <c r="BQ77" i="40" s="1"/>
  <c r="AR77" i="40"/>
  <c r="BP77" i="40" s="1"/>
  <c r="BJ77" i="40"/>
  <c r="AN173" i="40"/>
  <c r="BM55" i="40"/>
  <c r="BJ53" i="40"/>
  <c r="AQ42" i="40"/>
  <c r="AR48" i="40"/>
  <c r="BP48" i="40" s="1"/>
  <c r="AS48" i="40"/>
  <c r="BQ48" i="40" s="1"/>
  <c r="BJ48" i="40"/>
  <c r="AQ34" i="40"/>
  <c r="AW34" i="40" s="1"/>
  <c r="BI34" i="40" s="1"/>
  <c r="AN171" i="40"/>
  <c r="AN32" i="40"/>
  <c r="BM26" i="40"/>
  <c r="AR13" i="40"/>
  <c r="BP13" i="40" s="1"/>
  <c r="BJ13" i="40"/>
  <c r="AS13" i="40"/>
  <c r="BQ13" i="40" s="1"/>
  <c r="AP60" i="40"/>
  <c r="BT32" i="40"/>
  <c r="AW22" i="40"/>
  <c r="BI22" i="40" s="1"/>
  <c r="BR172" i="40"/>
  <c r="BR38" i="40"/>
  <c r="BK67" i="40"/>
  <c r="BH179" i="40"/>
  <c r="BH25" i="40"/>
  <c r="BS24" i="40"/>
  <c r="BH176" i="40"/>
  <c r="BS14" i="40"/>
  <c r="BS176" i="40" s="1"/>
  <c r="AE172" i="40"/>
  <c r="BL33" i="40"/>
  <c r="AP33" i="40"/>
  <c r="AE38" i="40"/>
  <c r="AF33" i="40"/>
  <c r="AS41" i="40"/>
  <c r="BQ41" i="40" s="1"/>
  <c r="BJ41" i="40"/>
  <c r="AR41" i="40"/>
  <c r="BH170" i="40"/>
  <c r="BH15" i="40"/>
  <c r="BS12" i="40"/>
  <c r="BQ68" i="40"/>
  <c r="AD174" i="40"/>
  <c r="AF28" i="40"/>
  <c r="BK28" i="40"/>
  <c r="BK174" i="40" s="1"/>
  <c r="AO28" i="40"/>
  <c r="AR40" i="40"/>
  <c r="BP40" i="40" s="1"/>
  <c r="BJ40" i="40"/>
  <c r="AS40" i="40"/>
  <c r="BQ40" i="40" s="1"/>
  <c r="AO23" i="40"/>
  <c r="BH19" i="40"/>
  <c r="AD32" i="40"/>
  <c r="AD161" i="40"/>
  <c r="AF156" i="40"/>
  <c r="BK156" i="40"/>
  <c r="BK161" i="40" s="1"/>
  <c r="AO156" i="40"/>
  <c r="AE151" i="40"/>
  <c r="AE166" i="40" s="1"/>
  <c r="BL167" i="40" s="1"/>
  <c r="BL145" i="40"/>
  <c r="BL151" i="40" s="1"/>
  <c r="AP145" i="40"/>
  <c r="AO137" i="40"/>
  <c r="AQ131" i="40"/>
  <c r="BS63" i="40"/>
  <c r="BS67" i="40" s="1"/>
  <c r="BH67" i="40"/>
  <c r="BO177" i="40"/>
  <c r="AF94" i="40"/>
  <c r="AD98" i="40"/>
  <c r="BK94" i="40"/>
  <c r="BK98" i="40" s="1"/>
  <c r="AO94" i="40"/>
  <c r="AQ94" i="40" s="1"/>
  <c r="AO60" i="40"/>
  <c r="AQ54" i="40"/>
  <c r="BT172" i="40"/>
  <c r="BT38" i="40"/>
  <c r="AF165" i="40"/>
  <c r="BJ162" i="40"/>
  <c r="BJ165" i="40" s="1"/>
  <c r="AS162" i="40"/>
  <c r="AR162" i="40"/>
  <c r="AQ154" i="40"/>
  <c r="AW154" i="40" s="1"/>
  <c r="BI154" i="40" s="1"/>
  <c r="BN165" i="40"/>
  <c r="BH161" i="40"/>
  <c r="BS156" i="40"/>
  <c r="BS161" i="40" s="1"/>
  <c r="BF167" i="40"/>
  <c r="AR158" i="40"/>
  <c r="BP158" i="40" s="1"/>
  <c r="AS158" i="40"/>
  <c r="BQ158" i="40" s="1"/>
  <c r="BJ158" i="40"/>
  <c r="BV167" i="40"/>
  <c r="AR150" i="40"/>
  <c r="BP150" i="40" s="1"/>
  <c r="BJ150" i="40"/>
  <c r="AS150" i="40"/>
  <c r="BQ150" i="40" s="1"/>
  <c r="BS151" i="40"/>
  <c r="BJ153" i="40"/>
  <c r="AS153" i="40"/>
  <c r="BQ153" i="40" s="1"/>
  <c r="AR153" i="40"/>
  <c r="BP153" i="40" s="1"/>
  <c r="BH144" i="40"/>
  <c r="BS138" i="40"/>
  <c r="BS144" i="40" s="1"/>
  <c r="AP137" i="40"/>
  <c r="BK130" i="40"/>
  <c r="BK124" i="40"/>
  <c r="BK137" i="40"/>
  <c r="AS121" i="40"/>
  <c r="BQ121" i="40" s="1"/>
  <c r="BJ121" i="40"/>
  <c r="BJ124" i="40" s="1"/>
  <c r="AR121" i="40"/>
  <c r="BM111" i="40"/>
  <c r="BM114" i="40" s="1"/>
  <c r="AN114" i="40"/>
  <c r="BJ123" i="40"/>
  <c r="AS123" i="40"/>
  <c r="BQ123" i="40" s="1"/>
  <c r="AR123" i="40"/>
  <c r="BP123" i="40" s="1"/>
  <c r="BL99" i="40"/>
  <c r="BL102" i="40" s="1"/>
  <c r="AP99" i="40"/>
  <c r="AP102" i="40" s="1"/>
  <c r="AE102" i="40"/>
  <c r="BJ126" i="40"/>
  <c r="AR126" i="40"/>
  <c r="BP126" i="40" s="1"/>
  <c r="AS126" i="40"/>
  <c r="BQ126" i="40" s="1"/>
  <c r="BK102" i="40"/>
  <c r="AP92" i="40"/>
  <c r="BJ103" i="40"/>
  <c r="AS103" i="40"/>
  <c r="AR103" i="40"/>
  <c r="AS115" i="40"/>
  <c r="AR115" i="40"/>
  <c r="BJ115" i="40"/>
  <c r="AF118" i="40"/>
  <c r="AQ93" i="40"/>
  <c r="AW147" i="40"/>
  <c r="BI147" i="40" s="1"/>
  <c r="BN130" i="40"/>
  <c r="BH114" i="40"/>
  <c r="BS111" i="40"/>
  <c r="BS114" i="40" s="1"/>
  <c r="AQ101" i="40"/>
  <c r="AN60" i="40"/>
  <c r="BM54" i="40"/>
  <c r="AR78" i="40"/>
  <c r="BP78" i="40" s="1"/>
  <c r="AS78" i="40"/>
  <c r="BQ78" i="40" s="1"/>
  <c r="BJ78" i="40"/>
  <c r="AQ86" i="40"/>
  <c r="BH51" i="40"/>
  <c r="BS45" i="40"/>
  <c r="BS51" i="40" s="1"/>
  <c r="BK177" i="40"/>
  <c r="BJ66" i="40"/>
  <c r="AS66" i="40"/>
  <c r="BQ66" i="40" s="1"/>
  <c r="AR66" i="40"/>
  <c r="BP66" i="40" s="1"/>
  <c r="BU172" i="40"/>
  <c r="BU38" i="40"/>
  <c r="AQ85" i="40"/>
  <c r="BJ79" i="40"/>
  <c r="AS79" i="40"/>
  <c r="BQ79" i="40" s="1"/>
  <c r="AR79" i="40"/>
  <c r="BP79" i="40" s="1"/>
  <c r="BH172" i="40"/>
  <c r="BS33" i="40"/>
  <c r="BH38" i="40"/>
  <c r="AR47" i="40"/>
  <c r="BP47" i="40" s="1"/>
  <c r="BJ47" i="40"/>
  <c r="AS47" i="40"/>
  <c r="BQ47" i="40" s="1"/>
  <c r="BL60" i="40"/>
  <c r="AQ46" i="40"/>
  <c r="BO171" i="40"/>
  <c r="BO32" i="40"/>
  <c r="AO67" i="40"/>
  <c r="BR171" i="40"/>
  <c r="BR32" i="40"/>
  <c r="BR166" i="40" s="1"/>
  <c r="AD179" i="40"/>
  <c r="AD25" i="40"/>
  <c r="BK24" i="40"/>
  <c r="AO24" i="40"/>
  <c r="AF24" i="40"/>
  <c r="BO170" i="40"/>
  <c r="BO15" i="40"/>
  <c r="AR84" i="40"/>
  <c r="BP84" i="40" s="1"/>
  <c r="BJ84" i="40"/>
  <c r="AS84" i="40"/>
  <c r="BQ84" i="40" s="1"/>
  <c r="BU177" i="40"/>
  <c r="AN179" i="40"/>
  <c r="AN25" i="40"/>
  <c r="BM24" i="40"/>
  <c r="BT170" i="40"/>
  <c r="BT15" i="40"/>
  <c r="AQ36" i="40"/>
  <c r="BJ31" i="40"/>
  <c r="AR31" i="40"/>
  <c r="BP31" i="40" s="1"/>
  <c r="AS31" i="40"/>
  <c r="BQ31" i="40" s="1"/>
  <c r="AE171" i="40"/>
  <c r="AE32" i="40"/>
  <c r="BL26" i="40"/>
  <c r="AP26" i="40"/>
  <c r="BR170" i="40"/>
  <c r="BR15" i="40"/>
  <c r="BN32" i="40"/>
  <c r="AF26" i="40"/>
  <c r="BJ18" i="40"/>
  <c r="AS18" i="40"/>
  <c r="BQ18" i="40" s="1"/>
  <c r="AR18" i="40"/>
  <c r="BP18" i="40" s="1"/>
  <c r="AN124" i="40"/>
  <c r="BM119" i="40"/>
  <c r="BM124" i="40" s="1"/>
  <c r="BS99" i="40"/>
  <c r="BS102" i="40" s="1"/>
  <c r="BH102" i="40"/>
  <c r="AW111" i="40"/>
  <c r="BL104" i="40"/>
  <c r="AF104" i="40"/>
  <c r="AP104" i="40"/>
  <c r="AQ104" i="40" s="1"/>
  <c r="BL112" i="40"/>
  <c r="BL114" i="40" s="1"/>
  <c r="AF112" i="40"/>
  <c r="AP112" i="40"/>
  <c r="AE114" i="40"/>
  <c r="BM93" i="40"/>
  <c r="BM98" i="40" s="1"/>
  <c r="AN98" i="40"/>
  <c r="BH74" i="40"/>
  <c r="BS68" i="40"/>
  <c r="BS74" i="40" s="1"/>
  <c r="BM156" i="40"/>
  <c r="BM161" i="40" s="1"/>
  <c r="AN161" i="40"/>
  <c r="AN165" i="40"/>
  <c r="BM162" i="40"/>
  <c r="BM165" i="40" s="1"/>
  <c r="AN144" i="40"/>
  <c r="BM138" i="40"/>
  <c r="BM144" i="40" s="1"/>
  <c r="AP155" i="40"/>
  <c r="AR149" i="40"/>
  <c r="BP149" i="40" s="1"/>
  <c r="AS149" i="40"/>
  <c r="BQ149" i="40" s="1"/>
  <c r="BJ149" i="40"/>
  <c r="BT144" i="40"/>
  <c r="BJ141" i="40"/>
  <c r="AS141" i="40"/>
  <c r="BQ141" i="40" s="1"/>
  <c r="AR141" i="40"/>
  <c r="BP141" i="40" s="1"/>
  <c r="BH130" i="40"/>
  <c r="BS128" i="40"/>
  <c r="BS130" i="40" s="1"/>
  <c r="BN124" i="40"/>
  <c r="BL118" i="40"/>
  <c r="BM129" i="40"/>
  <c r="BM130" i="40" s="1"/>
  <c r="AN130" i="40"/>
  <c r="AF173" i="40"/>
  <c r="BJ55" i="40"/>
  <c r="AS55" i="40"/>
  <c r="AR55" i="40"/>
  <c r="BJ105" i="40"/>
  <c r="AS105" i="40"/>
  <c r="BQ105" i="40" s="1"/>
  <c r="AR105" i="40"/>
  <c r="BP105" i="40" s="1"/>
  <c r="AS93" i="40"/>
  <c r="BJ93" i="40"/>
  <c r="AR93" i="40"/>
  <c r="AQ68" i="40"/>
  <c r="AQ87" i="40"/>
  <c r="AW87" i="40" s="1"/>
  <c r="BI87" i="40" s="1"/>
  <c r="BK173" i="40"/>
  <c r="BP119" i="40"/>
  <c r="AR107" i="40"/>
  <c r="BP107" i="40" s="1"/>
  <c r="BJ107" i="40"/>
  <c r="AS107" i="40"/>
  <c r="BQ107" i="40" s="1"/>
  <c r="AW95" i="40"/>
  <c r="BI95" i="40" s="1"/>
  <c r="BT114" i="40"/>
  <c r="AP88" i="40"/>
  <c r="AE67" i="40"/>
  <c r="BL61" i="40"/>
  <c r="BL67" i="40" s="1"/>
  <c r="AP61" i="40"/>
  <c r="AP67" i="40" s="1"/>
  <c r="BJ86" i="40"/>
  <c r="AS86" i="40"/>
  <c r="BQ86" i="40" s="1"/>
  <c r="AR86" i="40"/>
  <c r="BP86" i="40" s="1"/>
  <c r="AP81" i="40"/>
  <c r="BJ70" i="40"/>
  <c r="AS70" i="40"/>
  <c r="BQ70" i="40" s="1"/>
  <c r="AR70" i="40"/>
  <c r="BP70" i="40" s="1"/>
  <c r="AS62" i="40"/>
  <c r="BQ62" i="40" s="1"/>
  <c r="AR62" i="40"/>
  <c r="BP62" i="40" s="1"/>
  <c r="BJ62" i="40"/>
  <c r="AO177" i="40"/>
  <c r="AQ30" i="40"/>
  <c r="AQ76" i="40"/>
  <c r="BO172" i="40"/>
  <c r="BO38" i="40"/>
  <c r="BO166" i="40" s="1"/>
  <c r="BJ85" i="40"/>
  <c r="AS85" i="40"/>
  <c r="BQ85" i="40" s="1"/>
  <c r="AR85" i="40"/>
  <c r="BP85" i="40" s="1"/>
  <c r="BJ73" i="40"/>
  <c r="AS73" i="40"/>
  <c r="BQ73" i="40" s="1"/>
  <c r="AR73" i="40"/>
  <c r="BP73" i="40" s="1"/>
  <c r="BL178" i="40"/>
  <c r="BL53" i="40"/>
  <c r="BM40" i="40"/>
  <c r="BM44" i="40" s="1"/>
  <c r="AN44" i="40"/>
  <c r="BN81" i="40"/>
  <c r="AW35" i="40"/>
  <c r="BI35" i="40" s="1"/>
  <c r="BM172" i="40"/>
  <c r="BM38" i="40"/>
  <c r="BR176" i="40"/>
  <c r="AR54" i="40"/>
  <c r="BJ54" i="40"/>
  <c r="AF60" i="40"/>
  <c r="AS54" i="40"/>
  <c r="BM177" i="40"/>
  <c r="BH88" i="40"/>
  <c r="AF61" i="40"/>
  <c r="BH174" i="40"/>
  <c r="BS28" i="40"/>
  <c r="BS174" i="40" s="1"/>
  <c r="BG169" i="40"/>
  <c r="BS39" i="40"/>
  <c r="BS44" i="40" s="1"/>
  <c r="BH44" i="40"/>
  <c r="AR37" i="40"/>
  <c r="BP37" i="40" s="1"/>
  <c r="BJ37" i="40"/>
  <c r="AS37" i="40"/>
  <c r="BQ37" i="40" s="1"/>
  <c r="BU176" i="40"/>
  <c r="BU15" i="40"/>
  <c r="BF169" i="40"/>
  <c r="AW31" i="40"/>
  <c r="BI31" i="40" s="1"/>
  <c r="BS27" i="40"/>
  <c r="BH32" i="40"/>
  <c r="AE176" i="40"/>
  <c r="BL14" i="40"/>
  <c r="AP14" i="40"/>
  <c r="AP176" i="40" s="1"/>
  <c r="AO151" i="40"/>
  <c r="AR152" i="40"/>
  <c r="AF155" i="40"/>
  <c r="BJ152" i="40"/>
  <c r="AS152" i="40"/>
  <c r="AD166" i="40"/>
  <c r="BS125" i="40"/>
  <c r="BS127" i="40" s="1"/>
  <c r="BH127" i="40"/>
  <c r="AE127" i="40"/>
  <c r="AP125" i="40"/>
  <c r="AP127" i="40" s="1"/>
  <c r="BL125" i="40"/>
  <c r="BL127" i="40" s="1"/>
  <c r="AR129" i="40"/>
  <c r="BP129" i="40" s="1"/>
  <c r="AS129" i="40"/>
  <c r="BQ129" i="40" s="1"/>
  <c r="BJ129" i="40"/>
  <c r="BJ178" i="40" s="1"/>
  <c r="BM131" i="40"/>
  <c r="BM137" i="40" s="1"/>
  <c r="AN137" i="40"/>
  <c r="BJ72" i="40"/>
  <c r="AS72" i="40"/>
  <c r="BQ72" i="40" s="1"/>
  <c r="AR72" i="40"/>
  <c r="BP72" i="40" s="1"/>
  <c r="AR63" i="40"/>
  <c r="BP63" i="40" s="1"/>
  <c r="BJ63" i="40"/>
  <c r="AS63" i="40"/>
  <c r="BQ63" i="40" s="1"/>
  <c r="AP53" i="40"/>
  <c r="BF166" i="40"/>
  <c r="AL166" i="40"/>
  <c r="BS131" i="40"/>
  <c r="BS137" i="40" s="1"/>
  <c r="BH137" i="40"/>
  <c r="AW163" i="40"/>
  <c r="BI163" i="40" s="1"/>
  <c r="AQ139" i="40"/>
  <c r="AS106" i="40"/>
  <c r="BQ106" i="40" s="1"/>
  <c r="BJ106" i="40"/>
  <c r="AR106" i="40"/>
  <c r="AP108" i="40"/>
  <c r="AO102" i="40"/>
  <c r="BK75" i="40"/>
  <c r="BK81" i="40" s="1"/>
  <c r="AO75" i="40"/>
  <c r="AD81" i="40"/>
  <c r="AF75" i="40"/>
  <c r="AN92" i="40"/>
  <c r="BM89" i="40"/>
  <c r="BM92" i="40" s="1"/>
  <c r="AO173" i="40"/>
  <c r="AQ55" i="40"/>
  <c r="BJ95" i="40"/>
  <c r="AS95" i="40"/>
  <c r="BQ95" i="40" s="1"/>
  <c r="AR95" i="40"/>
  <c r="BP95" i="40" s="1"/>
  <c r="BJ117" i="40"/>
  <c r="AR117" i="40"/>
  <c r="AS117" i="40"/>
  <c r="BQ117" i="40" s="1"/>
  <c r="AR113" i="40"/>
  <c r="BP113" i="40" s="1"/>
  <c r="BJ113" i="40"/>
  <c r="AS113" i="40"/>
  <c r="BQ113" i="40" s="1"/>
  <c r="AS110" i="40"/>
  <c r="BQ109" i="40"/>
  <c r="BQ110" i="40" s="1"/>
  <c r="BJ100" i="40"/>
  <c r="AS100" i="40"/>
  <c r="BQ100" i="40" s="1"/>
  <c r="AR100" i="40"/>
  <c r="BP100" i="40" s="1"/>
  <c r="BK82" i="40"/>
  <c r="BK88" i="40" s="1"/>
  <c r="AF82" i="40"/>
  <c r="AO82" i="40"/>
  <c r="AD88" i="40"/>
  <c r="BO178" i="40"/>
  <c r="BO53" i="40"/>
  <c r="BJ76" i="40"/>
  <c r="AS76" i="40"/>
  <c r="BQ76" i="40" s="1"/>
  <c r="AR76" i="40"/>
  <c r="BP76" i="40" s="1"/>
  <c r="AR71" i="40"/>
  <c r="BP71" i="40" s="1"/>
  <c r="BJ71" i="40"/>
  <c r="AS71" i="40"/>
  <c r="BQ71" i="40" s="1"/>
  <c r="BT173" i="40"/>
  <c r="BR178" i="40"/>
  <c r="BJ91" i="40"/>
  <c r="AS91" i="40"/>
  <c r="BQ91" i="40" s="1"/>
  <c r="AR91" i="40"/>
  <c r="BP91" i="40" s="1"/>
  <c r="AQ63" i="40"/>
  <c r="BU178" i="40"/>
  <c r="BU53" i="40"/>
  <c r="AO51" i="40"/>
  <c r="AQ45" i="40"/>
  <c r="AS59" i="40"/>
  <c r="BQ59" i="40" s="1"/>
  <c r="AR59" i="40"/>
  <c r="BP59" i="40" s="1"/>
  <c r="BJ59" i="40"/>
  <c r="AQ122" i="40"/>
  <c r="AO92" i="40"/>
  <c r="AQ89" i="40"/>
  <c r="AW79" i="40"/>
  <c r="BI79" i="40" s="1"/>
  <c r="BH173" i="40"/>
  <c r="BS55" i="40"/>
  <c r="BS173" i="40" s="1"/>
  <c r="AN178" i="40"/>
  <c r="AN53" i="40"/>
  <c r="BM52" i="40"/>
  <c r="BK39" i="40"/>
  <c r="BK44" i="40" s="1"/>
  <c r="AO39" i="40"/>
  <c r="AO171" i="40" s="1"/>
  <c r="AD44" i="40"/>
  <c r="AF39" i="40"/>
  <c r="BN177" i="40"/>
  <c r="BN170" i="40"/>
  <c r="BN15" i="40"/>
  <c r="AN74" i="40"/>
  <c r="BK178" i="40"/>
  <c r="AN38" i="40"/>
  <c r="AV176" i="40"/>
  <c r="AV169" i="40" s="1"/>
  <c r="AN23" i="40"/>
  <c r="BJ46" i="40"/>
  <c r="AR46" i="40"/>
  <c r="BP46" i="40" s="1"/>
  <c r="AS46" i="40"/>
  <c r="BQ46" i="40" s="1"/>
  <c r="AS43" i="40"/>
  <c r="BQ43" i="40" s="1"/>
  <c r="AR43" i="40"/>
  <c r="BP43" i="40" s="1"/>
  <c r="BJ43" i="40"/>
  <c r="AN177" i="40"/>
  <c r="AS16" i="40"/>
  <c r="BJ16" i="40"/>
  <c r="AF19" i="40"/>
  <c r="AR16" i="40"/>
  <c r="AP15" i="40"/>
  <c r="BT178" i="40"/>
  <c r="BT53" i="40"/>
  <c r="AN51" i="40"/>
  <c r="BT171" i="40"/>
  <c r="BL20" i="40"/>
  <c r="BL23" i="40" s="1"/>
  <c r="AP20" i="40"/>
  <c r="AE23" i="40"/>
  <c r="AD170" i="40"/>
  <c r="AD15" i="40"/>
  <c r="AF12" i="40"/>
  <c r="BK12" i="40"/>
  <c r="AO12" i="40"/>
  <c r="AW58" i="40"/>
  <c r="BI58" i="40" s="1"/>
  <c r="BJ17" i="40"/>
  <c r="AS17" i="40"/>
  <c r="BQ17" i="40" s="1"/>
  <c r="AR17" i="40"/>
  <c r="BP17" i="40" s="1"/>
  <c r="BH155" i="40"/>
  <c r="BS152" i="40"/>
  <c r="BS155" i="40" s="1"/>
  <c r="AW159" i="40"/>
  <c r="BI159" i="40" s="1"/>
  <c r="AR128" i="40"/>
  <c r="AR178" i="40" s="1"/>
  <c r="AF130" i="40"/>
  <c r="BJ128" i="40"/>
  <c r="AS128" i="40"/>
  <c r="AO130" i="40"/>
  <c r="AQ128" i="40"/>
  <c r="BJ143" i="40"/>
  <c r="AS143" i="40"/>
  <c r="BQ143" i="40" s="1"/>
  <c r="AR143" i="40"/>
  <c r="BP143" i="40" s="1"/>
  <c r="AN118" i="40"/>
  <c r="AO172" i="40"/>
  <c r="AO38" i="40"/>
  <c r="AQ33" i="40"/>
  <c r="BL157" i="40"/>
  <c r="BL161" i="40" s="1"/>
  <c r="AP157" i="40"/>
  <c r="AQ157" i="40" s="1"/>
  <c r="AF157" i="40"/>
  <c r="BM145" i="40"/>
  <c r="BM151" i="40" s="1"/>
  <c r="AN151" i="40"/>
  <c r="AO155" i="40"/>
  <c r="AQ152" i="40"/>
  <c r="AO165" i="40"/>
  <c r="AQ162" i="40"/>
  <c r="AQ160" i="40"/>
  <c r="AW160" i="40" s="1"/>
  <c r="BI160" i="40" s="1"/>
  <c r="AF145" i="40"/>
  <c r="AR146" i="40"/>
  <c r="BP146" i="40" s="1"/>
  <c r="AS146" i="40"/>
  <c r="BQ146" i="40" s="1"/>
  <c r="BJ146" i="40"/>
  <c r="AM166" i="40"/>
  <c r="BO167" i="40" s="1"/>
  <c r="BJ164" i="40"/>
  <c r="AS164" i="40"/>
  <c r="BQ164" i="40" s="1"/>
  <c r="AR164" i="40"/>
  <c r="BP164" i="40" s="1"/>
  <c r="BJ138" i="40"/>
  <c r="AF144" i="40"/>
  <c r="AS138" i="40"/>
  <c r="AR138" i="40"/>
  <c r="AW140" i="40"/>
  <c r="BI140" i="40" s="1"/>
  <c r="AW132" i="40"/>
  <c r="BI132" i="40" s="1"/>
  <c r="AQ133" i="40"/>
  <c r="AW133" i="40" s="1"/>
  <c r="BI133" i="40" s="1"/>
  <c r="AP129" i="40"/>
  <c r="AP130" i="40" s="1"/>
  <c r="BL129" i="40"/>
  <c r="BL130" i="40" s="1"/>
  <c r="AW138" i="40"/>
  <c r="AQ144" i="40"/>
  <c r="BJ135" i="40"/>
  <c r="AR135" i="40"/>
  <c r="BP135" i="40" s="1"/>
  <c r="AS135" i="40"/>
  <c r="BQ135" i="40" s="1"/>
  <c r="AS139" i="40"/>
  <c r="BQ139" i="40" s="1"/>
  <c r="BJ139" i="40"/>
  <c r="AR139" i="40"/>
  <c r="BP139" i="40" s="1"/>
  <c r="AO110" i="40"/>
  <c r="AQ109" i="40"/>
  <c r="AR131" i="40"/>
  <c r="BJ131" i="40"/>
  <c r="AS131" i="40"/>
  <c r="AF137" i="40"/>
  <c r="AE108" i="40"/>
  <c r="BL108" i="40"/>
  <c r="BH124" i="40"/>
  <c r="AF99" i="40"/>
  <c r="BK69" i="40"/>
  <c r="BK74" i="40" s="1"/>
  <c r="AO69" i="40"/>
  <c r="AQ69" i="40" s="1"/>
  <c r="AF69" i="40"/>
  <c r="BH108" i="40"/>
  <c r="BS103" i="40"/>
  <c r="BS108" i="40" s="1"/>
  <c r="AQ64" i="40"/>
  <c r="AW64" i="40" s="1"/>
  <c r="BI64" i="40" s="1"/>
  <c r="AD173" i="40"/>
  <c r="BQ119" i="40"/>
  <c r="BQ124" i="40" s="1"/>
  <c r="AS124" i="40"/>
  <c r="AN155" i="40"/>
  <c r="AS142" i="40"/>
  <c r="BQ142" i="40" s="1"/>
  <c r="AR142" i="40"/>
  <c r="BP142" i="40" s="1"/>
  <c r="BJ142" i="40"/>
  <c r="AR116" i="40"/>
  <c r="BP116" i="40" s="1"/>
  <c r="AS116" i="40"/>
  <c r="BQ116" i="40" s="1"/>
  <c r="BJ116" i="40"/>
  <c r="BO173" i="40"/>
  <c r="BH60" i="40"/>
  <c r="BS54" i="40"/>
  <c r="AE178" i="40"/>
  <c r="BH81" i="40"/>
  <c r="BS75" i="40"/>
  <c r="BS81" i="40" s="1"/>
  <c r="BJ58" i="40"/>
  <c r="AR58" i="40"/>
  <c r="BP58" i="40" s="1"/>
  <c r="AS58" i="40"/>
  <c r="BQ58" i="40" s="1"/>
  <c r="BK172" i="40"/>
  <c r="BK38" i="40"/>
  <c r="AN88" i="40"/>
  <c r="BL173" i="40"/>
  <c r="AE44" i="40"/>
  <c r="BL39" i="40"/>
  <c r="BL44" i="40" s="1"/>
  <c r="AP39" i="40"/>
  <c r="AP44" i="40" s="1"/>
  <c r="BS89" i="40"/>
  <c r="BS92" i="40" s="1"/>
  <c r="BH92" i="40"/>
  <c r="BH177" i="40"/>
  <c r="BS30" i="40"/>
  <c r="BS177" i="40" s="1"/>
  <c r="AL169" i="40"/>
  <c r="AN168" i="40" s="1"/>
  <c r="AQ77" i="40"/>
  <c r="AW77" i="40" s="1"/>
  <c r="BI77" i="40" s="1"/>
  <c r="BP52" i="40"/>
  <c r="AR53" i="40"/>
  <c r="AW49" i="40"/>
  <c r="BI49" i="40" s="1"/>
  <c r="AN172" i="40"/>
  <c r="BR179" i="40"/>
  <c r="BR25" i="40"/>
  <c r="BM23" i="40"/>
  <c r="AR45" i="40"/>
  <c r="BJ45" i="40"/>
  <c r="BJ51" i="40" s="1"/>
  <c r="AS45" i="40"/>
  <c r="AF51" i="40"/>
  <c r="AQ29" i="40"/>
  <c r="AW29" i="40" s="1"/>
  <c r="BI29" i="40" s="1"/>
  <c r="AE179" i="40"/>
  <c r="BL24" i="40"/>
  <c r="AP24" i="40"/>
  <c r="AE25" i="40"/>
  <c r="AE19" i="40"/>
  <c r="AP16" i="40"/>
  <c r="BL16" i="40"/>
  <c r="BL19" i="40" s="1"/>
  <c r="AS36" i="40"/>
  <c r="BQ36" i="40" s="1"/>
  <c r="AR36" i="40"/>
  <c r="BP36" i="40" s="1"/>
  <c r="BJ36" i="40"/>
  <c r="AE170" i="40"/>
  <c r="BH178" i="40"/>
  <c r="BH53" i="40"/>
  <c r="BS52" i="40"/>
  <c r="BM51" i="40"/>
  <c r="BO179" i="40"/>
  <c r="AD176" i="40"/>
  <c r="AF14" i="40"/>
  <c r="BK14" i="40"/>
  <c r="BK176" i="40" s="1"/>
  <c r="AO14" i="40"/>
  <c r="BN179" i="40"/>
  <c r="BN25" i="40"/>
  <c r="AN170" i="40"/>
  <c r="AN15" i="40"/>
  <c r="BM12" i="40"/>
  <c r="AW40" i="40"/>
  <c r="BI40" i="40" s="1"/>
  <c r="AE15" i="40"/>
  <c r="AO32" i="40"/>
  <c r="AQ26" i="40"/>
  <c r="AF107" i="39"/>
  <c r="AE114" i="39"/>
  <c r="AP108" i="39"/>
  <c r="AP114" i="39" s="1"/>
  <c r="BL108" i="39"/>
  <c r="BL114" i="39" s="1"/>
  <c r="AQ41" i="39"/>
  <c r="AW41" i="39" s="1"/>
  <c r="BI41" i="39" s="1"/>
  <c r="AF34" i="39"/>
  <c r="BK34" i="39"/>
  <c r="AO34" i="39"/>
  <c r="AQ34" i="39" s="1"/>
  <c r="AO137" i="39"/>
  <c r="AQ12" i="39"/>
  <c r="AO13" i="39"/>
  <c r="AP36" i="39"/>
  <c r="AQ31" i="39"/>
  <c r="AE134" i="39"/>
  <c r="BL17" i="39"/>
  <c r="BL134" i="39" s="1"/>
  <c r="AP17" i="39"/>
  <c r="AP134" i="39" s="1"/>
  <c r="AR46" i="39"/>
  <c r="BP45" i="39"/>
  <c r="BP46" i="39" s="1"/>
  <c r="BU135" i="39"/>
  <c r="BL137" i="39"/>
  <c r="BL13" i="39"/>
  <c r="AF56" i="39"/>
  <c r="AR51" i="39"/>
  <c r="AS51" i="39"/>
  <c r="BJ51" i="39"/>
  <c r="AE131" i="39"/>
  <c r="BL25" i="39"/>
  <c r="AP25" i="39"/>
  <c r="AE30" i="39"/>
  <c r="BF127" i="39"/>
  <c r="BK118" i="39"/>
  <c r="BV125" i="39"/>
  <c r="AR119" i="39"/>
  <c r="AF123" i="39"/>
  <c r="BJ119" i="39"/>
  <c r="AS119" i="39"/>
  <c r="AQ101" i="39"/>
  <c r="AM124" i="39"/>
  <c r="BO125" i="39" s="1"/>
  <c r="AR89" i="39"/>
  <c r="BJ89" i="39"/>
  <c r="AS89" i="39"/>
  <c r="BQ89" i="39" s="1"/>
  <c r="AF104" i="39"/>
  <c r="AO104" i="39"/>
  <c r="AQ104" i="39" s="1"/>
  <c r="BK104" i="39"/>
  <c r="AN86" i="39"/>
  <c r="BL123" i="39"/>
  <c r="BJ109" i="39"/>
  <c r="AS109" i="39"/>
  <c r="BQ109" i="39" s="1"/>
  <c r="AR109" i="39"/>
  <c r="BP109" i="39" s="1"/>
  <c r="AS103" i="39"/>
  <c r="BQ103" i="39" s="1"/>
  <c r="AR103" i="39"/>
  <c r="BJ103" i="39"/>
  <c r="BQ101" i="39"/>
  <c r="BT107" i="39"/>
  <c r="BL73" i="39"/>
  <c r="BL79" i="39" s="1"/>
  <c r="AE79" i="39"/>
  <c r="AP73" i="39"/>
  <c r="AP79" i="39" s="1"/>
  <c r="BJ82" i="39"/>
  <c r="AS82" i="39"/>
  <c r="BQ82" i="39" s="1"/>
  <c r="AR82" i="39"/>
  <c r="BP82" i="39" s="1"/>
  <c r="BJ70" i="39"/>
  <c r="AS70" i="39"/>
  <c r="BQ70" i="39" s="1"/>
  <c r="AR70" i="39"/>
  <c r="BP70" i="39" s="1"/>
  <c r="AR113" i="39"/>
  <c r="BP113" i="39" s="1"/>
  <c r="BJ113" i="39"/>
  <c r="AS113" i="39"/>
  <c r="BQ113" i="39" s="1"/>
  <c r="AP62" i="39"/>
  <c r="AQ62" i="39" s="1"/>
  <c r="BL62" i="39"/>
  <c r="BL65" i="39" s="1"/>
  <c r="AF62" i="39"/>
  <c r="AR78" i="39"/>
  <c r="BP78" i="39" s="1"/>
  <c r="AS78" i="39"/>
  <c r="BQ78" i="39" s="1"/>
  <c r="BJ78" i="39"/>
  <c r="AQ66" i="39"/>
  <c r="BU136" i="39"/>
  <c r="AQ108" i="39"/>
  <c r="AO114" i="39"/>
  <c r="BH86" i="39"/>
  <c r="AR69" i="39"/>
  <c r="BP69" i="39" s="1"/>
  <c r="AS69" i="39"/>
  <c r="BQ69" i="39" s="1"/>
  <c r="BJ69" i="39"/>
  <c r="BT136" i="39"/>
  <c r="BT44" i="39"/>
  <c r="BJ76" i="39"/>
  <c r="AS76" i="39"/>
  <c r="BQ76" i="39" s="1"/>
  <c r="AR76" i="39"/>
  <c r="BP76" i="39" s="1"/>
  <c r="BS57" i="39"/>
  <c r="BS58" i="39" s="1"/>
  <c r="BH58" i="39"/>
  <c r="BJ31" i="39"/>
  <c r="AR31" i="39"/>
  <c r="AS31" i="39"/>
  <c r="AL127" i="39"/>
  <c r="AN126" i="39" s="1"/>
  <c r="AE65" i="39"/>
  <c r="AW64" i="39"/>
  <c r="BI64" i="39" s="1"/>
  <c r="AW55" i="39"/>
  <c r="BI55" i="39" s="1"/>
  <c r="AS47" i="39"/>
  <c r="BJ47" i="39"/>
  <c r="AR47" i="39"/>
  <c r="AF50" i="39"/>
  <c r="AO58" i="39"/>
  <c r="AQ57" i="39"/>
  <c r="BS45" i="39"/>
  <c r="BH46" i="39"/>
  <c r="AN72" i="39"/>
  <c r="BM66" i="39"/>
  <c r="BM72" i="39" s="1"/>
  <c r="BK36" i="39"/>
  <c r="BH136" i="39"/>
  <c r="BM135" i="39"/>
  <c r="AE18" i="39"/>
  <c r="AP137" i="39"/>
  <c r="AP13" i="39"/>
  <c r="BR129" i="39"/>
  <c r="BR24" i="39"/>
  <c r="AW15" i="39"/>
  <c r="BI15" i="39" s="1"/>
  <c r="AQ38" i="39"/>
  <c r="BK129" i="39"/>
  <c r="BK24" i="39"/>
  <c r="BU128" i="39"/>
  <c r="BU18" i="39"/>
  <c r="AR35" i="39"/>
  <c r="BP35" i="39" s="1"/>
  <c r="BJ35" i="39"/>
  <c r="AS35" i="39"/>
  <c r="BQ35" i="39" s="1"/>
  <c r="AN137" i="39"/>
  <c r="AN13" i="39"/>
  <c r="BM12" i="39"/>
  <c r="AN24" i="39"/>
  <c r="BL16" i="39"/>
  <c r="AP16" i="39"/>
  <c r="AQ16" i="39" s="1"/>
  <c r="AW16" i="39" s="1"/>
  <c r="BI16" i="39" s="1"/>
  <c r="BJ21" i="39"/>
  <c r="AS21" i="39"/>
  <c r="BQ21" i="39" s="1"/>
  <c r="AR21" i="39"/>
  <c r="BP21" i="39" s="1"/>
  <c r="AO118" i="39"/>
  <c r="AQ115" i="39"/>
  <c r="V124" i="39"/>
  <c r="AG125" i="39" s="1"/>
  <c r="BS119" i="39"/>
  <c r="BS123" i="39" s="1"/>
  <c r="BH123" i="39"/>
  <c r="BK107" i="39"/>
  <c r="AS115" i="39"/>
  <c r="AR115" i="39"/>
  <c r="AF118" i="39"/>
  <c r="BJ115" i="39"/>
  <c r="BJ118" i="39" s="1"/>
  <c r="BJ87" i="39"/>
  <c r="AS87" i="39"/>
  <c r="AR87" i="39"/>
  <c r="AF93" i="39"/>
  <c r="BJ110" i="39"/>
  <c r="AS110" i="39"/>
  <c r="BQ110" i="39" s="1"/>
  <c r="AR110" i="39"/>
  <c r="BP110" i="39" s="1"/>
  <c r="AN100" i="39"/>
  <c r="BM94" i="39"/>
  <c r="BM100" i="39" s="1"/>
  <c r="AP123" i="39"/>
  <c r="AQ109" i="39"/>
  <c r="BH107" i="39"/>
  <c r="BS101" i="39"/>
  <c r="BS107" i="39" s="1"/>
  <c r="AS80" i="39"/>
  <c r="BJ80" i="39"/>
  <c r="AR80" i="39"/>
  <c r="AF86" i="39"/>
  <c r="AW91" i="39"/>
  <c r="BI91" i="39" s="1"/>
  <c r="AS74" i="39"/>
  <c r="BQ74" i="39" s="1"/>
  <c r="AR74" i="39"/>
  <c r="BP74" i="39" s="1"/>
  <c r="BJ74" i="39"/>
  <c r="AN65" i="39"/>
  <c r="BM59" i="39"/>
  <c r="BM65" i="39" s="1"/>
  <c r="BK114" i="39"/>
  <c r="BS86" i="39"/>
  <c r="AQ69" i="39"/>
  <c r="AW69" i="39" s="1"/>
  <c r="BI69" i="39" s="1"/>
  <c r="AW76" i="39"/>
  <c r="BI76" i="39" s="1"/>
  <c r="AP56" i="39"/>
  <c r="AD136" i="39"/>
  <c r="AF43" i="39"/>
  <c r="AD44" i="39"/>
  <c r="AO43" i="39"/>
  <c r="BK43" i="39"/>
  <c r="BO135" i="39"/>
  <c r="BK67" i="39"/>
  <c r="BK72" i="39" s="1"/>
  <c r="AF67" i="39"/>
  <c r="AO67" i="39"/>
  <c r="AQ67" i="39" s="1"/>
  <c r="AP65" i="39"/>
  <c r="BO136" i="39"/>
  <c r="BJ40" i="39"/>
  <c r="AS40" i="39"/>
  <c r="BQ40" i="39" s="1"/>
  <c r="AR40" i="39"/>
  <c r="BJ52" i="39"/>
  <c r="AS52" i="39"/>
  <c r="BQ52" i="39" s="1"/>
  <c r="AR52" i="39"/>
  <c r="BP52" i="39" s="1"/>
  <c r="BN134" i="39"/>
  <c r="BT129" i="39"/>
  <c r="BT24" i="39"/>
  <c r="AE135" i="39"/>
  <c r="BL22" i="39"/>
  <c r="BL135" i="39" s="1"/>
  <c r="AP22" i="39"/>
  <c r="AP135" i="39" s="1"/>
  <c r="AF22" i="39"/>
  <c r="BS130" i="39"/>
  <c r="BS42" i="39"/>
  <c r="AO135" i="39"/>
  <c r="AQ22" i="39"/>
  <c r="BJ38" i="39"/>
  <c r="AS38" i="39"/>
  <c r="BQ38" i="39" s="1"/>
  <c r="AR38" i="39"/>
  <c r="BP38" i="39" s="1"/>
  <c r="AP18" i="39"/>
  <c r="BR131" i="39"/>
  <c r="BR30" i="39"/>
  <c r="AR20" i="39"/>
  <c r="BP20" i="39" s="1"/>
  <c r="AS20" i="39"/>
  <c r="BQ20" i="39" s="1"/>
  <c r="BJ20" i="39"/>
  <c r="AE129" i="39"/>
  <c r="AE127" i="39" s="1"/>
  <c r="BL19" i="39"/>
  <c r="AP19" i="39"/>
  <c r="AE24" i="39"/>
  <c r="BG127" i="39"/>
  <c r="AR61" i="39"/>
  <c r="BP61" i="39" s="1"/>
  <c r="BJ61" i="39"/>
  <c r="AS61" i="39"/>
  <c r="BQ61" i="39" s="1"/>
  <c r="BT50" i="39"/>
  <c r="AR33" i="39"/>
  <c r="BP33" i="39" s="1"/>
  <c r="BJ33" i="39"/>
  <c r="AS33" i="39"/>
  <c r="BQ33" i="39" s="1"/>
  <c r="AN129" i="39"/>
  <c r="BK137" i="39"/>
  <c r="BK13" i="39"/>
  <c r="AS16" i="39"/>
  <c r="BQ16" i="39" s="1"/>
  <c r="AR16" i="39"/>
  <c r="BP16" i="39" s="1"/>
  <c r="BJ16" i="39"/>
  <c r="BH118" i="39"/>
  <c r="BS115" i="39"/>
  <c r="BS118" i="39" s="1"/>
  <c r="AE124" i="39"/>
  <c r="BL125" i="39" s="1"/>
  <c r="BL94" i="39"/>
  <c r="BL100" i="39" s="1"/>
  <c r="AP94" i="39"/>
  <c r="AE100" i="39"/>
  <c r="BS73" i="39"/>
  <c r="BS79" i="39" s="1"/>
  <c r="BH79" i="39"/>
  <c r="AW82" i="39"/>
  <c r="BI82" i="39" s="1"/>
  <c r="AO93" i="39"/>
  <c r="AQ87" i="39"/>
  <c r="AD65" i="39"/>
  <c r="BK59" i="39"/>
  <c r="BK65" i="39" s="1"/>
  <c r="AF59" i="39"/>
  <c r="AO59" i="39"/>
  <c r="BN128" i="39"/>
  <c r="BN18" i="39"/>
  <c r="AD131" i="39"/>
  <c r="AD30" i="39"/>
  <c r="BK25" i="39"/>
  <c r="AO25" i="39"/>
  <c r="AF25" i="39"/>
  <c r="AQ112" i="39"/>
  <c r="BT86" i="39"/>
  <c r="BJ102" i="39"/>
  <c r="AS102" i="39"/>
  <c r="BQ102" i="39" s="1"/>
  <c r="AR102" i="39"/>
  <c r="BP102" i="39" s="1"/>
  <c r="AQ117" i="39"/>
  <c r="BH100" i="39"/>
  <c r="BJ83" i="39"/>
  <c r="AS83" i="39"/>
  <c r="BQ83" i="39" s="1"/>
  <c r="AR83" i="39"/>
  <c r="BP83" i="39" s="1"/>
  <c r="BJ106" i="39"/>
  <c r="AS106" i="39"/>
  <c r="BQ106" i="39" s="1"/>
  <c r="AR106" i="39"/>
  <c r="BP106" i="39" s="1"/>
  <c r="BT65" i="39"/>
  <c r="AN93" i="39"/>
  <c r="BM87" i="39"/>
  <c r="BM93" i="39" s="1"/>
  <c r="AF108" i="39"/>
  <c r="BL86" i="39"/>
  <c r="AF73" i="39"/>
  <c r="AO73" i="39"/>
  <c r="AD79" i="39"/>
  <c r="AD124" i="39" s="1"/>
  <c r="BK73" i="39"/>
  <c r="BK79" i="39" s="1"/>
  <c r="BJ27" i="39"/>
  <c r="AS27" i="39"/>
  <c r="BQ27" i="39" s="1"/>
  <c r="AR27" i="39"/>
  <c r="BP27" i="39" s="1"/>
  <c r="BT130" i="39"/>
  <c r="BT42" i="39"/>
  <c r="AQ45" i="39"/>
  <c r="AO46" i="39"/>
  <c r="BH56" i="39"/>
  <c r="BS51" i="39"/>
  <c r="BS56" i="39" s="1"/>
  <c r="BN136" i="39"/>
  <c r="BN44" i="39"/>
  <c r="BN129" i="39"/>
  <c r="BN24" i="39"/>
  <c r="AN128" i="39"/>
  <c r="BM14" i="39"/>
  <c r="AN18" i="39"/>
  <c r="AW33" i="39"/>
  <c r="BI33" i="39" s="1"/>
  <c r="BR134" i="39"/>
  <c r="BH42" i="39"/>
  <c r="BM31" i="39"/>
  <c r="AN36" i="39"/>
  <c r="BU131" i="39"/>
  <c r="BU30" i="39"/>
  <c r="BK135" i="39"/>
  <c r="AF129" i="39"/>
  <c r="AF24" i="39"/>
  <c r="AS19" i="39"/>
  <c r="AR19" i="39"/>
  <c r="BJ19" i="39"/>
  <c r="BN137" i="39"/>
  <c r="BN13" i="39"/>
  <c r="BH36" i="39"/>
  <c r="BS31" i="39"/>
  <c r="BS36" i="39" s="1"/>
  <c r="BH135" i="39"/>
  <c r="BS22" i="39"/>
  <c r="BS135" i="39" s="1"/>
  <c r="AD128" i="39"/>
  <c r="BK14" i="39"/>
  <c r="AO14" i="39"/>
  <c r="AF14" i="39"/>
  <c r="AD18" i="39"/>
  <c r="AS32" i="39"/>
  <c r="BQ32" i="39" s="1"/>
  <c r="BJ32" i="39"/>
  <c r="AR32" i="39"/>
  <c r="BP32" i="39" s="1"/>
  <c r="BL130" i="39"/>
  <c r="BL42" i="39"/>
  <c r="AO36" i="39"/>
  <c r="AW20" i="39"/>
  <c r="BI20" i="39" s="1"/>
  <c r="AO56" i="39"/>
  <c r="AQ51" i="39"/>
  <c r="BH50" i="39"/>
  <c r="BS47" i="39"/>
  <c r="BS50" i="39" s="1"/>
  <c r="AQ32" i="39"/>
  <c r="AW32" i="39" s="1"/>
  <c r="BI32" i="39" s="1"/>
  <c r="BR128" i="39"/>
  <c r="BR127" i="39" s="1"/>
  <c r="AF137" i="39"/>
  <c r="BJ12" i="39"/>
  <c r="AS12" i="39"/>
  <c r="AF13" i="39"/>
  <c r="AR12" i="39"/>
  <c r="AQ119" i="39"/>
  <c r="AO123" i="39"/>
  <c r="BS44" i="39"/>
  <c r="BM101" i="39"/>
  <c r="BM107" i="39" s="1"/>
  <c r="AN107" i="39"/>
  <c r="BH114" i="39"/>
  <c r="AF94" i="39"/>
  <c r="BJ90" i="39"/>
  <c r="AS90" i="39"/>
  <c r="BQ90" i="39" s="1"/>
  <c r="AR90" i="39"/>
  <c r="BP90" i="39" s="1"/>
  <c r="AV125" i="39"/>
  <c r="AP107" i="39"/>
  <c r="BF124" i="39"/>
  <c r="BT114" i="39"/>
  <c r="AQ105" i="39"/>
  <c r="BM86" i="39"/>
  <c r="AQ81" i="39"/>
  <c r="AP72" i="39"/>
  <c r="AO100" i="39"/>
  <c r="AQ74" i="39"/>
  <c r="AQ116" i="39"/>
  <c r="AQ54" i="39"/>
  <c r="AW54" i="39" s="1"/>
  <c r="BI54" i="39" s="1"/>
  <c r="BJ85" i="39"/>
  <c r="AS85" i="39"/>
  <c r="BQ85" i="39" s="1"/>
  <c r="AR85" i="39"/>
  <c r="BP85" i="39" s="1"/>
  <c r="BO131" i="39"/>
  <c r="BO30" i="39"/>
  <c r="AS60" i="39"/>
  <c r="BQ60" i="39" s="1"/>
  <c r="AR60" i="39"/>
  <c r="BP60" i="39" s="1"/>
  <c r="BJ60" i="39"/>
  <c r="BM136" i="39"/>
  <c r="BM44" i="39"/>
  <c r="BH65" i="39"/>
  <c r="BM130" i="39"/>
  <c r="BM42" i="39"/>
  <c r="AW88" i="39"/>
  <c r="BI88" i="39" s="1"/>
  <c r="BT56" i="39"/>
  <c r="AQ47" i="39"/>
  <c r="AO50" i="39"/>
  <c r="BH129" i="39"/>
  <c r="BH24" i="39"/>
  <c r="BS19" i="39"/>
  <c r="W127" i="39"/>
  <c r="BH131" i="39"/>
  <c r="BH30" i="39"/>
  <c r="BS25" i="39"/>
  <c r="BO128" i="39"/>
  <c r="BH130" i="39"/>
  <c r="AD135" i="39"/>
  <c r="BH134" i="39"/>
  <c r="BS17" i="39"/>
  <c r="BS134" i="39" s="1"/>
  <c r="AE136" i="39"/>
  <c r="AE44" i="39"/>
  <c r="AP43" i="39"/>
  <c r="BL43" i="39"/>
  <c r="AW28" i="39"/>
  <c r="BI28" i="39" s="1"/>
  <c r="AN135" i="39"/>
  <c r="V127" i="39"/>
  <c r="BJ92" i="39"/>
  <c r="AS92" i="39"/>
  <c r="BQ92" i="39" s="1"/>
  <c r="AR92" i="39"/>
  <c r="BP92" i="39" s="1"/>
  <c r="AS54" i="39"/>
  <c r="BQ54" i="39" s="1"/>
  <c r="AR54" i="39"/>
  <c r="BP54" i="39" s="1"/>
  <c r="BJ54" i="39"/>
  <c r="BJ49" i="39"/>
  <c r="AS49" i="39"/>
  <c r="BQ49" i="39" s="1"/>
  <c r="AR49" i="39"/>
  <c r="BP49" i="39" s="1"/>
  <c r="AP130" i="39"/>
  <c r="AP42" i="39"/>
  <c r="BM134" i="39"/>
  <c r="BK56" i="39"/>
  <c r="BU129" i="39"/>
  <c r="BU24" i="39"/>
  <c r="AD134" i="39"/>
  <c r="BK17" i="39"/>
  <c r="BK134" i="39" s="1"/>
  <c r="AO17" i="39"/>
  <c r="AF17" i="39"/>
  <c r="BH128" i="39"/>
  <c r="BH18" i="39"/>
  <c r="BS14" i="39"/>
  <c r="BR18" i="39"/>
  <c r="AN123" i="39"/>
  <c r="AN124" i="39" s="1"/>
  <c r="BM119" i="39"/>
  <c r="BM123" i="39" s="1"/>
  <c r="BH93" i="39"/>
  <c r="AN118" i="39"/>
  <c r="AS66" i="39"/>
  <c r="AF72" i="39"/>
  <c r="AR66" i="39"/>
  <c r="BJ66" i="39"/>
  <c r="AS98" i="39"/>
  <c r="BQ98" i="39" s="1"/>
  <c r="AR98" i="39"/>
  <c r="BP98" i="39" s="1"/>
  <c r="BJ98" i="39"/>
  <c r="AW113" i="39"/>
  <c r="BI113" i="39" s="1"/>
  <c r="BR62" i="39"/>
  <c r="BR65" i="39" s="1"/>
  <c r="BR124" i="39" s="1"/>
  <c r="AV65" i="39"/>
  <c r="AV124" i="39" s="1"/>
  <c r="BR125" i="39" s="1"/>
  <c r="AS77" i="39"/>
  <c r="BQ77" i="39" s="1"/>
  <c r="BJ77" i="39"/>
  <c r="AR77" i="39"/>
  <c r="BP77" i="39" s="1"/>
  <c r="AD130" i="39"/>
  <c r="AD42" i="39"/>
  <c r="AF37" i="39"/>
  <c r="AO37" i="39"/>
  <c r="BK37" i="39"/>
  <c r="AO86" i="39"/>
  <c r="AS57" i="39"/>
  <c r="AR57" i="39"/>
  <c r="BJ57" i="39"/>
  <c r="BJ58" i="39" s="1"/>
  <c r="AF58" i="39"/>
  <c r="BO137" i="39"/>
  <c r="BO13" i="39"/>
  <c r="BO114" i="39"/>
  <c r="BO124" i="39" s="1"/>
  <c r="BM73" i="39"/>
  <c r="BM79" i="39" s="1"/>
  <c r="AN79" i="39"/>
  <c r="BS114" i="39"/>
  <c r="AS120" i="39"/>
  <c r="BQ120" i="39" s="1"/>
  <c r="BJ120" i="39"/>
  <c r="AR120" i="39"/>
  <c r="BP120" i="39" s="1"/>
  <c r="BT93" i="39"/>
  <c r="BT124" i="39" s="1"/>
  <c r="AR75" i="39"/>
  <c r="BP75" i="39" s="1"/>
  <c r="AS75" i="39"/>
  <c r="BQ75" i="39" s="1"/>
  <c r="BJ75" i="39"/>
  <c r="BJ84" i="39"/>
  <c r="AS84" i="39"/>
  <c r="BQ84" i="39" s="1"/>
  <c r="AR84" i="39"/>
  <c r="BP84" i="39" s="1"/>
  <c r="AL124" i="39"/>
  <c r="AS117" i="39"/>
  <c r="BQ117" i="39" s="1"/>
  <c r="AR117" i="39"/>
  <c r="BP117" i="39" s="1"/>
  <c r="BJ117" i="39"/>
  <c r="BG124" i="39"/>
  <c r="BJ121" i="39"/>
  <c r="AR121" i="39"/>
  <c r="BP121" i="39" s="1"/>
  <c r="AS121" i="39"/>
  <c r="BQ121" i="39" s="1"/>
  <c r="BK123" i="39"/>
  <c r="BG125" i="39"/>
  <c r="BJ105" i="39"/>
  <c r="AS105" i="39"/>
  <c r="BQ105" i="39" s="1"/>
  <c r="AR105" i="39"/>
  <c r="BP105" i="39" s="1"/>
  <c r="BN107" i="39"/>
  <c r="BN124" i="39" s="1"/>
  <c r="BM125" i="39" s="1"/>
  <c r="BM118" i="39"/>
  <c r="BP101" i="39"/>
  <c r="BF125" i="39"/>
  <c r="AS112" i="39"/>
  <c r="BQ112" i="39" s="1"/>
  <c r="AR112" i="39"/>
  <c r="BP112" i="39" s="1"/>
  <c r="BJ112" i="39"/>
  <c r="BJ99" i="39"/>
  <c r="AS99" i="39"/>
  <c r="BQ99" i="39" s="1"/>
  <c r="AR99" i="39"/>
  <c r="BP99" i="39" s="1"/>
  <c r="AR81" i="39"/>
  <c r="BP81" i="39" s="1"/>
  <c r="BJ81" i="39"/>
  <c r="AS81" i="39"/>
  <c r="BQ81" i="39" s="1"/>
  <c r="AQ75" i="39"/>
  <c r="BL93" i="39"/>
  <c r="AR116" i="39"/>
  <c r="BP116" i="39" s="1"/>
  <c r="BJ116" i="39"/>
  <c r="AS116" i="39"/>
  <c r="BQ116" i="39" s="1"/>
  <c r="AS71" i="39"/>
  <c r="BQ71" i="39" s="1"/>
  <c r="BJ71" i="39"/>
  <c r="AR71" i="39"/>
  <c r="BP71" i="39" s="1"/>
  <c r="AW60" i="39"/>
  <c r="BI60" i="39" s="1"/>
  <c r="AW48" i="39"/>
  <c r="BI48" i="39" s="1"/>
  <c r="BL57" i="39"/>
  <c r="BL58" i="39" s="1"/>
  <c r="AP57" i="39"/>
  <c r="AP58" i="39" s="1"/>
  <c r="AE58" i="39"/>
  <c r="AN56" i="39"/>
  <c r="AN130" i="39"/>
  <c r="AD36" i="39"/>
  <c r="AQ86" i="39"/>
  <c r="AQ53" i="39"/>
  <c r="AW53" i="39" s="1"/>
  <c r="BI53" i="39" s="1"/>
  <c r="BO129" i="39"/>
  <c r="BO24" i="39"/>
  <c r="AW68" i="39"/>
  <c r="BI68" i="39" s="1"/>
  <c r="AN131" i="39"/>
  <c r="AN30" i="39"/>
  <c r="BM25" i="39"/>
  <c r="BU137" i="39"/>
  <c r="BU13" i="39"/>
  <c r="BT134" i="39"/>
  <c r="BL36" i="39"/>
  <c r="AR26" i="39"/>
  <c r="BP26" i="39" s="1"/>
  <c r="BJ26" i="39"/>
  <c r="AS26" i="39"/>
  <c r="BQ26" i="39" s="1"/>
  <c r="AV134" i="39"/>
  <c r="AV127" i="39" s="1"/>
  <c r="AO24" i="39"/>
  <c r="BT137" i="39"/>
  <c r="AN134" i="39"/>
  <c r="BT128" i="39"/>
  <c r="BT18" i="39"/>
  <c r="AQ21" i="39"/>
  <c r="AW21" i="39" s="1"/>
  <c r="BI21" i="39" s="1"/>
  <c r="BL139" i="41" l="1"/>
  <c r="X21" i="47"/>
  <c r="BS112" i="42"/>
  <c r="BU199" i="42"/>
  <c r="BN22" i="47" s="1"/>
  <c r="BS209" i="42"/>
  <c r="BH209" i="42"/>
  <c r="BH202" i="42" s="1"/>
  <c r="BU138" i="41"/>
  <c r="BN21" i="47" s="1"/>
  <c r="BS143" i="41"/>
  <c r="BU139" i="41"/>
  <c r="AZ21" i="47"/>
  <c r="BH141" i="41"/>
  <c r="BS60" i="40"/>
  <c r="BU167" i="40"/>
  <c r="AZ20" i="47"/>
  <c r="BU169" i="40"/>
  <c r="BU166" i="40"/>
  <c r="BN20" i="47" s="1"/>
  <c r="BS32" i="40"/>
  <c r="BH126" i="39"/>
  <c r="BS136" i="39"/>
  <c r="BH127" i="39"/>
  <c r="BU124" i="39"/>
  <c r="BN19" i="47" s="1"/>
  <c r="BU125" i="39"/>
  <c r="AZ19" i="47"/>
  <c r="BI249" i="32"/>
  <c r="AS22" i="32"/>
  <c r="BQ18" i="32"/>
  <c r="BQ22" i="32" s="1"/>
  <c r="AW48" i="32"/>
  <c r="BI48" i="32" s="1"/>
  <c r="BP59" i="32"/>
  <c r="BP65" i="32" s="1"/>
  <c r="AR65" i="32"/>
  <c r="AO298" i="32"/>
  <c r="AQ234" i="32"/>
  <c r="AW228" i="32"/>
  <c r="BK306" i="32"/>
  <c r="BK13" i="32"/>
  <c r="BQ66" i="32"/>
  <c r="BQ71" i="32" s="1"/>
  <c r="AS71" i="32"/>
  <c r="AW128" i="32"/>
  <c r="BI128" i="32" s="1"/>
  <c r="AO305" i="32"/>
  <c r="AO109" i="32"/>
  <c r="AQ108" i="32"/>
  <c r="BJ96" i="32"/>
  <c r="AS157" i="32"/>
  <c r="BQ151" i="32"/>
  <c r="BQ157" i="32" s="1"/>
  <c r="AW208" i="32"/>
  <c r="BI208" i="32" s="1"/>
  <c r="AW207" i="32"/>
  <c r="BI207" i="32" s="1"/>
  <c r="AS256" i="32"/>
  <c r="AF262" i="32"/>
  <c r="AR256" i="32"/>
  <c r="BJ256" i="32"/>
  <c r="BJ262" i="32" s="1"/>
  <c r="AW81" i="32"/>
  <c r="BI81" i="32" s="1"/>
  <c r="BL305" i="32"/>
  <c r="BL109" i="32"/>
  <c r="AQ132" i="32"/>
  <c r="AO137" i="32"/>
  <c r="AQ130" i="32"/>
  <c r="AW125" i="32"/>
  <c r="AW148" i="32"/>
  <c r="BI148" i="32" s="1"/>
  <c r="AO178" i="32"/>
  <c r="AQ172" i="32"/>
  <c r="AW272" i="32"/>
  <c r="BI272" i="32" s="1"/>
  <c r="AP297" i="32"/>
  <c r="AP17" i="32"/>
  <c r="AD296" i="32"/>
  <c r="AO107" i="32"/>
  <c r="AQ97" i="32"/>
  <c r="BK120" i="32"/>
  <c r="AR146" i="32"/>
  <c r="BP145" i="32"/>
  <c r="BP146" i="32" s="1"/>
  <c r="AW163" i="32"/>
  <c r="BI163" i="32" s="1"/>
  <c r="AQ263" i="32"/>
  <c r="AO269" i="32"/>
  <c r="AS39" i="32"/>
  <c r="BQ36" i="32"/>
  <c r="BQ39" i="32" s="1"/>
  <c r="AS58" i="32"/>
  <c r="BQ53" i="32"/>
  <c r="BQ58" i="32" s="1"/>
  <c r="BJ302" i="32"/>
  <c r="AF299" i="32"/>
  <c r="BJ99" i="32"/>
  <c r="BJ299" i="32" s="1"/>
  <c r="AS99" i="32"/>
  <c r="AR99" i="32"/>
  <c r="BJ150" i="32"/>
  <c r="BP127" i="32"/>
  <c r="AW127" i="32"/>
  <c r="BI127" i="32" s="1"/>
  <c r="BQ234" i="32"/>
  <c r="AQ238" i="32"/>
  <c r="AW235" i="32"/>
  <c r="BM298" i="32"/>
  <c r="AW93" i="32"/>
  <c r="BI93" i="32" s="1"/>
  <c r="AQ144" i="32"/>
  <c r="AW138" i="32"/>
  <c r="AW105" i="32"/>
  <c r="BI105" i="32" s="1"/>
  <c r="AW134" i="32"/>
  <c r="BI134" i="32" s="1"/>
  <c r="AO164" i="32"/>
  <c r="AQ158" i="32"/>
  <c r="AQ215" i="32"/>
  <c r="AO216" i="32"/>
  <c r="AP35" i="32"/>
  <c r="BJ227" i="32"/>
  <c r="BP18" i="32"/>
  <c r="BP22" i="32" s="1"/>
  <c r="AR22" i="32"/>
  <c r="BM297" i="32"/>
  <c r="BJ65" i="32"/>
  <c r="AW239" i="32"/>
  <c r="AQ245" i="32"/>
  <c r="BP16" i="32"/>
  <c r="AO306" i="32"/>
  <c r="AO13" i="32"/>
  <c r="AQ12" i="32"/>
  <c r="BT296" i="32"/>
  <c r="BP47" i="32"/>
  <c r="AW135" i="32"/>
  <c r="BI135" i="32" s="1"/>
  <c r="BK305" i="32"/>
  <c r="BK109" i="32"/>
  <c r="AR217" i="32"/>
  <c r="AF220" i="32"/>
  <c r="BJ217" i="32"/>
  <c r="BJ220" i="32" s="1"/>
  <c r="AS217" i="32"/>
  <c r="AQ27" i="32"/>
  <c r="AS44" i="32"/>
  <c r="AF45" i="32"/>
  <c r="BJ44" i="32"/>
  <c r="BJ45" i="32" s="1"/>
  <c r="AR44" i="32"/>
  <c r="AR303" i="32" s="1"/>
  <c r="AW176" i="32"/>
  <c r="BI176" i="32" s="1"/>
  <c r="AR199" i="32"/>
  <c r="BP196" i="32"/>
  <c r="BP199" i="32" s="1"/>
  <c r="AW232" i="32"/>
  <c r="BI232" i="32" s="1"/>
  <c r="AR290" i="32"/>
  <c r="BP284" i="32"/>
  <c r="BP290" i="32" s="1"/>
  <c r="AE296" i="32"/>
  <c r="AF31" i="32"/>
  <c r="BJ28" i="32"/>
  <c r="BJ31" i="32" s="1"/>
  <c r="AS28" i="32"/>
  <c r="AR28" i="32"/>
  <c r="AF107" i="32"/>
  <c r="BJ97" i="32"/>
  <c r="BJ107" i="32" s="1"/>
  <c r="AS97" i="32"/>
  <c r="AR97" i="32"/>
  <c r="AR144" i="32"/>
  <c r="BP138" i="32"/>
  <c r="BP144" i="32" s="1"/>
  <c r="AF269" i="32"/>
  <c r="AR263" i="32"/>
  <c r="AS263" i="32"/>
  <c r="BJ263" i="32"/>
  <c r="BJ269" i="32" s="1"/>
  <c r="BS297" i="32"/>
  <c r="BS17" i="32"/>
  <c r="AW19" i="32"/>
  <c r="BI19" i="32" s="1"/>
  <c r="BU296" i="32"/>
  <c r="BJ46" i="32"/>
  <c r="AS46" i="32"/>
  <c r="AR46" i="32"/>
  <c r="AF52" i="32"/>
  <c r="BJ58" i="32"/>
  <c r="AS302" i="32"/>
  <c r="BQ101" i="32"/>
  <c r="BQ302" i="32" s="1"/>
  <c r="AO299" i="32"/>
  <c r="AQ99" i="32"/>
  <c r="AS195" i="32"/>
  <c r="AQ206" i="32"/>
  <c r="AO214" i="32"/>
  <c r="AS234" i="32"/>
  <c r="BP218" i="32"/>
  <c r="AW218" i="32"/>
  <c r="BI218" i="32" s="1"/>
  <c r="AW274" i="32"/>
  <c r="BI274" i="32" s="1"/>
  <c r="BP291" i="32"/>
  <c r="BP292" i="32" s="1"/>
  <c r="AR292" i="32"/>
  <c r="AW288" i="32"/>
  <c r="BI288" i="32" s="1"/>
  <c r="AW83" i="32"/>
  <c r="BI83" i="32" s="1"/>
  <c r="AW67" i="32"/>
  <c r="BI67" i="32" s="1"/>
  <c r="AW140" i="32"/>
  <c r="BI140" i="32" s="1"/>
  <c r="AQ255" i="32"/>
  <c r="AS215" i="32"/>
  <c r="AR215" i="32"/>
  <c r="AF216" i="32"/>
  <c r="BJ215" i="32"/>
  <c r="BJ216" i="32" s="1"/>
  <c r="BP277" i="32"/>
  <c r="AW225" i="32"/>
  <c r="BI225" i="32" s="1"/>
  <c r="AQ303" i="32"/>
  <c r="AW16" i="32"/>
  <c r="AQ35" i="32"/>
  <c r="AW32" i="32"/>
  <c r="BI284" i="32"/>
  <c r="AF306" i="32"/>
  <c r="BJ12" i="32"/>
  <c r="AR12" i="32"/>
  <c r="AF13" i="32"/>
  <c r="AS12" i="32"/>
  <c r="BJ71" i="32"/>
  <c r="AR96" i="32"/>
  <c r="BP91" i="32"/>
  <c r="BP96" i="32" s="1"/>
  <c r="AW192" i="32"/>
  <c r="BI192" i="32" s="1"/>
  <c r="BS298" i="32"/>
  <c r="BJ77" i="32"/>
  <c r="AW44" i="32"/>
  <c r="AQ45" i="32"/>
  <c r="AQ78" i="32"/>
  <c r="AO84" i="32"/>
  <c r="BS120" i="32"/>
  <c r="AO300" i="32"/>
  <c r="AQ115" i="32"/>
  <c r="AW204" i="32"/>
  <c r="BI204" i="32" s="1"/>
  <c r="AS199" i="32"/>
  <c r="BQ196" i="32"/>
  <c r="BQ199" i="32" s="1"/>
  <c r="BP235" i="32"/>
  <c r="BP238" i="32" s="1"/>
  <c r="AR238" i="32"/>
  <c r="AW291" i="32"/>
  <c r="AQ292" i="32"/>
  <c r="BJ290" i="32"/>
  <c r="AQ28" i="32"/>
  <c r="AO31" i="32"/>
  <c r="AF297" i="32"/>
  <c r="AF17" i="32"/>
  <c r="BJ14" i="32"/>
  <c r="AS14" i="32"/>
  <c r="AR14" i="32"/>
  <c r="AW73" i="32"/>
  <c r="BI73" i="32" s="1"/>
  <c r="AW53" i="32"/>
  <c r="AQ58" i="32"/>
  <c r="BP153" i="32"/>
  <c r="AW153" i="32"/>
  <c r="BI153" i="32" s="1"/>
  <c r="BQ138" i="32"/>
  <c r="BQ144" i="32" s="1"/>
  <c r="AS144" i="32"/>
  <c r="AS146" i="32"/>
  <c r="BQ145" i="32"/>
  <c r="BQ146" i="32" s="1"/>
  <c r="AW191" i="32"/>
  <c r="BI191" i="32" s="1"/>
  <c r="AW236" i="32"/>
  <c r="BI236" i="32" s="1"/>
  <c r="AR255" i="32"/>
  <c r="BP249" i="32"/>
  <c r="BP255" i="32" s="1"/>
  <c r="BH296" i="32"/>
  <c r="AR43" i="32"/>
  <c r="BP40" i="32"/>
  <c r="BP43" i="32" s="1"/>
  <c r="BH294" i="32"/>
  <c r="BT294" i="32"/>
  <c r="AR35" i="32"/>
  <c r="BP32" i="32"/>
  <c r="BP35" i="32" s="1"/>
  <c r="AW104" i="32"/>
  <c r="BI104" i="32" s="1"/>
  <c r="AW103" i="32"/>
  <c r="BI103" i="32" s="1"/>
  <c r="BQ195" i="32"/>
  <c r="AW267" i="32"/>
  <c r="BI267" i="32" s="1"/>
  <c r="BM306" i="32"/>
  <c r="BM13" i="32"/>
  <c r="BM293" i="32" s="1"/>
  <c r="AW75" i="32"/>
  <c r="BI75" i="32" s="1"/>
  <c r="BP85" i="32"/>
  <c r="AR124" i="32"/>
  <c r="BP121" i="32"/>
  <c r="BP124" i="32" s="1"/>
  <c r="BS107" i="32"/>
  <c r="BS293" i="32" s="1"/>
  <c r="AR195" i="32"/>
  <c r="BJ200" i="32"/>
  <c r="BJ205" i="32" s="1"/>
  <c r="AF205" i="32"/>
  <c r="AS200" i="32"/>
  <c r="AR200" i="32"/>
  <c r="BP246" i="32"/>
  <c r="BP248" i="32" s="1"/>
  <c r="AR248" i="32"/>
  <c r="BQ277" i="32"/>
  <c r="AW289" i="32"/>
  <c r="BI289" i="32" s="1"/>
  <c r="AQ96" i="32"/>
  <c r="AW175" i="32"/>
  <c r="BI175" i="32" s="1"/>
  <c r="BQ59" i="32"/>
  <c r="BQ65" i="32" s="1"/>
  <c r="AS65" i="32"/>
  <c r="BJ165" i="32"/>
  <c r="BJ171" i="32" s="1"/>
  <c r="AF171" i="32"/>
  <c r="AS165" i="32"/>
  <c r="AR165" i="32"/>
  <c r="AW24" i="32"/>
  <c r="BI24" i="32" s="1"/>
  <c r="AW40" i="32"/>
  <c r="AQ43" i="32"/>
  <c r="AS303" i="32"/>
  <c r="BQ16" i="32"/>
  <c r="BQ47" i="32"/>
  <c r="AF113" i="32"/>
  <c r="BJ110" i="32"/>
  <c r="BJ113" i="32" s="1"/>
  <c r="AS110" i="32"/>
  <c r="AR110" i="32"/>
  <c r="AW246" i="32"/>
  <c r="AQ248" i="32"/>
  <c r="BP239" i="32"/>
  <c r="BP245" i="32" s="1"/>
  <c r="AR245" i="32"/>
  <c r="AO220" i="32"/>
  <c r="AQ217" i="32"/>
  <c r="BK300" i="32"/>
  <c r="AP188" i="32"/>
  <c r="AQ183" i="32"/>
  <c r="AS238" i="32"/>
  <c r="BQ235" i="32"/>
  <c r="BQ238" i="32" s="1"/>
  <c r="AW250" i="32"/>
  <c r="BI250" i="32" s="1"/>
  <c r="AR23" i="32"/>
  <c r="BJ23" i="32"/>
  <c r="BJ27" i="32" s="1"/>
  <c r="AS23" i="32"/>
  <c r="AF27" i="32"/>
  <c r="AQ71" i="32"/>
  <c r="AW66" i="32"/>
  <c r="BJ144" i="32"/>
  <c r="AR179" i="32"/>
  <c r="AF182" i="32"/>
  <c r="BJ179" i="32"/>
  <c r="BJ182" i="32" s="1"/>
  <c r="AS179" i="32"/>
  <c r="BJ255" i="32"/>
  <c r="AS43" i="32"/>
  <c r="BQ40" i="32"/>
  <c r="BQ43" i="32" s="1"/>
  <c r="BJ39" i="32"/>
  <c r="AS35" i="32"/>
  <c r="BQ32" i="32"/>
  <c r="BQ35" i="32" s="1"/>
  <c r="AO52" i="32"/>
  <c r="AQ46" i="32"/>
  <c r="AW87" i="32"/>
  <c r="BI87" i="32" s="1"/>
  <c r="AQ137" i="32"/>
  <c r="AW131" i="32"/>
  <c r="AW196" i="32"/>
  <c r="AQ199" i="32"/>
  <c r="AF214" i="32"/>
  <c r="AR206" i="32"/>
  <c r="AS206" i="32"/>
  <c r="BJ206" i="32"/>
  <c r="BJ214" i="32" s="1"/>
  <c r="AW282" i="32"/>
  <c r="BI282" i="32" s="1"/>
  <c r="AN293" i="32"/>
  <c r="BJ90" i="32"/>
  <c r="AS124" i="32"/>
  <c r="BQ121" i="32"/>
  <c r="BQ124" i="32" s="1"/>
  <c r="AQ90" i="32"/>
  <c r="AW85" i="32"/>
  <c r="AW155" i="32"/>
  <c r="BI155" i="32" s="1"/>
  <c r="BP195" i="32"/>
  <c r="BJ158" i="32"/>
  <c r="BJ164" i="32" s="1"/>
  <c r="AS158" i="32"/>
  <c r="AR158" i="32"/>
  <c r="AF164" i="32"/>
  <c r="AO205" i="32"/>
  <c r="AQ200" i="32"/>
  <c r="AW280" i="32"/>
  <c r="BI280" i="32" s="1"/>
  <c r="AR188" i="32"/>
  <c r="BP183" i="32"/>
  <c r="BP188" i="32" s="1"/>
  <c r="AW91" i="32"/>
  <c r="AW258" i="32"/>
  <c r="BI258" i="32" s="1"/>
  <c r="AW147" i="32"/>
  <c r="AQ150" i="32"/>
  <c r="BR296" i="32"/>
  <c r="AR86" i="32"/>
  <c r="BP86" i="32" s="1"/>
  <c r="BJ86" i="32"/>
  <c r="AS86" i="32"/>
  <c r="BQ86" i="32" s="1"/>
  <c r="AP77" i="32"/>
  <c r="AQ72" i="32"/>
  <c r="AW82" i="32"/>
  <c r="BI82" i="32" s="1"/>
  <c r="AR234" i="32"/>
  <c r="AQ270" i="32"/>
  <c r="AO276" i="32"/>
  <c r="AW265" i="32"/>
  <c r="BI265" i="32" s="1"/>
  <c r="AF303" i="32"/>
  <c r="AF298" i="32"/>
  <c r="AW94" i="32"/>
  <c r="BI94" i="32" s="1"/>
  <c r="AO113" i="32"/>
  <c r="AQ110" i="32"/>
  <c r="AW154" i="32"/>
  <c r="BI154" i="32" s="1"/>
  <c r="AQ146" i="32"/>
  <c r="AW145" i="32"/>
  <c r="AR157" i="32"/>
  <c r="BP151" i="32"/>
  <c r="BP157" i="32" s="1"/>
  <c r="BP130" i="32"/>
  <c r="AQ22" i="32"/>
  <c r="AW18" i="32"/>
  <c r="AW54" i="32"/>
  <c r="BI54" i="32" s="1"/>
  <c r="BP72" i="32"/>
  <c r="BP77" i="32" s="1"/>
  <c r="AR77" i="32"/>
  <c r="AF84" i="32"/>
  <c r="BJ78" i="32"/>
  <c r="BJ84" i="32" s="1"/>
  <c r="AS78" i="32"/>
  <c r="AS298" i="32" s="1"/>
  <c r="AR78" i="32"/>
  <c r="AR298" i="32" s="1"/>
  <c r="BJ132" i="32"/>
  <c r="BJ137" i="32" s="1"/>
  <c r="AS132" i="32"/>
  <c r="AR132" i="32"/>
  <c r="AF137" i="32"/>
  <c r="AF300" i="32"/>
  <c r="AS115" i="32"/>
  <c r="AR115" i="32"/>
  <c r="BJ115" i="32"/>
  <c r="BJ300" i="32" s="1"/>
  <c r="AW190" i="32"/>
  <c r="BI190" i="32" s="1"/>
  <c r="BJ172" i="32"/>
  <c r="BJ178" i="32" s="1"/>
  <c r="AS172" i="32"/>
  <c r="AF178" i="32"/>
  <c r="AR172" i="32"/>
  <c r="AW197" i="32"/>
  <c r="BI197" i="32" s="1"/>
  <c r="BJ238" i="32"/>
  <c r="AS290" i="32"/>
  <c r="BQ284" i="32"/>
  <c r="BQ290" i="32" s="1"/>
  <c r="BL297" i="32"/>
  <c r="BL17" i="32"/>
  <c r="AO297" i="32"/>
  <c r="AO17" i="32"/>
  <c r="AQ14" i="32"/>
  <c r="BJ114" i="32"/>
  <c r="BJ120" i="32" s="1"/>
  <c r="AS114" i="32"/>
  <c r="AR114" i="32"/>
  <c r="AF120" i="32"/>
  <c r="AW242" i="32"/>
  <c r="BI242" i="32" s="1"/>
  <c r="AW268" i="32"/>
  <c r="BI268" i="32" s="1"/>
  <c r="AQ256" i="32"/>
  <c r="BJ43" i="32"/>
  <c r="AW62" i="32"/>
  <c r="BI62" i="32" s="1"/>
  <c r="BJ35" i="32"/>
  <c r="AW55" i="32"/>
  <c r="BI55" i="32" s="1"/>
  <c r="AW102" i="32"/>
  <c r="BI102" i="32" s="1"/>
  <c r="AW152" i="32"/>
  <c r="BI152" i="32" s="1"/>
  <c r="AR150" i="32"/>
  <c r="BP147" i="32"/>
  <c r="BP150" i="32" s="1"/>
  <c r="AW193" i="32"/>
  <c r="BI193" i="32" s="1"/>
  <c r="AW181" i="32"/>
  <c r="BI181" i="32" s="1"/>
  <c r="AW229" i="32"/>
  <c r="BI229" i="32" s="1"/>
  <c r="AF90" i="32"/>
  <c r="BJ124" i="32"/>
  <c r="AO90" i="32"/>
  <c r="AW162" i="32"/>
  <c r="BI162" i="32" s="1"/>
  <c r="AW173" i="32"/>
  <c r="BI173" i="32" s="1"/>
  <c r="BQ246" i="32"/>
  <c r="BQ248" i="32" s="1"/>
  <c r="AS248" i="32"/>
  <c r="BJ280" i="32"/>
  <c r="BJ303" i="32" s="1"/>
  <c r="AS280" i="32"/>
  <c r="BQ280" i="32" s="1"/>
  <c r="AR280" i="32"/>
  <c r="BP280" i="32" s="1"/>
  <c r="AS188" i="32"/>
  <c r="BQ183" i="32"/>
  <c r="BQ188" i="32" s="1"/>
  <c r="AF283" i="32"/>
  <c r="AR227" i="32"/>
  <c r="BP221" i="32"/>
  <c r="BP227" i="32" s="1"/>
  <c r="AW69" i="32"/>
  <c r="BI69" i="32" s="1"/>
  <c r="AW47" i="32"/>
  <c r="AQ227" i="32"/>
  <c r="AW221" i="32"/>
  <c r="AO171" i="32"/>
  <c r="AQ165" i="32"/>
  <c r="BJ270" i="32"/>
  <c r="BJ276" i="32" s="1"/>
  <c r="AS270" i="32"/>
  <c r="AR270" i="32"/>
  <c r="AF276" i="32"/>
  <c r="AQ39" i="32"/>
  <c r="AW36" i="32"/>
  <c r="AD293" i="32"/>
  <c r="AP304" i="32"/>
  <c r="AQ50" i="32"/>
  <c r="BP66" i="32"/>
  <c r="BP71" i="32" s="1"/>
  <c r="AR71" i="32"/>
  <c r="AF305" i="32"/>
  <c r="AS108" i="32"/>
  <c r="AF109" i="32"/>
  <c r="AR108" i="32"/>
  <c r="BJ108" i="32"/>
  <c r="AS96" i="32"/>
  <c r="BQ91" i="32"/>
  <c r="BQ96" i="32" s="1"/>
  <c r="AQ157" i="32"/>
  <c r="AW151" i="32"/>
  <c r="BJ157" i="32"/>
  <c r="BQ239" i="32"/>
  <c r="BQ245" i="32" s="1"/>
  <c r="AS245" i="32"/>
  <c r="AQ283" i="32"/>
  <c r="AW277" i="32"/>
  <c r="AS77" i="32"/>
  <c r="BQ72" i="32"/>
  <c r="BQ77" i="32" s="1"/>
  <c r="AP107" i="32"/>
  <c r="AW121" i="32"/>
  <c r="AQ124" i="32"/>
  <c r="AP305" i="32"/>
  <c r="AP109" i="32"/>
  <c r="AP293" i="32" s="1"/>
  <c r="BQ126" i="32"/>
  <c r="BQ130" i="32" s="1"/>
  <c r="AS130" i="32"/>
  <c r="AW286" i="32"/>
  <c r="BI286" i="32" s="1"/>
  <c r="BO296" i="32"/>
  <c r="BM295" i="32" s="1"/>
  <c r="AW26" i="32"/>
  <c r="BI26" i="32" s="1"/>
  <c r="BK297" i="32"/>
  <c r="BK296" i="32" s="1"/>
  <c r="BK17" i="32"/>
  <c r="AO120" i="32"/>
  <c r="AQ114" i="32"/>
  <c r="AW161" i="32"/>
  <c r="BI161" i="32" s="1"/>
  <c r="AO182" i="32"/>
  <c r="AQ179" i="32"/>
  <c r="BQ249" i="32"/>
  <c r="BQ255" i="32" s="1"/>
  <c r="AS255" i="32"/>
  <c r="AW64" i="32"/>
  <c r="BI64" i="32" s="1"/>
  <c r="BP36" i="32"/>
  <c r="BP39" i="32" s="1"/>
  <c r="AR39" i="32"/>
  <c r="BU293" i="32"/>
  <c r="AR58" i="32"/>
  <c r="BP53" i="32"/>
  <c r="BP58" i="32" s="1"/>
  <c r="AQ65" i="32"/>
  <c r="AW59" i="32"/>
  <c r="AW37" i="32"/>
  <c r="BI37" i="32" s="1"/>
  <c r="AQ302" i="32"/>
  <c r="AW101" i="32"/>
  <c r="AR302" i="32"/>
  <c r="BP101" i="32"/>
  <c r="BP302" i="32" s="1"/>
  <c r="AW139" i="32"/>
  <c r="BI139" i="32" s="1"/>
  <c r="BM305" i="32"/>
  <c r="AS150" i="32"/>
  <c r="BQ147" i="32"/>
  <c r="BQ150" i="32" s="1"/>
  <c r="BQ291" i="32"/>
  <c r="BQ292" i="32" s="1"/>
  <c r="AS292" i="32"/>
  <c r="BL52" i="32"/>
  <c r="BL293" i="32" s="1"/>
  <c r="BT293" i="32"/>
  <c r="AF304" i="32"/>
  <c r="BJ50" i="32"/>
  <c r="BJ304" i="32" s="1"/>
  <c r="AS50" i="32"/>
  <c r="AR50" i="32"/>
  <c r="AS90" i="32"/>
  <c r="BQ85" i="32"/>
  <c r="BQ90" i="32" s="1"/>
  <c r="AW177" i="32"/>
  <c r="BI177" i="32" s="1"/>
  <c r="AW156" i="32"/>
  <c r="BI156" i="32" s="1"/>
  <c r="BI189" i="32"/>
  <c r="BI195" i="32" s="1"/>
  <c r="AW195" i="32"/>
  <c r="AW251" i="32"/>
  <c r="BI251" i="32" s="1"/>
  <c r="BJ188" i="32"/>
  <c r="BL298" i="32"/>
  <c r="BK298" i="32"/>
  <c r="AS227" i="32"/>
  <c r="BQ221" i="32"/>
  <c r="BQ227" i="32" s="1"/>
  <c r="AF76" i="31"/>
  <c r="BK75" i="31"/>
  <c r="AR16" i="31"/>
  <c r="AS16" i="31"/>
  <c r="AF19" i="31"/>
  <c r="BJ16" i="31"/>
  <c r="BJ19" i="31" s="1"/>
  <c r="AF85" i="31"/>
  <c r="BJ30" i="31"/>
  <c r="BJ85" i="31" s="1"/>
  <c r="AS30" i="31"/>
  <c r="AR30" i="31"/>
  <c r="BN75" i="31"/>
  <c r="AN75" i="31"/>
  <c r="BU74" i="31"/>
  <c r="AO23" i="31"/>
  <c r="BP53" i="31"/>
  <c r="BP57" i="31" s="1"/>
  <c r="AR57" i="31"/>
  <c r="BR77" i="31"/>
  <c r="AP87" i="31"/>
  <c r="AP25" i="31"/>
  <c r="AW51" i="31"/>
  <c r="BI51" i="31" s="1"/>
  <c r="AR52" i="31"/>
  <c r="AQ15" i="31"/>
  <c r="AW12" i="31"/>
  <c r="BH77" i="31"/>
  <c r="BM15" i="31"/>
  <c r="AO85" i="31"/>
  <c r="AQ30" i="31"/>
  <c r="BT77" i="31"/>
  <c r="AS79" i="31"/>
  <c r="BQ26" i="31"/>
  <c r="BJ41" i="31"/>
  <c r="BJ43" i="31" s="1"/>
  <c r="AS41" i="31"/>
  <c r="AF43" i="31"/>
  <c r="AR41" i="31"/>
  <c r="AQ65" i="31"/>
  <c r="AO67" i="31"/>
  <c r="BH75" i="31"/>
  <c r="AS86" i="31"/>
  <c r="AS40" i="31"/>
  <c r="BQ39" i="31"/>
  <c r="AQ79" i="31"/>
  <c r="AQ32" i="31"/>
  <c r="AW26" i="31"/>
  <c r="BJ57" i="31"/>
  <c r="AO87" i="31"/>
  <c r="AO25" i="31"/>
  <c r="AQ24" i="31"/>
  <c r="AO81" i="31"/>
  <c r="AQ44" i="31"/>
  <c r="AO48" i="31"/>
  <c r="AE77" i="31"/>
  <c r="AW33" i="31"/>
  <c r="AQ38" i="31"/>
  <c r="BT74" i="31"/>
  <c r="AQ57" i="31"/>
  <c r="AW53" i="31"/>
  <c r="AW22" i="31"/>
  <c r="BI22" i="31" s="1"/>
  <c r="BJ15" i="31"/>
  <c r="AR20" i="31"/>
  <c r="AF23" i="31"/>
  <c r="BJ20" i="31"/>
  <c r="AS20" i="31"/>
  <c r="AP19" i="31"/>
  <c r="BL87" i="31"/>
  <c r="BL25" i="31"/>
  <c r="AP81" i="31"/>
  <c r="AP48" i="31"/>
  <c r="AW60" i="31"/>
  <c r="BI60" i="31" s="1"/>
  <c r="BJ27" i="31"/>
  <c r="BJ79" i="31" s="1"/>
  <c r="AS27" i="31"/>
  <c r="BQ27" i="31" s="1"/>
  <c r="AR27" i="31"/>
  <c r="BP27" i="31" s="1"/>
  <c r="BO74" i="31"/>
  <c r="AQ68" i="31"/>
  <c r="AO73" i="31"/>
  <c r="AO74" i="31" s="1"/>
  <c r="BM32" i="31"/>
  <c r="AP78" i="31"/>
  <c r="AP15" i="31"/>
  <c r="BQ38" i="31"/>
  <c r="BJ32" i="31"/>
  <c r="AQ41" i="31"/>
  <c r="AO43" i="31"/>
  <c r="BP61" i="31"/>
  <c r="AW61" i="31"/>
  <c r="BI61" i="31" s="1"/>
  <c r="BJ86" i="31"/>
  <c r="BJ40" i="31"/>
  <c r="AO79" i="31"/>
  <c r="BQ53" i="31"/>
  <c r="BQ57" i="31" s="1"/>
  <c r="AS57" i="31"/>
  <c r="BK87" i="31"/>
  <c r="BK25" i="31"/>
  <c r="BK81" i="31"/>
  <c r="BK77" i="31" s="1"/>
  <c r="BK48" i="31"/>
  <c r="BM78" i="31"/>
  <c r="BQ12" i="31"/>
  <c r="BS78" i="31"/>
  <c r="BS15" i="31"/>
  <c r="BL86" i="31"/>
  <c r="BL40" i="31"/>
  <c r="BR74" i="31"/>
  <c r="AQ84" i="31"/>
  <c r="BH74" i="31"/>
  <c r="BU77" i="31"/>
  <c r="BQ52" i="31"/>
  <c r="AF81" i="31"/>
  <c r="AF77" i="31" s="1"/>
  <c r="AF48" i="31"/>
  <c r="BJ44" i="31"/>
  <c r="AS44" i="31"/>
  <c r="AR44" i="31"/>
  <c r="AF84" i="31"/>
  <c r="BJ14" i="31"/>
  <c r="BJ84" i="31" s="1"/>
  <c r="AS14" i="31"/>
  <c r="AR14" i="31"/>
  <c r="AR13" i="31"/>
  <c r="BP13" i="31" s="1"/>
  <c r="AS13" i="31"/>
  <c r="BQ13" i="31" s="1"/>
  <c r="BJ13" i="31"/>
  <c r="AN76" i="31"/>
  <c r="AO78" i="31"/>
  <c r="AO77" i="31" s="1"/>
  <c r="AW56" i="31"/>
  <c r="BI56" i="31" s="1"/>
  <c r="AN74" i="31"/>
  <c r="AN77" i="31"/>
  <c r="BO77" i="31"/>
  <c r="BM76" i="31" s="1"/>
  <c r="BL78" i="31"/>
  <c r="BL15" i="31"/>
  <c r="AS38" i="31"/>
  <c r="BJ21" i="31"/>
  <c r="AS21" i="31"/>
  <c r="BQ21" i="31" s="1"/>
  <c r="AR21" i="31"/>
  <c r="BP21" i="31" s="1"/>
  <c r="AR32" i="31"/>
  <c r="BP26" i="31"/>
  <c r="AW72" i="31"/>
  <c r="BI72" i="31" s="1"/>
  <c r="BP72" i="31"/>
  <c r="AR65" i="31"/>
  <c r="AF67" i="31"/>
  <c r="BJ65" i="31"/>
  <c r="BJ67" i="31" s="1"/>
  <c r="AS65" i="31"/>
  <c r="BP38" i="31"/>
  <c r="AF87" i="31"/>
  <c r="BJ24" i="31"/>
  <c r="AS24" i="31"/>
  <c r="AF25" i="31"/>
  <c r="AF74" i="31" s="1"/>
  <c r="AR24" i="31"/>
  <c r="AW36" i="31"/>
  <c r="BI36" i="31" s="1"/>
  <c r="AR86" i="31"/>
  <c r="BP39" i="31"/>
  <c r="AR40" i="31"/>
  <c r="BK74" i="31"/>
  <c r="AW70" i="31"/>
  <c r="BI70" i="31" s="1"/>
  <c r="BS81" i="31"/>
  <c r="BS48" i="31"/>
  <c r="AQ52" i="31"/>
  <c r="AW49" i="31"/>
  <c r="BM86" i="31"/>
  <c r="BM40" i="31"/>
  <c r="BP12" i="31"/>
  <c r="AW29" i="31"/>
  <c r="BI29" i="31" s="1"/>
  <c r="BS87" i="31"/>
  <c r="BS25" i="31"/>
  <c r="AO19" i="31"/>
  <c r="AQ16" i="31"/>
  <c r="AQ78" i="31" s="1"/>
  <c r="AW55" i="31"/>
  <c r="BI55" i="31" s="1"/>
  <c r="BL81" i="31"/>
  <c r="BL48" i="31"/>
  <c r="AW27" i="31"/>
  <c r="BI27" i="31" s="1"/>
  <c r="BN74" i="31"/>
  <c r="BM75" i="31" s="1"/>
  <c r="BJ68" i="31"/>
  <c r="BJ73" i="31" s="1"/>
  <c r="AS68" i="31"/>
  <c r="AF73" i="31"/>
  <c r="AR68" i="31"/>
  <c r="AF64" i="31"/>
  <c r="AS58" i="31"/>
  <c r="BJ58" i="31"/>
  <c r="BJ64" i="31" s="1"/>
  <c r="AR58" i="31"/>
  <c r="AW28" i="31"/>
  <c r="BI28" i="31" s="1"/>
  <c r="AP86" i="31"/>
  <c r="AP40" i="31"/>
  <c r="AQ39" i="31"/>
  <c r="AE74" i="31"/>
  <c r="BL75" i="31" s="1"/>
  <c r="AF32" i="31"/>
  <c r="AQ64" i="31"/>
  <c r="AW58" i="31"/>
  <c r="AW34" i="31"/>
  <c r="BI34" i="31" s="1"/>
  <c r="AQ20" i="31"/>
  <c r="AR38" i="31"/>
  <c r="AW50" i="31"/>
  <c r="BI50" i="31" s="1"/>
  <c r="AW62" i="31"/>
  <c r="BI62" i="31" s="1"/>
  <c r="AW12" i="30"/>
  <c r="BI24" i="30"/>
  <c r="BI28" i="30" s="1"/>
  <c r="BS102" i="30"/>
  <c r="BT101" i="30"/>
  <c r="BH101" i="30"/>
  <c r="AO110" i="30"/>
  <c r="AQ14" i="30"/>
  <c r="BK112" i="30"/>
  <c r="BK30" i="30"/>
  <c r="AF111" i="30"/>
  <c r="BJ20" i="30"/>
  <c r="BJ111" i="30" s="1"/>
  <c r="AS20" i="30"/>
  <c r="AR20" i="30"/>
  <c r="AR23" i="30" s="1"/>
  <c r="AW83" i="30"/>
  <c r="BI83" i="30" s="1"/>
  <c r="AP105" i="30"/>
  <c r="AP23" i="30"/>
  <c r="BP18" i="30"/>
  <c r="AW63" i="30"/>
  <c r="BI63" i="30" s="1"/>
  <c r="AQ18" i="30"/>
  <c r="BK110" i="30"/>
  <c r="BK103" i="30" s="1"/>
  <c r="BJ102" i="30" s="1"/>
  <c r="AW36" i="30"/>
  <c r="BI36" i="30" s="1"/>
  <c r="AN103" i="30"/>
  <c r="AO113" i="30"/>
  <c r="AO17" i="30"/>
  <c r="AQ16" i="30"/>
  <c r="AF112" i="30"/>
  <c r="BJ29" i="30"/>
  <c r="AS29" i="30"/>
  <c r="AR29" i="30"/>
  <c r="AF30" i="30"/>
  <c r="BL37" i="30"/>
  <c r="AS28" i="30"/>
  <c r="BQ24" i="30"/>
  <c r="BQ28" i="30" s="1"/>
  <c r="AW56" i="30"/>
  <c r="BI56" i="30" s="1"/>
  <c r="AO111" i="30"/>
  <c r="AQ20" i="30"/>
  <c r="BJ44" i="30"/>
  <c r="AW89" i="30"/>
  <c r="BI89" i="30" s="1"/>
  <c r="BO100" i="30"/>
  <c r="AS55" i="30"/>
  <c r="AR55" i="30"/>
  <c r="AF61" i="30"/>
  <c r="BJ55" i="30"/>
  <c r="BJ61" i="30" s="1"/>
  <c r="AW39" i="30"/>
  <c r="BI39" i="30" s="1"/>
  <c r="AF81" i="30"/>
  <c r="AR76" i="30"/>
  <c r="BJ76" i="30"/>
  <c r="BJ81" i="30" s="1"/>
  <c r="AS76" i="30"/>
  <c r="AS99" i="30"/>
  <c r="BQ93" i="30"/>
  <c r="BQ99" i="30" s="1"/>
  <c r="BP53" i="30"/>
  <c r="AW53" i="30"/>
  <c r="BI53" i="30" s="1"/>
  <c r="AW91" i="30"/>
  <c r="BI91" i="30" s="1"/>
  <c r="AS37" i="30"/>
  <c r="BQ31" i="30"/>
  <c r="BP12" i="30"/>
  <c r="AW70" i="30"/>
  <c r="BI70" i="30" s="1"/>
  <c r="BQ72" i="30"/>
  <c r="BQ75" i="30" s="1"/>
  <c r="BM104" i="30"/>
  <c r="BM15" i="30"/>
  <c r="AF113" i="30"/>
  <c r="BJ16" i="30"/>
  <c r="AS16" i="30"/>
  <c r="AF17" i="30"/>
  <c r="AR16" i="30"/>
  <c r="BP24" i="30"/>
  <c r="BP28" i="30" s="1"/>
  <c r="AR28" i="30"/>
  <c r="BP38" i="30"/>
  <c r="BP44" i="30" s="1"/>
  <c r="AR44" i="30"/>
  <c r="BP46" i="30"/>
  <c r="BP48" i="30" s="1"/>
  <c r="AR48" i="30"/>
  <c r="BH103" i="30"/>
  <c r="AO61" i="30"/>
  <c r="AQ55" i="30"/>
  <c r="BJ99" i="30"/>
  <c r="AW22" i="30"/>
  <c r="BI22" i="30" s="1"/>
  <c r="AD103" i="30"/>
  <c r="AF102" i="30" s="1"/>
  <c r="AD100" i="30"/>
  <c r="BL105" i="30"/>
  <c r="BL23" i="30"/>
  <c r="AP92" i="30"/>
  <c r="AQ86" i="30"/>
  <c r="AQ49" i="30"/>
  <c r="BK113" i="30"/>
  <c r="BK17" i="30"/>
  <c r="BM37" i="30"/>
  <c r="AW21" i="30"/>
  <c r="BI21" i="30" s="1"/>
  <c r="BQ48" i="30"/>
  <c r="AP85" i="30"/>
  <c r="AQ82" i="30"/>
  <c r="BO103" i="30"/>
  <c r="BJ48" i="30"/>
  <c r="AP112" i="30"/>
  <c r="AP30" i="30"/>
  <c r="AO65" i="30"/>
  <c r="AQ62" i="30"/>
  <c r="AR73" i="30"/>
  <c r="BP73" i="30" s="1"/>
  <c r="AS73" i="30"/>
  <c r="BQ73" i="30" s="1"/>
  <c r="BJ73" i="30"/>
  <c r="AR99" i="30"/>
  <c r="BP93" i="30"/>
  <c r="BP99" i="30" s="1"/>
  <c r="BS113" i="30"/>
  <c r="BS17" i="30"/>
  <c r="BS100" i="30" s="1"/>
  <c r="AW57" i="30"/>
  <c r="BI57" i="30" s="1"/>
  <c r="AO107" i="30"/>
  <c r="AQ32" i="30"/>
  <c r="AQ37" i="30" s="1"/>
  <c r="AW74" i="30"/>
  <c r="BI74" i="30" s="1"/>
  <c r="BP86" i="30"/>
  <c r="AR92" i="30"/>
  <c r="AQ99" i="30"/>
  <c r="AW78" i="30"/>
  <c r="BI78" i="30" s="1"/>
  <c r="AS104" i="30"/>
  <c r="BQ12" i="30"/>
  <c r="BS104" i="30"/>
  <c r="BS107" i="30"/>
  <c r="AQ68" i="30"/>
  <c r="AW68" i="30" s="1"/>
  <c r="BI68" i="30" s="1"/>
  <c r="AO71" i="30"/>
  <c r="AN101" i="30"/>
  <c r="BN101" i="30"/>
  <c r="AO15" i="30"/>
  <c r="BJ87" i="30"/>
  <c r="AS87" i="30"/>
  <c r="BQ87" i="30" s="1"/>
  <c r="AR87" i="30"/>
  <c r="BP87" i="30" s="1"/>
  <c r="AQ44" i="30"/>
  <c r="AW38" i="30"/>
  <c r="BM105" i="30"/>
  <c r="BM23" i="30"/>
  <c r="AW59" i="30"/>
  <c r="BI59" i="30" s="1"/>
  <c r="AS71" i="30"/>
  <c r="BQ66" i="30"/>
  <c r="BQ71" i="30" s="1"/>
  <c r="AE100" i="30"/>
  <c r="BL101" i="30" s="1"/>
  <c r="AP113" i="30"/>
  <c r="AP17" i="30"/>
  <c r="AP75" i="30"/>
  <c r="AQ72" i="30"/>
  <c r="AW66" i="30"/>
  <c r="BL112" i="30"/>
  <c r="BL30" i="30"/>
  <c r="AQ73" i="30"/>
  <c r="AW73" i="30" s="1"/>
  <c r="BI73" i="30" s="1"/>
  <c r="AO75" i="30"/>
  <c r="AQ76" i="30"/>
  <c r="AO81" i="30"/>
  <c r="BR100" i="30"/>
  <c r="BJ92" i="30"/>
  <c r="AF15" i="30"/>
  <c r="AF100" i="30" s="1"/>
  <c r="BI93" i="30"/>
  <c r="BI99" i="30" s="1"/>
  <c r="BI45" i="30"/>
  <c r="AS23" i="30"/>
  <c r="BQ18" i="30"/>
  <c r="AR68" i="30"/>
  <c r="BP68" i="30" s="1"/>
  <c r="BJ68" i="30"/>
  <c r="BJ71" i="30" s="1"/>
  <c r="AS68" i="30"/>
  <c r="BQ68" i="30" s="1"/>
  <c r="AW88" i="30"/>
  <c r="BI88" i="30" s="1"/>
  <c r="BP69" i="30"/>
  <c r="AW69" i="30"/>
  <c r="BI69" i="30" s="1"/>
  <c r="BM112" i="30"/>
  <c r="BM30" i="30"/>
  <c r="AF54" i="30"/>
  <c r="BJ49" i="30"/>
  <c r="BJ54" i="30" s="1"/>
  <c r="AS49" i="30"/>
  <c r="AR49" i="30"/>
  <c r="AR105" i="30" s="1"/>
  <c r="AO104" i="30"/>
  <c r="AQ87" i="30"/>
  <c r="AO92" i="30"/>
  <c r="BK15" i="30"/>
  <c r="BP66" i="30"/>
  <c r="BP71" i="30" s="1"/>
  <c r="AW46" i="30"/>
  <c r="BI46" i="30" s="1"/>
  <c r="AP104" i="30"/>
  <c r="AP103" i="30" s="1"/>
  <c r="AP15" i="30"/>
  <c r="BL113" i="30"/>
  <c r="BL17" i="30"/>
  <c r="AW96" i="30"/>
  <c r="BI96" i="30" s="1"/>
  <c r="BS112" i="30"/>
  <c r="BS30" i="30"/>
  <c r="AW41" i="30"/>
  <c r="BI41" i="30" s="1"/>
  <c r="BR103" i="30"/>
  <c r="BN100" i="30"/>
  <c r="BM101" i="30" s="1"/>
  <c r="AF107" i="30"/>
  <c r="AF103" i="30" s="1"/>
  <c r="AR32" i="30"/>
  <c r="BJ32" i="30"/>
  <c r="BJ107" i="30" s="1"/>
  <c r="AS32" i="30"/>
  <c r="AF92" i="30"/>
  <c r="AR37" i="30"/>
  <c r="BP31" i="30"/>
  <c r="BP72" i="30"/>
  <c r="AW40" i="30"/>
  <c r="BI40" i="30" s="1"/>
  <c r="AW31" i="30"/>
  <c r="BJ13" i="30"/>
  <c r="BJ104" i="30" s="1"/>
  <c r="AS13" i="30"/>
  <c r="BQ13" i="30" s="1"/>
  <c r="AR13" i="30"/>
  <c r="BP13" i="30" s="1"/>
  <c r="BJ23" i="30"/>
  <c r="AF110" i="30"/>
  <c r="BJ14" i="30"/>
  <c r="BJ110" i="30" s="1"/>
  <c r="AS14" i="30"/>
  <c r="AR14" i="30"/>
  <c r="AN100" i="30"/>
  <c r="BS23" i="30"/>
  <c r="AF71" i="30"/>
  <c r="AO112" i="30"/>
  <c r="AQ29" i="30"/>
  <c r="AO30" i="30"/>
  <c r="BL104" i="30"/>
  <c r="BL103" i="30" s="1"/>
  <c r="BL15" i="30"/>
  <c r="BL100" i="30" s="1"/>
  <c r="AS44" i="30"/>
  <c r="BQ38" i="30"/>
  <c r="BQ44" i="30" s="1"/>
  <c r="AF85" i="30"/>
  <c r="BJ82" i="30"/>
  <c r="BJ85" i="30" s="1"/>
  <c r="AS82" i="30"/>
  <c r="AR82" i="30"/>
  <c r="BS37" i="30"/>
  <c r="AF65" i="30"/>
  <c r="AR62" i="30"/>
  <c r="BJ62" i="30"/>
  <c r="BJ65" i="30" s="1"/>
  <c r="AS62" i="30"/>
  <c r="AW42" i="30"/>
  <c r="BI42" i="30" s="1"/>
  <c r="BN103" i="30"/>
  <c r="AQ48" i="30"/>
  <c r="BQ86" i="30"/>
  <c r="AW25" i="30"/>
  <c r="BI25" i="30" s="1"/>
  <c r="BJ75" i="30"/>
  <c r="AW60" i="30"/>
  <c r="BI60" i="30" s="1"/>
  <c r="AF193" i="29"/>
  <c r="BK193" i="29"/>
  <c r="AS52" i="29"/>
  <c r="BQ49" i="29"/>
  <c r="BQ52" i="29" s="1"/>
  <c r="AW49" i="29"/>
  <c r="AQ52" i="29"/>
  <c r="AO126" i="29"/>
  <c r="AQ121" i="29"/>
  <c r="AF196" i="29"/>
  <c r="BJ14" i="29"/>
  <c r="AS14" i="29"/>
  <c r="AR14" i="29"/>
  <c r="AF17" i="29"/>
  <c r="AS165" i="29"/>
  <c r="BJ165" i="29"/>
  <c r="BJ168" i="29" s="1"/>
  <c r="AF168" i="29"/>
  <c r="AR165" i="29"/>
  <c r="AO204" i="29"/>
  <c r="AO140" i="29"/>
  <c r="AQ139" i="29"/>
  <c r="BN195" i="29"/>
  <c r="BJ58" i="29"/>
  <c r="AR58" i="29"/>
  <c r="BP58" i="29" s="1"/>
  <c r="AS58" i="29"/>
  <c r="BQ58" i="29" s="1"/>
  <c r="BK197" i="29"/>
  <c r="AR133" i="29"/>
  <c r="AF138" i="29"/>
  <c r="BJ133" i="29"/>
  <c r="BJ138" i="29" s="1"/>
  <c r="AS133" i="29"/>
  <c r="BI179" i="29"/>
  <c r="AR169" i="29"/>
  <c r="AF175" i="29"/>
  <c r="AS169" i="29"/>
  <c r="BJ169" i="29"/>
  <c r="BJ175" i="29" s="1"/>
  <c r="AF164" i="29"/>
  <c r="AR160" i="29"/>
  <c r="AS160" i="29"/>
  <c r="BJ160" i="29"/>
  <c r="BJ164" i="29" s="1"/>
  <c r="BN192" i="29"/>
  <c r="AW122" i="29"/>
  <c r="BI122" i="29" s="1"/>
  <c r="BS204" i="29"/>
  <c r="BS140" i="29"/>
  <c r="AW136" i="29"/>
  <c r="BI136" i="29" s="1"/>
  <c r="AF203" i="29"/>
  <c r="BJ88" i="29"/>
  <c r="AS88" i="29"/>
  <c r="AR88" i="29"/>
  <c r="AW144" i="29"/>
  <c r="BI144" i="29" s="1"/>
  <c r="BP170" i="29"/>
  <c r="AW172" i="29"/>
  <c r="BI172" i="29" s="1"/>
  <c r="AO196" i="29"/>
  <c r="AO17" i="29"/>
  <c r="AO192" i="29" s="1"/>
  <c r="AQ14" i="29"/>
  <c r="BQ18" i="29"/>
  <c r="BQ21" i="29" s="1"/>
  <c r="AS21" i="29"/>
  <c r="AW119" i="29"/>
  <c r="BI119" i="29" s="1"/>
  <c r="AP199" i="29"/>
  <c r="AQ170" i="29"/>
  <c r="BS175" i="29"/>
  <c r="BJ110" i="29"/>
  <c r="AR110" i="29"/>
  <c r="BP110" i="29" s="1"/>
  <c r="AS110" i="29"/>
  <c r="BQ110" i="29" s="1"/>
  <c r="AQ57" i="29"/>
  <c r="AS202" i="29"/>
  <c r="BQ16" i="29"/>
  <c r="AW134" i="29"/>
  <c r="BI134" i="29" s="1"/>
  <c r="AQ132" i="29"/>
  <c r="AW127" i="29"/>
  <c r="BK204" i="29"/>
  <c r="BK140" i="29"/>
  <c r="BM196" i="29"/>
  <c r="AR48" i="29"/>
  <c r="BP45" i="29"/>
  <c r="BP48" i="29" s="1"/>
  <c r="BJ205" i="29"/>
  <c r="BJ13" i="29"/>
  <c r="AW68" i="29"/>
  <c r="AQ71" i="29"/>
  <c r="BK202" i="29"/>
  <c r="AQ29" i="29"/>
  <c r="AW26" i="29"/>
  <c r="AR180" i="29"/>
  <c r="AS180" i="29"/>
  <c r="BJ180" i="29"/>
  <c r="BJ184" i="29" s="1"/>
  <c r="AF184" i="29"/>
  <c r="AO203" i="29"/>
  <c r="AQ88" i="29"/>
  <c r="AP32" i="29"/>
  <c r="AP192" i="29" s="1"/>
  <c r="AQ30" i="29"/>
  <c r="AF79" i="29"/>
  <c r="BJ76" i="29"/>
  <c r="BJ79" i="29" s="1"/>
  <c r="AS76" i="29"/>
  <c r="AR76" i="29"/>
  <c r="BL195" i="29"/>
  <c r="BI176" i="29"/>
  <c r="AO197" i="29"/>
  <c r="BQ53" i="29"/>
  <c r="BQ56" i="29" s="1"/>
  <c r="AS56" i="29"/>
  <c r="AR63" i="29"/>
  <c r="BP60" i="29"/>
  <c r="BP63" i="29" s="1"/>
  <c r="AW50" i="29"/>
  <c r="BI50" i="29" s="1"/>
  <c r="AQ156" i="29"/>
  <c r="AO159" i="29"/>
  <c r="AW70" i="29"/>
  <c r="BI70" i="29" s="1"/>
  <c r="BT195" i="29"/>
  <c r="BP33" i="29"/>
  <c r="AR36" i="29"/>
  <c r="AW58" i="29"/>
  <c r="BI58" i="29" s="1"/>
  <c r="BP35" i="29"/>
  <c r="AW35" i="29"/>
  <c r="BI35" i="29" s="1"/>
  <c r="AW69" i="29"/>
  <c r="BI69" i="29" s="1"/>
  <c r="BQ29" i="29"/>
  <c r="AR52" i="29"/>
  <c r="BP49" i="29"/>
  <c r="BP52" i="29" s="1"/>
  <c r="AW129" i="29"/>
  <c r="BI129" i="29" s="1"/>
  <c r="AQ160" i="29"/>
  <c r="AO164" i="29"/>
  <c r="BP80" i="29"/>
  <c r="BP84" i="29" s="1"/>
  <c r="AR84" i="29"/>
  <c r="AW167" i="29"/>
  <c r="BI167" i="29" s="1"/>
  <c r="AQ180" i="29"/>
  <c r="AO199" i="29"/>
  <c r="AO184" i="29"/>
  <c r="BJ72" i="29"/>
  <c r="BJ75" i="29" s="1"/>
  <c r="AS72" i="29"/>
  <c r="AR72" i="29"/>
  <c r="AF75" i="29"/>
  <c r="BK203" i="29"/>
  <c r="AS103" i="29"/>
  <c r="AR103" i="29"/>
  <c r="AF108" i="29"/>
  <c r="BJ103" i="29"/>
  <c r="BJ108" i="29" s="1"/>
  <c r="BJ40" i="29"/>
  <c r="BP29" i="29"/>
  <c r="AO79" i="29"/>
  <c r="AQ76" i="29"/>
  <c r="AW111" i="29"/>
  <c r="BI111" i="29" s="1"/>
  <c r="AW154" i="29"/>
  <c r="BI154" i="29" s="1"/>
  <c r="AQ102" i="29"/>
  <c r="AF199" i="29"/>
  <c r="BK196" i="29"/>
  <c r="BK17" i="29"/>
  <c r="BK192" i="29" s="1"/>
  <c r="BJ193" i="29" s="1"/>
  <c r="AW37" i="29"/>
  <c r="AQ40" i="29"/>
  <c r="BS196" i="29"/>
  <c r="BS17" i="29"/>
  <c r="AW23" i="29"/>
  <c r="BI23" i="29" s="1"/>
  <c r="AW105" i="29"/>
  <c r="BI105" i="29" s="1"/>
  <c r="AQ141" i="29"/>
  <c r="AO148" i="29"/>
  <c r="AW125" i="29"/>
  <c r="BI125" i="29" s="1"/>
  <c r="AW173" i="29"/>
  <c r="BI173" i="29" s="1"/>
  <c r="AP96" i="29"/>
  <c r="AP197" i="29"/>
  <c r="AQ36" i="29"/>
  <c r="AW33" i="29"/>
  <c r="AO96" i="29"/>
  <c r="AQ91" i="29"/>
  <c r="AO59" i="29"/>
  <c r="AF202" i="29"/>
  <c r="BP85" i="29"/>
  <c r="AW92" i="29"/>
  <c r="BI92" i="29" s="1"/>
  <c r="AO132" i="29"/>
  <c r="AW147" i="29"/>
  <c r="BI147" i="29" s="1"/>
  <c r="AP175" i="29"/>
  <c r="AS177" i="29"/>
  <c r="AR177" i="29"/>
  <c r="BJ177" i="29"/>
  <c r="BJ178" i="29" s="1"/>
  <c r="AF178" i="29"/>
  <c r="BH193" i="29"/>
  <c r="BT193" i="29"/>
  <c r="AS48" i="29"/>
  <c r="BQ45" i="29"/>
  <c r="BQ48" i="29" s="1"/>
  <c r="AO67" i="29"/>
  <c r="AQ64" i="29"/>
  <c r="AR44" i="29"/>
  <c r="BP41" i="29"/>
  <c r="BP44" i="29" s="1"/>
  <c r="AQ72" i="29"/>
  <c r="BL202" i="29"/>
  <c r="AW83" i="29"/>
  <c r="BI83" i="29" s="1"/>
  <c r="AP196" i="29"/>
  <c r="AP195" i="29" s="1"/>
  <c r="AP138" i="29"/>
  <c r="AQ133" i="29"/>
  <c r="AW135" i="29"/>
  <c r="BI135" i="29" s="1"/>
  <c r="BP188" i="29"/>
  <c r="AW188" i="29"/>
  <c r="BI188" i="29" s="1"/>
  <c r="AW190" i="29"/>
  <c r="BI190" i="29" s="1"/>
  <c r="BU195" i="29"/>
  <c r="AS86" i="29"/>
  <c r="BQ86" i="29" s="1"/>
  <c r="AR86" i="29"/>
  <c r="BP86" i="29" s="1"/>
  <c r="BJ86" i="29"/>
  <c r="BJ197" i="29" s="1"/>
  <c r="AR131" i="29"/>
  <c r="BJ131" i="29"/>
  <c r="BJ132" i="29" s="1"/>
  <c r="AS131" i="29"/>
  <c r="BQ131" i="29" s="1"/>
  <c r="BQ132" i="29" s="1"/>
  <c r="AS40" i="29"/>
  <c r="BQ37" i="29"/>
  <c r="BQ40" i="29" s="1"/>
  <c r="AR29" i="29"/>
  <c r="AD195" i="29"/>
  <c r="AF194" i="29" s="1"/>
  <c r="BH195" i="29"/>
  <c r="AQ84" i="29"/>
  <c r="AW80" i="29"/>
  <c r="BJ149" i="29"/>
  <c r="BJ155" i="29" s="1"/>
  <c r="AS149" i="29"/>
  <c r="AF155" i="29"/>
  <c r="AR149" i="29"/>
  <c r="AW189" i="29"/>
  <c r="BI189" i="29" s="1"/>
  <c r="AR91" i="29"/>
  <c r="AF96" i="29"/>
  <c r="BJ91" i="29"/>
  <c r="BJ96" i="29" s="1"/>
  <c r="AS91" i="29"/>
  <c r="AW78" i="29"/>
  <c r="BI78" i="29" s="1"/>
  <c r="AW100" i="29"/>
  <c r="BI100" i="29" s="1"/>
  <c r="AS63" i="29"/>
  <c r="BQ60" i="29"/>
  <c r="BQ63" i="29" s="1"/>
  <c r="AS90" i="29"/>
  <c r="BQ85" i="29"/>
  <c r="AW104" i="29"/>
  <c r="BI104" i="29" s="1"/>
  <c r="BU192" i="29"/>
  <c r="AF67" i="29"/>
  <c r="BJ64" i="29"/>
  <c r="BJ67" i="29" s="1"/>
  <c r="AS64" i="29"/>
  <c r="AR64" i="29"/>
  <c r="AS44" i="29"/>
  <c r="BQ41" i="29"/>
  <c r="BQ44" i="29" s="1"/>
  <c r="BM204" i="29"/>
  <c r="BM140" i="29"/>
  <c r="AS156" i="29"/>
  <c r="AF159" i="29"/>
  <c r="AR156" i="29"/>
  <c r="BJ156" i="29"/>
  <c r="BJ159" i="29" s="1"/>
  <c r="AW124" i="29"/>
  <c r="BI124" i="29" s="1"/>
  <c r="AF132" i="29"/>
  <c r="AS25" i="29"/>
  <c r="BQ22" i="29"/>
  <c r="BQ25" i="29" s="1"/>
  <c r="BH192" i="29"/>
  <c r="AW28" i="29"/>
  <c r="BI28" i="29" s="1"/>
  <c r="AW93" i="29"/>
  <c r="BI93" i="29" s="1"/>
  <c r="BQ80" i="29"/>
  <c r="BQ84" i="29" s="1"/>
  <c r="AS84" i="29"/>
  <c r="AW143" i="29"/>
  <c r="BI143" i="29" s="1"/>
  <c r="AP108" i="29"/>
  <c r="AQ103" i="29"/>
  <c r="BP68" i="29"/>
  <c r="BP71" i="29" s="1"/>
  <c r="AR71" i="29"/>
  <c r="AR40" i="29"/>
  <c r="BP37" i="29"/>
  <c r="BP40" i="29" s="1"/>
  <c r="AP48" i="29"/>
  <c r="AS115" i="29"/>
  <c r="AR115" i="29"/>
  <c r="AF120" i="29"/>
  <c r="BJ115" i="29"/>
  <c r="BJ120" i="29" s="1"/>
  <c r="AS121" i="29"/>
  <c r="AF126" i="29"/>
  <c r="AR121" i="29"/>
  <c r="BJ121" i="29"/>
  <c r="BJ126" i="29" s="1"/>
  <c r="AQ185" i="29"/>
  <c r="AO191" i="29"/>
  <c r="AQ44" i="29"/>
  <c r="AW41" i="29"/>
  <c r="BM205" i="29"/>
  <c r="BM13" i="29"/>
  <c r="BM192" i="29" s="1"/>
  <c r="BP18" i="29"/>
  <c r="BP21" i="29" s="1"/>
  <c r="AR21" i="29"/>
  <c r="AW31" i="29"/>
  <c r="BI31" i="29" s="1"/>
  <c r="AF59" i="29"/>
  <c r="AF192" i="29" s="1"/>
  <c r="AS57" i="29"/>
  <c r="AR57" i="29"/>
  <c r="BJ57" i="29"/>
  <c r="BJ59" i="29" s="1"/>
  <c r="AW107" i="29"/>
  <c r="BI107" i="29" s="1"/>
  <c r="AQ115" i="29"/>
  <c r="AF148" i="29"/>
  <c r="BJ141" i="29"/>
  <c r="BJ148" i="29" s="1"/>
  <c r="AS141" i="29"/>
  <c r="AR141" i="29"/>
  <c r="AO155" i="29"/>
  <c r="AQ149" i="29"/>
  <c r="AQ197" i="29"/>
  <c r="AQ90" i="29"/>
  <c r="AW85" i="29"/>
  <c r="AW74" i="29"/>
  <c r="BI74" i="29" s="1"/>
  <c r="AQ114" i="29"/>
  <c r="AW169" i="29"/>
  <c r="AP168" i="29"/>
  <c r="AQ165" i="29"/>
  <c r="BO195" i="29"/>
  <c r="BN193" i="29"/>
  <c r="AN193" i="29"/>
  <c r="BJ63" i="29"/>
  <c r="AF90" i="29"/>
  <c r="AP178" i="29"/>
  <c r="AQ177" i="29"/>
  <c r="AR205" i="29"/>
  <c r="BP12" i="29"/>
  <c r="AR13" i="29"/>
  <c r="BJ44" i="29"/>
  <c r="AW22" i="29"/>
  <c r="AQ25" i="29"/>
  <c r="AW65" i="29"/>
  <c r="BI65" i="29" s="1"/>
  <c r="AW42" i="29"/>
  <c r="BI42" i="29" s="1"/>
  <c r="AR25" i="29"/>
  <c r="BP22" i="29"/>
  <c r="BP25" i="29" s="1"/>
  <c r="AF191" i="29"/>
  <c r="BJ185" i="29"/>
  <c r="BJ191" i="29" s="1"/>
  <c r="AS185" i="29"/>
  <c r="AR185" i="29"/>
  <c r="BT192" i="29"/>
  <c r="BS193" i="29" s="1"/>
  <c r="BS205" i="29"/>
  <c r="BS13" i="29"/>
  <c r="BQ33" i="29"/>
  <c r="BQ36" i="29" s="1"/>
  <c r="AS36" i="29"/>
  <c r="AQ202" i="29"/>
  <c r="AW16" i="29"/>
  <c r="AW53" i="29"/>
  <c r="AQ56" i="29"/>
  <c r="AW137" i="29"/>
  <c r="BI137" i="29" s="1"/>
  <c r="BO192" i="29"/>
  <c r="AQ205" i="29"/>
  <c r="AW12" i="29"/>
  <c r="AQ13" i="29"/>
  <c r="AQ63" i="29"/>
  <c r="AW60" i="29"/>
  <c r="BP181" i="29"/>
  <c r="AW181" i="29"/>
  <c r="BI181" i="29" s="1"/>
  <c r="AQ21" i="29"/>
  <c r="AW18" i="29"/>
  <c r="AF32" i="29"/>
  <c r="AS30" i="29"/>
  <c r="BJ30" i="29"/>
  <c r="BJ32" i="29" s="1"/>
  <c r="AR30" i="29"/>
  <c r="AS71" i="29"/>
  <c r="BQ68" i="29"/>
  <c r="BQ71" i="29" s="1"/>
  <c r="AW131" i="29"/>
  <c r="BI131" i="29" s="1"/>
  <c r="BL192" i="29"/>
  <c r="AS199" i="29"/>
  <c r="BQ170" i="29"/>
  <c r="AN195" i="29"/>
  <c r="AN192" i="29"/>
  <c r="BM197" i="29"/>
  <c r="BM90" i="29"/>
  <c r="AQ48" i="29"/>
  <c r="AW45" i="29"/>
  <c r="AW101" i="29"/>
  <c r="BI101" i="29" s="1"/>
  <c r="AO90" i="29"/>
  <c r="AF114" i="29"/>
  <c r="AS109" i="29"/>
  <c r="AR109" i="29"/>
  <c r="BJ109" i="29"/>
  <c r="BJ114" i="29" s="1"/>
  <c r="AO114" i="29"/>
  <c r="AR56" i="29"/>
  <c r="BP53" i="29"/>
  <c r="BP56" i="29" s="1"/>
  <c r="AW39" i="29"/>
  <c r="BI39" i="29" s="1"/>
  <c r="AR202" i="29"/>
  <c r="BP16" i="29"/>
  <c r="AF197" i="29"/>
  <c r="BJ98" i="29"/>
  <c r="AR98" i="29"/>
  <c r="BP98" i="29" s="1"/>
  <c r="AS98" i="29"/>
  <c r="BQ98" i="29" s="1"/>
  <c r="AF204" i="29"/>
  <c r="AS139" i="29"/>
  <c r="BJ139" i="29"/>
  <c r="AF140" i="29"/>
  <c r="AR139" i="29"/>
  <c r="AS205" i="29"/>
  <c r="AS13" i="29"/>
  <c r="BQ12" i="29"/>
  <c r="AF102" i="29"/>
  <c r="AS97" i="29"/>
  <c r="AR97" i="29"/>
  <c r="AW97" i="29" s="1"/>
  <c r="BJ97" i="29"/>
  <c r="AW166" i="29"/>
  <c r="BI166" i="29" s="1"/>
  <c r="AW152" i="29"/>
  <c r="BI152" i="29" s="1"/>
  <c r="AW24" i="29"/>
  <c r="BI24" i="29" s="1"/>
  <c r="AW163" i="29"/>
  <c r="BI163" i="29" s="1"/>
  <c r="BI192" i="42"/>
  <c r="BK200" i="42"/>
  <c r="AF200" i="42"/>
  <c r="BI139" i="42"/>
  <c r="AQ198" i="42"/>
  <c r="BI18" i="42"/>
  <c r="AF205" i="42"/>
  <c r="BJ14" i="42"/>
  <c r="BJ205" i="42" s="1"/>
  <c r="AR14" i="42"/>
  <c r="AS14" i="42"/>
  <c r="BK204" i="42"/>
  <c r="BK52" i="42"/>
  <c r="AW24" i="42"/>
  <c r="BI24" i="42" s="1"/>
  <c r="BL206" i="42"/>
  <c r="BL64" i="42"/>
  <c r="BK206" i="42"/>
  <c r="BK64" i="42"/>
  <c r="AO203" i="42"/>
  <c r="AS44" i="42"/>
  <c r="BQ41" i="42"/>
  <c r="BQ44" i="42" s="1"/>
  <c r="BQ69" i="42"/>
  <c r="AW93" i="42"/>
  <c r="BI93" i="42" s="1"/>
  <c r="AF153" i="42"/>
  <c r="AO166" i="42"/>
  <c r="AQ163" i="42"/>
  <c r="AW178" i="42"/>
  <c r="BI178" i="42" s="1"/>
  <c r="AW194" i="42"/>
  <c r="BI194" i="42" s="1"/>
  <c r="AO205" i="42"/>
  <c r="AQ14" i="42"/>
  <c r="AO21" i="42"/>
  <c r="AP210" i="42"/>
  <c r="AO204" i="42"/>
  <c r="AO52" i="42"/>
  <c r="AQ47" i="42"/>
  <c r="BL209" i="42"/>
  <c r="AF156" i="42"/>
  <c r="AS154" i="42"/>
  <c r="AR154" i="42"/>
  <c r="BJ154" i="42"/>
  <c r="BJ156" i="42" s="1"/>
  <c r="AR95" i="42"/>
  <c r="BP90" i="42"/>
  <c r="BP95" i="42" s="1"/>
  <c r="BL58" i="42"/>
  <c r="AW68" i="42"/>
  <c r="BI68" i="42" s="1"/>
  <c r="AQ85" i="42"/>
  <c r="AW79" i="42"/>
  <c r="BQ116" i="42"/>
  <c r="BQ121" i="42" s="1"/>
  <c r="AS121" i="42"/>
  <c r="AS125" i="42"/>
  <c r="BQ122" i="42"/>
  <c r="BQ125" i="42" s="1"/>
  <c r="AS185" i="42"/>
  <c r="BQ180" i="42"/>
  <c r="BQ185" i="42" s="1"/>
  <c r="BL203" i="42"/>
  <c r="BL21" i="42"/>
  <c r="AF212" i="42"/>
  <c r="BJ45" i="42"/>
  <c r="AS45" i="42"/>
  <c r="AR45" i="42"/>
  <c r="AF46" i="42"/>
  <c r="BL212" i="42"/>
  <c r="BL46" i="42"/>
  <c r="AW60" i="42"/>
  <c r="BI60" i="42" s="1"/>
  <c r="AF58" i="42"/>
  <c r="AS53" i="42"/>
  <c r="AR53" i="42"/>
  <c r="BJ53" i="42"/>
  <c r="BP85" i="42"/>
  <c r="BJ89" i="42"/>
  <c r="BJ112" i="42"/>
  <c r="BJ131" i="42"/>
  <c r="AS179" i="42"/>
  <c r="BQ173" i="42"/>
  <c r="BQ179" i="42" s="1"/>
  <c r="AW176" i="42"/>
  <c r="BI176" i="42" s="1"/>
  <c r="AW35" i="42"/>
  <c r="BI35" i="42" s="1"/>
  <c r="BS203" i="42"/>
  <c r="BS21" i="42"/>
  <c r="BS212" i="42"/>
  <c r="BS46" i="42"/>
  <c r="AW31" i="42"/>
  <c r="BI31" i="42" s="1"/>
  <c r="AQ136" i="42"/>
  <c r="AW137" i="42"/>
  <c r="BI137" i="42" s="1"/>
  <c r="AQ131" i="42"/>
  <c r="AW126" i="42"/>
  <c r="AQ179" i="42"/>
  <c r="AW173" i="42"/>
  <c r="AN199" i="42"/>
  <c r="AF29" i="42"/>
  <c r="BJ26" i="42"/>
  <c r="AS26" i="42"/>
  <c r="AR26" i="42"/>
  <c r="AW130" i="42"/>
  <c r="BI130" i="42" s="1"/>
  <c r="AO135" i="42"/>
  <c r="AQ132" i="42"/>
  <c r="AS172" i="42"/>
  <c r="BQ167" i="42"/>
  <c r="BQ172" i="42" s="1"/>
  <c r="BJ146" i="42"/>
  <c r="BJ148" i="42" s="1"/>
  <c r="AF148" i="42"/>
  <c r="AS146" i="42"/>
  <c r="AR146" i="42"/>
  <c r="BK203" i="42"/>
  <c r="AS76" i="42"/>
  <c r="BQ70" i="42"/>
  <c r="BQ76" i="42" s="1"/>
  <c r="AP89" i="42"/>
  <c r="AF203" i="42"/>
  <c r="AF21" i="42"/>
  <c r="AS12" i="42"/>
  <c r="AR12" i="42"/>
  <c r="BJ12" i="42"/>
  <c r="AQ40" i="42"/>
  <c r="AW38" i="42"/>
  <c r="AQ25" i="42"/>
  <c r="BJ44" i="42"/>
  <c r="AS69" i="42"/>
  <c r="BJ23" i="42"/>
  <c r="AR23" i="42"/>
  <c r="BP23" i="42" s="1"/>
  <c r="AS23" i="42"/>
  <c r="BQ23" i="42" s="1"/>
  <c r="AF204" i="42"/>
  <c r="AF52" i="42"/>
  <c r="AR47" i="42"/>
  <c r="BJ47" i="42"/>
  <c r="AS47" i="42"/>
  <c r="AP204" i="42"/>
  <c r="AP209" i="42"/>
  <c r="AW63" i="42"/>
  <c r="BI63" i="42" s="1"/>
  <c r="AW114" i="42"/>
  <c r="BI114" i="42" s="1"/>
  <c r="AF138" i="42"/>
  <c r="AS136" i="42"/>
  <c r="AR136" i="42"/>
  <c r="BJ136" i="42"/>
  <c r="BJ138" i="42" s="1"/>
  <c r="AW188" i="42"/>
  <c r="BI188" i="42" s="1"/>
  <c r="AS95" i="42"/>
  <c r="BQ90" i="42"/>
  <c r="BQ95" i="42" s="1"/>
  <c r="AW87" i="42"/>
  <c r="BI87" i="42" s="1"/>
  <c r="BJ121" i="42"/>
  <c r="AP203" i="42"/>
  <c r="AP21" i="42"/>
  <c r="AQ12" i="42"/>
  <c r="BM204" i="42"/>
  <c r="BM52" i="42"/>
  <c r="AP212" i="42"/>
  <c r="AP46" i="42"/>
  <c r="AQ45" i="42"/>
  <c r="AR85" i="42"/>
  <c r="AW155" i="42"/>
  <c r="BI155" i="42" s="1"/>
  <c r="AS112" i="42"/>
  <c r="BQ106" i="42"/>
  <c r="BQ112" i="42" s="1"/>
  <c r="AR131" i="42"/>
  <c r="BP126" i="42"/>
  <c r="BP131" i="42" s="1"/>
  <c r="BJ179" i="42"/>
  <c r="AQ185" i="42"/>
  <c r="AW180" i="42"/>
  <c r="BP18" i="42"/>
  <c r="BP38" i="42"/>
  <c r="BP40" i="42" s="1"/>
  <c r="AR40" i="42"/>
  <c r="AW43" i="42"/>
  <c r="BI43" i="42" s="1"/>
  <c r="BJ55" i="42"/>
  <c r="AS55" i="42"/>
  <c r="BQ55" i="42" s="1"/>
  <c r="AR55" i="42"/>
  <c r="BP55" i="42" s="1"/>
  <c r="AW49" i="42"/>
  <c r="BI49" i="42" s="1"/>
  <c r="BJ104" i="42"/>
  <c r="BJ210" i="42" s="1"/>
  <c r="AR104" i="42"/>
  <c r="AS104" i="42"/>
  <c r="AF105" i="42"/>
  <c r="AW51" i="42"/>
  <c r="BI51" i="42" s="1"/>
  <c r="AF211" i="42"/>
  <c r="BJ77" i="42"/>
  <c r="AS77" i="42"/>
  <c r="AF78" i="42"/>
  <c r="AR77" i="42"/>
  <c r="AW72" i="42"/>
  <c r="BI72" i="42" s="1"/>
  <c r="BN199" i="42"/>
  <c r="BM200" i="42" s="1"/>
  <c r="BL204" i="42"/>
  <c r="BJ76" i="42"/>
  <c r="AW158" i="42"/>
  <c r="BI158" i="42" s="1"/>
  <c r="AO209" i="42"/>
  <c r="AQ17" i="42"/>
  <c r="AR37" i="42"/>
  <c r="BP34" i="42"/>
  <c r="BP37" i="42" s="1"/>
  <c r="AO25" i="42"/>
  <c r="AP199" i="42"/>
  <c r="BJ32" i="42"/>
  <c r="AS32" i="42"/>
  <c r="BQ32" i="42" s="1"/>
  <c r="AR32" i="42"/>
  <c r="BP32" i="42" s="1"/>
  <c r="BP69" i="42"/>
  <c r="AF206" i="42"/>
  <c r="AS59" i="42"/>
  <c r="AR59" i="42"/>
  <c r="AF64" i="42"/>
  <c r="BJ59" i="42"/>
  <c r="AW140" i="42"/>
  <c r="BI140" i="42" s="1"/>
  <c r="AQ105" i="42"/>
  <c r="AW100" i="42"/>
  <c r="BL153" i="42"/>
  <c r="BL199" i="42" s="1"/>
  <c r="AW13" i="42"/>
  <c r="BI13" i="42" s="1"/>
  <c r="AW80" i="42"/>
  <c r="BI80" i="42" s="1"/>
  <c r="BJ145" i="42"/>
  <c r="AP153" i="42"/>
  <c r="AW57" i="42"/>
  <c r="BI57" i="42" s="1"/>
  <c r="AO58" i="42"/>
  <c r="AQ53" i="42"/>
  <c r="AR112" i="42"/>
  <c r="BP106" i="42"/>
  <c r="BP112" i="42" s="1"/>
  <c r="AS131" i="42"/>
  <c r="BQ126" i="42"/>
  <c r="BQ131" i="42" s="1"/>
  <c r="AR179" i="42"/>
  <c r="BP173" i="42"/>
  <c r="BP179" i="42" s="1"/>
  <c r="AQ186" i="42"/>
  <c r="AO191" i="42"/>
  <c r="BQ18" i="42"/>
  <c r="AW27" i="42"/>
  <c r="BI27" i="42" s="1"/>
  <c r="AO211" i="42"/>
  <c r="AO78" i="42"/>
  <c r="AQ77" i="42"/>
  <c r="AW183" i="42"/>
  <c r="BI183" i="42" s="1"/>
  <c r="AW193" i="42"/>
  <c r="BI193" i="42" s="1"/>
  <c r="BU209" i="42"/>
  <c r="BU202" i="42" s="1"/>
  <c r="AR22" i="42"/>
  <c r="AW22" i="42" s="1"/>
  <c r="AF25" i="42"/>
  <c r="AS22" i="42"/>
  <c r="BJ22" i="42"/>
  <c r="BJ25" i="42" s="1"/>
  <c r="AW19" i="42"/>
  <c r="BI19" i="42" s="1"/>
  <c r="AW34" i="42"/>
  <c r="AQ37" i="42"/>
  <c r="BJ172" i="42"/>
  <c r="BJ113" i="42"/>
  <c r="BJ115" i="42" s="1"/>
  <c r="AF115" i="42"/>
  <c r="AS113" i="42"/>
  <c r="AR113" i="42"/>
  <c r="AQ146" i="42"/>
  <c r="AO148" i="42"/>
  <c r="BH198" i="42"/>
  <c r="AW181" i="42"/>
  <c r="BI181" i="42" s="1"/>
  <c r="AF209" i="42"/>
  <c r="BJ17" i="42"/>
  <c r="AS17" i="42"/>
  <c r="AR17" i="42"/>
  <c r="AS37" i="42"/>
  <c r="BQ34" i="42"/>
  <c r="BQ37" i="42" s="1"/>
  <c r="AR44" i="42"/>
  <c r="BP41" i="42"/>
  <c r="BP44" i="42" s="1"/>
  <c r="BP149" i="42"/>
  <c r="AS195" i="42"/>
  <c r="BQ195" i="42" s="1"/>
  <c r="BJ195" i="42"/>
  <c r="BJ198" i="42" s="1"/>
  <c r="AR195" i="42"/>
  <c r="BP195" i="42" s="1"/>
  <c r="AW39" i="42"/>
  <c r="BI39" i="42" s="1"/>
  <c r="AR69" i="42"/>
  <c r="AW190" i="42"/>
  <c r="BI190" i="42" s="1"/>
  <c r="BM21" i="42"/>
  <c r="AW107" i="42"/>
  <c r="BI107" i="42" s="1"/>
  <c r="AW169" i="42"/>
  <c r="BI169" i="42" s="1"/>
  <c r="AQ145" i="42"/>
  <c r="AR125" i="42"/>
  <c r="BP122" i="42"/>
  <c r="BP125" i="42" s="1"/>
  <c r="AQ112" i="42"/>
  <c r="AW106" i="42"/>
  <c r="AW177" i="42"/>
  <c r="BI177" i="42" s="1"/>
  <c r="AO162" i="42"/>
  <c r="AQ157" i="42"/>
  <c r="AO210" i="42"/>
  <c r="BK211" i="42"/>
  <c r="BK78" i="42"/>
  <c r="BK199" i="42" s="1"/>
  <c r="BJ200" i="42" s="1"/>
  <c r="AP211" i="42"/>
  <c r="AP78" i="42"/>
  <c r="BH112" i="42"/>
  <c r="AW189" i="42"/>
  <c r="BI189" i="42" s="1"/>
  <c r="AW197" i="42"/>
  <c r="BI197" i="42" s="1"/>
  <c r="AR33" i="42"/>
  <c r="BP30" i="42"/>
  <c r="BP33" i="42" s="1"/>
  <c r="BS204" i="42"/>
  <c r="BS52" i="42"/>
  <c r="AW171" i="42"/>
  <c r="BI171" i="42" s="1"/>
  <c r="BS198" i="42"/>
  <c r="AW16" i="42"/>
  <c r="BI16" i="42" s="1"/>
  <c r="AW91" i="42"/>
  <c r="BI91" i="42" s="1"/>
  <c r="BM212" i="42"/>
  <c r="BM46" i="42"/>
  <c r="AP76" i="42"/>
  <c r="AQ70" i="42"/>
  <c r="BQ149" i="42"/>
  <c r="AF166" i="42"/>
  <c r="BJ163" i="42"/>
  <c r="BJ166" i="42" s="1"/>
  <c r="AR163" i="42"/>
  <c r="AS163" i="42"/>
  <c r="BR202" i="42"/>
  <c r="AP206" i="42"/>
  <c r="AP64" i="42"/>
  <c r="AO206" i="42"/>
  <c r="AO64" i="42"/>
  <c r="AQ59" i="42"/>
  <c r="BS206" i="42"/>
  <c r="BS64" i="42"/>
  <c r="AF99" i="42"/>
  <c r="BJ96" i="42"/>
  <c r="BJ99" i="42" s="1"/>
  <c r="AS96" i="42"/>
  <c r="AR96" i="42"/>
  <c r="AQ154" i="42"/>
  <c r="AO156" i="42"/>
  <c r="BQ192" i="42"/>
  <c r="BQ198" i="42" s="1"/>
  <c r="AS198" i="42"/>
  <c r="BM203" i="42"/>
  <c r="BM202" i="42" s="1"/>
  <c r="BM206" i="42"/>
  <c r="BP116" i="42"/>
  <c r="BP121" i="42" s="1"/>
  <c r="AR121" i="42"/>
  <c r="AR145" i="42"/>
  <c r="BP139" i="42"/>
  <c r="BP145" i="42" s="1"/>
  <c r="BP180" i="42"/>
  <c r="BP185" i="42" s="1"/>
  <c r="AR185" i="42"/>
  <c r="AW65" i="42"/>
  <c r="AQ69" i="42"/>
  <c r="BS211" i="42"/>
  <c r="BS78" i="42"/>
  <c r="AR89" i="42"/>
  <c r="BP86" i="42"/>
  <c r="BP89" i="42" s="1"/>
  <c r="BJ186" i="42"/>
  <c r="BJ191" i="42" s="1"/>
  <c r="AR186" i="42"/>
  <c r="AS186" i="42"/>
  <c r="AF191" i="42"/>
  <c r="AF199" i="42" s="1"/>
  <c r="AS40" i="42"/>
  <c r="BQ38" i="42"/>
  <c r="BQ40" i="42" s="1"/>
  <c r="BL211" i="42"/>
  <c r="BL78" i="42"/>
  <c r="AW149" i="42"/>
  <c r="AQ153" i="42"/>
  <c r="AQ172" i="42"/>
  <c r="AW167" i="42"/>
  <c r="BT202" i="42"/>
  <c r="BO202" i="42"/>
  <c r="BM201" i="42" s="1"/>
  <c r="AS33" i="42"/>
  <c r="BQ30" i="42"/>
  <c r="BQ33" i="42" s="1"/>
  <c r="AQ95" i="42"/>
  <c r="AW90" i="42"/>
  <c r="AO29" i="42"/>
  <c r="AQ26" i="42"/>
  <c r="AW30" i="42"/>
  <c r="AQ33" i="42"/>
  <c r="BQ85" i="42"/>
  <c r="AW160" i="42"/>
  <c r="BI160" i="42" s="1"/>
  <c r="AW174" i="42"/>
  <c r="BI174" i="42" s="1"/>
  <c r="AW161" i="42"/>
  <c r="BI161" i="42" s="1"/>
  <c r="AQ113" i="42"/>
  <c r="AO115" i="42"/>
  <c r="BT200" i="42"/>
  <c r="AW122" i="42"/>
  <c r="AQ121" i="42"/>
  <c r="AW116" i="42"/>
  <c r="AW23" i="42"/>
  <c r="BI23" i="42" s="1"/>
  <c r="AS151" i="42"/>
  <c r="BQ151" i="42" s="1"/>
  <c r="AR151" i="42"/>
  <c r="BP151" i="42" s="1"/>
  <c r="BJ151" i="42"/>
  <c r="BJ153" i="42" s="1"/>
  <c r="AO99" i="42"/>
  <c r="AQ96" i="42"/>
  <c r="BP192" i="42"/>
  <c r="BP198" i="42" s="1"/>
  <c r="AR198" i="42"/>
  <c r="AS145" i="42"/>
  <c r="BQ139" i="42"/>
  <c r="BQ145" i="42" s="1"/>
  <c r="AW20" i="42"/>
  <c r="BI20" i="42" s="1"/>
  <c r="AQ44" i="42"/>
  <c r="AW41" i="42"/>
  <c r="AS89" i="42"/>
  <c r="BQ86" i="42"/>
  <c r="BQ89" i="42" s="1"/>
  <c r="AQ89" i="42"/>
  <c r="AW86" i="42"/>
  <c r="AW109" i="42"/>
  <c r="BI109" i="42" s="1"/>
  <c r="AS157" i="42"/>
  <c r="AR157" i="42"/>
  <c r="BJ157" i="42"/>
  <c r="BJ162" i="42" s="1"/>
  <c r="AF162" i="42"/>
  <c r="AN200" i="42"/>
  <c r="BN200" i="42"/>
  <c r="BJ40" i="42"/>
  <c r="BJ28" i="42"/>
  <c r="AS28" i="42"/>
  <c r="BQ28" i="42" s="1"/>
  <c r="AR28" i="42"/>
  <c r="BP28" i="42" s="1"/>
  <c r="AW104" i="42"/>
  <c r="BI104" i="42" s="1"/>
  <c r="AW182" i="42"/>
  <c r="BI182" i="42" s="1"/>
  <c r="BM199" i="42"/>
  <c r="BK21" i="42"/>
  <c r="BJ33" i="42"/>
  <c r="AO33" i="42"/>
  <c r="AS85" i="42"/>
  <c r="AW101" i="42"/>
  <c r="BI101" i="42" s="1"/>
  <c r="AW127" i="42"/>
  <c r="BI127" i="42" s="1"/>
  <c r="BJ132" i="42"/>
  <c r="BJ135" i="42" s="1"/>
  <c r="AS132" i="42"/>
  <c r="AR132" i="42"/>
  <c r="AF135" i="42"/>
  <c r="BP167" i="42"/>
  <c r="BP172" i="42" s="1"/>
  <c r="AR172" i="42"/>
  <c r="BG199" i="42"/>
  <c r="BP70" i="42"/>
  <c r="BP76" i="42" s="1"/>
  <c r="AR76" i="42"/>
  <c r="AQ125" i="42"/>
  <c r="BI37" i="41"/>
  <c r="BK145" i="41"/>
  <c r="BK36" i="41"/>
  <c r="AS43" i="41"/>
  <c r="BQ37" i="41"/>
  <c r="BQ43" i="41" s="1"/>
  <c r="AO50" i="41"/>
  <c r="AQ44" i="41"/>
  <c r="AO143" i="41"/>
  <c r="AO21" i="41"/>
  <c r="AQ17" i="41"/>
  <c r="BJ43" i="41"/>
  <c r="BQ72" i="41"/>
  <c r="AQ85" i="41"/>
  <c r="AW85" i="41" s="1"/>
  <c r="BI85" i="41" s="1"/>
  <c r="AP87" i="41"/>
  <c r="AW102" i="41"/>
  <c r="BI102" i="41" s="1"/>
  <c r="BK143" i="41"/>
  <c r="BK21" i="41"/>
  <c r="BM150" i="41"/>
  <c r="BM29" i="41"/>
  <c r="BJ27" i="41"/>
  <c r="BO141" i="41"/>
  <c r="AO150" i="41"/>
  <c r="AQ28" i="41"/>
  <c r="AO29" i="41"/>
  <c r="BM105" i="41"/>
  <c r="AW111" i="41"/>
  <c r="BI111" i="41" s="1"/>
  <c r="AR93" i="41"/>
  <c r="BP88" i="41"/>
  <c r="BP93" i="41" s="1"/>
  <c r="BT141" i="41"/>
  <c r="AO148" i="41"/>
  <c r="AQ15" i="41"/>
  <c r="BN138" i="41"/>
  <c r="BM139" i="41" s="1"/>
  <c r="AW30" i="41"/>
  <c r="AQ36" i="41"/>
  <c r="AW24" i="41"/>
  <c r="BI24" i="41" s="1"/>
  <c r="AW26" i="41"/>
  <c r="BI26" i="41" s="1"/>
  <c r="AO87" i="41"/>
  <c r="AQ84" i="41"/>
  <c r="AR98" i="41"/>
  <c r="AS98" i="41"/>
  <c r="AF105" i="41"/>
  <c r="BJ98" i="41"/>
  <c r="AS97" i="41"/>
  <c r="BQ94" i="41"/>
  <c r="BQ97" i="41" s="1"/>
  <c r="AQ72" i="41"/>
  <c r="AW66" i="41"/>
  <c r="AP120" i="41"/>
  <c r="AQ114" i="41"/>
  <c r="AW114" i="41" s="1"/>
  <c r="BI114" i="41" s="1"/>
  <c r="AR65" i="41"/>
  <c r="BP62" i="41"/>
  <c r="BP65" i="41" s="1"/>
  <c r="BI88" i="41"/>
  <c r="AW93" i="41"/>
  <c r="BP121" i="41"/>
  <c r="BP124" i="41" s="1"/>
  <c r="AR124" i="41"/>
  <c r="AR27" i="41"/>
  <c r="BP22" i="41"/>
  <c r="BP27" i="41" s="1"/>
  <c r="BH139" i="41"/>
  <c r="BT139" i="41"/>
  <c r="AS72" i="41"/>
  <c r="AD138" i="41"/>
  <c r="AW80" i="41"/>
  <c r="AQ83" i="41"/>
  <c r="AW110" i="41"/>
  <c r="BI110" i="41" s="1"/>
  <c r="AS65" i="41"/>
  <c r="BQ62" i="41"/>
  <c r="BQ65" i="41" s="1"/>
  <c r="AS124" i="41"/>
  <c r="BQ121" i="41"/>
  <c r="BQ124" i="41" s="1"/>
  <c r="BQ22" i="41"/>
  <c r="BQ27" i="41" s="1"/>
  <c r="AS27" i="41"/>
  <c r="BS139" i="41"/>
  <c r="AR51" i="41"/>
  <c r="AF58" i="41"/>
  <c r="BJ51" i="41"/>
  <c r="BJ58" i="41" s="1"/>
  <c r="AS51" i="41"/>
  <c r="AS44" i="41"/>
  <c r="AR44" i="41"/>
  <c r="AF50" i="41"/>
  <c r="BJ44" i="41"/>
  <c r="BJ50" i="41" s="1"/>
  <c r="AF143" i="41"/>
  <c r="AF21" i="41"/>
  <c r="BJ17" i="41"/>
  <c r="AR17" i="41"/>
  <c r="AS17" i="41"/>
  <c r="AQ59" i="41"/>
  <c r="AO61" i="41"/>
  <c r="AW45" i="41"/>
  <c r="BI45" i="41" s="1"/>
  <c r="BM143" i="41"/>
  <c r="BM21" i="41"/>
  <c r="AW33" i="41"/>
  <c r="BI33" i="41" s="1"/>
  <c r="BL148" i="41"/>
  <c r="BL16" i="41"/>
  <c r="BL138" i="41" s="1"/>
  <c r="BE21" i="47" s="1"/>
  <c r="AW48" i="41"/>
  <c r="BI48" i="41" s="1"/>
  <c r="AF150" i="41"/>
  <c r="AF29" i="41"/>
  <c r="AR28" i="41"/>
  <c r="BJ28" i="41"/>
  <c r="AS28" i="41"/>
  <c r="AW70" i="41"/>
  <c r="BI70" i="41" s="1"/>
  <c r="AW69" i="41"/>
  <c r="BI69" i="41" s="1"/>
  <c r="AF151" i="41"/>
  <c r="AR104" i="41"/>
  <c r="AS104" i="41"/>
  <c r="BJ104" i="41"/>
  <c r="BJ151" i="41" s="1"/>
  <c r="AW117" i="41"/>
  <c r="BI117" i="41" s="1"/>
  <c r="AR131" i="41"/>
  <c r="AS131" i="41"/>
  <c r="AF137" i="41"/>
  <c r="BJ131" i="41"/>
  <c r="BJ137" i="41" s="1"/>
  <c r="BJ93" i="41"/>
  <c r="BN141" i="41"/>
  <c r="BM140" i="41" s="1"/>
  <c r="BM142" i="41"/>
  <c r="BM141" i="41" s="1"/>
  <c r="BM16" i="41"/>
  <c r="BM138" i="41" s="1"/>
  <c r="AF142" i="41"/>
  <c r="BJ12" i="41"/>
  <c r="AS12" i="41"/>
  <c r="AR12" i="41"/>
  <c r="AF16" i="41"/>
  <c r="AW115" i="41"/>
  <c r="BI115" i="41" s="1"/>
  <c r="BS150" i="41"/>
  <c r="BS29" i="41"/>
  <c r="AW14" i="41"/>
  <c r="BI14" i="41" s="1"/>
  <c r="BL143" i="41"/>
  <c r="BS21" i="41"/>
  <c r="AF87" i="41"/>
  <c r="BJ84" i="41"/>
  <c r="BJ87" i="41" s="1"/>
  <c r="AS84" i="41"/>
  <c r="AR84" i="41"/>
  <c r="AR106" i="41"/>
  <c r="AF112" i="41"/>
  <c r="BJ106" i="41"/>
  <c r="BJ112" i="41" s="1"/>
  <c r="AS106" i="41"/>
  <c r="AP65" i="41"/>
  <c r="AQ62" i="41"/>
  <c r="AO105" i="41"/>
  <c r="AQ98" i="41"/>
  <c r="AW32" i="41"/>
  <c r="BI32" i="41" s="1"/>
  <c r="BJ97" i="41"/>
  <c r="BP129" i="41"/>
  <c r="AW129" i="41"/>
  <c r="BI129" i="41" s="1"/>
  <c r="AW94" i="41"/>
  <c r="AQ97" i="41"/>
  <c r="BU141" i="41"/>
  <c r="BL142" i="41"/>
  <c r="AW123" i="41"/>
  <c r="BI123" i="41" s="1"/>
  <c r="BP67" i="41"/>
  <c r="BP72" i="41" s="1"/>
  <c r="AR72" i="41"/>
  <c r="AF120" i="41"/>
  <c r="AR113" i="41"/>
  <c r="BJ113" i="41"/>
  <c r="BJ120" i="41" s="1"/>
  <c r="AS113" i="41"/>
  <c r="BH140" i="41"/>
  <c r="AO145" i="41"/>
  <c r="AQ31" i="41"/>
  <c r="BJ124" i="41"/>
  <c r="AF149" i="41"/>
  <c r="BJ19" i="41"/>
  <c r="BJ149" i="41" s="1"/>
  <c r="AS19" i="41"/>
  <c r="AR19" i="41"/>
  <c r="AW116" i="41"/>
  <c r="BI116" i="41" s="1"/>
  <c r="AQ27" i="41"/>
  <c r="AW22" i="41"/>
  <c r="AW91" i="41"/>
  <c r="BI91" i="41" s="1"/>
  <c r="AO151" i="41"/>
  <c r="AQ104" i="41"/>
  <c r="AW134" i="41"/>
  <c r="BI134" i="41" s="1"/>
  <c r="AO137" i="41"/>
  <c r="AQ131" i="41"/>
  <c r="AS79" i="41"/>
  <c r="BQ73" i="41"/>
  <c r="BQ79" i="41" s="1"/>
  <c r="BR141" i="41"/>
  <c r="AF148" i="41"/>
  <c r="BJ15" i="41"/>
  <c r="BJ148" i="41" s="1"/>
  <c r="AS15" i="41"/>
  <c r="AR15" i="41"/>
  <c r="AN138" i="41"/>
  <c r="AO142" i="41"/>
  <c r="AO141" i="41" s="1"/>
  <c r="AO16" i="41"/>
  <c r="AQ12" i="41"/>
  <c r="AW47" i="41"/>
  <c r="BI47" i="41" s="1"/>
  <c r="AP79" i="41"/>
  <c r="AQ73" i="41"/>
  <c r="AW96" i="41"/>
  <c r="BI96" i="41" s="1"/>
  <c r="BS142" i="41"/>
  <c r="BS16" i="41"/>
  <c r="BS145" i="41"/>
  <c r="AO112" i="41"/>
  <c r="AQ106" i="41"/>
  <c r="BK105" i="41"/>
  <c r="AW23" i="41"/>
  <c r="BI23" i="41" s="1"/>
  <c r="AW54" i="41"/>
  <c r="BI54" i="41" s="1"/>
  <c r="BK150" i="41"/>
  <c r="BK29" i="41"/>
  <c r="AW42" i="41"/>
  <c r="BI42" i="41" s="1"/>
  <c r="AR79" i="41"/>
  <c r="BP73" i="41"/>
  <c r="BP79" i="41" s="1"/>
  <c r="AD141" i="41"/>
  <c r="AW68" i="41"/>
  <c r="BI68" i="41" s="1"/>
  <c r="AN139" i="41"/>
  <c r="BN139" i="41"/>
  <c r="AO130" i="41"/>
  <c r="AQ125" i="41"/>
  <c r="BQ83" i="41"/>
  <c r="AQ124" i="41"/>
  <c r="AW121" i="41"/>
  <c r="AO120" i="41"/>
  <c r="AQ113" i="41"/>
  <c r="AF61" i="41"/>
  <c r="BJ59" i="41"/>
  <c r="BJ61" i="41" s="1"/>
  <c r="AS59" i="41"/>
  <c r="AR59" i="41"/>
  <c r="AF145" i="41"/>
  <c r="AR31" i="41"/>
  <c r="BJ31" i="41"/>
  <c r="AS31" i="41"/>
  <c r="AF36" i="41"/>
  <c r="AR43" i="41"/>
  <c r="BP37" i="41"/>
  <c r="BP43" i="41" s="1"/>
  <c r="AW67" i="41"/>
  <c r="BI67" i="41" s="1"/>
  <c r="AP145" i="41"/>
  <c r="AP141" i="41" s="1"/>
  <c r="AP36" i="41"/>
  <c r="AP138" i="41" s="1"/>
  <c r="AI21" i="47" s="1"/>
  <c r="AO149" i="41"/>
  <c r="AQ19" i="41"/>
  <c r="AE141" i="41"/>
  <c r="AW41" i="41"/>
  <c r="BI41" i="41" s="1"/>
  <c r="BJ79" i="41"/>
  <c r="AS93" i="41"/>
  <c r="BQ88" i="41"/>
  <c r="BQ93" i="41" s="1"/>
  <c r="BP81" i="41"/>
  <c r="BP83" i="41" s="1"/>
  <c r="AR83" i="41"/>
  <c r="AN141" i="41"/>
  <c r="AO58" i="41"/>
  <c r="AQ51" i="41"/>
  <c r="BK142" i="41"/>
  <c r="BK16" i="41"/>
  <c r="BH138" i="41"/>
  <c r="BA21" i="47" s="1"/>
  <c r="AW71" i="41"/>
  <c r="BI71" i="41" s="1"/>
  <c r="AW34" i="41"/>
  <c r="BI34" i="41" s="1"/>
  <c r="AR125" i="41"/>
  <c r="AS125" i="41"/>
  <c r="BJ125" i="41"/>
  <c r="BJ130" i="41" s="1"/>
  <c r="AF130" i="41"/>
  <c r="AW118" i="41"/>
  <c r="BI118" i="41" s="1"/>
  <c r="AQ43" i="41"/>
  <c r="AR97" i="41"/>
  <c r="BP94" i="41"/>
  <c r="BP97" i="41" s="1"/>
  <c r="BS167" i="40"/>
  <c r="BP53" i="40"/>
  <c r="BJ82" i="40"/>
  <c r="BJ88" i="40" s="1"/>
  <c r="AS82" i="40"/>
  <c r="AR82" i="40"/>
  <c r="AF88" i="40"/>
  <c r="AN167" i="40"/>
  <c r="BN167" i="40"/>
  <c r="AW68" i="40"/>
  <c r="AQ74" i="40"/>
  <c r="AS104" i="40"/>
  <c r="BQ104" i="40" s="1"/>
  <c r="BJ104" i="40"/>
  <c r="BJ108" i="40" s="1"/>
  <c r="AR104" i="40"/>
  <c r="BP104" i="40" s="1"/>
  <c r="AF171" i="40"/>
  <c r="AF32" i="40"/>
  <c r="BJ26" i="40"/>
  <c r="AS26" i="40"/>
  <c r="AW26" i="40" s="1"/>
  <c r="AR26" i="40"/>
  <c r="AF179" i="40"/>
  <c r="BJ24" i="40"/>
  <c r="AS24" i="40"/>
  <c r="AR24" i="40"/>
  <c r="AF25" i="40"/>
  <c r="AR94" i="40"/>
  <c r="BP94" i="40" s="1"/>
  <c r="BJ94" i="40"/>
  <c r="AS94" i="40"/>
  <c r="BQ94" i="40" s="1"/>
  <c r="BJ156" i="40"/>
  <c r="AS156" i="40"/>
  <c r="AR156" i="40"/>
  <c r="AF161" i="40"/>
  <c r="AQ108" i="40"/>
  <c r="AW103" i="40"/>
  <c r="BS171" i="40"/>
  <c r="AF176" i="40"/>
  <c r="BJ14" i="40"/>
  <c r="BJ176" i="40" s="1"/>
  <c r="AS14" i="40"/>
  <c r="AR14" i="40"/>
  <c r="AP19" i="40"/>
  <c r="AQ16" i="40"/>
  <c r="BJ137" i="40"/>
  <c r="AW149" i="40"/>
  <c r="BI149" i="40" s="1"/>
  <c r="BP138" i="40"/>
  <c r="BP144" i="40" s="1"/>
  <c r="AR144" i="40"/>
  <c r="AS145" i="40"/>
  <c r="AF151" i="40"/>
  <c r="AR145" i="40"/>
  <c r="BJ145" i="40"/>
  <c r="BJ151" i="40" s="1"/>
  <c r="BJ130" i="40"/>
  <c r="AO170" i="40"/>
  <c r="AQ12" i="40"/>
  <c r="AO15" i="40"/>
  <c r="AP23" i="40"/>
  <c r="AQ20" i="40"/>
  <c r="AW70" i="40"/>
  <c r="BI70" i="40" s="1"/>
  <c r="AW63" i="40"/>
  <c r="BI63" i="40" s="1"/>
  <c r="AQ99" i="40"/>
  <c r="BH167" i="40"/>
  <c r="BT167" i="40"/>
  <c r="AW120" i="40"/>
  <c r="BI120" i="40" s="1"/>
  <c r="AS155" i="40"/>
  <c r="BQ152" i="40"/>
  <c r="BQ155" i="40" s="1"/>
  <c r="BH168" i="40"/>
  <c r="BP54" i="40"/>
  <c r="AR60" i="40"/>
  <c r="AW66" i="40"/>
  <c r="BI66" i="40" s="1"/>
  <c r="AO74" i="40"/>
  <c r="AW123" i="40"/>
  <c r="BI123" i="40" s="1"/>
  <c r="AP114" i="40"/>
  <c r="AQ112" i="40"/>
  <c r="AO179" i="40"/>
  <c r="AO25" i="40"/>
  <c r="AQ24" i="40"/>
  <c r="AQ61" i="40"/>
  <c r="AW59" i="40"/>
  <c r="BI59" i="40" s="1"/>
  <c r="BP115" i="40"/>
  <c r="AR118" i="40"/>
  <c r="AF108" i="40"/>
  <c r="BP162" i="40"/>
  <c r="BP165" i="40" s="1"/>
  <c r="AR165" i="40"/>
  <c r="AQ60" i="40"/>
  <c r="AW54" i="40"/>
  <c r="AP151" i="40"/>
  <c r="AQ145" i="40"/>
  <c r="BP41" i="40"/>
  <c r="AW41" i="40"/>
  <c r="BI41" i="40" s="1"/>
  <c r="BL172" i="40"/>
  <c r="BL38" i="40"/>
  <c r="AW42" i="40"/>
  <c r="BI42" i="40" s="1"/>
  <c r="AW72" i="40"/>
  <c r="BI72" i="40" s="1"/>
  <c r="AW143" i="40"/>
  <c r="BI143" i="40" s="1"/>
  <c r="AF127" i="40"/>
  <c r="AR125" i="40"/>
  <c r="BJ125" i="40"/>
  <c r="BJ127" i="40" s="1"/>
  <c r="AS125" i="40"/>
  <c r="BK171" i="40"/>
  <c r="AW146" i="40"/>
  <c r="BI146" i="40" s="1"/>
  <c r="BL170" i="40"/>
  <c r="AS99" i="40"/>
  <c r="AR99" i="40"/>
  <c r="AF102" i="40"/>
  <c r="BJ99" i="40"/>
  <c r="BJ102" i="40" s="1"/>
  <c r="AS130" i="40"/>
  <c r="BQ128" i="40"/>
  <c r="BQ130" i="40" s="1"/>
  <c r="BK167" i="40"/>
  <c r="AF167" i="40"/>
  <c r="BJ61" i="40"/>
  <c r="BJ67" i="40" s="1"/>
  <c r="AR61" i="40"/>
  <c r="AF67" i="40"/>
  <c r="AS61" i="40"/>
  <c r="BJ60" i="40"/>
  <c r="BJ118" i="40"/>
  <c r="AW37" i="40"/>
  <c r="BI37" i="40" s="1"/>
  <c r="AP172" i="40"/>
  <c r="AP38" i="40"/>
  <c r="BS179" i="40"/>
  <c r="BS25" i="40"/>
  <c r="BM171" i="40"/>
  <c r="BM32" i="40"/>
  <c r="AQ118" i="40"/>
  <c r="AW115" i="40"/>
  <c r="AN169" i="40"/>
  <c r="AE169" i="40"/>
  <c r="AW107" i="40"/>
  <c r="BI107" i="40" s="1"/>
  <c r="AQ129" i="40"/>
  <c r="AW129" i="40" s="1"/>
  <c r="BI129" i="40" s="1"/>
  <c r="AR137" i="40"/>
  <c r="BP131" i="40"/>
  <c r="BP137" i="40" s="1"/>
  <c r="AS144" i="40"/>
  <c r="BQ138" i="40"/>
  <c r="BQ144" i="40" s="1"/>
  <c r="AP161" i="40"/>
  <c r="BK170" i="40"/>
  <c r="BK15" i="40"/>
  <c r="AP170" i="40"/>
  <c r="BN169" i="40"/>
  <c r="BM178" i="40"/>
  <c r="BM53" i="40"/>
  <c r="AW83" i="40"/>
  <c r="BI83" i="40" s="1"/>
  <c r="AW139" i="40"/>
  <c r="BI139" i="40" s="1"/>
  <c r="AW91" i="40"/>
  <c r="BI91" i="40" s="1"/>
  <c r="BJ155" i="40"/>
  <c r="BL176" i="40"/>
  <c r="BL15" i="40"/>
  <c r="AW76" i="40"/>
  <c r="BI76" i="40" s="1"/>
  <c r="AR98" i="40"/>
  <c r="BP93" i="40"/>
  <c r="BP98" i="40" s="1"/>
  <c r="AW158" i="40"/>
  <c r="BI158" i="40" s="1"/>
  <c r="AS112" i="40"/>
  <c r="BJ112" i="40"/>
  <c r="BJ114" i="40" s="1"/>
  <c r="AR112" i="40"/>
  <c r="AF114" i="40"/>
  <c r="AF166" i="40" s="1"/>
  <c r="BT169" i="40"/>
  <c r="BS168" i="40" s="1"/>
  <c r="BK179" i="40"/>
  <c r="BK25" i="40"/>
  <c r="AW73" i="40"/>
  <c r="BI73" i="40" s="1"/>
  <c r="BM60" i="40"/>
  <c r="BM166" i="40" s="1"/>
  <c r="AS118" i="40"/>
  <c r="BQ115" i="40"/>
  <c r="BQ118" i="40" s="1"/>
  <c r="AW105" i="40"/>
  <c r="BI105" i="40" s="1"/>
  <c r="BQ162" i="40"/>
  <c r="BQ165" i="40" s="1"/>
  <c r="AS165" i="40"/>
  <c r="AW142" i="40"/>
  <c r="BI142" i="40" s="1"/>
  <c r="AW18" i="40"/>
  <c r="BI18" i="40" s="1"/>
  <c r="AW78" i="40"/>
  <c r="BI78" i="40" s="1"/>
  <c r="AW153" i="40"/>
  <c r="BI153" i="40" s="1"/>
  <c r="BQ178" i="40"/>
  <c r="BQ53" i="40"/>
  <c r="AW13" i="40"/>
  <c r="BI13" i="40" s="1"/>
  <c r="AS137" i="40"/>
  <c r="BQ131" i="40"/>
  <c r="BQ137" i="40" s="1"/>
  <c r="BQ16" i="40"/>
  <c r="BQ19" i="40" s="1"/>
  <c r="AS19" i="40"/>
  <c r="BJ69" i="40"/>
  <c r="BJ74" i="40" s="1"/>
  <c r="AS69" i="40"/>
  <c r="AR69" i="40"/>
  <c r="AF74" i="40"/>
  <c r="AW109" i="40"/>
  <c r="AQ110" i="40"/>
  <c r="AQ165" i="40"/>
  <c r="AW162" i="40"/>
  <c r="AS157" i="40"/>
  <c r="BQ157" i="40" s="1"/>
  <c r="BJ157" i="40"/>
  <c r="AR157" i="40"/>
  <c r="BP157" i="40" s="1"/>
  <c r="AQ38" i="40"/>
  <c r="AR130" i="40"/>
  <c r="BP128" i="40"/>
  <c r="BP130" i="40" s="1"/>
  <c r="AF170" i="40"/>
  <c r="AR12" i="40"/>
  <c r="BJ12" i="40"/>
  <c r="AS12" i="40"/>
  <c r="AF15" i="40"/>
  <c r="BP16" i="40"/>
  <c r="BP19" i="40" s="1"/>
  <c r="AR19" i="40"/>
  <c r="AW89" i="40"/>
  <c r="AQ92" i="40"/>
  <c r="AQ51" i="40"/>
  <c r="AW45" i="40"/>
  <c r="BJ75" i="40"/>
  <c r="BJ81" i="40" s="1"/>
  <c r="AF81" i="40"/>
  <c r="AS75" i="40"/>
  <c r="AR75" i="40"/>
  <c r="AW48" i="40"/>
  <c r="BI48" i="40" s="1"/>
  <c r="AW43" i="40"/>
  <c r="BI43" i="40" s="1"/>
  <c r="AQ177" i="40"/>
  <c r="AW71" i="40"/>
  <c r="BI71" i="40" s="1"/>
  <c r="AW113" i="40"/>
  <c r="BI113" i="40" s="1"/>
  <c r="AR124" i="40"/>
  <c r="BJ98" i="40"/>
  <c r="AR173" i="40"/>
  <c r="BP55" i="40"/>
  <c r="BP173" i="40" s="1"/>
  <c r="BI111" i="40"/>
  <c r="BR169" i="40"/>
  <c r="BM179" i="40"/>
  <c r="BM25" i="40"/>
  <c r="AW86" i="40"/>
  <c r="BI86" i="40" s="1"/>
  <c r="AQ98" i="40"/>
  <c r="AW93" i="40"/>
  <c r="AW96" i="40"/>
  <c r="BI96" i="40" s="1"/>
  <c r="AW94" i="40"/>
  <c r="BI94" i="40" s="1"/>
  <c r="AO174" i="40"/>
  <c r="AQ28" i="40"/>
  <c r="AQ32" i="40" s="1"/>
  <c r="BS170" i="40"/>
  <c r="BS15" i="40"/>
  <c r="AW84" i="40"/>
  <c r="BI84" i="40" s="1"/>
  <c r="AW62" i="40"/>
  <c r="BI62" i="40" s="1"/>
  <c r="AQ124" i="40"/>
  <c r="AW119" i="40"/>
  <c r="BI52" i="40"/>
  <c r="AW53" i="40"/>
  <c r="BM170" i="40"/>
  <c r="BM169" i="40" s="1"/>
  <c r="BM15" i="40"/>
  <c r="BI138" i="40"/>
  <c r="AO44" i="40"/>
  <c r="AQ39" i="40"/>
  <c r="AS51" i="40"/>
  <c r="BQ45" i="40"/>
  <c r="BQ51" i="40" s="1"/>
  <c r="AP179" i="40"/>
  <c r="AP25" i="40"/>
  <c r="AW69" i="40"/>
  <c r="BI69" i="40" s="1"/>
  <c r="BJ144" i="40"/>
  <c r="AO166" i="40"/>
  <c r="AW157" i="40"/>
  <c r="BI157" i="40" s="1"/>
  <c r="AQ130" i="40"/>
  <c r="AW128" i="40"/>
  <c r="AW164" i="40"/>
  <c r="BI164" i="40" s="1"/>
  <c r="AS39" i="40"/>
  <c r="AR39" i="40"/>
  <c r="AF44" i="40"/>
  <c r="BJ39" i="40"/>
  <c r="BJ44" i="40" s="1"/>
  <c r="AW135" i="40"/>
  <c r="BI135" i="40" s="1"/>
  <c r="AP178" i="40"/>
  <c r="BP152" i="40"/>
  <c r="BP155" i="40" s="1"/>
  <c r="AR155" i="40"/>
  <c r="AS60" i="40"/>
  <c r="BQ54" i="40"/>
  <c r="BQ60" i="40" s="1"/>
  <c r="AF98" i="40"/>
  <c r="BQ55" i="40"/>
  <c r="AW100" i="40"/>
  <c r="BI100" i="40" s="1"/>
  <c r="AW116" i="40"/>
  <c r="BI116" i="40" s="1"/>
  <c r="AP171" i="40"/>
  <c r="AP32" i="40"/>
  <c r="AW85" i="40"/>
  <c r="BI85" i="40" s="1"/>
  <c r="AW57" i="40"/>
  <c r="BI57" i="40" s="1"/>
  <c r="AW101" i="40"/>
  <c r="BI101" i="40" s="1"/>
  <c r="AO98" i="40"/>
  <c r="AR108" i="40"/>
  <c r="BP103" i="40"/>
  <c r="AQ156" i="40"/>
  <c r="AO161" i="40"/>
  <c r="AF172" i="40"/>
  <c r="AF38" i="40"/>
  <c r="AS33" i="40"/>
  <c r="AR33" i="40"/>
  <c r="BJ33" i="40"/>
  <c r="BM173" i="40"/>
  <c r="AR92" i="40"/>
  <c r="BP89" i="40"/>
  <c r="BP92" i="40" s="1"/>
  <c r="AW126" i="40"/>
  <c r="BI126" i="40" s="1"/>
  <c r="AR23" i="40"/>
  <c r="BP20" i="40"/>
  <c r="BP23" i="40" s="1"/>
  <c r="AF177" i="40"/>
  <c r="AS30" i="40"/>
  <c r="AR30" i="40"/>
  <c r="BJ30" i="40"/>
  <c r="BJ177" i="40" s="1"/>
  <c r="AS178" i="40"/>
  <c r="AO176" i="40"/>
  <c r="AQ14" i="40"/>
  <c r="BS178" i="40"/>
  <c r="BS53" i="40"/>
  <c r="BL179" i="40"/>
  <c r="BL25" i="40"/>
  <c r="AR51" i="40"/>
  <c r="BP45" i="40"/>
  <c r="BP51" i="40" s="1"/>
  <c r="AW152" i="40"/>
  <c r="AQ155" i="40"/>
  <c r="AD169" i="40"/>
  <c r="BJ19" i="40"/>
  <c r="AW122" i="40"/>
  <c r="BI122" i="40" s="1"/>
  <c r="AO88" i="40"/>
  <c r="AQ82" i="40"/>
  <c r="BP117" i="40"/>
  <c r="AW117" i="40"/>
  <c r="BI117" i="40" s="1"/>
  <c r="AQ173" i="40"/>
  <c r="AW55" i="40"/>
  <c r="AO81" i="40"/>
  <c r="AQ75" i="40"/>
  <c r="BP106" i="40"/>
  <c r="AW106" i="40"/>
  <c r="BI106" i="40" s="1"/>
  <c r="BQ93" i="40"/>
  <c r="BQ98" i="40" s="1"/>
  <c r="BJ173" i="40"/>
  <c r="AN166" i="40"/>
  <c r="BL171" i="40"/>
  <c r="BL32" i="40"/>
  <c r="BL166" i="40" s="1"/>
  <c r="AW36" i="40"/>
  <c r="BI36" i="40" s="1"/>
  <c r="BO169" i="40"/>
  <c r="AW46" i="40"/>
  <c r="BI46" i="40" s="1"/>
  <c r="BS172" i="40"/>
  <c r="BS38" i="40"/>
  <c r="AS108" i="40"/>
  <c r="BQ103" i="40"/>
  <c r="BQ108" i="40" s="1"/>
  <c r="BP121" i="40"/>
  <c r="BP124" i="40" s="1"/>
  <c r="AW121" i="40"/>
  <c r="BI121" i="40" s="1"/>
  <c r="AW141" i="40"/>
  <c r="BI141" i="40" s="1"/>
  <c r="BN166" i="40"/>
  <c r="BM167" i="40" s="1"/>
  <c r="AW131" i="40"/>
  <c r="AQ137" i="40"/>
  <c r="AF174" i="40"/>
  <c r="AR28" i="40"/>
  <c r="BJ28" i="40"/>
  <c r="BJ174" i="40" s="1"/>
  <c r="AS28" i="40"/>
  <c r="BH169" i="40"/>
  <c r="AS92" i="40"/>
  <c r="BQ89" i="40"/>
  <c r="BQ92" i="40" s="1"/>
  <c r="AQ125" i="40"/>
  <c r="AQ172" i="40" s="1"/>
  <c r="AO127" i="40"/>
  <c r="AW150" i="40"/>
  <c r="BI150" i="40" s="1"/>
  <c r="BH166" i="40"/>
  <c r="BA20" i="47" s="1"/>
  <c r="AS23" i="40"/>
  <c r="BQ20" i="40"/>
  <c r="BQ23" i="40" s="1"/>
  <c r="AW17" i="40"/>
  <c r="BI17" i="40" s="1"/>
  <c r="AQ178" i="40"/>
  <c r="AF125" i="39"/>
  <c r="BK125" i="39"/>
  <c r="BH125" i="39"/>
  <c r="BT125" i="39"/>
  <c r="AF100" i="39"/>
  <c r="BJ94" i="39"/>
  <c r="BJ100" i="39" s="1"/>
  <c r="AS94" i="39"/>
  <c r="AR94" i="39"/>
  <c r="BJ137" i="39"/>
  <c r="BJ13" i="39"/>
  <c r="AW51" i="39"/>
  <c r="AQ56" i="39"/>
  <c r="AW49" i="39"/>
  <c r="BI49" i="39" s="1"/>
  <c r="AO128" i="39"/>
  <c r="AO18" i="39"/>
  <c r="AQ14" i="39"/>
  <c r="BM36" i="39"/>
  <c r="BM124" i="39" s="1"/>
  <c r="BM129" i="39"/>
  <c r="AN127" i="39"/>
  <c r="AF79" i="39"/>
  <c r="AR73" i="39"/>
  <c r="BJ73" i="39"/>
  <c r="BJ79" i="39" s="1"/>
  <c r="AS73" i="39"/>
  <c r="BK131" i="39"/>
  <c r="BK30" i="39"/>
  <c r="AF65" i="39"/>
  <c r="BJ59" i="39"/>
  <c r="AS59" i="39"/>
  <c r="AR59" i="39"/>
  <c r="AP129" i="39"/>
  <c r="AP24" i="39"/>
  <c r="AQ19" i="39"/>
  <c r="AF135" i="39"/>
  <c r="AS22" i="39"/>
  <c r="AR22" i="39"/>
  <c r="AW22" i="39" s="1"/>
  <c r="BJ22" i="39"/>
  <c r="BJ135" i="39" s="1"/>
  <c r="BQ80" i="39"/>
  <c r="BQ86" i="39" s="1"/>
  <c r="AS86" i="39"/>
  <c r="AW84" i="39"/>
  <c r="BI84" i="39" s="1"/>
  <c r="BH124" i="39"/>
  <c r="BA19" i="47" s="1"/>
  <c r="BU127" i="39"/>
  <c r="AW57" i="39"/>
  <c r="AQ58" i="39"/>
  <c r="BP31" i="39"/>
  <c r="AW104" i="39"/>
  <c r="BI104" i="39" s="1"/>
  <c r="AO107" i="39"/>
  <c r="AO124" i="39" s="1"/>
  <c r="AP131" i="39"/>
  <c r="AP30" i="39"/>
  <c r="AW26" i="39"/>
  <c r="BI26" i="39" s="1"/>
  <c r="AS34" i="39"/>
  <c r="BQ34" i="39" s="1"/>
  <c r="AR34" i="39"/>
  <c r="BP34" i="39" s="1"/>
  <c r="BJ34" i="39"/>
  <c r="AW98" i="39"/>
  <c r="BI98" i="39" s="1"/>
  <c r="AN125" i="39"/>
  <c r="BN125" i="39"/>
  <c r="AS58" i="39"/>
  <c r="BQ57" i="39"/>
  <c r="BQ58" i="39" s="1"/>
  <c r="BP66" i="39"/>
  <c r="BP72" i="39" s="1"/>
  <c r="AF134" i="39"/>
  <c r="AR17" i="39"/>
  <c r="AS17" i="39"/>
  <c r="BJ17" i="39"/>
  <c r="BJ134" i="39" s="1"/>
  <c r="BO127" i="39"/>
  <c r="AW81" i="39"/>
  <c r="BI81" i="39" s="1"/>
  <c r="BK128" i="39"/>
  <c r="BK18" i="39"/>
  <c r="AW85" i="39"/>
  <c r="BI85" i="39" s="1"/>
  <c r="BL129" i="39"/>
  <c r="BL24" i="39"/>
  <c r="AW83" i="39"/>
  <c r="BI83" i="39" s="1"/>
  <c r="AW109" i="39"/>
  <c r="BI109" i="39" s="1"/>
  <c r="BJ36" i="39"/>
  <c r="AS107" i="39"/>
  <c r="AR104" i="39"/>
  <c r="BJ104" i="39"/>
  <c r="BJ107" i="39" s="1"/>
  <c r="AS104" i="39"/>
  <c r="BQ104" i="39" s="1"/>
  <c r="AW101" i="39"/>
  <c r="AQ107" i="39"/>
  <c r="BL131" i="39"/>
  <c r="BL30" i="39"/>
  <c r="AW35" i="39"/>
  <c r="BI35" i="39" s="1"/>
  <c r="AP136" i="39"/>
  <c r="AP44" i="39"/>
  <c r="BS129" i="39"/>
  <c r="BS24" i="39"/>
  <c r="BS131" i="39"/>
  <c r="BS30" i="39"/>
  <c r="AD127" i="39"/>
  <c r="AF126" i="39" s="1"/>
  <c r="AW45" i="39"/>
  <c r="AQ46" i="39"/>
  <c r="AW61" i="39"/>
  <c r="BI61" i="39" s="1"/>
  <c r="AQ135" i="39"/>
  <c r="BK136" i="39"/>
  <c r="BK44" i="39"/>
  <c r="BK124" i="39" s="1"/>
  <c r="BJ125" i="39" s="1"/>
  <c r="AR118" i="39"/>
  <c r="BP115" i="39"/>
  <c r="BP118" i="39" s="1"/>
  <c r="AQ114" i="39"/>
  <c r="BQ107" i="39"/>
  <c r="AS123" i="39"/>
  <c r="BQ119" i="39"/>
  <c r="BQ123" i="39" s="1"/>
  <c r="AQ137" i="39"/>
  <c r="AQ13" i="39"/>
  <c r="AW12" i="39"/>
  <c r="AO136" i="39"/>
  <c r="AQ43" i="39"/>
  <c r="AO44" i="39"/>
  <c r="AW106" i="39"/>
  <c r="BI106" i="39" s="1"/>
  <c r="BP87" i="39"/>
  <c r="AR93" i="39"/>
  <c r="AS118" i="39"/>
  <c r="BQ115" i="39"/>
  <c r="BQ118" i="39" s="1"/>
  <c r="AQ118" i="39"/>
  <c r="AW115" i="39"/>
  <c r="BL18" i="39"/>
  <c r="BL128" i="39"/>
  <c r="AW38" i="39"/>
  <c r="BI38" i="39" s="1"/>
  <c r="AR50" i="39"/>
  <c r="BP47" i="39"/>
  <c r="BP50" i="39" s="1"/>
  <c r="BJ62" i="39"/>
  <c r="AR62" i="39"/>
  <c r="BP62" i="39" s="1"/>
  <c r="AS62" i="39"/>
  <c r="BQ62" i="39" s="1"/>
  <c r="BL124" i="39"/>
  <c r="BJ123" i="39"/>
  <c r="BJ56" i="39"/>
  <c r="AR58" i="39"/>
  <c r="BP57" i="39"/>
  <c r="BP58" i="39" s="1"/>
  <c r="AF130" i="39"/>
  <c r="AF42" i="39"/>
  <c r="BJ37" i="39"/>
  <c r="AS37" i="39"/>
  <c r="AR37" i="39"/>
  <c r="AW99" i="39"/>
  <c r="BI99" i="39" s="1"/>
  <c r="AW27" i="39"/>
  <c r="BI27" i="39" s="1"/>
  <c r="BJ129" i="39"/>
  <c r="AF114" i="39"/>
  <c r="AS108" i="39"/>
  <c r="BJ108" i="39"/>
  <c r="BJ114" i="39" s="1"/>
  <c r="AR108" i="39"/>
  <c r="AW108" i="39" s="1"/>
  <c r="AW117" i="39"/>
  <c r="BI117" i="39" s="1"/>
  <c r="AW112" i="39"/>
  <c r="BI112" i="39" s="1"/>
  <c r="AQ93" i="39"/>
  <c r="AW87" i="39"/>
  <c r="BK130" i="39"/>
  <c r="BK42" i="39"/>
  <c r="BS128" i="39"/>
  <c r="BS127" i="39" s="1"/>
  <c r="BS18" i="39"/>
  <c r="AQ50" i="39"/>
  <c r="AW47" i="39"/>
  <c r="AW77" i="39"/>
  <c r="BI77" i="39" s="1"/>
  <c r="AF131" i="39"/>
  <c r="AF30" i="39"/>
  <c r="AS25" i="39"/>
  <c r="BJ25" i="39"/>
  <c r="AR25" i="39"/>
  <c r="BN127" i="39"/>
  <c r="AP100" i="39"/>
  <c r="AP124" i="39" s="1"/>
  <c r="AQ94" i="39"/>
  <c r="AP128" i="39"/>
  <c r="AR86" i="39"/>
  <c r="BP80" i="39"/>
  <c r="BP86" i="39" s="1"/>
  <c r="AW90" i="39"/>
  <c r="BI90" i="39" s="1"/>
  <c r="BQ87" i="39"/>
  <c r="BQ93" i="39" s="1"/>
  <c r="AS93" i="39"/>
  <c r="BS46" i="39"/>
  <c r="BS137" i="39"/>
  <c r="BJ50" i="39"/>
  <c r="AS36" i="39"/>
  <c r="BQ31" i="39"/>
  <c r="BQ36" i="39" s="1"/>
  <c r="AO72" i="39"/>
  <c r="BP103" i="39"/>
  <c r="AW103" i="39"/>
  <c r="BI103" i="39" s="1"/>
  <c r="BP89" i="39"/>
  <c r="AW89" i="39"/>
  <c r="BI89" i="39" s="1"/>
  <c r="AF124" i="39"/>
  <c r="BQ51" i="39"/>
  <c r="BQ56" i="39" s="1"/>
  <c r="AS56" i="39"/>
  <c r="AW71" i="39"/>
  <c r="BI71" i="39" s="1"/>
  <c r="AO134" i="39"/>
  <c r="AQ17" i="39"/>
  <c r="AW92" i="39"/>
  <c r="BI92" i="39" s="1"/>
  <c r="AQ123" i="39"/>
  <c r="AW119" i="39"/>
  <c r="BQ66" i="39"/>
  <c r="AW116" i="39"/>
  <c r="BI116" i="39" s="1"/>
  <c r="AR137" i="39"/>
  <c r="BP12" i="39"/>
  <c r="AR13" i="39"/>
  <c r="BT127" i="39"/>
  <c r="BM131" i="39"/>
  <c r="BM30" i="39"/>
  <c r="AW75" i="39"/>
  <c r="BI75" i="39" s="1"/>
  <c r="AW74" i="39"/>
  <c r="BI74" i="39" s="1"/>
  <c r="AW105" i="39"/>
  <c r="BI105" i="39" s="1"/>
  <c r="AW110" i="39"/>
  <c r="BI110" i="39" s="1"/>
  <c r="AR129" i="39"/>
  <c r="AR24" i="39"/>
  <c r="BP19" i="39"/>
  <c r="AW80" i="39"/>
  <c r="AW120" i="39"/>
  <c r="BI120" i="39" s="1"/>
  <c r="AO130" i="39"/>
  <c r="AO42" i="39"/>
  <c r="AQ37" i="39"/>
  <c r="BL136" i="39"/>
  <c r="BL44" i="39"/>
  <c r="AS137" i="39"/>
  <c r="AS13" i="39"/>
  <c r="BQ12" i="39"/>
  <c r="AF128" i="39"/>
  <c r="AR14" i="39"/>
  <c r="AF18" i="39"/>
  <c r="BJ14" i="39"/>
  <c r="AS14" i="39"/>
  <c r="AS129" i="39"/>
  <c r="BQ19" i="39"/>
  <c r="BM128" i="39"/>
  <c r="BM18" i="39"/>
  <c r="AQ73" i="39"/>
  <c r="AO79" i="39"/>
  <c r="AO131" i="39"/>
  <c r="AO30" i="39"/>
  <c r="AQ25" i="39"/>
  <c r="AO65" i="39"/>
  <c r="AQ59" i="39"/>
  <c r="AW70" i="39"/>
  <c r="BI70" i="39" s="1"/>
  <c r="BP40" i="39"/>
  <c r="AW40" i="39"/>
  <c r="BI40" i="39" s="1"/>
  <c r="AR67" i="39"/>
  <c r="BP67" i="39" s="1"/>
  <c r="BJ67" i="39"/>
  <c r="BJ72" i="39" s="1"/>
  <c r="AS67" i="39"/>
  <c r="BQ67" i="39" s="1"/>
  <c r="AF136" i="39"/>
  <c r="BJ43" i="39"/>
  <c r="AS43" i="39"/>
  <c r="AF44" i="39"/>
  <c r="AR43" i="39"/>
  <c r="BJ86" i="39"/>
  <c r="AW78" i="39"/>
  <c r="BI78" i="39" s="1"/>
  <c r="BJ93" i="39"/>
  <c r="BM137" i="39"/>
  <c r="BM13" i="39"/>
  <c r="AW52" i="39"/>
  <c r="BI52" i="39" s="1"/>
  <c r="BQ47" i="39"/>
  <c r="BQ50" i="39" s="1"/>
  <c r="AS50" i="39"/>
  <c r="AF36" i="39"/>
  <c r="AQ72" i="39"/>
  <c r="AW66" i="39"/>
  <c r="AW62" i="39"/>
  <c r="BI62" i="39" s="1"/>
  <c r="AR123" i="39"/>
  <c r="BP119" i="39"/>
  <c r="BP123" i="39" s="1"/>
  <c r="AR56" i="39"/>
  <c r="BP51" i="39"/>
  <c r="BP56" i="39" s="1"/>
  <c r="AW31" i="39"/>
  <c r="AQ36" i="39"/>
  <c r="AW121" i="39"/>
  <c r="BI121" i="39" s="1"/>
  <c r="AW102" i="39"/>
  <c r="BI102" i="39" s="1"/>
  <c r="BL141" i="41" l="1"/>
  <c r="BS199" i="42"/>
  <c r="BL22" i="47" s="1"/>
  <c r="BH199" i="42"/>
  <c r="BA22" i="47" s="1"/>
  <c r="BU200" i="42"/>
  <c r="AZ22" i="47"/>
  <c r="BH200" i="42"/>
  <c r="BS200" i="42"/>
  <c r="BS138" i="41"/>
  <c r="BL21" i="47" s="1"/>
  <c r="BS166" i="40"/>
  <c r="BL20" i="47" s="1"/>
  <c r="BS125" i="39"/>
  <c r="BS124" i="39"/>
  <c r="BL19" i="47" s="1"/>
  <c r="BS126" i="39"/>
  <c r="BJ305" i="32"/>
  <c r="BJ109" i="32"/>
  <c r="AR120" i="32"/>
  <c r="BP114" i="32"/>
  <c r="BP172" i="32"/>
  <c r="BP178" i="32" s="1"/>
  <c r="AR178" i="32"/>
  <c r="AR300" i="32"/>
  <c r="BP115" i="32"/>
  <c r="AQ276" i="32"/>
  <c r="AW270" i="32"/>
  <c r="AW96" i="32"/>
  <c r="BI91" i="32"/>
  <c r="BI96" i="32" s="1"/>
  <c r="AW71" i="32"/>
  <c r="BI66" i="32"/>
  <c r="BI71" i="32" s="1"/>
  <c r="BP23" i="32"/>
  <c r="BP27" i="32" s="1"/>
  <c r="AR27" i="32"/>
  <c r="BQ283" i="32"/>
  <c r="AR90" i="32"/>
  <c r="BJ297" i="32"/>
  <c r="BJ17" i="32"/>
  <c r="BJ306" i="32"/>
  <c r="BJ13" i="32"/>
  <c r="AQ299" i="32"/>
  <c r="AW99" i="32"/>
  <c r="BP46" i="32"/>
  <c r="AR52" i="32"/>
  <c r="BS296" i="32"/>
  <c r="AS31" i="32"/>
  <c r="BQ28" i="32"/>
  <c r="BQ31" i="32" s="1"/>
  <c r="AF295" i="32"/>
  <c r="BQ256" i="32"/>
  <c r="BQ262" i="32" s="1"/>
  <c r="AS262" i="32"/>
  <c r="AQ305" i="32"/>
  <c r="AW108" i="32"/>
  <c r="AQ109" i="32"/>
  <c r="BK293" i="32"/>
  <c r="BJ294" i="32" s="1"/>
  <c r="AW179" i="32"/>
  <c r="AQ182" i="32"/>
  <c r="AW302" i="32"/>
  <c r="BI101" i="32"/>
  <c r="BI302" i="32" s="1"/>
  <c r="AR305" i="32"/>
  <c r="AR109" i="32"/>
  <c r="BP108" i="32"/>
  <c r="AQ304" i="32"/>
  <c r="AW50" i="32"/>
  <c r="AW227" i="32"/>
  <c r="BI221" i="32"/>
  <c r="BI227" i="32" s="1"/>
  <c r="AS120" i="32"/>
  <c r="BQ114" i="32"/>
  <c r="BQ120" i="32" s="1"/>
  <c r="BL296" i="32"/>
  <c r="BJ295" i="32" s="1"/>
  <c r="AS300" i="32"/>
  <c r="BQ115" i="32"/>
  <c r="AR84" i="32"/>
  <c r="BP78" i="32"/>
  <c r="BP84" i="32" s="1"/>
  <c r="BJ283" i="32"/>
  <c r="BI85" i="32"/>
  <c r="AW90" i="32"/>
  <c r="AW199" i="32"/>
  <c r="BI196" i="32"/>
  <c r="BI199" i="32" s="1"/>
  <c r="AS182" i="32"/>
  <c r="BQ179" i="32"/>
  <c r="BQ182" i="32" s="1"/>
  <c r="AW248" i="32"/>
  <c r="BI246" i="32"/>
  <c r="BI248" i="32" s="1"/>
  <c r="BP165" i="32"/>
  <c r="BP171" i="32" s="1"/>
  <c r="AR171" i="32"/>
  <c r="AW86" i="32"/>
  <c r="BI86" i="32" s="1"/>
  <c r="AW292" i="32"/>
  <c r="BI291" i="32"/>
  <c r="BI292" i="32" s="1"/>
  <c r="AQ300" i="32"/>
  <c r="AW115" i="32"/>
  <c r="BI44" i="32"/>
  <c r="BI45" i="32" s="1"/>
  <c r="AW45" i="32"/>
  <c r="AW303" i="32"/>
  <c r="BI16" i="32"/>
  <c r="BI303" i="32" s="1"/>
  <c r="BQ46" i="32"/>
  <c r="AS52" i="32"/>
  <c r="AR107" i="32"/>
  <c r="BP97" i="32"/>
  <c r="AS45" i="32"/>
  <c r="BQ44" i="32"/>
  <c r="BQ45" i="32" s="1"/>
  <c r="AR220" i="32"/>
  <c r="BP217" i="32"/>
  <c r="BP220" i="32" s="1"/>
  <c r="BS295" i="32"/>
  <c r="BI235" i="32"/>
  <c r="BI238" i="32" s="1"/>
  <c r="AW238" i="32"/>
  <c r="AR299" i="32"/>
  <c r="BP99" i="32"/>
  <c r="BP299" i="32" s="1"/>
  <c r="BS294" i="32"/>
  <c r="AW157" i="32"/>
  <c r="BI151" i="32"/>
  <c r="BI157" i="32" s="1"/>
  <c r="AR276" i="32"/>
  <c r="BP270" i="32"/>
  <c r="BP276" i="32" s="1"/>
  <c r="AQ262" i="32"/>
  <c r="AW256" i="32"/>
  <c r="BQ172" i="32"/>
  <c r="BQ178" i="32" s="1"/>
  <c r="AS178" i="32"/>
  <c r="BQ78" i="32"/>
  <c r="BQ84" i="32" s="1"/>
  <c r="AS84" i="32"/>
  <c r="BI145" i="32"/>
  <c r="BI146" i="32" s="1"/>
  <c r="AW146" i="32"/>
  <c r="BP158" i="32"/>
  <c r="BP164" i="32" s="1"/>
  <c r="AR164" i="32"/>
  <c r="BI131" i="32"/>
  <c r="AW217" i="32"/>
  <c r="AQ220" i="32"/>
  <c r="AR113" i="32"/>
  <c r="BP110" i="32"/>
  <c r="BP113" i="32" s="1"/>
  <c r="BQ303" i="32"/>
  <c r="BQ165" i="32"/>
  <c r="BQ171" i="32" s="1"/>
  <c r="AS171" i="32"/>
  <c r="BI53" i="32"/>
  <c r="BI58" i="32" s="1"/>
  <c r="AW58" i="32"/>
  <c r="AF296" i="32"/>
  <c r="BJ298" i="32"/>
  <c r="BP215" i="32"/>
  <c r="BP216" i="32" s="1"/>
  <c r="AR216" i="32"/>
  <c r="BJ52" i="32"/>
  <c r="BQ263" i="32"/>
  <c r="BQ269" i="32" s="1"/>
  <c r="AS269" i="32"/>
  <c r="AS107" i="32"/>
  <c r="BQ97" i="32"/>
  <c r="BQ107" i="32" s="1"/>
  <c r="AW23" i="32"/>
  <c r="AQ306" i="32"/>
  <c r="AW12" i="32"/>
  <c r="AQ13" i="32"/>
  <c r="BI239" i="32"/>
  <c r="BI245" i="32" s="1"/>
  <c r="AW245" i="32"/>
  <c r="AS299" i="32"/>
  <c r="BQ99" i="32"/>
  <c r="BQ299" i="32" s="1"/>
  <c r="AP296" i="32"/>
  <c r="BI125" i="32"/>
  <c r="BI130" i="32" s="1"/>
  <c r="AW130" i="32"/>
  <c r="AW234" i="32"/>
  <c r="BI228" i="32"/>
  <c r="BI234" i="32" s="1"/>
  <c r="AW283" i="32"/>
  <c r="BI277" i="32"/>
  <c r="BI283" i="32" s="1"/>
  <c r="AS305" i="32"/>
  <c r="AS109" i="32"/>
  <c r="BQ108" i="32"/>
  <c r="AF294" i="32"/>
  <c r="BK294" i="32"/>
  <c r="BQ270" i="32"/>
  <c r="BQ276" i="32" s="1"/>
  <c r="AS276" i="32"/>
  <c r="BI47" i="32"/>
  <c r="AQ297" i="32"/>
  <c r="AW14" i="32"/>
  <c r="AQ17" i="32"/>
  <c r="AW22" i="32"/>
  <c r="BI18" i="32"/>
  <c r="BI22" i="32" s="1"/>
  <c r="AQ77" i="32"/>
  <c r="AW72" i="32"/>
  <c r="AS164" i="32"/>
  <c r="BQ158" i="32"/>
  <c r="BQ164" i="32" s="1"/>
  <c r="BQ206" i="32"/>
  <c r="BQ214" i="32" s="1"/>
  <c r="AS214" i="32"/>
  <c r="AS113" i="32"/>
  <c r="BQ110" i="32"/>
  <c r="BQ113" i="32" s="1"/>
  <c r="BP200" i="32"/>
  <c r="BP205" i="32" s="1"/>
  <c r="AR205" i="32"/>
  <c r="AS306" i="32"/>
  <c r="AS13" i="32"/>
  <c r="BQ12" i="32"/>
  <c r="AW290" i="32"/>
  <c r="AS216" i="32"/>
  <c r="BQ215" i="32"/>
  <c r="BQ216" i="32" s="1"/>
  <c r="BP263" i="32"/>
  <c r="BP269" i="32" s="1"/>
  <c r="AR269" i="32"/>
  <c r="AO293" i="32"/>
  <c r="AQ294" i="32" s="1"/>
  <c r="BI138" i="32"/>
  <c r="BI144" i="32" s="1"/>
  <c r="AW144" i="32"/>
  <c r="AR304" i="32"/>
  <c r="BP50" i="32"/>
  <c r="BP304" i="32" s="1"/>
  <c r="BI59" i="32"/>
  <c r="BI65" i="32" s="1"/>
  <c r="AW65" i="32"/>
  <c r="AQ298" i="32"/>
  <c r="BP132" i="32"/>
  <c r="BP137" i="32" s="1"/>
  <c r="AR137" i="32"/>
  <c r="BI147" i="32"/>
  <c r="BI150" i="32" s="1"/>
  <c r="AW150" i="32"/>
  <c r="AR214" i="32"/>
  <c r="BP206" i="32"/>
  <c r="BP214" i="32" s="1"/>
  <c r="AR182" i="32"/>
  <c r="BP179" i="32"/>
  <c r="BP182" i="32" s="1"/>
  <c r="AS27" i="32"/>
  <c r="BQ23" i="32"/>
  <c r="BQ27" i="32" s="1"/>
  <c r="AW183" i="32"/>
  <c r="AQ188" i="32"/>
  <c r="BQ200" i="32"/>
  <c r="BQ205" i="32" s="1"/>
  <c r="AS205" i="32"/>
  <c r="AR297" i="32"/>
  <c r="AR296" i="32" s="1"/>
  <c r="AR17" i="32"/>
  <c r="BP14" i="32"/>
  <c r="AW28" i="32"/>
  <c r="AQ31" i="32"/>
  <c r="AF293" i="32"/>
  <c r="BI290" i="32"/>
  <c r="BP283" i="32"/>
  <c r="AW206" i="32"/>
  <c r="AQ214" i="32"/>
  <c r="BP44" i="32"/>
  <c r="BP45" i="32" s="1"/>
  <c r="AR45" i="32"/>
  <c r="AS220" i="32"/>
  <c r="BQ217" i="32"/>
  <c r="BQ220" i="32" s="1"/>
  <c r="BM296" i="32"/>
  <c r="AQ216" i="32"/>
  <c r="AW215" i="32"/>
  <c r="AW97" i="32"/>
  <c r="AQ107" i="32"/>
  <c r="AQ178" i="32"/>
  <c r="AW172" i="32"/>
  <c r="AR262" i="32"/>
  <c r="BP256" i="32"/>
  <c r="BP262" i="32" s="1"/>
  <c r="AW255" i="32"/>
  <c r="AS304" i="32"/>
  <c r="BQ50" i="32"/>
  <c r="BQ304" i="32" s="1"/>
  <c r="AQ120" i="32"/>
  <c r="AW114" i="32"/>
  <c r="BI121" i="32"/>
  <c r="BI124" i="32" s="1"/>
  <c r="AW124" i="32"/>
  <c r="AW39" i="32"/>
  <c r="BI36" i="32"/>
  <c r="BI39" i="32" s="1"/>
  <c r="AW165" i="32"/>
  <c r="AQ171" i="32"/>
  <c r="AO296" i="32"/>
  <c r="AQ295" i="32" s="1"/>
  <c r="BQ132" i="32"/>
  <c r="BQ137" i="32" s="1"/>
  <c r="AS137" i="32"/>
  <c r="AW110" i="32"/>
  <c r="AQ113" i="32"/>
  <c r="AQ205" i="32"/>
  <c r="AW200" i="32"/>
  <c r="AQ52" i="32"/>
  <c r="AW46" i="32"/>
  <c r="BI40" i="32"/>
  <c r="BI43" i="32" s="1"/>
  <c r="AW43" i="32"/>
  <c r="AS283" i="32"/>
  <c r="BP90" i="32"/>
  <c r="AS297" i="32"/>
  <c r="AS17" i="32"/>
  <c r="BQ14" i="32"/>
  <c r="AQ84" i="32"/>
  <c r="AW78" i="32"/>
  <c r="AR306" i="32"/>
  <c r="BP12" i="32"/>
  <c r="AR13" i="32"/>
  <c r="AW35" i="32"/>
  <c r="BI32" i="32"/>
  <c r="BI35" i="32" s="1"/>
  <c r="AR283" i="32"/>
  <c r="AR31" i="32"/>
  <c r="BP28" i="32"/>
  <c r="BP31" i="32" s="1"/>
  <c r="BP298" i="32"/>
  <c r="BP303" i="32"/>
  <c r="AQ164" i="32"/>
  <c r="AW158" i="32"/>
  <c r="AW263" i="32"/>
  <c r="AQ269" i="32"/>
  <c r="AW132" i="32"/>
  <c r="BI132" i="32" s="1"/>
  <c r="BI255" i="32"/>
  <c r="AQ75" i="31"/>
  <c r="BJ76" i="31"/>
  <c r="AS84" i="31"/>
  <c r="BQ14" i="31"/>
  <c r="BQ84" i="31" s="1"/>
  <c r="BJ81" i="31"/>
  <c r="BJ48" i="31"/>
  <c r="AW14" i="31"/>
  <c r="BJ78" i="31"/>
  <c r="BI33" i="31"/>
  <c r="BI38" i="31" s="1"/>
  <c r="AW38" i="31"/>
  <c r="BQ86" i="31"/>
  <c r="BQ40" i="31"/>
  <c r="BP41" i="31"/>
  <c r="BP43" i="31" s="1"/>
  <c r="AR43" i="31"/>
  <c r="AR19" i="31"/>
  <c r="BP16" i="31"/>
  <c r="BP19" i="31" s="1"/>
  <c r="AW64" i="31"/>
  <c r="BI58" i="31"/>
  <c r="BI64" i="31" s="1"/>
  <c r="AR73" i="31"/>
  <c r="BP68" i="31"/>
  <c r="BP73" i="31" s="1"/>
  <c r="BS77" i="31"/>
  <c r="BI12" i="31"/>
  <c r="BI49" i="31"/>
  <c r="BI52" i="31" s="1"/>
  <c r="AW52" i="31"/>
  <c r="AS87" i="31"/>
  <c r="BQ24" i="31"/>
  <c r="AS25" i="31"/>
  <c r="AR79" i="31"/>
  <c r="BL77" i="31"/>
  <c r="BQ15" i="31"/>
  <c r="AQ73" i="31"/>
  <c r="AW68" i="31"/>
  <c r="AS23" i="31"/>
  <c r="BQ20" i="31"/>
  <c r="BQ23" i="31" s="1"/>
  <c r="BS76" i="31"/>
  <c r="AW13" i="31"/>
  <c r="BI13" i="31" s="1"/>
  <c r="AW21" i="31"/>
  <c r="BI21" i="31" s="1"/>
  <c r="BL74" i="31"/>
  <c r="BJ75" i="31" s="1"/>
  <c r="AR64" i="31"/>
  <c r="BP58" i="31"/>
  <c r="BP64" i="31" s="1"/>
  <c r="BQ68" i="31"/>
  <c r="BQ73" i="31" s="1"/>
  <c r="AS73" i="31"/>
  <c r="AR15" i="31"/>
  <c r="BP86" i="31"/>
  <c r="BP40" i="31"/>
  <c r="BJ87" i="31"/>
  <c r="BJ25" i="31"/>
  <c r="BP65" i="31"/>
  <c r="BP67" i="31" s="1"/>
  <c r="AR67" i="31"/>
  <c r="AS15" i="31"/>
  <c r="BJ23" i="31"/>
  <c r="BI53" i="31"/>
  <c r="BI57" i="31" s="1"/>
  <c r="AW57" i="31"/>
  <c r="BQ41" i="31"/>
  <c r="BQ43" i="31" s="1"/>
  <c r="AS43" i="31"/>
  <c r="AQ85" i="31"/>
  <c r="AW30" i="31"/>
  <c r="AQ19" i="31"/>
  <c r="AQ74" i="31" s="1"/>
  <c r="AW16" i="31"/>
  <c r="AS78" i="31"/>
  <c r="AP74" i="31"/>
  <c r="AQ81" i="31"/>
  <c r="AQ77" i="31" s="1"/>
  <c r="AW44" i="31"/>
  <c r="AQ48" i="31"/>
  <c r="AW79" i="31"/>
  <c r="AW32" i="31"/>
  <c r="BI26" i="31"/>
  <c r="AW20" i="31"/>
  <c r="AQ23" i="31"/>
  <c r="AQ86" i="31"/>
  <c r="AQ40" i="31"/>
  <c r="AW39" i="31"/>
  <c r="AS64" i="31"/>
  <c r="BQ58" i="31"/>
  <c r="BQ64" i="31" s="1"/>
  <c r="AR78" i="31"/>
  <c r="AR81" i="31"/>
  <c r="AR48" i="31"/>
  <c r="BP44" i="31"/>
  <c r="BM77" i="31"/>
  <c r="AP77" i="31"/>
  <c r="AQ76" i="31" s="1"/>
  <c r="AR23" i="31"/>
  <c r="BP20" i="31"/>
  <c r="BP23" i="31" s="1"/>
  <c r="BS75" i="31"/>
  <c r="BQ79" i="31"/>
  <c r="BM74" i="31"/>
  <c r="AR85" i="31"/>
  <c r="BP30" i="31"/>
  <c r="BP85" i="31" s="1"/>
  <c r="AF75" i="31"/>
  <c r="AR87" i="31"/>
  <c r="BP24" i="31"/>
  <c r="AR25" i="31"/>
  <c r="BQ65" i="31"/>
  <c r="BQ67" i="31" s="1"/>
  <c r="AS67" i="31"/>
  <c r="BP79" i="31"/>
  <c r="AR84" i="31"/>
  <c r="BP14" i="31"/>
  <c r="BP84" i="31" s="1"/>
  <c r="AS81" i="31"/>
  <c r="BQ44" i="31"/>
  <c r="AS48" i="31"/>
  <c r="BS74" i="31"/>
  <c r="AW41" i="31"/>
  <c r="AQ43" i="31"/>
  <c r="BJ74" i="31"/>
  <c r="AQ87" i="31"/>
  <c r="AQ25" i="31"/>
  <c r="AW24" i="31"/>
  <c r="AW65" i="31"/>
  <c r="AQ67" i="31"/>
  <c r="AS32" i="31"/>
  <c r="AS85" i="31"/>
  <c r="BQ30" i="31"/>
  <c r="BQ85" i="31" s="1"/>
  <c r="AS19" i="31"/>
  <c r="BQ16" i="31"/>
  <c r="BQ19" i="31" s="1"/>
  <c r="BQ49" i="30"/>
  <c r="BQ54" i="30" s="1"/>
  <c r="AS54" i="30"/>
  <c r="AR112" i="30"/>
  <c r="AR30" i="30"/>
  <c r="BP29" i="30"/>
  <c r="AQ110" i="30"/>
  <c r="AW14" i="30"/>
  <c r="AS65" i="30"/>
  <c r="BQ62" i="30"/>
  <c r="BQ65" i="30" s="1"/>
  <c r="BQ82" i="30"/>
  <c r="BQ85" i="30" s="1"/>
  <c r="AS85" i="30"/>
  <c r="BJ105" i="30"/>
  <c r="BJ103" i="30" s="1"/>
  <c r="BK100" i="30"/>
  <c r="BJ101" i="30" s="1"/>
  <c r="AS105" i="30"/>
  <c r="BP92" i="30"/>
  <c r="AQ65" i="30"/>
  <c r="AW62" i="30"/>
  <c r="AQ85" i="30"/>
  <c r="AW82" i="30"/>
  <c r="AR81" i="30"/>
  <c r="BP76" i="30"/>
  <c r="BP81" i="30" s="1"/>
  <c r="BQ55" i="30"/>
  <c r="BQ61" i="30" s="1"/>
  <c r="AS61" i="30"/>
  <c r="AS112" i="30"/>
  <c r="BQ29" i="30"/>
  <c r="AS30" i="30"/>
  <c r="AS111" i="30"/>
  <c r="BQ20" i="30"/>
  <c r="BQ111" i="30" s="1"/>
  <c r="AR85" i="30"/>
  <c r="BP82" i="30"/>
  <c r="BP85" i="30" s="1"/>
  <c r="AW37" i="30"/>
  <c r="BI31" i="30"/>
  <c r="AQ61" i="30"/>
  <c r="AW55" i="30"/>
  <c r="BJ113" i="30"/>
  <c r="BJ17" i="30"/>
  <c r="BP55" i="30"/>
  <c r="BP61" i="30" s="1"/>
  <c r="AR61" i="30"/>
  <c r="BP105" i="30"/>
  <c r="AR111" i="30"/>
  <c r="BP20" i="30"/>
  <c r="BP111" i="30" s="1"/>
  <c r="AS92" i="30"/>
  <c r="AR110" i="30"/>
  <c r="BP14" i="30"/>
  <c r="BP110" i="30" s="1"/>
  <c r="AS107" i="30"/>
  <c r="AS103" i="30" s="1"/>
  <c r="BQ32" i="30"/>
  <c r="BQ107" i="30" s="1"/>
  <c r="AP100" i="30"/>
  <c r="BI48" i="30"/>
  <c r="AO100" i="30"/>
  <c r="BS103" i="30"/>
  <c r="AQ54" i="30"/>
  <c r="AW49" i="30"/>
  <c r="AF101" i="30"/>
  <c r="BK101" i="30"/>
  <c r="BM100" i="30"/>
  <c r="AR15" i="30"/>
  <c r="BJ112" i="30"/>
  <c r="BJ30" i="30"/>
  <c r="BQ92" i="30"/>
  <c r="AR65" i="30"/>
  <c r="BP62" i="30"/>
  <c r="BP65" i="30" s="1"/>
  <c r="AQ112" i="30"/>
  <c r="AQ30" i="30"/>
  <c r="AW29" i="30"/>
  <c r="AS110" i="30"/>
  <c r="BQ14" i="30"/>
  <c r="BQ110" i="30" s="1"/>
  <c r="BP75" i="30"/>
  <c r="AW87" i="30"/>
  <c r="BI87" i="30" s="1"/>
  <c r="AW48" i="30"/>
  <c r="AQ71" i="30"/>
  <c r="AW44" i="30"/>
  <c r="BI38" i="30"/>
  <c r="BI44" i="30" s="1"/>
  <c r="AW13" i="30"/>
  <c r="BI13" i="30" s="1"/>
  <c r="BJ15" i="30"/>
  <c r="AQ107" i="30"/>
  <c r="AW32" i="30"/>
  <c r="AQ92" i="30"/>
  <c r="AW86" i="30"/>
  <c r="AR113" i="30"/>
  <c r="BP16" i="30"/>
  <c r="AR17" i="30"/>
  <c r="BM103" i="30"/>
  <c r="AR104" i="30"/>
  <c r="AR103" i="30" s="1"/>
  <c r="AQ15" i="30"/>
  <c r="AR75" i="30"/>
  <c r="AR107" i="30"/>
  <c r="BP32" i="30"/>
  <c r="BP107" i="30" s="1"/>
  <c r="AO103" i="30"/>
  <c r="AQ102" i="30" s="1"/>
  <c r="AQ81" i="30"/>
  <c r="AW76" i="30"/>
  <c r="AW71" i="30"/>
  <c r="BI66" i="30"/>
  <c r="BI71" i="30" s="1"/>
  <c r="BQ15" i="30"/>
  <c r="BQ37" i="30"/>
  <c r="AQ113" i="30"/>
  <c r="AW16" i="30"/>
  <c r="AQ17" i="30"/>
  <c r="AQ105" i="30"/>
  <c r="AQ23" i="30"/>
  <c r="AW18" i="30"/>
  <c r="AW15" i="30"/>
  <c r="BI12" i="30"/>
  <c r="BM102" i="30"/>
  <c r="AR71" i="30"/>
  <c r="AR54" i="30"/>
  <c r="BP49" i="30"/>
  <c r="BP54" i="30" s="1"/>
  <c r="BQ105" i="30"/>
  <c r="BQ23" i="30"/>
  <c r="AW99" i="30"/>
  <c r="AQ75" i="30"/>
  <c r="AW72" i="30"/>
  <c r="AS15" i="30"/>
  <c r="BJ37" i="30"/>
  <c r="AS113" i="30"/>
  <c r="BQ16" i="30"/>
  <c r="AS17" i="30"/>
  <c r="AS75" i="30"/>
  <c r="BQ76" i="30"/>
  <c r="BQ81" i="30" s="1"/>
  <c r="AS81" i="30"/>
  <c r="AQ111" i="30"/>
  <c r="AW20" i="30"/>
  <c r="AW28" i="30"/>
  <c r="AQ104" i="30"/>
  <c r="AQ193" i="29"/>
  <c r="BI97" i="29"/>
  <c r="BQ205" i="29"/>
  <c r="BQ13" i="29"/>
  <c r="BI169" i="29"/>
  <c r="AR96" i="29"/>
  <c r="BP91" i="29"/>
  <c r="BP96" i="29" s="1"/>
  <c r="AQ199" i="29"/>
  <c r="AW170" i="29"/>
  <c r="AR203" i="29"/>
  <c r="BP88" i="29"/>
  <c r="AF195" i="29"/>
  <c r="AR114" i="29"/>
  <c r="BP109" i="29"/>
  <c r="BP114" i="29" s="1"/>
  <c r="BQ185" i="29"/>
  <c r="BQ191" i="29" s="1"/>
  <c r="AS191" i="29"/>
  <c r="AW109" i="29"/>
  <c r="AW149" i="29"/>
  <c r="AQ155" i="29"/>
  <c r="AW115" i="29"/>
  <c r="AQ120" i="29"/>
  <c r="AS126" i="29"/>
  <c r="BQ121" i="29"/>
  <c r="BQ126" i="29" s="1"/>
  <c r="AR67" i="29"/>
  <c r="BP64" i="29"/>
  <c r="BP67" i="29" s="1"/>
  <c r="AW98" i="29"/>
  <c r="BI98" i="29" s="1"/>
  <c r="AW110" i="29"/>
  <c r="BI110" i="29" s="1"/>
  <c r="BI80" i="29"/>
  <c r="BI84" i="29" s="1"/>
  <c r="AW84" i="29"/>
  <c r="BP177" i="29"/>
  <c r="BP178" i="29" s="1"/>
  <c r="AR178" i="29"/>
  <c r="AR90" i="29"/>
  <c r="BS195" i="29"/>
  <c r="AS108" i="29"/>
  <c r="BQ103" i="29"/>
  <c r="BQ108" i="29" s="1"/>
  <c r="AS132" i="29"/>
  <c r="BP36" i="29"/>
  <c r="AW57" i="29"/>
  <c r="AQ59" i="29"/>
  <c r="AO195" i="29"/>
  <c r="AQ194" i="29" s="1"/>
  <c r="AS203" i="29"/>
  <c r="BQ88" i="29"/>
  <c r="BQ203" i="29" s="1"/>
  <c r="AQ204" i="29"/>
  <c r="AW139" i="29"/>
  <c r="AQ140" i="29"/>
  <c r="AS168" i="29"/>
  <c r="BQ165" i="29"/>
  <c r="BQ168" i="29" s="1"/>
  <c r="BJ199" i="29"/>
  <c r="AS204" i="29"/>
  <c r="BQ139" i="29"/>
  <c r="AS140" i="29"/>
  <c r="AW44" i="29"/>
  <c r="BI41" i="29"/>
  <c r="BI44" i="29" s="1"/>
  <c r="AR159" i="29"/>
  <c r="BP156" i="29"/>
  <c r="BP159" i="29" s="1"/>
  <c r="AQ96" i="29"/>
  <c r="AW91" i="29"/>
  <c r="AR108" i="29"/>
  <c r="BP103" i="29"/>
  <c r="BP108" i="29" s="1"/>
  <c r="BQ76" i="29"/>
  <c r="BQ79" i="29" s="1"/>
  <c r="AS79" i="29"/>
  <c r="BJ102" i="29"/>
  <c r="BQ109" i="29"/>
  <c r="BQ114" i="29" s="1"/>
  <c r="AS114" i="29"/>
  <c r="BQ30" i="29"/>
  <c r="BQ32" i="29" s="1"/>
  <c r="AS32" i="29"/>
  <c r="AW63" i="29"/>
  <c r="BI60" i="29"/>
  <c r="BI63" i="29" s="1"/>
  <c r="AW177" i="29"/>
  <c r="AW202" i="29" s="1"/>
  <c r="AQ178" i="29"/>
  <c r="BQ156" i="29"/>
  <c r="BQ159" i="29" s="1"/>
  <c r="AS159" i="29"/>
  <c r="AS67" i="29"/>
  <c r="BQ64" i="29"/>
  <c r="BQ67" i="29" s="1"/>
  <c r="BQ90" i="29"/>
  <c r="AQ138" i="29"/>
  <c r="AW133" i="29"/>
  <c r="AW72" i="29"/>
  <c r="AQ75" i="29"/>
  <c r="BQ177" i="29"/>
  <c r="BQ178" i="29" s="1"/>
  <c r="AS178" i="29"/>
  <c r="BP90" i="29"/>
  <c r="AW36" i="29"/>
  <c r="BI33" i="29"/>
  <c r="BI36" i="29" s="1"/>
  <c r="BS194" i="29"/>
  <c r="BJ203" i="29"/>
  <c r="BM193" i="29"/>
  <c r="BQ133" i="29"/>
  <c r="BQ138" i="29" s="1"/>
  <c r="AS138" i="29"/>
  <c r="AQ126" i="29"/>
  <c r="AW121" i="29"/>
  <c r="AR191" i="29"/>
  <c r="BP185" i="29"/>
  <c r="BP191" i="29" s="1"/>
  <c r="AW132" i="29"/>
  <c r="BI127" i="29"/>
  <c r="BI132" i="29" s="1"/>
  <c r="AR102" i="29"/>
  <c r="BP97" i="29"/>
  <c r="BP102" i="29" s="1"/>
  <c r="AR204" i="29"/>
  <c r="AR140" i="29"/>
  <c r="BP139" i="29"/>
  <c r="BS192" i="29"/>
  <c r="BI22" i="29"/>
  <c r="BI25" i="29" s="1"/>
  <c r="AW25" i="29"/>
  <c r="AQ168" i="29"/>
  <c r="AW165" i="29"/>
  <c r="BP141" i="29"/>
  <c r="BP148" i="29" s="1"/>
  <c r="AR148" i="29"/>
  <c r="AQ191" i="29"/>
  <c r="AW185" i="29"/>
  <c r="BQ91" i="29"/>
  <c r="BQ96" i="29" s="1"/>
  <c r="AS96" i="29"/>
  <c r="BP149" i="29"/>
  <c r="BP155" i="29" s="1"/>
  <c r="AR155" i="29"/>
  <c r="AR197" i="29"/>
  <c r="AQ148" i="29"/>
  <c r="AW141" i="29"/>
  <c r="AW40" i="29"/>
  <c r="BI37" i="29"/>
  <c r="BI40" i="29" s="1"/>
  <c r="AW86" i="29"/>
  <c r="BI86" i="29" s="1"/>
  <c r="AW180" i="29"/>
  <c r="AQ184" i="29"/>
  <c r="AW160" i="29"/>
  <c r="AQ164" i="29"/>
  <c r="BJ202" i="29"/>
  <c r="AQ32" i="29"/>
  <c r="AW30" i="29"/>
  <c r="BQ180" i="29"/>
  <c r="BQ184" i="29" s="1"/>
  <c r="AS184" i="29"/>
  <c r="BM195" i="29"/>
  <c r="BJ90" i="29"/>
  <c r="BJ192" i="29" s="1"/>
  <c r="BP199" i="29"/>
  <c r="AS175" i="29"/>
  <c r="BQ169" i="29"/>
  <c r="BQ175" i="29" s="1"/>
  <c r="AR196" i="29"/>
  <c r="BP14" i="29"/>
  <c r="AR17" i="29"/>
  <c r="AR192" i="29" s="1"/>
  <c r="BP202" i="29"/>
  <c r="AW48" i="29"/>
  <c r="BI45" i="29"/>
  <c r="BI48" i="29" s="1"/>
  <c r="AR32" i="29"/>
  <c r="BP30" i="29"/>
  <c r="BP32" i="29" s="1"/>
  <c r="BP205" i="29"/>
  <c r="BP13" i="29"/>
  <c r="AW29" i="29"/>
  <c r="BI26" i="29"/>
  <c r="BI29" i="29" s="1"/>
  <c r="BQ97" i="29"/>
  <c r="BQ102" i="29" s="1"/>
  <c r="AS102" i="29"/>
  <c r="AW21" i="29"/>
  <c r="BI18" i="29"/>
  <c r="BI21" i="29" s="1"/>
  <c r="AW56" i="29"/>
  <c r="BI53" i="29"/>
  <c r="BI56" i="29" s="1"/>
  <c r="AW90" i="29"/>
  <c r="BI85" i="29"/>
  <c r="AS148" i="29"/>
  <c r="BQ141" i="29"/>
  <c r="BQ148" i="29" s="1"/>
  <c r="AR59" i="29"/>
  <c r="BP57" i="29"/>
  <c r="BP59" i="29" s="1"/>
  <c r="AR120" i="29"/>
  <c r="BP115" i="29"/>
  <c r="BP120" i="29" s="1"/>
  <c r="AS197" i="29"/>
  <c r="AR75" i="29"/>
  <c r="BP72" i="29"/>
  <c r="BP75" i="29" s="1"/>
  <c r="BP180" i="29"/>
  <c r="BP184" i="29" s="1"/>
  <c r="AR184" i="29"/>
  <c r="AW71" i="29"/>
  <c r="BI68" i="29"/>
  <c r="BI71" i="29" s="1"/>
  <c r="AR199" i="29"/>
  <c r="BP165" i="29"/>
  <c r="BP168" i="29" s="1"/>
  <c r="AR168" i="29"/>
  <c r="AS196" i="29"/>
  <c r="AS195" i="29" s="1"/>
  <c r="BQ14" i="29"/>
  <c r="AS17" i="29"/>
  <c r="AS192" i="29" s="1"/>
  <c r="BQ193" i="29" s="1"/>
  <c r="BQ199" i="29"/>
  <c r="AR164" i="29"/>
  <c r="BP160" i="29"/>
  <c r="BP164" i="29" s="1"/>
  <c r="BJ204" i="29"/>
  <c r="BJ140" i="29"/>
  <c r="AW205" i="29"/>
  <c r="AW13" i="29"/>
  <c r="BI12" i="29"/>
  <c r="BI16" i="29"/>
  <c r="AQ175" i="29"/>
  <c r="BQ57" i="29"/>
  <c r="BQ59" i="29" s="1"/>
  <c r="AS59" i="29"/>
  <c r="AR126" i="29"/>
  <c r="BP121" i="29"/>
  <c r="BP126" i="29" s="1"/>
  <c r="AS120" i="29"/>
  <c r="BQ115" i="29"/>
  <c r="BQ120" i="29" s="1"/>
  <c r="AQ108" i="29"/>
  <c r="AW103" i="29"/>
  <c r="BQ149" i="29"/>
  <c r="BQ155" i="29" s="1"/>
  <c r="AS155" i="29"/>
  <c r="BP131" i="29"/>
  <c r="BP132" i="29" s="1"/>
  <c r="AR132" i="29"/>
  <c r="AW64" i="29"/>
  <c r="AQ67" i="29"/>
  <c r="BK195" i="29"/>
  <c r="BJ194" i="29" s="1"/>
  <c r="AW76" i="29"/>
  <c r="AQ79" i="29"/>
  <c r="AS75" i="29"/>
  <c r="BQ72" i="29"/>
  <c r="BQ75" i="29" s="1"/>
  <c r="AQ159" i="29"/>
  <c r="AW156" i="29"/>
  <c r="AR79" i="29"/>
  <c r="BP76" i="29"/>
  <c r="BP79" i="29" s="1"/>
  <c r="AQ203" i="29"/>
  <c r="AW88" i="29"/>
  <c r="AQ196" i="29"/>
  <c r="AQ195" i="29" s="1"/>
  <c r="AW14" i="29"/>
  <c r="AQ17" i="29"/>
  <c r="AQ192" i="29" s="1"/>
  <c r="BQ160" i="29"/>
  <c r="BQ164" i="29" s="1"/>
  <c r="AS164" i="29"/>
  <c r="AR175" i="29"/>
  <c r="BP169" i="29"/>
  <c r="BP175" i="29" s="1"/>
  <c r="AR138" i="29"/>
  <c r="BP133" i="29"/>
  <c r="BP138" i="29" s="1"/>
  <c r="BM194" i="29"/>
  <c r="BJ196" i="29"/>
  <c r="BJ17" i="29"/>
  <c r="AW52" i="29"/>
  <c r="BI49" i="29"/>
  <c r="BI52" i="29" s="1"/>
  <c r="AW25" i="42"/>
  <c r="BI22" i="42"/>
  <c r="BI25" i="42" s="1"/>
  <c r="BS201" i="42"/>
  <c r="AR162" i="42"/>
  <c r="BP157" i="42"/>
  <c r="BP162" i="42" s="1"/>
  <c r="BI90" i="42"/>
  <c r="BI95" i="42" s="1"/>
  <c r="AW95" i="42"/>
  <c r="AW172" i="42"/>
  <c r="BI167" i="42"/>
  <c r="BI172" i="42" s="1"/>
  <c r="AR99" i="42"/>
  <c r="BP96" i="42"/>
  <c r="BP99" i="42" s="1"/>
  <c r="BQ153" i="42"/>
  <c r="BQ113" i="42"/>
  <c r="BQ115" i="42" s="1"/>
  <c r="AS115" i="42"/>
  <c r="AR206" i="42"/>
  <c r="AR64" i="42"/>
  <c r="BP59" i="42"/>
  <c r="AQ209" i="42"/>
  <c r="AW17" i="42"/>
  <c r="AP202" i="42"/>
  <c r="AR203" i="42"/>
  <c r="AR21" i="42"/>
  <c r="BP12" i="42"/>
  <c r="AS29" i="42"/>
  <c r="BQ26" i="42"/>
  <c r="BQ29" i="42" s="1"/>
  <c r="AW131" i="42"/>
  <c r="BI126" i="42"/>
  <c r="BI131" i="42" s="1"/>
  <c r="BJ58" i="42"/>
  <c r="AO202" i="42"/>
  <c r="AQ201" i="42" s="1"/>
  <c r="AW195" i="42"/>
  <c r="BI195" i="42" s="1"/>
  <c r="AS162" i="42"/>
  <c r="BQ157" i="42"/>
  <c r="BQ162" i="42" s="1"/>
  <c r="BI41" i="42"/>
  <c r="BI44" i="42" s="1"/>
  <c r="AW44" i="42"/>
  <c r="AS99" i="42"/>
  <c r="BQ96" i="42"/>
  <c r="BQ99" i="42" s="1"/>
  <c r="AQ206" i="42"/>
  <c r="AQ64" i="42"/>
  <c r="AW59" i="42"/>
  <c r="AS166" i="42"/>
  <c r="BQ163" i="42"/>
  <c r="BQ166" i="42" s="1"/>
  <c r="AQ76" i="42"/>
  <c r="AW70" i="42"/>
  <c r="AW112" i="42"/>
  <c r="BI106" i="42"/>
  <c r="BI112" i="42" s="1"/>
  <c r="AW105" i="42"/>
  <c r="BI100" i="42"/>
  <c r="BI105" i="42" s="1"/>
  <c r="AS206" i="42"/>
  <c r="AS64" i="42"/>
  <c r="BQ59" i="42"/>
  <c r="AR211" i="42"/>
  <c r="BP77" i="42"/>
  <c r="AR78" i="42"/>
  <c r="AR210" i="42"/>
  <c r="AS203" i="42"/>
  <c r="AS21" i="42"/>
  <c r="BQ12" i="42"/>
  <c r="BK202" i="42"/>
  <c r="BJ29" i="42"/>
  <c r="AR58" i="42"/>
  <c r="BP53" i="42"/>
  <c r="BP58" i="42" s="1"/>
  <c r="BL202" i="42"/>
  <c r="AQ205" i="42"/>
  <c r="AW14" i="42"/>
  <c r="AW145" i="42"/>
  <c r="AW96" i="42"/>
  <c r="AQ99" i="42"/>
  <c r="AR166" i="42"/>
  <c r="BP163" i="42"/>
  <c r="BP166" i="42" s="1"/>
  <c r="AW55" i="42"/>
  <c r="BI55" i="42" s="1"/>
  <c r="AS25" i="42"/>
  <c r="BQ22" i="42"/>
  <c r="BQ25" i="42" s="1"/>
  <c r="AQ211" i="42"/>
  <c r="AW77" i="42"/>
  <c r="AQ78" i="42"/>
  <c r="AS210" i="42"/>
  <c r="BQ104" i="42"/>
  <c r="BQ105" i="42" s="1"/>
  <c r="AS105" i="42"/>
  <c r="AW185" i="42"/>
  <c r="BI180" i="42"/>
  <c r="BI185" i="42" s="1"/>
  <c r="AR138" i="42"/>
  <c r="BP136" i="42"/>
  <c r="BP138" i="42" s="1"/>
  <c r="BP146" i="42"/>
  <c r="BP148" i="42" s="1"/>
  <c r="AR148" i="42"/>
  <c r="AQ135" i="42"/>
  <c r="AW132" i="42"/>
  <c r="BS202" i="42"/>
  <c r="BQ53" i="42"/>
  <c r="BQ58" i="42" s="1"/>
  <c r="AS58" i="42"/>
  <c r="AR212" i="42"/>
  <c r="AR46" i="42"/>
  <c r="BP45" i="42"/>
  <c r="AW85" i="42"/>
  <c r="BI79" i="42"/>
  <c r="BI85" i="42" s="1"/>
  <c r="AQ204" i="42"/>
  <c r="AQ52" i="42"/>
  <c r="AW47" i="42"/>
  <c r="AW32" i="42"/>
  <c r="BI32" i="42" s="1"/>
  <c r="BI145" i="42"/>
  <c r="AW89" i="42"/>
  <c r="BI86" i="42"/>
  <c r="BI89" i="42" s="1"/>
  <c r="AW121" i="42"/>
  <c r="BI116" i="42"/>
  <c r="BI121" i="42" s="1"/>
  <c r="AW113" i="42"/>
  <c r="AQ115" i="42"/>
  <c r="AW33" i="42"/>
  <c r="BI30" i="42"/>
  <c r="BI33" i="42" s="1"/>
  <c r="BI149" i="42"/>
  <c r="AS191" i="42"/>
  <c r="AS199" i="42" s="1"/>
  <c r="BQ200" i="42" s="1"/>
  <c r="BQ186" i="42"/>
  <c r="BQ191" i="42" s="1"/>
  <c r="BP153" i="42"/>
  <c r="AR209" i="42"/>
  <c r="BP17" i="42"/>
  <c r="BP209" i="42" s="1"/>
  <c r="AO199" i="42"/>
  <c r="AQ200" i="42" s="1"/>
  <c r="AS211" i="42"/>
  <c r="BQ77" i="42"/>
  <c r="AS78" i="42"/>
  <c r="BP104" i="42"/>
  <c r="BP105" i="42" s="1"/>
  <c r="AR105" i="42"/>
  <c r="AW28" i="42"/>
  <c r="BI28" i="42" s="1"/>
  <c r="AS138" i="42"/>
  <c r="BQ136" i="42"/>
  <c r="BQ138" i="42" s="1"/>
  <c r="AS204" i="42"/>
  <c r="AS52" i="42"/>
  <c r="BQ47" i="42"/>
  <c r="AW40" i="42"/>
  <c r="BI38" i="42"/>
  <c r="BI40" i="42" s="1"/>
  <c r="AF202" i="42"/>
  <c r="BQ146" i="42"/>
  <c r="BQ148" i="42" s="1"/>
  <c r="AS148" i="42"/>
  <c r="AQ138" i="42"/>
  <c r="AW136" i="42"/>
  <c r="AS212" i="42"/>
  <c r="BQ45" i="42"/>
  <c r="AS46" i="42"/>
  <c r="AS205" i="42"/>
  <c r="BQ14" i="42"/>
  <c r="BQ205" i="42" s="1"/>
  <c r="AW151" i="42"/>
  <c r="BI151" i="42" s="1"/>
  <c r="BI210" i="42" s="1"/>
  <c r="BJ105" i="42"/>
  <c r="BJ199" i="42" s="1"/>
  <c r="BI198" i="42"/>
  <c r="BP132" i="42"/>
  <c r="BP135" i="42" s="1"/>
  <c r="AR135" i="42"/>
  <c r="AW26" i="42"/>
  <c r="AQ29" i="42"/>
  <c r="BP186" i="42"/>
  <c r="BP191" i="42" s="1"/>
  <c r="AR191" i="42"/>
  <c r="AR199" i="42" s="1"/>
  <c r="AQ162" i="42"/>
  <c r="AW157" i="42"/>
  <c r="AR153" i="42"/>
  <c r="AS209" i="42"/>
  <c r="BQ17" i="42"/>
  <c r="BQ209" i="42" s="1"/>
  <c r="AW146" i="42"/>
  <c r="AQ148" i="42"/>
  <c r="AR25" i="42"/>
  <c r="BP22" i="42"/>
  <c r="BP25" i="42" s="1"/>
  <c r="AQ191" i="42"/>
  <c r="AW186" i="42"/>
  <c r="BJ206" i="42"/>
  <c r="BJ64" i="42"/>
  <c r="BJ211" i="42"/>
  <c r="BJ78" i="42"/>
  <c r="AQ203" i="42"/>
  <c r="AQ21" i="42"/>
  <c r="AW12" i="42"/>
  <c r="BJ204" i="42"/>
  <c r="BJ52" i="42"/>
  <c r="AW179" i="42"/>
  <c r="BI173" i="42"/>
  <c r="BI179" i="42" s="1"/>
  <c r="BJ212" i="42"/>
  <c r="BJ46" i="42"/>
  <c r="AR156" i="42"/>
  <c r="BP154" i="42"/>
  <c r="BP156" i="42" s="1"/>
  <c r="AR205" i="42"/>
  <c r="BP14" i="42"/>
  <c r="BP205" i="42" s="1"/>
  <c r="AW198" i="42"/>
  <c r="AS135" i="42"/>
  <c r="BQ132" i="42"/>
  <c r="BQ135" i="42" s="1"/>
  <c r="AW125" i="42"/>
  <c r="BI122" i="42"/>
  <c r="BI125" i="42" s="1"/>
  <c r="AW69" i="42"/>
  <c r="BI65" i="42"/>
  <c r="BI69" i="42" s="1"/>
  <c r="AQ156" i="42"/>
  <c r="AW154" i="42"/>
  <c r="AS153" i="42"/>
  <c r="BJ209" i="42"/>
  <c r="BP113" i="42"/>
  <c r="BP115" i="42" s="1"/>
  <c r="AR115" i="42"/>
  <c r="AW37" i="42"/>
  <c r="BI34" i="42"/>
  <c r="BI37" i="42" s="1"/>
  <c r="AQ58" i="42"/>
  <c r="AW53" i="42"/>
  <c r="AQ212" i="42"/>
  <c r="AQ46" i="42"/>
  <c r="AW45" i="42"/>
  <c r="AR204" i="42"/>
  <c r="AR52" i="42"/>
  <c r="BP47" i="42"/>
  <c r="BJ203" i="42"/>
  <c r="BJ202" i="42" s="1"/>
  <c r="BJ21" i="42"/>
  <c r="AR29" i="42"/>
  <c r="BP26" i="42"/>
  <c r="BP29" i="42" s="1"/>
  <c r="BQ154" i="42"/>
  <c r="BQ156" i="42" s="1"/>
  <c r="AS156" i="42"/>
  <c r="AW163" i="42"/>
  <c r="AQ166" i="42"/>
  <c r="AQ199" i="42" s="1"/>
  <c r="BQ131" i="41"/>
  <c r="BQ137" i="41" s="1"/>
  <c r="AS137" i="41"/>
  <c r="AR143" i="41"/>
  <c r="AR21" i="41"/>
  <c r="BP17" i="41"/>
  <c r="AW72" i="41"/>
  <c r="BI66" i="41"/>
  <c r="BI72" i="41" s="1"/>
  <c r="AQ143" i="41"/>
  <c r="AW17" i="41"/>
  <c r="AQ21" i="41"/>
  <c r="BK138" i="41"/>
  <c r="BJ139" i="41" s="1"/>
  <c r="AQ149" i="41"/>
  <c r="AW19" i="41"/>
  <c r="AR61" i="41"/>
  <c r="BP59" i="41"/>
  <c r="BP61" i="41" s="1"/>
  <c r="AQ112" i="41"/>
  <c r="AW106" i="41"/>
  <c r="AQ79" i="41"/>
  <c r="AW73" i="41"/>
  <c r="AS149" i="41"/>
  <c r="BQ19" i="41"/>
  <c r="BQ149" i="41" s="1"/>
  <c r="BI94" i="41"/>
  <c r="BI97" i="41" s="1"/>
  <c r="AW97" i="41"/>
  <c r="AQ105" i="41"/>
  <c r="AW98" i="41"/>
  <c r="AF138" i="41"/>
  <c r="Y21" i="47" s="1"/>
  <c r="AR137" i="41"/>
  <c r="BP131" i="41"/>
  <c r="BP137" i="41" s="1"/>
  <c r="BJ143" i="41"/>
  <c r="BJ21" i="41"/>
  <c r="AS50" i="41"/>
  <c r="BQ44" i="41"/>
  <c r="BQ50" i="41" s="1"/>
  <c r="BI93" i="41"/>
  <c r="BP98" i="41"/>
  <c r="AR105" i="41"/>
  <c r="BI30" i="41"/>
  <c r="AW113" i="41"/>
  <c r="AQ120" i="41"/>
  <c r="AR50" i="41"/>
  <c r="BP44" i="41"/>
  <c r="BP50" i="41" s="1"/>
  <c r="BQ98" i="41"/>
  <c r="BQ105" i="41" s="1"/>
  <c r="AS105" i="41"/>
  <c r="BQ125" i="41"/>
  <c r="BQ130" i="41" s="1"/>
  <c r="AS130" i="41"/>
  <c r="BK141" i="41"/>
  <c r="BJ140" i="41" s="1"/>
  <c r="AS61" i="41"/>
  <c r="BQ59" i="41"/>
  <c r="BQ61" i="41" s="1"/>
  <c r="AW124" i="41"/>
  <c r="BI121" i="41"/>
  <c r="BI124" i="41" s="1"/>
  <c r="AR148" i="41"/>
  <c r="BP15" i="41"/>
  <c r="BP148" i="41" s="1"/>
  <c r="BQ113" i="41"/>
  <c r="BQ120" i="41" s="1"/>
  <c r="AS120" i="41"/>
  <c r="AR112" i="41"/>
  <c r="BP106" i="41"/>
  <c r="BP112" i="41" s="1"/>
  <c r="AR142" i="41"/>
  <c r="BP12" i="41"/>
  <c r="AR16" i="41"/>
  <c r="AS58" i="41"/>
  <c r="BQ51" i="41"/>
  <c r="BQ58" i="41" s="1"/>
  <c r="AQ87" i="41"/>
  <c r="AW84" i="41"/>
  <c r="AQ151" i="41"/>
  <c r="AW104" i="41"/>
  <c r="BP125" i="41"/>
  <c r="BP130" i="41" s="1"/>
  <c r="AR130" i="41"/>
  <c r="AW51" i="41"/>
  <c r="AQ58" i="41"/>
  <c r="AS145" i="41"/>
  <c r="BQ31" i="41"/>
  <c r="AS36" i="41"/>
  <c r="AS148" i="41"/>
  <c r="BQ15" i="41"/>
  <c r="BQ148" i="41" s="1"/>
  <c r="AW131" i="41"/>
  <c r="AQ137" i="41"/>
  <c r="AW27" i="41"/>
  <c r="BI22" i="41"/>
  <c r="BI27" i="41" s="1"/>
  <c r="AQ65" i="41"/>
  <c r="AW62" i="41"/>
  <c r="AR87" i="41"/>
  <c r="BP84" i="41"/>
  <c r="BP87" i="41" s="1"/>
  <c r="AS142" i="41"/>
  <c r="BQ12" i="41"/>
  <c r="AS16" i="41"/>
  <c r="AS150" i="41"/>
  <c r="AS29" i="41"/>
  <c r="BQ28" i="41"/>
  <c r="AW83" i="41"/>
  <c r="BI80" i="41"/>
  <c r="BI83" i="41" s="1"/>
  <c r="AQ148" i="41"/>
  <c r="AW15" i="41"/>
  <c r="AQ50" i="41"/>
  <c r="AW44" i="41"/>
  <c r="AQ140" i="41"/>
  <c r="AR149" i="41"/>
  <c r="BP19" i="41"/>
  <c r="BP149" i="41" s="1"/>
  <c r="BJ145" i="41"/>
  <c r="BJ36" i="41"/>
  <c r="AF140" i="41"/>
  <c r="AQ142" i="41"/>
  <c r="AW12" i="41"/>
  <c r="AQ16" i="41"/>
  <c r="AR120" i="41"/>
  <c r="BP113" i="41"/>
  <c r="BP120" i="41" s="1"/>
  <c r="BQ84" i="41"/>
  <c r="BQ87" i="41" s="1"/>
  <c r="AS87" i="41"/>
  <c r="BJ142" i="41"/>
  <c r="BJ16" i="41"/>
  <c r="AS151" i="41"/>
  <c r="BQ104" i="41"/>
  <c r="BQ151" i="41" s="1"/>
  <c r="BJ150" i="41"/>
  <c r="BJ29" i="41"/>
  <c r="AW59" i="41"/>
  <c r="AQ61" i="41"/>
  <c r="BK139" i="41"/>
  <c r="AF139" i="41"/>
  <c r="BJ105" i="41"/>
  <c r="BI43" i="41"/>
  <c r="AR145" i="41"/>
  <c r="BP31" i="41"/>
  <c r="AR36" i="41"/>
  <c r="AQ130" i="41"/>
  <c r="AW125" i="41"/>
  <c r="BS141" i="41"/>
  <c r="AO138" i="41"/>
  <c r="AQ139" i="41" s="1"/>
  <c r="AQ145" i="41"/>
  <c r="AW31" i="41"/>
  <c r="BQ106" i="41"/>
  <c r="BQ112" i="41" s="1"/>
  <c r="AS112" i="41"/>
  <c r="AF141" i="41"/>
  <c r="AR151" i="41"/>
  <c r="BP104" i="41"/>
  <c r="BP151" i="41" s="1"/>
  <c r="AR150" i="41"/>
  <c r="AR29" i="41"/>
  <c r="BP28" i="41"/>
  <c r="AS143" i="41"/>
  <c r="AS21" i="41"/>
  <c r="BQ17" i="41"/>
  <c r="AR58" i="41"/>
  <c r="BP51" i="41"/>
  <c r="BP58" i="41" s="1"/>
  <c r="BS140" i="41"/>
  <c r="AQ150" i="41"/>
  <c r="AQ29" i="41"/>
  <c r="AW28" i="41"/>
  <c r="AW43" i="41"/>
  <c r="BI26" i="40"/>
  <c r="BP99" i="40"/>
  <c r="BP102" i="40" s="1"/>
  <c r="AR102" i="40"/>
  <c r="AS127" i="40"/>
  <c r="BQ125" i="40"/>
  <c r="BQ127" i="40" s="1"/>
  <c r="AQ151" i="40"/>
  <c r="AW145" i="40"/>
  <c r="AW20" i="40"/>
  <c r="AQ23" i="40"/>
  <c r="BI103" i="40"/>
  <c r="BJ179" i="40"/>
  <c r="BJ25" i="40"/>
  <c r="AS98" i="40"/>
  <c r="AR172" i="40"/>
  <c r="AR38" i="40"/>
  <c r="BP33" i="40"/>
  <c r="BQ173" i="40"/>
  <c r="AS44" i="40"/>
  <c r="BQ39" i="40"/>
  <c r="BQ44" i="40" s="1"/>
  <c r="AQ44" i="40"/>
  <c r="AW39" i="40"/>
  <c r="AW171" i="40" s="1"/>
  <c r="BI45" i="40"/>
  <c r="BI51" i="40" s="1"/>
  <c r="AW51" i="40"/>
  <c r="BP69" i="40"/>
  <c r="BP74" i="40" s="1"/>
  <c r="AR74" i="40"/>
  <c r="BM168" i="40"/>
  <c r="AS102" i="40"/>
  <c r="BQ99" i="40"/>
  <c r="BQ102" i="40" s="1"/>
  <c r="BP145" i="40"/>
  <c r="BP151" i="40" s="1"/>
  <c r="AR151" i="40"/>
  <c r="BP178" i="40"/>
  <c r="AW137" i="40"/>
  <c r="BI131" i="40"/>
  <c r="BI137" i="40" s="1"/>
  <c r="AF168" i="40"/>
  <c r="AS172" i="40"/>
  <c r="BQ33" i="40"/>
  <c r="AS38" i="40"/>
  <c r="BP108" i="40"/>
  <c r="AS173" i="40"/>
  <c r="BI53" i="40"/>
  <c r="AS170" i="40"/>
  <c r="BQ12" i="40"/>
  <c r="AS15" i="40"/>
  <c r="AW33" i="40"/>
  <c r="AW165" i="40"/>
  <c r="BI162" i="40"/>
  <c r="BI165" i="40" s="1"/>
  <c r="BQ69" i="40"/>
  <c r="BQ74" i="40" s="1"/>
  <c r="AS74" i="40"/>
  <c r="AP169" i="40"/>
  <c r="BI115" i="40"/>
  <c r="BI118" i="40" s="1"/>
  <c r="AW118" i="40"/>
  <c r="AS67" i="40"/>
  <c r="BQ61" i="40"/>
  <c r="BQ67" i="40" s="1"/>
  <c r="BL169" i="40"/>
  <c r="AR127" i="40"/>
  <c r="BP125" i="40"/>
  <c r="BP127" i="40" s="1"/>
  <c r="AW60" i="40"/>
  <c r="BI54" i="40"/>
  <c r="BI60" i="40" s="1"/>
  <c r="BP118" i="40"/>
  <c r="AW112" i="40"/>
  <c r="AQ114" i="40"/>
  <c r="BP60" i="40"/>
  <c r="AQ19" i="40"/>
  <c r="AW16" i="40"/>
  <c r="AR171" i="40"/>
  <c r="AR32" i="40"/>
  <c r="BP26" i="40"/>
  <c r="AW104" i="40"/>
  <c r="BI104" i="40" s="1"/>
  <c r="BJ172" i="40"/>
  <c r="BJ38" i="40"/>
  <c r="AR44" i="40"/>
  <c r="BP39" i="40"/>
  <c r="BP44" i="40" s="1"/>
  <c r="AR177" i="40"/>
  <c r="BP30" i="40"/>
  <c r="BP177" i="40" s="1"/>
  <c r="AW130" i="40"/>
  <c r="BI128" i="40"/>
  <c r="BI130" i="40" s="1"/>
  <c r="AW144" i="40"/>
  <c r="AW178" i="40"/>
  <c r="BS169" i="40"/>
  <c r="BI93" i="40"/>
  <c r="BI98" i="40" s="1"/>
  <c r="AW98" i="40"/>
  <c r="BP75" i="40"/>
  <c r="BP81" i="40" s="1"/>
  <c r="AR81" i="40"/>
  <c r="BJ170" i="40"/>
  <c r="BJ15" i="40"/>
  <c r="BP112" i="40"/>
  <c r="BP114" i="40" s="1"/>
  <c r="AR114" i="40"/>
  <c r="AW99" i="40"/>
  <c r="AQ102" i="40"/>
  <c r="AQ170" i="40"/>
  <c r="AQ15" i="40"/>
  <c r="AW12" i="40"/>
  <c r="AS151" i="40"/>
  <c r="BQ145" i="40"/>
  <c r="BQ151" i="40" s="1"/>
  <c r="BP156" i="40"/>
  <c r="BP161" i="40" s="1"/>
  <c r="AR161" i="40"/>
  <c r="AS171" i="40"/>
  <c r="AS32" i="40"/>
  <c r="BQ26" i="40"/>
  <c r="BP82" i="40"/>
  <c r="BP88" i="40" s="1"/>
  <c r="AR88" i="40"/>
  <c r="AW173" i="40"/>
  <c r="BI55" i="40"/>
  <c r="BI173" i="40" s="1"/>
  <c r="AQ161" i="40"/>
  <c r="AW156" i="40"/>
  <c r="AS174" i="40"/>
  <c r="BQ28" i="40"/>
  <c r="BQ174" i="40" s="1"/>
  <c r="BI144" i="40"/>
  <c r="AW124" i="40"/>
  <c r="BI119" i="40"/>
  <c r="BI124" i="40" s="1"/>
  <c r="AQ174" i="40"/>
  <c r="AW28" i="40"/>
  <c r="AS81" i="40"/>
  <c r="BQ75" i="40"/>
  <c r="BQ81" i="40" s="1"/>
  <c r="AW92" i="40"/>
  <c r="BI89" i="40"/>
  <c r="BI92" i="40" s="1"/>
  <c r="AR170" i="40"/>
  <c r="AR15" i="40"/>
  <c r="BP12" i="40"/>
  <c r="BK169" i="40"/>
  <c r="BJ168" i="40" s="1"/>
  <c r="BP61" i="40"/>
  <c r="BP67" i="40" s="1"/>
  <c r="AR67" i="40"/>
  <c r="AR166" i="40"/>
  <c r="BP167" i="40" s="1"/>
  <c r="AQ67" i="40"/>
  <c r="AW61" i="40"/>
  <c r="AO169" i="40"/>
  <c r="AR176" i="40"/>
  <c r="BP14" i="40"/>
  <c r="BP176" i="40" s="1"/>
  <c r="AQ171" i="40"/>
  <c r="AS161" i="40"/>
  <c r="AS166" i="40" s="1"/>
  <c r="BQ167" i="40" s="1"/>
  <c r="BQ156" i="40"/>
  <c r="BQ161" i="40" s="1"/>
  <c r="AR179" i="40"/>
  <c r="BP24" i="40"/>
  <c r="AR25" i="40"/>
  <c r="BJ171" i="40"/>
  <c r="BJ32" i="40"/>
  <c r="BQ82" i="40"/>
  <c r="BQ88" i="40" s="1"/>
  <c r="AS88" i="40"/>
  <c r="AW75" i="40"/>
  <c r="AQ81" i="40"/>
  <c r="AW82" i="40"/>
  <c r="AQ88" i="40"/>
  <c r="AW155" i="40"/>
  <c r="BI152" i="40"/>
  <c r="BI155" i="40" s="1"/>
  <c r="AS177" i="40"/>
  <c r="BQ30" i="40"/>
  <c r="BQ177" i="40" s="1"/>
  <c r="AQ127" i="40"/>
  <c r="AQ166" i="40" s="1"/>
  <c r="AW125" i="40"/>
  <c r="AR174" i="40"/>
  <c r="BP28" i="40"/>
  <c r="BP174" i="40" s="1"/>
  <c r="AQ176" i="40"/>
  <c r="AW14" i="40"/>
  <c r="AW30" i="40"/>
  <c r="AF169" i="40"/>
  <c r="BI109" i="40"/>
  <c r="BI110" i="40" s="1"/>
  <c r="AW110" i="40"/>
  <c r="BK166" i="40"/>
  <c r="BJ167" i="40" s="1"/>
  <c r="BQ112" i="40"/>
  <c r="BQ114" i="40" s="1"/>
  <c r="AS114" i="40"/>
  <c r="AP166" i="40"/>
  <c r="AQ167" i="40" s="1"/>
  <c r="AQ179" i="40"/>
  <c r="AW24" i="40"/>
  <c r="AQ25" i="40"/>
  <c r="AS176" i="40"/>
  <c r="BQ14" i="40"/>
  <c r="BQ176" i="40" s="1"/>
  <c r="BJ161" i="40"/>
  <c r="AS179" i="40"/>
  <c r="BQ24" i="40"/>
  <c r="AS25" i="40"/>
  <c r="AW74" i="40"/>
  <c r="BI68" i="40"/>
  <c r="BI74" i="40" s="1"/>
  <c r="BI22" i="39"/>
  <c r="BI135" i="39" s="1"/>
  <c r="AQ125" i="39"/>
  <c r="AW114" i="39"/>
  <c r="BI108" i="39"/>
  <c r="BI114" i="39" s="1"/>
  <c r="BQ72" i="39"/>
  <c r="BM126" i="39"/>
  <c r="BI45" i="39"/>
  <c r="BI46" i="39" s="1"/>
  <c r="AW46" i="39"/>
  <c r="BI101" i="39"/>
  <c r="BI107" i="39" s="1"/>
  <c r="AW107" i="39"/>
  <c r="AS135" i="39"/>
  <c r="BQ22" i="39"/>
  <c r="BQ135" i="39" s="1"/>
  <c r="BI31" i="39"/>
  <c r="BI66" i="39"/>
  <c r="AQ131" i="39"/>
  <c r="AQ30" i="39"/>
  <c r="AW25" i="39"/>
  <c r="AR131" i="39"/>
  <c r="BP25" i="39"/>
  <c r="AR30" i="39"/>
  <c r="AW50" i="39"/>
  <c r="BI47" i="39"/>
  <c r="BI50" i="39" s="1"/>
  <c r="AW93" i="39"/>
  <c r="BI87" i="39"/>
  <c r="BI93" i="39" s="1"/>
  <c r="AS114" i="39"/>
  <c r="AS124" i="39" s="1"/>
  <c r="BQ125" i="39" s="1"/>
  <c r="BQ108" i="39"/>
  <c r="BQ114" i="39" s="1"/>
  <c r="BL127" i="39"/>
  <c r="AW137" i="39"/>
  <c r="BI12" i="39"/>
  <c r="AW13" i="39"/>
  <c r="BK127" i="39"/>
  <c r="BJ126" i="39" s="1"/>
  <c r="AR134" i="39"/>
  <c r="BP17" i="39"/>
  <c r="BP134" i="39" s="1"/>
  <c r="AR36" i="39"/>
  <c r="BJ65" i="39"/>
  <c r="AR79" i="39"/>
  <c r="BP73" i="39"/>
  <c r="BP79" i="39" s="1"/>
  <c r="AQ79" i="39"/>
  <c r="AW73" i="39"/>
  <c r="AQ128" i="39"/>
  <c r="AW14" i="39"/>
  <c r="AQ18" i="39"/>
  <c r="BM127" i="39"/>
  <c r="BI119" i="39"/>
  <c r="BI123" i="39" s="1"/>
  <c r="AW123" i="39"/>
  <c r="AW34" i="39"/>
  <c r="BI34" i="39" s="1"/>
  <c r="AS136" i="39"/>
  <c r="AS44" i="39"/>
  <c r="BQ43" i="39"/>
  <c r="AS24" i="39"/>
  <c r="AR128" i="39"/>
  <c r="AR18" i="39"/>
  <c r="BP14" i="39"/>
  <c r="BI80" i="39"/>
  <c r="BI86" i="39" s="1"/>
  <c r="AW86" i="39"/>
  <c r="BP137" i="39"/>
  <c r="BP13" i="39"/>
  <c r="AW67" i="39"/>
  <c r="BI67" i="39" s="1"/>
  <c r="BJ131" i="39"/>
  <c r="BJ30" i="39"/>
  <c r="BP93" i="39"/>
  <c r="BP36" i="39"/>
  <c r="AQ129" i="39"/>
  <c r="AW19" i="39"/>
  <c r="AQ24" i="39"/>
  <c r="AO127" i="39"/>
  <c r="AQ126" i="39" s="1"/>
  <c r="AR100" i="39"/>
  <c r="BP94" i="39"/>
  <c r="BP100" i="39" s="1"/>
  <c r="BQ137" i="39"/>
  <c r="BQ13" i="39"/>
  <c r="AQ134" i="39"/>
  <c r="AW17" i="39"/>
  <c r="AQ100" i="39"/>
  <c r="AQ124" i="39" s="1"/>
  <c r="AW94" i="39"/>
  <c r="BI57" i="39"/>
  <c r="BI58" i="39" s="1"/>
  <c r="AW58" i="39"/>
  <c r="AS72" i="39"/>
  <c r="AR136" i="39"/>
  <c r="BP43" i="39"/>
  <c r="AR44" i="39"/>
  <c r="BJ128" i="39"/>
  <c r="BJ18" i="39"/>
  <c r="AS134" i="39"/>
  <c r="BQ17" i="39"/>
  <c r="BQ134" i="39" s="1"/>
  <c r="AS65" i="39"/>
  <c r="BQ59" i="39"/>
  <c r="BQ65" i="39" s="1"/>
  <c r="BJ136" i="39"/>
  <c r="BJ44" i="39"/>
  <c r="BJ124" i="39" s="1"/>
  <c r="BQ129" i="39"/>
  <c r="BQ24" i="39"/>
  <c r="AF127" i="39"/>
  <c r="AQ130" i="39"/>
  <c r="AQ42" i="39"/>
  <c r="AW37" i="39"/>
  <c r="BP129" i="39"/>
  <c r="AP127" i="39"/>
  <c r="AS131" i="39"/>
  <c r="AS30" i="39"/>
  <c r="BQ25" i="39"/>
  <c r="BJ24" i="39"/>
  <c r="AR130" i="39"/>
  <c r="BP37" i="39"/>
  <c r="AR42" i="39"/>
  <c r="AW118" i="39"/>
  <c r="BI115" i="39"/>
  <c r="BI118" i="39" s="1"/>
  <c r="BP104" i="39"/>
  <c r="BP107" i="39" s="1"/>
  <c r="AR107" i="39"/>
  <c r="AR124" i="39" s="1"/>
  <c r="AS100" i="39"/>
  <c r="BQ94" i="39"/>
  <c r="BQ100" i="39" s="1"/>
  <c r="AS130" i="39"/>
  <c r="BQ37" i="39"/>
  <c r="AS42" i="39"/>
  <c r="AQ65" i="39"/>
  <c r="AW59" i="39"/>
  <c r="AS128" i="39"/>
  <c r="BQ14" i="39"/>
  <c r="AS18" i="39"/>
  <c r="AR114" i="39"/>
  <c r="BP108" i="39"/>
  <c r="BP114" i="39" s="1"/>
  <c r="BJ130" i="39"/>
  <c r="BJ42" i="39"/>
  <c r="AQ136" i="39"/>
  <c r="AQ44" i="39"/>
  <c r="AW43" i="39"/>
  <c r="AR72" i="39"/>
  <c r="AR135" i="39"/>
  <c r="BP22" i="39"/>
  <c r="BP135" i="39" s="1"/>
  <c r="AR65" i="39"/>
  <c r="BP59" i="39"/>
  <c r="BP65" i="39" s="1"/>
  <c r="BQ73" i="39"/>
  <c r="BQ79" i="39" s="1"/>
  <c r="AS79" i="39"/>
  <c r="BI51" i="39"/>
  <c r="BI56" i="39" s="1"/>
  <c r="AW56" i="39"/>
  <c r="BJ141" i="41" l="1"/>
  <c r="BI263" i="32"/>
  <c r="BI269" i="32" s="1"/>
  <c r="AW269" i="32"/>
  <c r="AW205" i="32"/>
  <c r="BI200" i="32"/>
  <c r="BI205" i="32" s="1"/>
  <c r="AW216" i="32"/>
  <c r="BI215" i="32"/>
  <c r="BI216" i="32" s="1"/>
  <c r="AW297" i="32"/>
  <c r="AW17" i="32"/>
  <c r="BI14" i="32"/>
  <c r="AW262" i="32"/>
  <c r="BI256" i="32"/>
  <c r="BI262" i="32" s="1"/>
  <c r="BI158" i="32"/>
  <c r="BI164" i="32" s="1"/>
  <c r="AW164" i="32"/>
  <c r="AW84" i="32"/>
  <c r="BI78" i="32"/>
  <c r="BI84" i="32" s="1"/>
  <c r="BI114" i="32"/>
  <c r="AW120" i="32"/>
  <c r="AW31" i="32"/>
  <c r="BI28" i="32"/>
  <c r="BI31" i="32" s="1"/>
  <c r="BI72" i="32"/>
  <c r="BI77" i="32" s="1"/>
  <c r="AW77" i="32"/>
  <c r="AQ296" i="32"/>
  <c r="AW27" i="32"/>
  <c r="BI23" i="32"/>
  <c r="BI27" i="32" s="1"/>
  <c r="AW220" i="32"/>
  <c r="BI217" i="32"/>
  <c r="BI220" i="32" s="1"/>
  <c r="AW300" i="32"/>
  <c r="BI115" i="32"/>
  <c r="BI300" i="32" s="1"/>
  <c r="BQ300" i="32"/>
  <c r="AW305" i="32"/>
  <c r="BI108" i="32"/>
  <c r="AW109" i="32"/>
  <c r="BJ293" i="32"/>
  <c r="BQ298" i="32"/>
  <c r="BI165" i="32"/>
  <c r="BI171" i="32" s="1"/>
  <c r="AW171" i="32"/>
  <c r="AW178" i="32"/>
  <c r="BI172" i="32"/>
  <c r="BI178" i="32" s="1"/>
  <c r="AW214" i="32"/>
  <c r="BI206" i="32"/>
  <c r="BI214" i="32" s="1"/>
  <c r="BP297" i="32"/>
  <c r="BP17" i="32"/>
  <c r="AW188" i="32"/>
  <c r="BI183" i="32"/>
  <c r="BI188" i="32" s="1"/>
  <c r="BQ306" i="32"/>
  <c r="BQ13" i="32"/>
  <c r="BI298" i="32"/>
  <c r="BQ305" i="32"/>
  <c r="BQ109" i="32"/>
  <c r="AW137" i="32"/>
  <c r="BQ52" i="32"/>
  <c r="AW304" i="32"/>
  <c r="BI50" i="32"/>
  <c r="BI304" i="32" s="1"/>
  <c r="BI270" i="32"/>
  <c r="BI276" i="32" s="1"/>
  <c r="AW276" i="32"/>
  <c r="BP120" i="32"/>
  <c r="BQ297" i="32"/>
  <c r="BQ296" i="32" s="1"/>
  <c r="BQ17" i="32"/>
  <c r="AW113" i="32"/>
  <c r="BI110" i="32"/>
  <c r="BI113" i="32" s="1"/>
  <c r="AS293" i="32"/>
  <c r="BQ294" i="32" s="1"/>
  <c r="AW298" i="32"/>
  <c r="BI137" i="32"/>
  <c r="BI90" i="32"/>
  <c r="AR293" i="32"/>
  <c r="BP294" i="32" s="1"/>
  <c r="AW52" i="32"/>
  <c r="BI46" i="32"/>
  <c r="AQ293" i="32"/>
  <c r="AW295" i="32"/>
  <c r="BP305" i="32"/>
  <c r="BP109" i="32"/>
  <c r="AW182" i="32"/>
  <c r="BI179" i="32"/>
  <c r="BI182" i="32" s="1"/>
  <c r="BP52" i="32"/>
  <c r="BJ296" i="32"/>
  <c r="BP300" i="32"/>
  <c r="BP306" i="32"/>
  <c r="BP13" i="32"/>
  <c r="AS296" i="32"/>
  <c r="AW107" i="32"/>
  <c r="BI97" i="32"/>
  <c r="AW306" i="32"/>
  <c r="AW13" i="32"/>
  <c r="BI12" i="32"/>
  <c r="BP107" i="32"/>
  <c r="AW299" i="32"/>
  <c r="BI99" i="32"/>
  <c r="BI299" i="32" s="1"/>
  <c r="AW23" i="31"/>
  <c r="BI20" i="31"/>
  <c r="BI23" i="31" s="1"/>
  <c r="BI65" i="31"/>
  <c r="BI67" i="31" s="1"/>
  <c r="AW67" i="31"/>
  <c r="BI41" i="31"/>
  <c r="BI43" i="31" s="1"/>
  <c r="AW43" i="31"/>
  <c r="BP87" i="31"/>
  <c r="BP25" i="31"/>
  <c r="BQ32" i="31"/>
  <c r="BI79" i="31"/>
  <c r="BI32" i="31"/>
  <c r="AW85" i="31"/>
  <c r="BI30" i="31"/>
  <c r="BI85" i="31" s="1"/>
  <c r="BJ77" i="31"/>
  <c r="AW87" i="31"/>
  <c r="AW25" i="31"/>
  <c r="BI24" i="31"/>
  <c r="BP32" i="31"/>
  <c r="BP81" i="31"/>
  <c r="BP48" i="31"/>
  <c r="AW86" i="31"/>
  <c r="BI39" i="31"/>
  <c r="AW40" i="31"/>
  <c r="AS77" i="31"/>
  <c r="AS74" i="31"/>
  <c r="BQ75" i="31" s="1"/>
  <c r="AW84" i="31"/>
  <c r="BI14" i="31"/>
  <c r="BI84" i="31" s="1"/>
  <c r="BP15" i="31"/>
  <c r="BP74" i="31" s="1"/>
  <c r="AR74" i="31"/>
  <c r="AW73" i="31"/>
  <c r="BI68" i="31"/>
  <c r="BI73" i="31" s="1"/>
  <c r="AW15" i="31"/>
  <c r="AW74" i="31" s="1"/>
  <c r="BP78" i="31"/>
  <c r="BP77" i="31" s="1"/>
  <c r="BQ87" i="31"/>
  <c r="BQ25" i="31"/>
  <c r="AW78" i="31"/>
  <c r="AR77" i="31"/>
  <c r="AW76" i="31" s="1"/>
  <c r="AW81" i="31"/>
  <c r="AW48" i="31"/>
  <c r="BI44" i="31"/>
  <c r="BI16" i="31"/>
  <c r="BI19" i="31" s="1"/>
  <c r="AW19" i="31"/>
  <c r="BQ74" i="31"/>
  <c r="BI75" i="31" s="1"/>
  <c r="BQ81" i="31"/>
  <c r="BQ48" i="31"/>
  <c r="BQ78" i="31"/>
  <c r="AW102" i="30"/>
  <c r="AW105" i="30"/>
  <c r="AW23" i="30"/>
  <c r="BI18" i="30"/>
  <c r="BQ112" i="30"/>
  <c r="BQ30" i="30"/>
  <c r="BP15" i="30"/>
  <c r="AW111" i="30"/>
  <c r="BI20" i="30"/>
  <c r="BI111" i="30" s="1"/>
  <c r="BQ113" i="30"/>
  <c r="BQ17" i="30"/>
  <c r="BQ100" i="30" s="1"/>
  <c r="BP37" i="30"/>
  <c r="AW107" i="30"/>
  <c r="BI32" i="30"/>
  <c r="BI107" i="30" s="1"/>
  <c r="AW112" i="30"/>
  <c r="AW30" i="30"/>
  <c r="BI29" i="30"/>
  <c r="AW54" i="30"/>
  <c r="BI49" i="30"/>
  <c r="BI54" i="30" s="1"/>
  <c r="BP104" i="30"/>
  <c r="BQ104" i="30"/>
  <c r="BP23" i="30"/>
  <c r="BI55" i="30"/>
  <c r="BI61" i="30" s="1"/>
  <c r="AW61" i="30"/>
  <c r="AW85" i="30"/>
  <c r="BI82" i="30"/>
  <c r="BI85" i="30" s="1"/>
  <c r="AW110" i="30"/>
  <c r="BI14" i="30"/>
  <c r="BI110" i="30" s="1"/>
  <c r="BP113" i="30"/>
  <c r="BP17" i="30"/>
  <c r="BJ100" i="30"/>
  <c r="AR100" i="30"/>
  <c r="AS100" i="30"/>
  <c r="BQ101" i="30" s="1"/>
  <c r="AW113" i="30"/>
  <c r="AW17" i="30"/>
  <c r="BI16" i="30"/>
  <c r="AQ101" i="30"/>
  <c r="BI62" i="30"/>
  <c r="BI65" i="30" s="1"/>
  <c r="AW65" i="30"/>
  <c r="AW100" i="30" s="1"/>
  <c r="BP112" i="30"/>
  <c r="BP30" i="30"/>
  <c r="BI104" i="30"/>
  <c r="AQ103" i="30"/>
  <c r="AW75" i="30"/>
  <c r="BI72" i="30"/>
  <c r="BI75" i="30" s="1"/>
  <c r="AW104" i="30"/>
  <c r="AW81" i="30"/>
  <c r="BI76" i="30"/>
  <c r="BI81" i="30" s="1"/>
  <c r="AQ100" i="30"/>
  <c r="AW92" i="30"/>
  <c r="BI86" i="30"/>
  <c r="BI92" i="30" s="1"/>
  <c r="BI37" i="30"/>
  <c r="BP193" i="29"/>
  <c r="AW193" i="29"/>
  <c r="AW75" i="29"/>
  <c r="BI72" i="29"/>
  <c r="BI75" i="29" s="1"/>
  <c r="BI57" i="29"/>
  <c r="BI59" i="29" s="1"/>
  <c r="AW59" i="29"/>
  <c r="BI115" i="29"/>
  <c r="BI120" i="29" s="1"/>
  <c r="AW120" i="29"/>
  <c r="AW199" i="29"/>
  <c r="BI170" i="29"/>
  <c r="BQ202" i="29"/>
  <c r="AW159" i="29"/>
  <c r="BI156" i="29"/>
  <c r="BI159" i="29" s="1"/>
  <c r="AW197" i="29"/>
  <c r="BP196" i="29"/>
  <c r="BP17" i="29"/>
  <c r="BP192" i="29" s="1"/>
  <c r="BP204" i="29"/>
  <c r="BP140" i="29"/>
  <c r="BP197" i="29"/>
  <c r="BI133" i="29"/>
  <c r="BI138" i="29" s="1"/>
  <c r="AW138" i="29"/>
  <c r="BJ195" i="29"/>
  <c r="BI103" i="29"/>
  <c r="BI108" i="29" s="1"/>
  <c r="AW108" i="29"/>
  <c r="BI205" i="29"/>
  <c r="BI13" i="29"/>
  <c r="AR195" i="29"/>
  <c r="AW168" i="29"/>
  <c r="BI165" i="29"/>
  <c r="BI168" i="29" s="1"/>
  <c r="BI149" i="29"/>
  <c r="BI155" i="29" s="1"/>
  <c r="AW155" i="29"/>
  <c r="BI102" i="29"/>
  <c r="BI76" i="29"/>
  <c r="BI79" i="29" s="1"/>
  <c r="AW79" i="29"/>
  <c r="AW203" i="29"/>
  <c r="BI88" i="29"/>
  <c r="BI203" i="29" s="1"/>
  <c r="BI64" i="29"/>
  <c r="BI67" i="29" s="1"/>
  <c r="AW67" i="29"/>
  <c r="AW164" i="29"/>
  <c r="BI160" i="29"/>
  <c r="BI164" i="29" s="1"/>
  <c r="BI141" i="29"/>
  <c r="BI148" i="29" s="1"/>
  <c r="AW148" i="29"/>
  <c r="AW114" i="29"/>
  <c r="BI109" i="29"/>
  <c r="BI114" i="29" s="1"/>
  <c r="AW194" i="29"/>
  <c r="AW102" i="29"/>
  <c r="BI30" i="29"/>
  <c r="BI32" i="29" s="1"/>
  <c r="AW32" i="29"/>
  <c r="AW191" i="29"/>
  <c r="BI185" i="29"/>
  <c r="BI191" i="29" s="1"/>
  <c r="BI121" i="29"/>
  <c r="BI126" i="29" s="1"/>
  <c r="AW126" i="29"/>
  <c r="BQ197" i="29"/>
  <c r="BI177" i="29"/>
  <c r="BI178" i="29" s="1"/>
  <c r="AW178" i="29"/>
  <c r="AW96" i="29"/>
  <c r="BI91" i="29"/>
  <c r="BI96" i="29" s="1"/>
  <c r="BP203" i="29"/>
  <c r="BI175" i="29"/>
  <c r="AW196" i="29"/>
  <c r="AW17" i="29"/>
  <c r="AW192" i="29" s="1"/>
  <c r="BI14" i="29"/>
  <c r="BQ196" i="29"/>
  <c r="BQ17" i="29"/>
  <c r="BQ192" i="29" s="1"/>
  <c r="BI90" i="29"/>
  <c r="BI180" i="29"/>
  <c r="BI184" i="29" s="1"/>
  <c r="AW184" i="29"/>
  <c r="BQ204" i="29"/>
  <c r="BQ140" i="29"/>
  <c r="AW204" i="29"/>
  <c r="BI139" i="29"/>
  <c r="AW140" i="29"/>
  <c r="AW175" i="29"/>
  <c r="BP200" i="42"/>
  <c r="AW200" i="42"/>
  <c r="AW191" i="42"/>
  <c r="AW199" i="42" s="1"/>
  <c r="BI186" i="42"/>
  <c r="BI191" i="42" s="1"/>
  <c r="BI70" i="42"/>
  <c r="BI76" i="42" s="1"/>
  <c r="AW76" i="42"/>
  <c r="AQ202" i="42"/>
  <c r="AW138" i="42"/>
  <c r="BI136" i="42"/>
  <c r="BI138" i="42" s="1"/>
  <c r="BI113" i="42"/>
  <c r="BI115" i="42" s="1"/>
  <c r="AW115" i="42"/>
  <c r="AW210" i="42"/>
  <c r="BP210" i="42"/>
  <c r="AW166" i="42"/>
  <c r="BI163" i="42"/>
  <c r="BI166" i="42" s="1"/>
  <c r="BP204" i="42"/>
  <c r="BP52" i="42"/>
  <c r="BI53" i="42"/>
  <c r="BI58" i="42" s="1"/>
  <c r="AW58" i="42"/>
  <c r="AW29" i="42"/>
  <c r="BI26" i="42"/>
  <c r="BI29" i="42" s="1"/>
  <c r="BQ204" i="42"/>
  <c r="BQ52" i="42"/>
  <c r="BI153" i="42"/>
  <c r="BP212" i="42"/>
  <c r="BP46" i="42"/>
  <c r="AW135" i="42"/>
  <c r="BI132" i="42"/>
  <c r="BI135" i="42" s="1"/>
  <c r="AW211" i="42"/>
  <c r="BI77" i="42"/>
  <c r="AW78" i="42"/>
  <c r="AW205" i="42"/>
  <c r="BI14" i="42"/>
  <c r="BI205" i="42" s="1"/>
  <c r="BJ201" i="42"/>
  <c r="BP211" i="42"/>
  <c r="BP78" i="42"/>
  <c r="BP199" i="42" s="1"/>
  <c r="AW209" i="42"/>
  <c r="BI17" i="42"/>
  <c r="BI209" i="42" s="1"/>
  <c r="BI157" i="42"/>
  <c r="BI162" i="42" s="1"/>
  <c r="AW162" i="42"/>
  <c r="AW153" i="42"/>
  <c r="AW204" i="42"/>
  <c r="AW52" i="42"/>
  <c r="BI47" i="42"/>
  <c r="BQ203" i="42"/>
  <c r="BQ21" i="42"/>
  <c r="BQ210" i="42"/>
  <c r="BP203" i="42"/>
  <c r="BP202" i="42" s="1"/>
  <c r="BP21" i="42"/>
  <c r="BI154" i="42"/>
  <c r="BI156" i="42" s="1"/>
  <c r="AW156" i="42"/>
  <c r="BQ206" i="42"/>
  <c r="BQ64" i="42"/>
  <c r="AW206" i="42"/>
  <c r="BI59" i="42"/>
  <c r="AW64" i="42"/>
  <c r="BP206" i="42"/>
  <c r="BP64" i="42"/>
  <c r="AW212" i="42"/>
  <c r="AW46" i="42"/>
  <c r="BI45" i="42"/>
  <c r="AW203" i="42"/>
  <c r="AW21" i="42"/>
  <c r="BI12" i="42"/>
  <c r="BI146" i="42"/>
  <c r="BI148" i="42" s="1"/>
  <c r="AW148" i="42"/>
  <c r="BQ212" i="42"/>
  <c r="BQ46" i="42"/>
  <c r="BQ211" i="42"/>
  <c r="BQ78" i="42"/>
  <c r="BQ199" i="42" s="1"/>
  <c r="AW99" i="42"/>
  <c r="BI96" i="42"/>
  <c r="BI99" i="42" s="1"/>
  <c r="AS202" i="42"/>
  <c r="AR202" i="42"/>
  <c r="AW201" i="42" s="1"/>
  <c r="AQ141" i="41"/>
  <c r="AS141" i="41"/>
  <c r="BQ145" i="41"/>
  <c r="BQ36" i="41"/>
  <c r="AW151" i="41"/>
  <c r="BI104" i="41"/>
  <c r="BI151" i="41" s="1"/>
  <c r="AR138" i="41"/>
  <c r="AW139" i="41" s="1"/>
  <c r="AW112" i="41"/>
  <c r="BI106" i="41"/>
  <c r="BI112" i="41" s="1"/>
  <c r="BP143" i="41"/>
  <c r="BP21" i="41"/>
  <c r="AW142" i="41"/>
  <c r="BI12" i="41"/>
  <c r="AW16" i="41"/>
  <c r="BP150" i="41"/>
  <c r="BP29" i="41"/>
  <c r="AW130" i="41"/>
  <c r="BI125" i="41"/>
  <c r="BI130" i="41" s="1"/>
  <c r="AW50" i="41"/>
  <c r="BI44" i="41"/>
  <c r="BI50" i="41" s="1"/>
  <c r="BQ150" i="41"/>
  <c r="BQ29" i="41"/>
  <c r="BP142" i="41"/>
  <c r="BP16" i="41"/>
  <c r="BP105" i="41"/>
  <c r="BQ142" i="41"/>
  <c r="BQ16" i="41"/>
  <c r="AW137" i="41"/>
  <c r="BI131" i="41"/>
  <c r="BI137" i="41" s="1"/>
  <c r="BI84" i="41"/>
  <c r="BI87" i="41" s="1"/>
  <c r="AW87" i="41"/>
  <c r="AR141" i="41"/>
  <c r="AW143" i="41"/>
  <c r="AW21" i="41"/>
  <c r="BI17" i="41"/>
  <c r="AW145" i="41"/>
  <c r="BI31" i="41"/>
  <c r="AW148" i="41"/>
  <c r="BI15" i="41"/>
  <c r="BI148" i="41" s="1"/>
  <c r="BI62" i="41"/>
  <c r="BI65" i="41" s="1"/>
  <c r="AW65" i="41"/>
  <c r="AW58" i="41"/>
  <c r="BI51" i="41"/>
  <c r="BI58" i="41" s="1"/>
  <c r="AW120" i="41"/>
  <c r="BI113" i="41"/>
  <c r="BI120" i="41" s="1"/>
  <c r="BI59" i="41"/>
  <c r="BI61" i="41" s="1"/>
  <c r="AW61" i="41"/>
  <c r="BI36" i="41"/>
  <c r="AW150" i="41"/>
  <c r="BI28" i="41"/>
  <c r="AW29" i="41"/>
  <c r="BQ143" i="41"/>
  <c r="BQ21" i="41"/>
  <c r="BP145" i="41"/>
  <c r="BP36" i="41"/>
  <c r="BJ138" i="41"/>
  <c r="BC21" i="47" s="1"/>
  <c r="AQ138" i="41"/>
  <c r="AJ21" i="47" s="1"/>
  <c r="AS138" i="41"/>
  <c r="AW36" i="41"/>
  <c r="AW105" i="41"/>
  <c r="BI98" i="41"/>
  <c r="BI105" i="41" s="1"/>
  <c r="BI73" i="41"/>
  <c r="BI79" i="41" s="1"/>
  <c r="AW79" i="41"/>
  <c r="AW149" i="41"/>
  <c r="BI19" i="41"/>
  <c r="BI149" i="41" s="1"/>
  <c r="AQ169" i="40"/>
  <c r="BQ179" i="40"/>
  <c r="BQ25" i="40"/>
  <c r="AW179" i="40"/>
  <c r="AW25" i="40"/>
  <c r="BI24" i="40"/>
  <c r="AW176" i="40"/>
  <c r="BI14" i="40"/>
  <c r="BI176" i="40" s="1"/>
  <c r="AR169" i="40"/>
  <c r="AW174" i="40"/>
  <c r="BI28" i="40"/>
  <c r="BI174" i="40" s="1"/>
  <c r="BJ169" i="40"/>
  <c r="BI112" i="40"/>
  <c r="BI114" i="40" s="1"/>
  <c r="AW114" i="40"/>
  <c r="BQ170" i="40"/>
  <c r="BQ15" i="40"/>
  <c r="BI20" i="40"/>
  <c r="BI23" i="40" s="1"/>
  <c r="AW23" i="40"/>
  <c r="BI75" i="40"/>
  <c r="BI81" i="40" s="1"/>
  <c r="AW81" i="40"/>
  <c r="BP179" i="40"/>
  <c r="BP25" i="40"/>
  <c r="BI99" i="40"/>
  <c r="BI102" i="40" s="1"/>
  <c r="AW102" i="40"/>
  <c r="AS169" i="40"/>
  <c r="BQ172" i="40"/>
  <c r="BQ38" i="40"/>
  <c r="BQ166" i="40" s="1"/>
  <c r="AW151" i="40"/>
  <c r="AW166" i="40" s="1"/>
  <c r="BI145" i="40"/>
  <c r="BI151" i="40" s="1"/>
  <c r="BI32" i="40"/>
  <c r="AW177" i="40"/>
  <c r="BI30" i="40"/>
  <c r="BI177" i="40" s="1"/>
  <c r="BI82" i="40"/>
  <c r="BI88" i="40" s="1"/>
  <c r="AW88" i="40"/>
  <c r="BJ166" i="40"/>
  <c r="AQ168" i="40"/>
  <c r="BI156" i="40"/>
  <c r="BI161" i="40" s="1"/>
  <c r="AW161" i="40"/>
  <c r="BQ171" i="40"/>
  <c r="BQ32" i="40"/>
  <c r="BI16" i="40"/>
  <c r="BI19" i="40" s="1"/>
  <c r="AW19" i="40"/>
  <c r="AW32" i="40"/>
  <c r="AW67" i="40"/>
  <c r="BI61" i="40"/>
  <c r="BI67" i="40" s="1"/>
  <c r="AW170" i="40"/>
  <c r="BI12" i="40"/>
  <c r="AW15" i="40"/>
  <c r="BI178" i="40"/>
  <c r="BP172" i="40"/>
  <c r="BP38" i="40"/>
  <c r="BP166" i="40" s="1"/>
  <c r="AW108" i="40"/>
  <c r="BP171" i="40"/>
  <c r="BP32" i="40"/>
  <c r="AW168" i="40"/>
  <c r="AW127" i="40"/>
  <c r="BI125" i="40"/>
  <c r="BI127" i="40" s="1"/>
  <c r="BP170" i="40"/>
  <c r="BP15" i="40"/>
  <c r="AW172" i="40"/>
  <c r="AW38" i="40"/>
  <c r="BI33" i="40"/>
  <c r="AW44" i="40"/>
  <c r="BI39" i="40"/>
  <c r="BI44" i="40" s="1"/>
  <c r="BI108" i="40"/>
  <c r="AW167" i="40"/>
  <c r="BP125" i="39"/>
  <c r="AW125" i="39"/>
  <c r="BQ130" i="39"/>
  <c r="BQ42" i="39"/>
  <c r="BQ131" i="39"/>
  <c r="BQ30" i="39"/>
  <c r="AW130" i="39"/>
  <c r="AW42" i="39"/>
  <c r="BI37" i="39"/>
  <c r="AW129" i="39"/>
  <c r="BI19" i="39"/>
  <c r="AW24" i="39"/>
  <c r="BP128" i="39"/>
  <c r="BP18" i="39"/>
  <c r="AW128" i="39"/>
  <c r="AW18" i="39"/>
  <c r="BI14" i="39"/>
  <c r="BP131" i="39"/>
  <c r="BP30" i="39"/>
  <c r="BI72" i="39"/>
  <c r="BQ128" i="39"/>
  <c r="BQ127" i="39" s="1"/>
  <c r="BQ18" i="39"/>
  <c r="BJ127" i="39"/>
  <c r="AQ127" i="39"/>
  <c r="BI36" i="39"/>
  <c r="AS127" i="39"/>
  <c r="AW100" i="39"/>
  <c r="AW124" i="39" s="1"/>
  <c r="BI94" i="39"/>
  <c r="BI100" i="39" s="1"/>
  <c r="AR127" i="39"/>
  <c r="AW126" i="39" s="1"/>
  <c r="AW79" i="39"/>
  <c r="BI73" i="39"/>
  <c r="BI79" i="39" s="1"/>
  <c r="BI137" i="39"/>
  <c r="BI13" i="39"/>
  <c r="AW131" i="39"/>
  <c r="BI25" i="39"/>
  <c r="AW30" i="39"/>
  <c r="AW36" i="39"/>
  <c r="BI59" i="39"/>
  <c r="BI65" i="39" s="1"/>
  <c r="AW65" i="39"/>
  <c r="BP130" i="39"/>
  <c r="BP42" i="39"/>
  <c r="BP136" i="39"/>
  <c r="BP44" i="39"/>
  <c r="BP124" i="39" s="1"/>
  <c r="BI125" i="39" s="1"/>
  <c r="AW136" i="39"/>
  <c r="AW44" i="39"/>
  <c r="BI43" i="39"/>
  <c r="BP24" i="39"/>
  <c r="AW134" i="39"/>
  <c r="BI17" i="39"/>
  <c r="BI134" i="39" s="1"/>
  <c r="BQ136" i="39"/>
  <c r="BQ44" i="39"/>
  <c r="BQ124" i="39" s="1"/>
  <c r="AW72" i="39"/>
  <c r="AW135" i="39"/>
  <c r="BQ139" i="41" l="1"/>
  <c r="AL21" i="47"/>
  <c r="AW140" i="41"/>
  <c r="BP141" i="41"/>
  <c r="BP139" i="41"/>
  <c r="AK21" i="47"/>
  <c r="BI107" i="32"/>
  <c r="BI295" i="32"/>
  <c r="BI52" i="32"/>
  <c r="AW293" i="32"/>
  <c r="BP293" i="32"/>
  <c r="BI294" i="32" s="1"/>
  <c r="BP296" i="32"/>
  <c r="BQ293" i="32"/>
  <c r="BI120" i="32"/>
  <c r="AW294" i="32"/>
  <c r="BI297" i="32"/>
  <c r="BI17" i="32"/>
  <c r="BI306" i="32"/>
  <c r="BI13" i="32"/>
  <c r="BI305" i="32"/>
  <c r="BI109" i="32"/>
  <c r="AW296" i="32"/>
  <c r="BI86" i="31"/>
  <c r="BI40" i="31"/>
  <c r="BI87" i="31"/>
  <c r="BI25" i="31"/>
  <c r="BI15" i="31"/>
  <c r="AW77" i="31"/>
  <c r="BI78" i="31"/>
  <c r="BQ77" i="31"/>
  <c r="BI76" i="31" s="1"/>
  <c r="BI81" i="31"/>
  <c r="BI48" i="31"/>
  <c r="BP75" i="31"/>
  <c r="AW75" i="31"/>
  <c r="BI113" i="30"/>
  <c r="BI17" i="30"/>
  <c r="BQ103" i="30"/>
  <c r="BI105" i="30"/>
  <c r="BI103" i="30" s="1"/>
  <c r="BI23" i="30"/>
  <c r="BI15" i="30"/>
  <c r="BP101" i="30"/>
  <c r="AW101" i="30"/>
  <c r="BP103" i="30"/>
  <c r="BI102" i="30" s="1"/>
  <c r="BI101" i="30"/>
  <c r="AW103" i="30"/>
  <c r="BP100" i="30"/>
  <c r="BI112" i="30"/>
  <c r="BI30" i="30"/>
  <c r="BI193" i="29"/>
  <c r="BQ195" i="29"/>
  <c r="BI196" i="29"/>
  <c r="BI17" i="29"/>
  <c r="BI192" i="29" s="1"/>
  <c r="BI204" i="29"/>
  <c r="BI140" i="29"/>
  <c r="BP195" i="29"/>
  <c r="BI194" i="29" s="1"/>
  <c r="BI199" i="29"/>
  <c r="AW195" i="29"/>
  <c r="BI197" i="29"/>
  <c r="BI202" i="29"/>
  <c r="BI200" i="42"/>
  <c r="BI212" i="42"/>
  <c r="BI46" i="42"/>
  <c r="BI204" i="42"/>
  <c r="BI52" i="42"/>
  <c r="BI206" i="42"/>
  <c r="BI64" i="42"/>
  <c r="BI211" i="42"/>
  <c r="BI78" i="42"/>
  <c r="BI199" i="42" s="1"/>
  <c r="BI203" i="42"/>
  <c r="BI202" i="42" s="1"/>
  <c r="BI21" i="42"/>
  <c r="AW202" i="42"/>
  <c r="BQ202" i="42"/>
  <c r="BI201" i="42" s="1"/>
  <c r="BI150" i="41"/>
  <c r="BI29" i="41"/>
  <c r="BQ138" i="41"/>
  <c r="BJ21" i="47" s="1"/>
  <c r="BQ141" i="41"/>
  <c r="BI140" i="41" s="1"/>
  <c r="BI145" i="41"/>
  <c r="AW138" i="41"/>
  <c r="AP21" i="47" s="1"/>
  <c r="BI142" i="41"/>
  <c r="BI16" i="41"/>
  <c r="BI143" i="41"/>
  <c r="BI21" i="41"/>
  <c r="BP138" i="41"/>
  <c r="AW141" i="41"/>
  <c r="BQ169" i="40"/>
  <c r="BP169" i="40"/>
  <c r="BI170" i="40"/>
  <c r="BI15" i="40"/>
  <c r="AW169" i="40"/>
  <c r="BI167" i="40"/>
  <c r="BI171" i="40"/>
  <c r="BI168" i="40"/>
  <c r="BI179" i="40"/>
  <c r="BI25" i="40"/>
  <c r="BI172" i="40"/>
  <c r="BI38" i="40"/>
  <c r="BI166" i="40" s="1"/>
  <c r="AW127" i="39"/>
  <c r="BI136" i="39"/>
  <c r="BI44" i="39"/>
  <c r="BI124" i="39" s="1"/>
  <c r="BP127" i="39"/>
  <c r="BI130" i="39"/>
  <c r="BI42" i="39"/>
  <c r="BI131" i="39"/>
  <c r="BI30" i="39"/>
  <c r="BI126" i="39"/>
  <c r="BI128" i="39"/>
  <c r="BI18" i="39"/>
  <c r="BI129" i="39"/>
  <c r="BI24" i="39"/>
  <c r="BI141" i="41" l="1"/>
  <c r="BI139" i="41"/>
  <c r="BI21" i="47"/>
  <c r="BI293" i="32"/>
  <c r="BI296" i="32"/>
  <c r="BI77" i="31"/>
  <c r="BI74" i="31"/>
  <c r="BI100" i="30"/>
  <c r="BI195" i="29"/>
  <c r="BI138" i="41"/>
  <c r="BB21" i="47" s="1"/>
  <c r="BI169" i="40"/>
  <c r="BI127" i="39"/>
  <c r="AT464" i="43" l="1"/>
  <c r="AT460" i="43"/>
  <c r="AT457" i="43"/>
  <c r="AT450" i="43"/>
  <c r="AT443" i="43"/>
  <c r="AT436" i="43"/>
  <c r="AT429" i="43"/>
  <c r="AT422" i="43"/>
  <c r="AT415" i="43"/>
  <c r="AT408" i="43"/>
  <c r="AT401" i="43"/>
  <c r="AT394" i="43"/>
  <c r="AT390" i="43"/>
  <c r="AT384" i="43"/>
  <c r="AT377" i="43"/>
  <c r="AT375" i="43"/>
  <c r="AT371" i="43"/>
  <c r="AT364" i="43"/>
  <c r="AT359" i="43"/>
  <c r="AT352" i="43"/>
  <c r="AT346" i="43"/>
  <c r="AT337" i="43"/>
  <c r="AT333" i="43"/>
  <c r="AT329" i="43"/>
  <c r="AT325" i="43"/>
  <c r="AT323" i="43"/>
  <c r="AT317" i="43"/>
  <c r="AT313" i="43"/>
  <c r="AT306" i="43"/>
  <c r="AT299" i="43"/>
  <c r="AT297" i="43"/>
  <c r="AT289" i="43"/>
  <c r="AT284" i="43"/>
  <c r="AT277" i="43"/>
  <c r="AT273" i="43"/>
  <c r="AT267" i="43"/>
  <c r="AT263" i="43"/>
  <c r="AT259" i="43"/>
  <c r="AT257" i="43"/>
  <c r="AT250" i="43"/>
  <c r="AT244" i="43"/>
  <c r="AT238" i="43"/>
  <c r="AT232" i="43"/>
  <c r="AT226" i="43"/>
  <c r="AT220" i="43"/>
  <c r="AT214" i="43"/>
  <c r="AT207" i="43"/>
  <c r="AT201" i="43"/>
  <c r="AT195" i="43"/>
  <c r="AT188" i="43"/>
  <c r="AT181" i="43"/>
  <c r="AT175" i="43"/>
  <c r="AT169" i="43"/>
  <c r="AT163" i="43"/>
  <c r="AT158" i="43"/>
  <c r="AT152" i="43"/>
  <c r="AT146" i="43"/>
  <c r="AT140" i="43"/>
  <c r="AT133" i="43"/>
  <c r="AT126" i="43"/>
  <c r="AT121" i="43"/>
  <c r="AT117" i="43"/>
  <c r="AT114" i="43"/>
  <c r="AT110" i="43"/>
  <c r="AT106" i="43"/>
  <c r="AT103" i="43"/>
  <c r="AT99" i="43"/>
  <c r="AT95" i="43"/>
  <c r="AT91" i="43"/>
  <c r="AT87" i="43"/>
  <c r="AT83" i="43"/>
  <c r="AT79" i="43"/>
  <c r="AT75" i="43"/>
  <c r="AT70" i="43"/>
  <c r="AT67" i="43"/>
  <c r="AT63" i="43"/>
  <c r="AT59" i="43"/>
  <c r="AT55" i="43"/>
  <c r="AT52" i="43"/>
  <c r="AT49" i="43"/>
  <c r="AT46" i="43"/>
  <c r="AT42" i="43"/>
  <c r="AT39" i="43"/>
  <c r="AT35" i="43"/>
  <c r="AT31" i="43"/>
  <c r="AT27" i="43"/>
  <c r="AT22" i="43"/>
  <c r="AT18" i="43"/>
  <c r="AT13" i="43"/>
  <c r="Y464" i="43" l="1"/>
  <c r="X464" i="43"/>
  <c r="Y460" i="43"/>
  <c r="X460" i="43"/>
  <c r="Y457" i="43"/>
  <c r="X457" i="43"/>
  <c r="Y450" i="43"/>
  <c r="X450" i="43"/>
  <c r="Y443" i="43"/>
  <c r="X443" i="43"/>
  <c r="Y436" i="43"/>
  <c r="X436" i="43"/>
  <c r="Y429" i="43"/>
  <c r="X429" i="43"/>
  <c r="Y422" i="43"/>
  <c r="X422" i="43"/>
  <c r="Y415" i="43"/>
  <c r="X415" i="43"/>
  <c r="Y408" i="43"/>
  <c r="X408" i="43"/>
  <c r="Y401" i="43"/>
  <c r="X401" i="43"/>
  <c r="Y394" i="43"/>
  <c r="X394" i="43"/>
  <c r="Y390" i="43"/>
  <c r="X390" i="43"/>
  <c r="Y384" i="43"/>
  <c r="X384" i="43"/>
  <c r="Y377" i="43"/>
  <c r="X377" i="43"/>
  <c r="Y375" i="43"/>
  <c r="X375" i="43"/>
  <c r="Y371" i="43"/>
  <c r="X371" i="43"/>
  <c r="Y364" i="43"/>
  <c r="X364" i="43"/>
  <c r="Y359" i="43"/>
  <c r="X359" i="43"/>
  <c r="Y352" i="43"/>
  <c r="X352" i="43"/>
  <c r="Y346" i="43"/>
  <c r="X346" i="43"/>
  <c r="Y337" i="43"/>
  <c r="X337" i="43"/>
  <c r="Y333" i="43"/>
  <c r="X333" i="43"/>
  <c r="Y329" i="43"/>
  <c r="X329" i="43"/>
  <c r="Y325" i="43"/>
  <c r="X325" i="43"/>
  <c r="Y323" i="43"/>
  <c r="X323" i="43"/>
  <c r="Y317" i="43"/>
  <c r="X317" i="43"/>
  <c r="Y313" i="43"/>
  <c r="X313" i="43"/>
  <c r="Y306" i="43"/>
  <c r="X306" i="43"/>
  <c r="Y299" i="43"/>
  <c r="X299" i="43"/>
  <c r="Y297" i="43"/>
  <c r="X297" i="43"/>
  <c r="Y289" i="43"/>
  <c r="X289" i="43"/>
  <c r="Y284" i="43"/>
  <c r="X284" i="43"/>
  <c r="Y277" i="43"/>
  <c r="X277" i="43"/>
  <c r="Y273" i="43"/>
  <c r="X273" i="43"/>
  <c r="Y267" i="43"/>
  <c r="X267" i="43"/>
  <c r="Y263" i="43"/>
  <c r="X263" i="43"/>
  <c r="Y259" i="43"/>
  <c r="X259" i="43"/>
  <c r="Y257" i="43"/>
  <c r="X257" i="43"/>
  <c r="Y250" i="43"/>
  <c r="X250" i="43"/>
  <c r="Y244" i="43"/>
  <c r="X244" i="43"/>
  <c r="Y238" i="43"/>
  <c r="X238" i="43"/>
  <c r="Y232" i="43"/>
  <c r="X232" i="43"/>
  <c r="Y226" i="43"/>
  <c r="X226" i="43"/>
  <c r="Y220" i="43"/>
  <c r="X220" i="43"/>
  <c r="Y214" i="43"/>
  <c r="X214" i="43"/>
  <c r="Y207" i="43"/>
  <c r="X207" i="43"/>
  <c r="Y201" i="43"/>
  <c r="X201" i="43"/>
  <c r="Y195" i="43"/>
  <c r="X195" i="43"/>
  <c r="Y188" i="43"/>
  <c r="X188" i="43"/>
  <c r="Y181" i="43"/>
  <c r="X181" i="43"/>
  <c r="Y175" i="43"/>
  <c r="X175" i="43"/>
  <c r="Y169" i="43"/>
  <c r="X169" i="43"/>
  <c r="Y163" i="43"/>
  <c r="X163" i="43"/>
  <c r="Y158" i="43"/>
  <c r="X158" i="43"/>
  <c r="Y152" i="43"/>
  <c r="X152" i="43"/>
  <c r="Y146" i="43"/>
  <c r="X146" i="43"/>
  <c r="Y140" i="43"/>
  <c r="X140" i="43"/>
  <c r="Y133" i="43"/>
  <c r="X133" i="43"/>
  <c r="Y126" i="43"/>
  <c r="X126" i="43"/>
  <c r="Y121" i="43"/>
  <c r="X121" i="43"/>
  <c r="Y117" i="43"/>
  <c r="X117" i="43"/>
  <c r="Y114" i="43"/>
  <c r="X114" i="43"/>
  <c r="Y110" i="43"/>
  <c r="X110" i="43"/>
  <c r="Y106" i="43"/>
  <c r="X106" i="43"/>
  <c r="Y103" i="43"/>
  <c r="X103" i="43"/>
  <c r="Y99" i="43"/>
  <c r="X99" i="43"/>
  <c r="Y95" i="43"/>
  <c r="X95" i="43"/>
  <c r="Y91" i="43"/>
  <c r="X91" i="43"/>
  <c r="Y87" i="43"/>
  <c r="X87" i="43"/>
  <c r="Y83" i="43"/>
  <c r="X83" i="43"/>
  <c r="Y79" i="43"/>
  <c r="X79" i="43"/>
  <c r="Y75" i="43"/>
  <c r="X75" i="43"/>
  <c r="Y70" i="43"/>
  <c r="X70" i="43"/>
  <c r="Y67" i="43"/>
  <c r="X67" i="43"/>
  <c r="Y63" i="43"/>
  <c r="X63" i="43"/>
  <c r="Y59" i="43"/>
  <c r="X59" i="43"/>
  <c r="Y55" i="43"/>
  <c r="X55" i="43"/>
  <c r="Y52" i="43"/>
  <c r="X52" i="43"/>
  <c r="Y49" i="43"/>
  <c r="X49" i="43"/>
  <c r="Y46" i="43"/>
  <c r="X46" i="43"/>
  <c r="Y42" i="43"/>
  <c r="X42" i="43"/>
  <c r="Y39" i="43"/>
  <c r="X39" i="43"/>
  <c r="Y35" i="43"/>
  <c r="X35" i="43"/>
  <c r="Y31" i="43"/>
  <c r="X31" i="43"/>
  <c r="Y27" i="43"/>
  <c r="X27" i="43"/>
  <c r="Y22" i="43"/>
  <c r="X22" i="43"/>
  <c r="Y18" i="43"/>
  <c r="X18" i="43"/>
  <c r="Y13" i="43"/>
  <c r="X13" i="43"/>
  <c r="X465" i="43" l="1"/>
  <c r="Q13" i="47" s="1"/>
  <c r="AZ392" i="43"/>
  <c r="BG81" i="43" l="1"/>
  <c r="BU81" i="43" s="1"/>
  <c r="BF81" i="43"/>
  <c r="BT81" i="43" s="1"/>
  <c r="AV81" i="43"/>
  <c r="BR81" i="43" s="1"/>
  <c r="AM81" i="43"/>
  <c r="BO81" i="43" s="1"/>
  <c r="AL81" i="43"/>
  <c r="BN81" i="43" s="1"/>
  <c r="W81" i="43"/>
  <c r="AE81" i="43" s="1"/>
  <c r="BL81" i="43" s="1"/>
  <c r="V81" i="43"/>
  <c r="AD81" i="43" s="1"/>
  <c r="BK81" i="43" s="1"/>
  <c r="BE128" i="44"/>
  <c r="BD128" i="44"/>
  <c r="BC128" i="44"/>
  <c r="BA128" i="44"/>
  <c r="AZ128" i="44"/>
  <c r="AY128" i="44"/>
  <c r="AX128" i="44"/>
  <c r="AT128" i="44"/>
  <c r="AK128" i="44"/>
  <c r="AJ128" i="44"/>
  <c r="AI128" i="44"/>
  <c r="AH128" i="44"/>
  <c r="AG128" i="44"/>
  <c r="AC128" i="44"/>
  <c r="AB128" i="44"/>
  <c r="Z128" i="44"/>
  <c r="Y128" i="44"/>
  <c r="X128" i="44"/>
  <c r="BE121" i="44"/>
  <c r="BD121" i="44"/>
  <c r="BC121" i="44"/>
  <c r="BA121" i="44"/>
  <c r="AZ121" i="44"/>
  <c r="AY121" i="44"/>
  <c r="AX121" i="44"/>
  <c r="AT121" i="44"/>
  <c r="AK121" i="44"/>
  <c r="AJ121" i="44"/>
  <c r="AI121" i="44"/>
  <c r="AH121" i="44"/>
  <c r="AG121" i="44"/>
  <c r="AC121" i="44"/>
  <c r="AB121" i="44"/>
  <c r="Z121" i="44"/>
  <c r="Y121" i="44"/>
  <c r="X121" i="44"/>
  <c r="BE112" i="44"/>
  <c r="BD112" i="44"/>
  <c r="BC112" i="44"/>
  <c r="BA112" i="44"/>
  <c r="AZ112" i="44"/>
  <c r="AY112" i="44"/>
  <c r="AX112" i="44"/>
  <c r="AT112" i="44"/>
  <c r="AK112" i="44"/>
  <c r="AJ112" i="44"/>
  <c r="AI112" i="44"/>
  <c r="AH112" i="44"/>
  <c r="AG112" i="44"/>
  <c r="AC112" i="44"/>
  <c r="AB112" i="44"/>
  <c r="Z112" i="44"/>
  <c r="Y112" i="44"/>
  <c r="X112" i="44"/>
  <c r="BE110" i="44"/>
  <c r="BD110" i="44"/>
  <c r="BC110" i="44"/>
  <c r="BA110" i="44"/>
  <c r="AZ110" i="44"/>
  <c r="AY110" i="44"/>
  <c r="AX110" i="44"/>
  <c r="AT110" i="44"/>
  <c r="AK110" i="44"/>
  <c r="AJ110" i="44"/>
  <c r="AI110" i="44"/>
  <c r="AH110" i="44"/>
  <c r="AG110" i="44"/>
  <c r="AC110" i="44"/>
  <c r="AB110" i="44"/>
  <c r="Z110" i="44"/>
  <c r="Y110" i="44"/>
  <c r="X110" i="44"/>
  <c r="BE104" i="44"/>
  <c r="BD104" i="44"/>
  <c r="BC104" i="44"/>
  <c r="BA104" i="44"/>
  <c r="AZ104" i="44"/>
  <c r="AY104" i="44"/>
  <c r="AX104" i="44"/>
  <c r="AT104" i="44"/>
  <c r="AK104" i="44"/>
  <c r="AJ104" i="44"/>
  <c r="AI104" i="44"/>
  <c r="AH104" i="44"/>
  <c r="AG104" i="44"/>
  <c r="AC104" i="44"/>
  <c r="AB104" i="44"/>
  <c r="Z104" i="44"/>
  <c r="Y104" i="44"/>
  <c r="X104" i="44"/>
  <c r="BE102" i="44"/>
  <c r="BD102" i="44"/>
  <c r="BC102" i="44"/>
  <c r="BA102" i="44"/>
  <c r="AZ102" i="44"/>
  <c r="AY102" i="44"/>
  <c r="AX102" i="44"/>
  <c r="AT102" i="44"/>
  <c r="AK102" i="44"/>
  <c r="AJ102" i="44"/>
  <c r="AI102" i="44"/>
  <c r="AH102" i="44"/>
  <c r="AG102" i="44"/>
  <c r="AC102" i="44"/>
  <c r="AB102" i="44"/>
  <c r="Z102" i="44"/>
  <c r="Y102" i="44"/>
  <c r="X102" i="44"/>
  <c r="BE98" i="44"/>
  <c r="BD98" i="44"/>
  <c r="BC98" i="44"/>
  <c r="BA98" i="44"/>
  <c r="AZ98" i="44"/>
  <c r="AY98" i="44"/>
  <c r="AX98" i="44"/>
  <c r="AT98" i="44"/>
  <c r="AK98" i="44"/>
  <c r="AJ98" i="44"/>
  <c r="AI98" i="44"/>
  <c r="AH98" i="44"/>
  <c r="AG98" i="44"/>
  <c r="AC98" i="44"/>
  <c r="AB98" i="44"/>
  <c r="Z98" i="44"/>
  <c r="Y98" i="44"/>
  <c r="X98" i="44"/>
  <c r="BE92" i="44"/>
  <c r="BD92" i="44"/>
  <c r="BC92" i="44"/>
  <c r="BA92" i="44"/>
  <c r="AZ92" i="44"/>
  <c r="AY92" i="44"/>
  <c r="AX92" i="44"/>
  <c r="AT92" i="44"/>
  <c r="AK92" i="44"/>
  <c r="AJ92" i="44"/>
  <c r="AI92" i="44"/>
  <c r="AH92" i="44"/>
  <c r="AG92" i="44"/>
  <c r="AC92" i="44"/>
  <c r="AB92" i="44"/>
  <c r="Z92" i="44"/>
  <c r="Y92" i="44"/>
  <c r="X92" i="44"/>
  <c r="BE88" i="44"/>
  <c r="BD88" i="44"/>
  <c r="BC88" i="44"/>
  <c r="BA88" i="44"/>
  <c r="AZ88" i="44"/>
  <c r="AY88" i="44"/>
  <c r="AX88" i="44"/>
  <c r="AT88" i="44"/>
  <c r="AK88" i="44"/>
  <c r="AJ88" i="44"/>
  <c r="AI88" i="44"/>
  <c r="AH88" i="44"/>
  <c r="AG88" i="44"/>
  <c r="AC88" i="44"/>
  <c r="AB88" i="44"/>
  <c r="Z88" i="44"/>
  <c r="Y88" i="44"/>
  <c r="X88" i="44"/>
  <c r="BE84" i="44"/>
  <c r="BD84" i="44"/>
  <c r="BC84" i="44"/>
  <c r="BA84" i="44"/>
  <c r="AZ84" i="44"/>
  <c r="AY84" i="44"/>
  <c r="AX84" i="44"/>
  <c r="AT84" i="44"/>
  <c r="AK84" i="44"/>
  <c r="AJ84" i="44"/>
  <c r="AI84" i="44"/>
  <c r="AH84" i="44"/>
  <c r="AG84" i="44"/>
  <c r="AC84" i="44"/>
  <c r="AB84" i="44"/>
  <c r="Z84" i="44"/>
  <c r="Y84" i="44"/>
  <c r="X84" i="44"/>
  <c r="BE77" i="44"/>
  <c r="BD77" i="44"/>
  <c r="BC77" i="44"/>
  <c r="BA77" i="44"/>
  <c r="AZ77" i="44"/>
  <c r="AY77" i="44"/>
  <c r="AX77" i="44"/>
  <c r="AT77" i="44"/>
  <c r="AK77" i="44"/>
  <c r="AJ77" i="44"/>
  <c r="AI77" i="44"/>
  <c r="AH77" i="44"/>
  <c r="AG77" i="44"/>
  <c r="AC77" i="44"/>
  <c r="AB77" i="44"/>
  <c r="Z77" i="44"/>
  <c r="Y77" i="44"/>
  <c r="X77" i="44"/>
  <c r="BE70" i="44"/>
  <c r="BD70" i="44"/>
  <c r="BC70" i="44"/>
  <c r="BA70" i="44"/>
  <c r="AZ70" i="44"/>
  <c r="AY70" i="44"/>
  <c r="AX70" i="44"/>
  <c r="AT70" i="44"/>
  <c r="AK70" i="44"/>
  <c r="AJ70" i="44"/>
  <c r="AI70" i="44"/>
  <c r="AH70" i="44"/>
  <c r="AG70" i="44"/>
  <c r="AC70" i="44"/>
  <c r="AB70" i="44"/>
  <c r="Z70" i="44"/>
  <c r="Y70" i="44"/>
  <c r="X70" i="44"/>
  <c r="BE63" i="44"/>
  <c r="BD63" i="44"/>
  <c r="BC63" i="44"/>
  <c r="BA63" i="44"/>
  <c r="AZ63" i="44"/>
  <c r="AY63" i="44"/>
  <c r="AX63" i="44"/>
  <c r="AT63" i="44"/>
  <c r="AK63" i="44"/>
  <c r="AJ63" i="44"/>
  <c r="AI63" i="44"/>
  <c r="AH63" i="44"/>
  <c r="AG63" i="44"/>
  <c r="AC63" i="44"/>
  <c r="AB63" i="44"/>
  <c r="Z63" i="44"/>
  <c r="Y63" i="44"/>
  <c r="X63" i="44"/>
  <c r="BE56" i="44"/>
  <c r="BD56" i="44"/>
  <c r="BC56" i="44"/>
  <c r="BA56" i="44"/>
  <c r="AZ56" i="44"/>
  <c r="AY56" i="44"/>
  <c r="AX56" i="44"/>
  <c r="AT56" i="44"/>
  <c r="AK56" i="44"/>
  <c r="AJ56" i="44"/>
  <c r="AI56" i="44"/>
  <c r="AH56" i="44"/>
  <c r="AG56" i="44"/>
  <c r="AC56" i="44"/>
  <c r="AB56" i="44"/>
  <c r="Z56" i="44"/>
  <c r="Y56" i="44"/>
  <c r="X56" i="44"/>
  <c r="BE49" i="44"/>
  <c r="BD49" i="44"/>
  <c r="BC49" i="44"/>
  <c r="BA49" i="44"/>
  <c r="AZ49" i="44"/>
  <c r="AY49" i="44"/>
  <c r="AX49" i="44"/>
  <c r="AT49" i="44"/>
  <c r="AK49" i="44"/>
  <c r="AJ49" i="44"/>
  <c r="AI49" i="44"/>
  <c r="AH49" i="44"/>
  <c r="AG49" i="44"/>
  <c r="AC49" i="44"/>
  <c r="AB49" i="44"/>
  <c r="Z49" i="44"/>
  <c r="Y49" i="44"/>
  <c r="X49" i="44"/>
  <c r="BE42" i="44"/>
  <c r="BD42" i="44"/>
  <c r="BC42" i="44"/>
  <c r="BA42" i="44"/>
  <c r="AZ42" i="44"/>
  <c r="AY42" i="44"/>
  <c r="AX42" i="44"/>
  <c r="AT42" i="44"/>
  <c r="AK42" i="44"/>
  <c r="AJ42" i="44"/>
  <c r="AI42" i="44"/>
  <c r="AH42" i="44"/>
  <c r="AG42" i="44"/>
  <c r="AC42" i="44"/>
  <c r="AB42" i="44"/>
  <c r="Z42" i="44"/>
  <c r="Y42" i="44"/>
  <c r="X42" i="44"/>
  <c r="BE35" i="44"/>
  <c r="BD35" i="44"/>
  <c r="BC35" i="44"/>
  <c r="BA35" i="44"/>
  <c r="AZ35" i="44"/>
  <c r="AY35" i="44"/>
  <c r="AX35" i="44"/>
  <c r="AT35" i="44"/>
  <c r="AK35" i="44"/>
  <c r="AJ35" i="44"/>
  <c r="AI35" i="44"/>
  <c r="AH35" i="44"/>
  <c r="AG35" i="44"/>
  <c r="AC35" i="44"/>
  <c r="AB35" i="44"/>
  <c r="Z35" i="44"/>
  <c r="Y35" i="44"/>
  <c r="X35" i="44"/>
  <c r="BE28" i="44"/>
  <c r="BD28" i="44"/>
  <c r="BC28" i="44"/>
  <c r="BA28" i="44"/>
  <c r="AZ28" i="44"/>
  <c r="AY28" i="44"/>
  <c r="AX28" i="44"/>
  <c r="AT28" i="44"/>
  <c r="AK28" i="44"/>
  <c r="AJ28" i="44"/>
  <c r="AI28" i="44"/>
  <c r="AH28" i="44"/>
  <c r="AG28" i="44"/>
  <c r="AC28" i="44"/>
  <c r="AB28" i="44"/>
  <c r="Z28" i="44"/>
  <c r="Y28" i="44"/>
  <c r="X28" i="44"/>
  <c r="BE19" i="44"/>
  <c r="BD19" i="44"/>
  <c r="BC19" i="44"/>
  <c r="BA19" i="44"/>
  <c r="AZ19" i="44"/>
  <c r="AY19" i="44"/>
  <c r="AX19" i="44"/>
  <c r="AT19" i="44"/>
  <c r="AK19" i="44"/>
  <c r="AJ19" i="44"/>
  <c r="AI19" i="44"/>
  <c r="AH19" i="44"/>
  <c r="AG19" i="44"/>
  <c r="AC19" i="44"/>
  <c r="AB19" i="44"/>
  <c r="Z19" i="44"/>
  <c r="Y19" i="44"/>
  <c r="X19" i="44"/>
  <c r="BE13" i="44"/>
  <c r="BD13" i="44"/>
  <c r="BC13" i="44"/>
  <c r="BA13" i="44"/>
  <c r="AZ13" i="44"/>
  <c r="AY13" i="44"/>
  <c r="AX13" i="44"/>
  <c r="AT13" i="44"/>
  <c r="AK13" i="44"/>
  <c r="AJ13" i="44"/>
  <c r="AI13" i="44"/>
  <c r="AH13" i="44"/>
  <c r="AG13" i="44"/>
  <c r="AC13" i="44"/>
  <c r="AB13" i="44"/>
  <c r="Z13" i="44"/>
  <c r="Y13" i="44"/>
  <c r="X13" i="44"/>
  <c r="BE464" i="43"/>
  <c r="BD464" i="43"/>
  <c r="BC464" i="43"/>
  <c r="BA464" i="43"/>
  <c r="AZ464" i="43"/>
  <c r="AY464" i="43"/>
  <c r="AX464" i="43"/>
  <c r="AK464" i="43"/>
  <c r="AJ464" i="43"/>
  <c r="AI464" i="43"/>
  <c r="AH464" i="43"/>
  <c r="AG464" i="43"/>
  <c r="AC464" i="43"/>
  <c r="AB464" i="43"/>
  <c r="Z464" i="43"/>
  <c r="BE460" i="43"/>
  <c r="BD460" i="43"/>
  <c r="BC460" i="43"/>
  <c r="BA460" i="43"/>
  <c r="AZ460" i="43"/>
  <c r="AY460" i="43"/>
  <c r="AX460" i="43"/>
  <c r="AK460" i="43"/>
  <c r="AJ460" i="43"/>
  <c r="AI460" i="43"/>
  <c r="AH460" i="43"/>
  <c r="AG460" i="43"/>
  <c r="AC460" i="43"/>
  <c r="AB460" i="43"/>
  <c r="Z460" i="43"/>
  <c r="BE457" i="43"/>
  <c r="BD457" i="43"/>
  <c r="BC457" i="43"/>
  <c r="BA457" i="43"/>
  <c r="AZ457" i="43"/>
  <c r="AY457" i="43"/>
  <c r="AX457" i="43"/>
  <c r="AK457" i="43"/>
  <c r="AJ457" i="43"/>
  <c r="AI457" i="43"/>
  <c r="AH457" i="43"/>
  <c r="AG457" i="43"/>
  <c r="AC457" i="43"/>
  <c r="AB457" i="43"/>
  <c r="Z457" i="43"/>
  <c r="BE450" i="43"/>
  <c r="BD450" i="43"/>
  <c r="BC450" i="43"/>
  <c r="BA450" i="43"/>
  <c r="AZ450" i="43"/>
  <c r="AY450" i="43"/>
  <c r="AX450" i="43"/>
  <c r="AK450" i="43"/>
  <c r="AJ450" i="43"/>
  <c r="AI450" i="43"/>
  <c r="AH450" i="43"/>
  <c r="AG450" i="43"/>
  <c r="AC450" i="43"/>
  <c r="AB450" i="43"/>
  <c r="Z450" i="43"/>
  <c r="BE443" i="43"/>
  <c r="BD443" i="43"/>
  <c r="BC443" i="43"/>
  <c r="BA443" i="43"/>
  <c r="AZ443" i="43"/>
  <c r="AY443" i="43"/>
  <c r="AX443" i="43"/>
  <c r="AK443" i="43"/>
  <c r="AJ443" i="43"/>
  <c r="AI443" i="43"/>
  <c r="AH443" i="43"/>
  <c r="AG443" i="43"/>
  <c r="AC443" i="43"/>
  <c r="AB443" i="43"/>
  <c r="Z443" i="43"/>
  <c r="BE436" i="43"/>
  <c r="BD436" i="43"/>
  <c r="BC436" i="43"/>
  <c r="BA436" i="43"/>
  <c r="AZ436" i="43"/>
  <c r="AY436" i="43"/>
  <c r="AX436" i="43"/>
  <c r="AK436" i="43"/>
  <c r="AJ436" i="43"/>
  <c r="AI436" i="43"/>
  <c r="AH436" i="43"/>
  <c r="AG436" i="43"/>
  <c r="AC436" i="43"/>
  <c r="AB436" i="43"/>
  <c r="Z436" i="43"/>
  <c r="BE429" i="43"/>
  <c r="BD429" i="43"/>
  <c r="BC429" i="43"/>
  <c r="BA429" i="43"/>
  <c r="AZ429" i="43"/>
  <c r="AY429" i="43"/>
  <c r="AX429" i="43"/>
  <c r="AK429" i="43"/>
  <c r="AJ429" i="43"/>
  <c r="AI429" i="43"/>
  <c r="AH429" i="43"/>
  <c r="AG429" i="43"/>
  <c r="AC429" i="43"/>
  <c r="AB429" i="43"/>
  <c r="Z429" i="43"/>
  <c r="BE422" i="43"/>
  <c r="BD422" i="43"/>
  <c r="BC422" i="43"/>
  <c r="BA422" i="43"/>
  <c r="AZ422" i="43"/>
  <c r="AY422" i="43"/>
  <c r="AX422" i="43"/>
  <c r="AK422" i="43"/>
  <c r="AJ422" i="43"/>
  <c r="AI422" i="43"/>
  <c r="AH422" i="43"/>
  <c r="AG422" i="43"/>
  <c r="AC422" i="43"/>
  <c r="AB422" i="43"/>
  <c r="Z422" i="43"/>
  <c r="BE415" i="43"/>
  <c r="BD415" i="43"/>
  <c r="BC415" i="43"/>
  <c r="BA415" i="43"/>
  <c r="AZ415" i="43"/>
  <c r="AY415" i="43"/>
  <c r="AX415" i="43"/>
  <c r="AK415" i="43"/>
  <c r="AJ415" i="43"/>
  <c r="AI415" i="43"/>
  <c r="AH415" i="43"/>
  <c r="AG415" i="43"/>
  <c r="AC415" i="43"/>
  <c r="AB415" i="43"/>
  <c r="Z415" i="43"/>
  <c r="BE408" i="43"/>
  <c r="BD408" i="43"/>
  <c r="BC408" i="43"/>
  <c r="BA408" i="43"/>
  <c r="AZ408" i="43"/>
  <c r="AY408" i="43"/>
  <c r="AX408" i="43"/>
  <c r="AK408" i="43"/>
  <c r="AJ408" i="43"/>
  <c r="AI408" i="43"/>
  <c r="AH408" i="43"/>
  <c r="AG408" i="43"/>
  <c r="AC408" i="43"/>
  <c r="AB408" i="43"/>
  <c r="Z408" i="43"/>
  <c r="BE401" i="43"/>
  <c r="BD401" i="43"/>
  <c r="BC401" i="43"/>
  <c r="BA401" i="43"/>
  <c r="AZ401" i="43"/>
  <c r="AY401" i="43"/>
  <c r="AX401" i="43"/>
  <c r="AK401" i="43"/>
  <c r="AJ401" i="43"/>
  <c r="AI401" i="43"/>
  <c r="AH401" i="43"/>
  <c r="AG401" i="43"/>
  <c r="AC401" i="43"/>
  <c r="AB401" i="43"/>
  <c r="Z401" i="43"/>
  <c r="BE394" i="43"/>
  <c r="BD394" i="43"/>
  <c r="BC394" i="43"/>
  <c r="BA394" i="43"/>
  <c r="AZ394" i="43"/>
  <c r="AY394" i="43"/>
  <c r="AX394" i="43"/>
  <c r="AK394" i="43"/>
  <c r="AJ394" i="43"/>
  <c r="AI394" i="43"/>
  <c r="AH394" i="43"/>
  <c r="AG394" i="43"/>
  <c r="AC394" i="43"/>
  <c r="AB394" i="43"/>
  <c r="Z394" i="43"/>
  <c r="BE390" i="43"/>
  <c r="BD390" i="43"/>
  <c r="BC390" i="43"/>
  <c r="BA390" i="43"/>
  <c r="AZ390" i="43"/>
  <c r="AY390" i="43"/>
  <c r="AX390" i="43"/>
  <c r="AK390" i="43"/>
  <c r="AJ390" i="43"/>
  <c r="AI390" i="43"/>
  <c r="AH390" i="43"/>
  <c r="AG390" i="43"/>
  <c r="AC390" i="43"/>
  <c r="AB390" i="43"/>
  <c r="Z390" i="43"/>
  <c r="BE384" i="43"/>
  <c r="BD384" i="43"/>
  <c r="BC384" i="43"/>
  <c r="BA384" i="43"/>
  <c r="AZ384" i="43"/>
  <c r="AY384" i="43"/>
  <c r="AX384" i="43"/>
  <c r="AK384" i="43"/>
  <c r="AJ384" i="43"/>
  <c r="AI384" i="43"/>
  <c r="AH384" i="43"/>
  <c r="AG384" i="43"/>
  <c r="AC384" i="43"/>
  <c r="AB384" i="43"/>
  <c r="Z384" i="43"/>
  <c r="BE377" i="43"/>
  <c r="BD377" i="43"/>
  <c r="BC377" i="43"/>
  <c r="BA377" i="43"/>
  <c r="AZ377" i="43"/>
  <c r="AY377" i="43"/>
  <c r="AX377" i="43"/>
  <c r="AK377" i="43"/>
  <c r="AJ377" i="43"/>
  <c r="AI377" i="43"/>
  <c r="AH377" i="43"/>
  <c r="AG377" i="43"/>
  <c r="AC377" i="43"/>
  <c r="AB377" i="43"/>
  <c r="Z377" i="43"/>
  <c r="BE375" i="43"/>
  <c r="BD375" i="43"/>
  <c r="BC375" i="43"/>
  <c r="BA375" i="43"/>
  <c r="AZ375" i="43"/>
  <c r="AY375" i="43"/>
  <c r="AX375" i="43"/>
  <c r="AK375" i="43"/>
  <c r="AJ375" i="43"/>
  <c r="AI375" i="43"/>
  <c r="AH375" i="43"/>
  <c r="AG375" i="43"/>
  <c r="AC375" i="43"/>
  <c r="AB375" i="43"/>
  <c r="Z375" i="43"/>
  <c r="BE371" i="43"/>
  <c r="BD371" i="43"/>
  <c r="BC371" i="43"/>
  <c r="BA371" i="43"/>
  <c r="AZ371" i="43"/>
  <c r="AY371" i="43"/>
  <c r="AX371" i="43"/>
  <c r="AK371" i="43"/>
  <c r="AJ371" i="43"/>
  <c r="AI371" i="43"/>
  <c r="AH371" i="43"/>
  <c r="AG371" i="43"/>
  <c r="AC371" i="43"/>
  <c r="AB371" i="43"/>
  <c r="Z371" i="43"/>
  <c r="BE364" i="43"/>
  <c r="BD364" i="43"/>
  <c r="BC364" i="43"/>
  <c r="BA364" i="43"/>
  <c r="AZ364" i="43"/>
  <c r="AY364" i="43"/>
  <c r="AX364" i="43"/>
  <c r="AK364" i="43"/>
  <c r="AJ364" i="43"/>
  <c r="AI364" i="43"/>
  <c r="AH364" i="43"/>
  <c r="AG364" i="43"/>
  <c r="AC364" i="43"/>
  <c r="AB364" i="43"/>
  <c r="Z364" i="43"/>
  <c r="BE359" i="43"/>
  <c r="BD359" i="43"/>
  <c r="BC359" i="43"/>
  <c r="BA359" i="43"/>
  <c r="AZ359" i="43"/>
  <c r="AY359" i="43"/>
  <c r="AX359" i="43"/>
  <c r="AK359" i="43"/>
  <c r="AJ359" i="43"/>
  <c r="AI359" i="43"/>
  <c r="AH359" i="43"/>
  <c r="AG359" i="43"/>
  <c r="AC359" i="43"/>
  <c r="AB359" i="43"/>
  <c r="Z359" i="43"/>
  <c r="BE352" i="43"/>
  <c r="BD352" i="43"/>
  <c r="BC352" i="43"/>
  <c r="BA352" i="43"/>
  <c r="AZ352" i="43"/>
  <c r="AY352" i="43"/>
  <c r="AX352" i="43"/>
  <c r="AK352" i="43"/>
  <c r="AJ352" i="43"/>
  <c r="AI352" i="43"/>
  <c r="AH352" i="43"/>
  <c r="AG352" i="43"/>
  <c r="AC352" i="43"/>
  <c r="AB352" i="43"/>
  <c r="Z352" i="43"/>
  <c r="BE346" i="43"/>
  <c r="BD346" i="43"/>
  <c r="BC346" i="43"/>
  <c r="BA346" i="43"/>
  <c r="AZ346" i="43"/>
  <c r="AY346" i="43"/>
  <c r="AX346" i="43"/>
  <c r="AK346" i="43"/>
  <c r="AJ346" i="43"/>
  <c r="AI346" i="43"/>
  <c r="AH346" i="43"/>
  <c r="AG346" i="43"/>
  <c r="AC346" i="43"/>
  <c r="AB346" i="43"/>
  <c r="Z346" i="43"/>
  <c r="BE337" i="43"/>
  <c r="BD337" i="43"/>
  <c r="BC337" i="43"/>
  <c r="BA337" i="43"/>
  <c r="AZ337" i="43"/>
  <c r="AY337" i="43"/>
  <c r="AX337" i="43"/>
  <c r="AK337" i="43"/>
  <c r="AJ337" i="43"/>
  <c r="AI337" i="43"/>
  <c r="AH337" i="43"/>
  <c r="AG337" i="43"/>
  <c r="AC337" i="43"/>
  <c r="AB337" i="43"/>
  <c r="Z337" i="43"/>
  <c r="BE333" i="43"/>
  <c r="BD333" i="43"/>
  <c r="BC333" i="43"/>
  <c r="BA333" i="43"/>
  <c r="AZ333" i="43"/>
  <c r="AY333" i="43"/>
  <c r="AX333" i="43"/>
  <c r="AK333" i="43"/>
  <c r="AJ333" i="43"/>
  <c r="AI333" i="43"/>
  <c r="AH333" i="43"/>
  <c r="AG333" i="43"/>
  <c r="AC333" i="43"/>
  <c r="AB333" i="43"/>
  <c r="Z333" i="43"/>
  <c r="BE329" i="43"/>
  <c r="BD329" i="43"/>
  <c r="BC329" i="43"/>
  <c r="BA329" i="43"/>
  <c r="AZ329" i="43"/>
  <c r="AY329" i="43"/>
  <c r="AX329" i="43"/>
  <c r="AK329" i="43"/>
  <c r="AJ329" i="43"/>
  <c r="AI329" i="43"/>
  <c r="AH329" i="43"/>
  <c r="AG329" i="43"/>
  <c r="AC329" i="43"/>
  <c r="AB329" i="43"/>
  <c r="Z329" i="43"/>
  <c r="BE325" i="43"/>
  <c r="BD325" i="43"/>
  <c r="BC325" i="43"/>
  <c r="BA325" i="43"/>
  <c r="AZ325" i="43"/>
  <c r="AY325" i="43"/>
  <c r="AX325" i="43"/>
  <c r="AK325" i="43"/>
  <c r="AJ325" i="43"/>
  <c r="AI325" i="43"/>
  <c r="AH325" i="43"/>
  <c r="AG325" i="43"/>
  <c r="AC325" i="43"/>
  <c r="AB325" i="43"/>
  <c r="Z325" i="43"/>
  <c r="BE323" i="43"/>
  <c r="BD323" i="43"/>
  <c r="BC323" i="43"/>
  <c r="BA323" i="43"/>
  <c r="AZ323" i="43"/>
  <c r="AY323" i="43"/>
  <c r="AX323" i="43"/>
  <c r="AK323" i="43"/>
  <c r="AJ323" i="43"/>
  <c r="AI323" i="43"/>
  <c r="AH323" i="43"/>
  <c r="AG323" i="43"/>
  <c r="AC323" i="43"/>
  <c r="AB323" i="43"/>
  <c r="Z323" i="43"/>
  <c r="BE317" i="43"/>
  <c r="BD317" i="43"/>
  <c r="BC317" i="43"/>
  <c r="BA317" i="43"/>
  <c r="AZ317" i="43"/>
  <c r="AY317" i="43"/>
  <c r="AX317" i="43"/>
  <c r="AK317" i="43"/>
  <c r="AJ317" i="43"/>
  <c r="AI317" i="43"/>
  <c r="AH317" i="43"/>
  <c r="AG317" i="43"/>
  <c r="AC317" i="43"/>
  <c r="AB317" i="43"/>
  <c r="Z317" i="43"/>
  <c r="BE313" i="43"/>
  <c r="BD313" i="43"/>
  <c r="BC313" i="43"/>
  <c r="BA313" i="43"/>
  <c r="AZ313" i="43"/>
  <c r="AY313" i="43"/>
  <c r="AX313" i="43"/>
  <c r="AK313" i="43"/>
  <c r="AJ313" i="43"/>
  <c r="AI313" i="43"/>
  <c r="AH313" i="43"/>
  <c r="AG313" i="43"/>
  <c r="AC313" i="43"/>
  <c r="AB313" i="43"/>
  <c r="Z313" i="43"/>
  <c r="BE306" i="43"/>
  <c r="BD306" i="43"/>
  <c r="BC306" i="43"/>
  <c r="BA306" i="43"/>
  <c r="AZ306" i="43"/>
  <c r="AY306" i="43"/>
  <c r="AX306" i="43"/>
  <c r="AK306" i="43"/>
  <c r="AJ306" i="43"/>
  <c r="AI306" i="43"/>
  <c r="AH306" i="43"/>
  <c r="AG306" i="43"/>
  <c r="AC306" i="43"/>
  <c r="AB306" i="43"/>
  <c r="Z306" i="43"/>
  <c r="BE299" i="43"/>
  <c r="BD299" i="43"/>
  <c r="BC299" i="43"/>
  <c r="BA299" i="43"/>
  <c r="AZ299" i="43"/>
  <c r="AY299" i="43"/>
  <c r="AX299" i="43"/>
  <c r="AK299" i="43"/>
  <c r="AJ299" i="43"/>
  <c r="AI299" i="43"/>
  <c r="AH299" i="43"/>
  <c r="AG299" i="43"/>
  <c r="AC299" i="43"/>
  <c r="AB299" i="43"/>
  <c r="Z299" i="43"/>
  <c r="BE297" i="43"/>
  <c r="BD297" i="43"/>
  <c r="BC297" i="43"/>
  <c r="BA297" i="43"/>
  <c r="AZ297" i="43"/>
  <c r="AY297" i="43"/>
  <c r="AX297" i="43"/>
  <c r="AK297" i="43"/>
  <c r="AJ297" i="43"/>
  <c r="AI297" i="43"/>
  <c r="AH297" i="43"/>
  <c r="AG297" i="43"/>
  <c r="AC297" i="43"/>
  <c r="AB297" i="43"/>
  <c r="Z297" i="43"/>
  <c r="BE289" i="43"/>
  <c r="BD289" i="43"/>
  <c r="BC289" i="43"/>
  <c r="BA289" i="43"/>
  <c r="AZ289" i="43"/>
  <c r="AY289" i="43"/>
  <c r="AX289" i="43"/>
  <c r="AK289" i="43"/>
  <c r="AJ289" i="43"/>
  <c r="AI289" i="43"/>
  <c r="AH289" i="43"/>
  <c r="AG289" i="43"/>
  <c r="AC289" i="43"/>
  <c r="AB289" i="43"/>
  <c r="Z289" i="43"/>
  <c r="BE284" i="43"/>
  <c r="BD284" i="43"/>
  <c r="BC284" i="43"/>
  <c r="BA284" i="43"/>
  <c r="AZ284" i="43"/>
  <c r="AY284" i="43"/>
  <c r="AX284" i="43"/>
  <c r="AK284" i="43"/>
  <c r="AJ284" i="43"/>
  <c r="AI284" i="43"/>
  <c r="AH284" i="43"/>
  <c r="AG284" i="43"/>
  <c r="AC284" i="43"/>
  <c r="AB284" i="43"/>
  <c r="Z284" i="43"/>
  <c r="BE277" i="43"/>
  <c r="BD277" i="43"/>
  <c r="BC277" i="43"/>
  <c r="BA277" i="43"/>
  <c r="AZ277" i="43"/>
  <c r="AY277" i="43"/>
  <c r="AX277" i="43"/>
  <c r="AK277" i="43"/>
  <c r="AJ277" i="43"/>
  <c r="AI277" i="43"/>
  <c r="AH277" i="43"/>
  <c r="AG277" i="43"/>
  <c r="AC277" i="43"/>
  <c r="AB277" i="43"/>
  <c r="Z277" i="43"/>
  <c r="BE273" i="43"/>
  <c r="BD273" i="43"/>
  <c r="BC273" i="43"/>
  <c r="BA273" i="43"/>
  <c r="AZ273" i="43"/>
  <c r="AY273" i="43"/>
  <c r="AX273" i="43"/>
  <c r="AK273" i="43"/>
  <c r="AJ273" i="43"/>
  <c r="AI273" i="43"/>
  <c r="AH273" i="43"/>
  <c r="AG273" i="43"/>
  <c r="AC273" i="43"/>
  <c r="AB273" i="43"/>
  <c r="Z273" i="43"/>
  <c r="BE267" i="43"/>
  <c r="BD267" i="43"/>
  <c r="BC267" i="43"/>
  <c r="BA267" i="43"/>
  <c r="AZ267" i="43"/>
  <c r="AY267" i="43"/>
  <c r="AX267" i="43"/>
  <c r="AK267" i="43"/>
  <c r="AJ267" i="43"/>
  <c r="AI267" i="43"/>
  <c r="AH267" i="43"/>
  <c r="AG267" i="43"/>
  <c r="AC267" i="43"/>
  <c r="AB267" i="43"/>
  <c r="Z267" i="43"/>
  <c r="BE263" i="43"/>
  <c r="BD263" i="43"/>
  <c r="BC263" i="43"/>
  <c r="BA263" i="43"/>
  <c r="AZ263" i="43"/>
  <c r="AY263" i="43"/>
  <c r="AX263" i="43"/>
  <c r="AK263" i="43"/>
  <c r="AJ263" i="43"/>
  <c r="AI263" i="43"/>
  <c r="AH263" i="43"/>
  <c r="AG263" i="43"/>
  <c r="AC263" i="43"/>
  <c r="AB263" i="43"/>
  <c r="Z263" i="43"/>
  <c r="BE259" i="43"/>
  <c r="BD259" i="43"/>
  <c r="BC259" i="43"/>
  <c r="BA259" i="43"/>
  <c r="AZ259" i="43"/>
  <c r="AY259" i="43"/>
  <c r="AX259" i="43"/>
  <c r="AK259" i="43"/>
  <c r="AJ259" i="43"/>
  <c r="AI259" i="43"/>
  <c r="AH259" i="43"/>
  <c r="AG259" i="43"/>
  <c r="AC259" i="43"/>
  <c r="AB259" i="43"/>
  <c r="Z259" i="43"/>
  <c r="BE257" i="43"/>
  <c r="BD257" i="43"/>
  <c r="BC257" i="43"/>
  <c r="BA257" i="43"/>
  <c r="AZ257" i="43"/>
  <c r="AY257" i="43"/>
  <c r="AX257" i="43"/>
  <c r="AK257" i="43"/>
  <c r="AJ257" i="43"/>
  <c r="AI257" i="43"/>
  <c r="AH257" i="43"/>
  <c r="AG257" i="43"/>
  <c r="AC257" i="43"/>
  <c r="AB257" i="43"/>
  <c r="Z257" i="43"/>
  <c r="BE250" i="43"/>
  <c r="BD250" i="43"/>
  <c r="BC250" i="43"/>
  <c r="BA250" i="43"/>
  <c r="AZ250" i="43"/>
  <c r="AY250" i="43"/>
  <c r="AX250" i="43"/>
  <c r="AK250" i="43"/>
  <c r="AJ250" i="43"/>
  <c r="AI250" i="43"/>
  <c r="AH250" i="43"/>
  <c r="AG250" i="43"/>
  <c r="AC250" i="43"/>
  <c r="AB250" i="43"/>
  <c r="Z250" i="43"/>
  <c r="BE244" i="43"/>
  <c r="BD244" i="43"/>
  <c r="BC244" i="43"/>
  <c r="BA244" i="43"/>
  <c r="AZ244" i="43"/>
  <c r="AY244" i="43"/>
  <c r="AX244" i="43"/>
  <c r="AK244" i="43"/>
  <c r="AJ244" i="43"/>
  <c r="AI244" i="43"/>
  <c r="AH244" i="43"/>
  <c r="AG244" i="43"/>
  <c r="AC244" i="43"/>
  <c r="AB244" i="43"/>
  <c r="Z244" i="43"/>
  <c r="BE238" i="43"/>
  <c r="BD238" i="43"/>
  <c r="BC238" i="43"/>
  <c r="BA238" i="43"/>
  <c r="AZ238" i="43"/>
  <c r="AY238" i="43"/>
  <c r="AX238" i="43"/>
  <c r="AK238" i="43"/>
  <c r="AJ238" i="43"/>
  <c r="AI238" i="43"/>
  <c r="AH238" i="43"/>
  <c r="AG238" i="43"/>
  <c r="AC238" i="43"/>
  <c r="AB238" i="43"/>
  <c r="Z238" i="43"/>
  <c r="BE232" i="43"/>
  <c r="BD232" i="43"/>
  <c r="BC232" i="43"/>
  <c r="BA232" i="43"/>
  <c r="AZ232" i="43"/>
  <c r="AY232" i="43"/>
  <c r="AX232" i="43"/>
  <c r="AK232" i="43"/>
  <c r="AJ232" i="43"/>
  <c r="AI232" i="43"/>
  <c r="AH232" i="43"/>
  <c r="AG232" i="43"/>
  <c r="AC232" i="43"/>
  <c r="AB232" i="43"/>
  <c r="Z232" i="43"/>
  <c r="BE226" i="43"/>
  <c r="BD226" i="43"/>
  <c r="BC226" i="43"/>
  <c r="BA226" i="43"/>
  <c r="AZ226" i="43"/>
  <c r="AY226" i="43"/>
  <c r="AX226" i="43"/>
  <c r="AK226" i="43"/>
  <c r="AJ226" i="43"/>
  <c r="AI226" i="43"/>
  <c r="AH226" i="43"/>
  <c r="AG226" i="43"/>
  <c r="AC226" i="43"/>
  <c r="AB226" i="43"/>
  <c r="Z226" i="43"/>
  <c r="BE220" i="43"/>
  <c r="BD220" i="43"/>
  <c r="BC220" i="43"/>
  <c r="BA220" i="43"/>
  <c r="AZ220" i="43"/>
  <c r="AY220" i="43"/>
  <c r="AX220" i="43"/>
  <c r="AK220" i="43"/>
  <c r="AJ220" i="43"/>
  <c r="AI220" i="43"/>
  <c r="AH220" i="43"/>
  <c r="AG220" i="43"/>
  <c r="AC220" i="43"/>
  <c r="AB220" i="43"/>
  <c r="Z220" i="43"/>
  <c r="BE214" i="43"/>
  <c r="BD214" i="43"/>
  <c r="BC214" i="43"/>
  <c r="BA214" i="43"/>
  <c r="AZ214" i="43"/>
  <c r="AY214" i="43"/>
  <c r="AX214" i="43"/>
  <c r="AK214" i="43"/>
  <c r="AJ214" i="43"/>
  <c r="AI214" i="43"/>
  <c r="AH214" i="43"/>
  <c r="AG214" i="43"/>
  <c r="AC214" i="43"/>
  <c r="AB214" i="43"/>
  <c r="Z214" i="43"/>
  <c r="BE207" i="43"/>
  <c r="BD207" i="43"/>
  <c r="BC207" i="43"/>
  <c r="BA207" i="43"/>
  <c r="AZ207" i="43"/>
  <c r="AY207" i="43"/>
  <c r="AX207" i="43"/>
  <c r="AK207" i="43"/>
  <c r="AJ207" i="43"/>
  <c r="AI207" i="43"/>
  <c r="AH207" i="43"/>
  <c r="AG207" i="43"/>
  <c r="AC207" i="43"/>
  <c r="AB207" i="43"/>
  <c r="Z207" i="43"/>
  <c r="BE201" i="43"/>
  <c r="BD201" i="43"/>
  <c r="BC201" i="43"/>
  <c r="BA201" i="43"/>
  <c r="AZ201" i="43"/>
  <c r="AY201" i="43"/>
  <c r="AX201" i="43"/>
  <c r="AK201" i="43"/>
  <c r="AJ201" i="43"/>
  <c r="AI201" i="43"/>
  <c r="AH201" i="43"/>
  <c r="AG201" i="43"/>
  <c r="AC201" i="43"/>
  <c r="AB201" i="43"/>
  <c r="Z201" i="43"/>
  <c r="BE195" i="43"/>
  <c r="BD195" i="43"/>
  <c r="BC195" i="43"/>
  <c r="BA195" i="43"/>
  <c r="AZ195" i="43"/>
  <c r="AY195" i="43"/>
  <c r="AX195" i="43"/>
  <c r="AK195" i="43"/>
  <c r="AJ195" i="43"/>
  <c r="AI195" i="43"/>
  <c r="AH195" i="43"/>
  <c r="AG195" i="43"/>
  <c r="AC195" i="43"/>
  <c r="AB195" i="43"/>
  <c r="Z195" i="43"/>
  <c r="BE188" i="43"/>
  <c r="BD188" i="43"/>
  <c r="BC188" i="43"/>
  <c r="BA188" i="43"/>
  <c r="AZ188" i="43"/>
  <c r="AY188" i="43"/>
  <c r="AX188" i="43"/>
  <c r="AK188" i="43"/>
  <c r="AJ188" i="43"/>
  <c r="AI188" i="43"/>
  <c r="AH188" i="43"/>
  <c r="AG188" i="43"/>
  <c r="AC188" i="43"/>
  <c r="AB188" i="43"/>
  <c r="Z188" i="43"/>
  <c r="BE181" i="43"/>
  <c r="BD181" i="43"/>
  <c r="BC181" i="43"/>
  <c r="BA181" i="43"/>
  <c r="AZ181" i="43"/>
  <c r="AY181" i="43"/>
  <c r="AX181" i="43"/>
  <c r="AK181" i="43"/>
  <c r="AJ181" i="43"/>
  <c r="AI181" i="43"/>
  <c r="AH181" i="43"/>
  <c r="AG181" i="43"/>
  <c r="AC181" i="43"/>
  <c r="AB181" i="43"/>
  <c r="Z181" i="43"/>
  <c r="BE175" i="43"/>
  <c r="BD175" i="43"/>
  <c r="BC175" i="43"/>
  <c r="BA175" i="43"/>
  <c r="AZ175" i="43"/>
  <c r="AY175" i="43"/>
  <c r="AX175" i="43"/>
  <c r="AK175" i="43"/>
  <c r="AJ175" i="43"/>
  <c r="AI175" i="43"/>
  <c r="AH175" i="43"/>
  <c r="AG175" i="43"/>
  <c r="AC175" i="43"/>
  <c r="AB175" i="43"/>
  <c r="Z175" i="43"/>
  <c r="BE169" i="43"/>
  <c r="BD169" i="43"/>
  <c r="BC169" i="43"/>
  <c r="BA169" i="43"/>
  <c r="AZ169" i="43"/>
  <c r="AY169" i="43"/>
  <c r="AX169" i="43"/>
  <c r="AK169" i="43"/>
  <c r="AJ169" i="43"/>
  <c r="AI169" i="43"/>
  <c r="AH169" i="43"/>
  <c r="AG169" i="43"/>
  <c r="AC169" i="43"/>
  <c r="AB169" i="43"/>
  <c r="Z169" i="43"/>
  <c r="BE163" i="43"/>
  <c r="BD163" i="43"/>
  <c r="BC163" i="43"/>
  <c r="BA163" i="43"/>
  <c r="AZ163" i="43"/>
  <c r="AY163" i="43"/>
  <c r="AX163" i="43"/>
  <c r="AK163" i="43"/>
  <c r="AJ163" i="43"/>
  <c r="AI163" i="43"/>
  <c r="AH163" i="43"/>
  <c r="AG163" i="43"/>
  <c r="AC163" i="43"/>
  <c r="AB163" i="43"/>
  <c r="Z163" i="43"/>
  <c r="BE158" i="43"/>
  <c r="BD158" i="43"/>
  <c r="BC158" i="43"/>
  <c r="BA158" i="43"/>
  <c r="AZ158" i="43"/>
  <c r="AY158" i="43"/>
  <c r="AX158" i="43"/>
  <c r="AK158" i="43"/>
  <c r="AJ158" i="43"/>
  <c r="AI158" i="43"/>
  <c r="AH158" i="43"/>
  <c r="AG158" i="43"/>
  <c r="AC158" i="43"/>
  <c r="AB158" i="43"/>
  <c r="Z158" i="43"/>
  <c r="BE152" i="43"/>
  <c r="BD152" i="43"/>
  <c r="BC152" i="43"/>
  <c r="BA152" i="43"/>
  <c r="AZ152" i="43"/>
  <c r="AY152" i="43"/>
  <c r="AX152" i="43"/>
  <c r="AK152" i="43"/>
  <c r="AJ152" i="43"/>
  <c r="AI152" i="43"/>
  <c r="AH152" i="43"/>
  <c r="AG152" i="43"/>
  <c r="AC152" i="43"/>
  <c r="AB152" i="43"/>
  <c r="Z152" i="43"/>
  <c r="BE146" i="43"/>
  <c r="BD146" i="43"/>
  <c r="BC146" i="43"/>
  <c r="BA146" i="43"/>
  <c r="AZ146" i="43"/>
  <c r="AY146" i="43"/>
  <c r="AX146" i="43"/>
  <c r="AK146" i="43"/>
  <c r="AJ146" i="43"/>
  <c r="AI146" i="43"/>
  <c r="AH146" i="43"/>
  <c r="AG146" i="43"/>
  <c r="AC146" i="43"/>
  <c r="AB146" i="43"/>
  <c r="Z146" i="43"/>
  <c r="BE140" i="43"/>
  <c r="BD140" i="43"/>
  <c r="BC140" i="43"/>
  <c r="BA140" i="43"/>
  <c r="AZ140" i="43"/>
  <c r="AY140" i="43"/>
  <c r="AX140" i="43"/>
  <c r="AK140" i="43"/>
  <c r="AJ140" i="43"/>
  <c r="AI140" i="43"/>
  <c r="AH140" i="43"/>
  <c r="AG140" i="43"/>
  <c r="AC140" i="43"/>
  <c r="AB140" i="43"/>
  <c r="Z140" i="43"/>
  <c r="BE133" i="43"/>
  <c r="BD133" i="43"/>
  <c r="BC133" i="43"/>
  <c r="BA133" i="43"/>
  <c r="AZ133" i="43"/>
  <c r="AY133" i="43"/>
  <c r="AX133" i="43"/>
  <c r="AK133" i="43"/>
  <c r="AJ133" i="43"/>
  <c r="AI133" i="43"/>
  <c r="AH133" i="43"/>
  <c r="AG133" i="43"/>
  <c r="AC133" i="43"/>
  <c r="AB133" i="43"/>
  <c r="Z133" i="43"/>
  <c r="BE126" i="43"/>
  <c r="BD126" i="43"/>
  <c r="BC126" i="43"/>
  <c r="BA126" i="43"/>
  <c r="AZ126" i="43"/>
  <c r="AY126" i="43"/>
  <c r="AX126" i="43"/>
  <c r="AK126" i="43"/>
  <c r="AJ126" i="43"/>
  <c r="AI126" i="43"/>
  <c r="AH126" i="43"/>
  <c r="AG126" i="43"/>
  <c r="AC126" i="43"/>
  <c r="AB126" i="43"/>
  <c r="Z126" i="43"/>
  <c r="BE121" i="43"/>
  <c r="BD121" i="43"/>
  <c r="BC121" i="43"/>
  <c r="BA121" i="43"/>
  <c r="AZ121" i="43"/>
  <c r="AY121" i="43"/>
  <c r="AX121" i="43"/>
  <c r="AK121" i="43"/>
  <c r="AJ121" i="43"/>
  <c r="AI121" i="43"/>
  <c r="AH121" i="43"/>
  <c r="AG121" i="43"/>
  <c r="AC121" i="43"/>
  <c r="AB121" i="43"/>
  <c r="Z121" i="43"/>
  <c r="BE117" i="43"/>
  <c r="BD117" i="43"/>
  <c r="BC117" i="43"/>
  <c r="BA117" i="43"/>
  <c r="AZ117" i="43"/>
  <c r="AY117" i="43"/>
  <c r="AX117" i="43"/>
  <c r="AK117" i="43"/>
  <c r="AJ117" i="43"/>
  <c r="AI117" i="43"/>
  <c r="AH117" i="43"/>
  <c r="AG117" i="43"/>
  <c r="AC117" i="43"/>
  <c r="AB117" i="43"/>
  <c r="Z117" i="43"/>
  <c r="BE114" i="43"/>
  <c r="BD114" i="43"/>
  <c r="BC114" i="43"/>
  <c r="BA114" i="43"/>
  <c r="AZ114" i="43"/>
  <c r="AY114" i="43"/>
  <c r="AX114" i="43"/>
  <c r="AK114" i="43"/>
  <c r="AJ114" i="43"/>
  <c r="AI114" i="43"/>
  <c r="AH114" i="43"/>
  <c r="AG114" i="43"/>
  <c r="AC114" i="43"/>
  <c r="AB114" i="43"/>
  <c r="Z114" i="43"/>
  <c r="BE110" i="43"/>
  <c r="BD110" i="43"/>
  <c r="BC110" i="43"/>
  <c r="BA110" i="43"/>
  <c r="AZ110" i="43"/>
  <c r="AY110" i="43"/>
  <c r="AX110" i="43"/>
  <c r="AK110" i="43"/>
  <c r="AJ110" i="43"/>
  <c r="AI110" i="43"/>
  <c r="AH110" i="43"/>
  <c r="AG110" i="43"/>
  <c r="AC110" i="43"/>
  <c r="AB110" i="43"/>
  <c r="Z110" i="43"/>
  <c r="BE106" i="43"/>
  <c r="BD106" i="43"/>
  <c r="BC106" i="43"/>
  <c r="BA106" i="43"/>
  <c r="AZ106" i="43"/>
  <c r="AY106" i="43"/>
  <c r="AX106" i="43"/>
  <c r="AK106" i="43"/>
  <c r="AJ106" i="43"/>
  <c r="AI106" i="43"/>
  <c r="AH106" i="43"/>
  <c r="AG106" i="43"/>
  <c r="AC106" i="43"/>
  <c r="AB106" i="43"/>
  <c r="Z106" i="43"/>
  <c r="BE103" i="43"/>
  <c r="BD103" i="43"/>
  <c r="BC103" i="43"/>
  <c r="BA103" i="43"/>
  <c r="AZ103" i="43"/>
  <c r="AY103" i="43"/>
  <c r="AX103" i="43"/>
  <c r="AK103" i="43"/>
  <c r="AJ103" i="43"/>
  <c r="AI103" i="43"/>
  <c r="AH103" i="43"/>
  <c r="AG103" i="43"/>
  <c r="AC103" i="43"/>
  <c r="AB103" i="43"/>
  <c r="Z103" i="43"/>
  <c r="BE99" i="43"/>
  <c r="BD99" i="43"/>
  <c r="BC99" i="43"/>
  <c r="BA99" i="43"/>
  <c r="AZ99" i="43"/>
  <c r="AY99" i="43"/>
  <c r="AX99" i="43"/>
  <c r="AK99" i="43"/>
  <c r="AJ99" i="43"/>
  <c r="AI99" i="43"/>
  <c r="AH99" i="43"/>
  <c r="AG99" i="43"/>
  <c r="AC99" i="43"/>
  <c r="AB99" i="43"/>
  <c r="Z99" i="43"/>
  <c r="BE95" i="43"/>
  <c r="BD95" i="43"/>
  <c r="BC95" i="43"/>
  <c r="BA95" i="43"/>
  <c r="AZ95" i="43"/>
  <c r="AY95" i="43"/>
  <c r="AX95" i="43"/>
  <c r="AK95" i="43"/>
  <c r="AJ95" i="43"/>
  <c r="AI95" i="43"/>
  <c r="AH95" i="43"/>
  <c r="AG95" i="43"/>
  <c r="AC95" i="43"/>
  <c r="AB95" i="43"/>
  <c r="Z95" i="43"/>
  <c r="BE91" i="43"/>
  <c r="BD91" i="43"/>
  <c r="BC91" i="43"/>
  <c r="BA91" i="43"/>
  <c r="AZ91" i="43"/>
  <c r="AY91" i="43"/>
  <c r="AX91" i="43"/>
  <c r="AK91" i="43"/>
  <c r="AJ91" i="43"/>
  <c r="AI91" i="43"/>
  <c r="AH91" i="43"/>
  <c r="AG91" i="43"/>
  <c r="AC91" i="43"/>
  <c r="AB91" i="43"/>
  <c r="Z91" i="43"/>
  <c r="BE87" i="43"/>
  <c r="BD87" i="43"/>
  <c r="BC87" i="43"/>
  <c r="BA87" i="43"/>
  <c r="AZ87" i="43"/>
  <c r="AY87" i="43"/>
  <c r="AX87" i="43"/>
  <c r="AK87" i="43"/>
  <c r="AJ87" i="43"/>
  <c r="AI87" i="43"/>
  <c r="AH87" i="43"/>
  <c r="AG87" i="43"/>
  <c r="AC87" i="43"/>
  <c r="AB87" i="43"/>
  <c r="Z87" i="43"/>
  <c r="BE83" i="43"/>
  <c r="BD83" i="43"/>
  <c r="BC83" i="43"/>
  <c r="BA83" i="43"/>
  <c r="AZ83" i="43"/>
  <c r="AY83" i="43"/>
  <c r="AX83" i="43"/>
  <c r="AK83" i="43"/>
  <c r="AJ83" i="43"/>
  <c r="AI83" i="43"/>
  <c r="AH83" i="43"/>
  <c r="AG83" i="43"/>
  <c r="AC83" i="43"/>
  <c r="AB83" i="43"/>
  <c r="Z83" i="43"/>
  <c r="BE79" i="43"/>
  <c r="BD79" i="43"/>
  <c r="BC79" i="43"/>
  <c r="BA79" i="43"/>
  <c r="AZ79" i="43"/>
  <c r="AY79" i="43"/>
  <c r="AX79" i="43"/>
  <c r="AK79" i="43"/>
  <c r="AJ79" i="43"/>
  <c r="AI79" i="43"/>
  <c r="AH79" i="43"/>
  <c r="AG79" i="43"/>
  <c r="AC79" i="43"/>
  <c r="AB79" i="43"/>
  <c r="Z79" i="43"/>
  <c r="BE75" i="43"/>
  <c r="BD75" i="43"/>
  <c r="BC75" i="43"/>
  <c r="BA75" i="43"/>
  <c r="AZ75" i="43"/>
  <c r="AY75" i="43"/>
  <c r="AX75" i="43"/>
  <c r="AK75" i="43"/>
  <c r="AJ75" i="43"/>
  <c r="AI75" i="43"/>
  <c r="AH75" i="43"/>
  <c r="AG75" i="43"/>
  <c r="AC75" i="43"/>
  <c r="AB75" i="43"/>
  <c r="Z75" i="43"/>
  <c r="BE70" i="43"/>
  <c r="BD70" i="43"/>
  <c r="BC70" i="43"/>
  <c r="BA70" i="43"/>
  <c r="AZ70" i="43"/>
  <c r="AY70" i="43"/>
  <c r="AX70" i="43"/>
  <c r="AK70" i="43"/>
  <c r="AJ70" i="43"/>
  <c r="AI70" i="43"/>
  <c r="AH70" i="43"/>
  <c r="AG70" i="43"/>
  <c r="AC70" i="43"/>
  <c r="AB70" i="43"/>
  <c r="Z70" i="43"/>
  <c r="BE67" i="43"/>
  <c r="BD67" i="43"/>
  <c r="BC67" i="43"/>
  <c r="BA67" i="43"/>
  <c r="AZ67" i="43"/>
  <c r="AY67" i="43"/>
  <c r="AX67" i="43"/>
  <c r="AK67" i="43"/>
  <c r="AJ67" i="43"/>
  <c r="AI67" i="43"/>
  <c r="AH67" i="43"/>
  <c r="AG67" i="43"/>
  <c r="AC67" i="43"/>
  <c r="AB67" i="43"/>
  <c r="Z67" i="43"/>
  <c r="BE63" i="43"/>
  <c r="BD63" i="43"/>
  <c r="BC63" i="43"/>
  <c r="BA63" i="43"/>
  <c r="AZ63" i="43"/>
  <c r="AY63" i="43"/>
  <c r="AX63" i="43"/>
  <c r="AK63" i="43"/>
  <c r="AJ63" i="43"/>
  <c r="AI63" i="43"/>
  <c r="AH63" i="43"/>
  <c r="AG63" i="43"/>
  <c r="AC63" i="43"/>
  <c r="AB63" i="43"/>
  <c r="Z63" i="43"/>
  <c r="BE59" i="43"/>
  <c r="BD59" i="43"/>
  <c r="BC59" i="43"/>
  <c r="BA59" i="43"/>
  <c r="AZ59" i="43"/>
  <c r="AY59" i="43"/>
  <c r="AX59" i="43"/>
  <c r="AK59" i="43"/>
  <c r="AJ59" i="43"/>
  <c r="AI59" i="43"/>
  <c r="AH59" i="43"/>
  <c r="AG59" i="43"/>
  <c r="AC59" i="43"/>
  <c r="AB59" i="43"/>
  <c r="Z59" i="43"/>
  <c r="BE55" i="43"/>
  <c r="BD55" i="43"/>
  <c r="BC55" i="43"/>
  <c r="BA55" i="43"/>
  <c r="AZ55" i="43"/>
  <c r="AY55" i="43"/>
  <c r="AX55" i="43"/>
  <c r="AK55" i="43"/>
  <c r="AJ55" i="43"/>
  <c r="AI55" i="43"/>
  <c r="AH55" i="43"/>
  <c r="AG55" i="43"/>
  <c r="AC55" i="43"/>
  <c r="AB55" i="43"/>
  <c r="Z55" i="43"/>
  <c r="BE52" i="43"/>
  <c r="BD52" i="43"/>
  <c r="BC52" i="43"/>
  <c r="BA52" i="43"/>
  <c r="AZ52" i="43"/>
  <c r="AY52" i="43"/>
  <c r="AX52" i="43"/>
  <c r="AK52" i="43"/>
  <c r="AJ52" i="43"/>
  <c r="AI52" i="43"/>
  <c r="AH52" i="43"/>
  <c r="AG52" i="43"/>
  <c r="AC52" i="43"/>
  <c r="AB52" i="43"/>
  <c r="Z52" i="43"/>
  <c r="BE49" i="43"/>
  <c r="BD49" i="43"/>
  <c r="BC49" i="43"/>
  <c r="BA49" i="43"/>
  <c r="AZ49" i="43"/>
  <c r="AY49" i="43"/>
  <c r="AX49" i="43"/>
  <c r="AK49" i="43"/>
  <c r="AJ49" i="43"/>
  <c r="AI49" i="43"/>
  <c r="AH49" i="43"/>
  <c r="AG49" i="43"/>
  <c r="AC49" i="43"/>
  <c r="AB49" i="43"/>
  <c r="Z49" i="43"/>
  <c r="BE46" i="43"/>
  <c r="BD46" i="43"/>
  <c r="BC46" i="43"/>
  <c r="BA46" i="43"/>
  <c r="AZ46" i="43"/>
  <c r="AY46" i="43"/>
  <c r="AX46" i="43"/>
  <c r="AK46" i="43"/>
  <c r="AJ46" i="43"/>
  <c r="AI46" i="43"/>
  <c r="AH46" i="43"/>
  <c r="AG46" i="43"/>
  <c r="AC46" i="43"/>
  <c r="AB46" i="43"/>
  <c r="Z46" i="43"/>
  <c r="BE42" i="43"/>
  <c r="BD42" i="43"/>
  <c r="BC42" i="43"/>
  <c r="BA42" i="43"/>
  <c r="AZ42" i="43"/>
  <c r="AY42" i="43"/>
  <c r="AX42" i="43"/>
  <c r="AK42" i="43"/>
  <c r="AJ42" i="43"/>
  <c r="AI42" i="43"/>
  <c r="AH42" i="43"/>
  <c r="AG42" i="43"/>
  <c r="AC42" i="43"/>
  <c r="AB42" i="43"/>
  <c r="Z42" i="43"/>
  <c r="BE39" i="43"/>
  <c r="BD39" i="43"/>
  <c r="BC39" i="43"/>
  <c r="BA39" i="43"/>
  <c r="AZ39" i="43"/>
  <c r="AY39" i="43"/>
  <c r="AX39" i="43"/>
  <c r="AK39" i="43"/>
  <c r="AJ39" i="43"/>
  <c r="AI39" i="43"/>
  <c r="AH39" i="43"/>
  <c r="AG39" i="43"/>
  <c r="AC39" i="43"/>
  <c r="AB39" i="43"/>
  <c r="Z39" i="43"/>
  <c r="BE35" i="43"/>
  <c r="BD35" i="43"/>
  <c r="BC35" i="43"/>
  <c r="BA35" i="43"/>
  <c r="AZ35" i="43"/>
  <c r="AY35" i="43"/>
  <c r="AX35" i="43"/>
  <c r="AK35" i="43"/>
  <c r="AJ35" i="43"/>
  <c r="AI35" i="43"/>
  <c r="AH35" i="43"/>
  <c r="AG35" i="43"/>
  <c r="AC35" i="43"/>
  <c r="AB35" i="43"/>
  <c r="Z35" i="43"/>
  <c r="BE31" i="43"/>
  <c r="BD31" i="43"/>
  <c r="BC31" i="43"/>
  <c r="BA31" i="43"/>
  <c r="AZ31" i="43"/>
  <c r="AY31" i="43"/>
  <c r="AX31" i="43"/>
  <c r="AK31" i="43"/>
  <c r="AJ31" i="43"/>
  <c r="AI31" i="43"/>
  <c r="AH31" i="43"/>
  <c r="AG31" i="43"/>
  <c r="AC31" i="43"/>
  <c r="AB31" i="43"/>
  <c r="Z31" i="43"/>
  <c r="BE27" i="43"/>
  <c r="BD27" i="43"/>
  <c r="BC27" i="43"/>
  <c r="BA27" i="43"/>
  <c r="AZ27" i="43"/>
  <c r="AY27" i="43"/>
  <c r="AX27" i="43"/>
  <c r="AK27" i="43"/>
  <c r="AJ27" i="43"/>
  <c r="AI27" i="43"/>
  <c r="AH27" i="43"/>
  <c r="AG27" i="43"/>
  <c r="AC27" i="43"/>
  <c r="AB27" i="43"/>
  <c r="Z27" i="43"/>
  <c r="BE22" i="43"/>
  <c r="BD22" i="43"/>
  <c r="BC22" i="43"/>
  <c r="BA22" i="43"/>
  <c r="AZ22" i="43"/>
  <c r="AY22" i="43"/>
  <c r="AX22" i="43"/>
  <c r="AK22" i="43"/>
  <c r="AJ22" i="43"/>
  <c r="AI22" i="43"/>
  <c r="AH22" i="43"/>
  <c r="AG22" i="43"/>
  <c r="AC22" i="43"/>
  <c r="AB22" i="43"/>
  <c r="Z22" i="43"/>
  <c r="BE18" i="43"/>
  <c r="BD18" i="43"/>
  <c r="BC18" i="43"/>
  <c r="BA18" i="43"/>
  <c r="AZ18" i="43"/>
  <c r="AY18" i="43"/>
  <c r="AX18" i="43"/>
  <c r="AK18" i="43"/>
  <c r="AJ18" i="43"/>
  <c r="AI18" i="43"/>
  <c r="AH18" i="43"/>
  <c r="AG18" i="43"/>
  <c r="AC18" i="43"/>
  <c r="AB18" i="43"/>
  <c r="Z18" i="43"/>
  <c r="BE13" i="43"/>
  <c r="BD13" i="43"/>
  <c r="BC13" i="43"/>
  <c r="BA13" i="43"/>
  <c r="AZ13" i="43"/>
  <c r="AY13" i="43"/>
  <c r="AX13" i="43"/>
  <c r="AK13" i="43"/>
  <c r="AJ13" i="43"/>
  <c r="AI13" i="43"/>
  <c r="AH13" i="43"/>
  <c r="AG13" i="43"/>
  <c r="AC13" i="43"/>
  <c r="AB13" i="43"/>
  <c r="Z13" i="43"/>
  <c r="BG127" i="44"/>
  <c r="BF127" i="44"/>
  <c r="AV127" i="44"/>
  <c r="AM127" i="44"/>
  <c r="AL127" i="44"/>
  <c r="W127" i="44"/>
  <c r="AE127" i="44" s="1"/>
  <c r="V127" i="44"/>
  <c r="AD127" i="44" s="1"/>
  <c r="BG126" i="44"/>
  <c r="BF126" i="44"/>
  <c r="AV126" i="44"/>
  <c r="AM126" i="44"/>
  <c r="AL126" i="44"/>
  <c r="W126" i="44"/>
  <c r="AE126" i="44" s="1"/>
  <c r="V126" i="44"/>
  <c r="AD126" i="44" s="1"/>
  <c r="BG125" i="44"/>
  <c r="BF125" i="44"/>
  <c r="AV125" i="44"/>
  <c r="AM125" i="44"/>
  <c r="AL125" i="44"/>
  <c r="W125" i="44"/>
  <c r="AE125" i="44" s="1"/>
  <c r="V125" i="44"/>
  <c r="AD125" i="44" s="1"/>
  <c r="BG124" i="44"/>
  <c r="BF124" i="44"/>
  <c r="AV124" i="44"/>
  <c r="AM124" i="44"/>
  <c r="AL124" i="44"/>
  <c r="W124" i="44"/>
  <c r="AE124" i="44" s="1"/>
  <c r="V124" i="44"/>
  <c r="AD124" i="44" s="1"/>
  <c r="BG123" i="44"/>
  <c r="BF123" i="44"/>
  <c r="AV123" i="44"/>
  <c r="AM123" i="44"/>
  <c r="AL123" i="44"/>
  <c r="W123" i="44"/>
  <c r="AE123" i="44" s="1"/>
  <c r="V123" i="44"/>
  <c r="AD123" i="44" s="1"/>
  <c r="BG122" i="44"/>
  <c r="BF122" i="44"/>
  <c r="AV122" i="44"/>
  <c r="AM122" i="44"/>
  <c r="AL122" i="44"/>
  <c r="W122" i="44"/>
  <c r="V122" i="44"/>
  <c r="AD122" i="44" s="1"/>
  <c r="BG120" i="44"/>
  <c r="BF120" i="44"/>
  <c r="AV120" i="44"/>
  <c r="AM120" i="44"/>
  <c r="AL120" i="44"/>
  <c r="W120" i="44"/>
  <c r="AE120" i="44" s="1"/>
  <c r="V120" i="44"/>
  <c r="AD120" i="44" s="1"/>
  <c r="BG119" i="44"/>
  <c r="BF119" i="44"/>
  <c r="AV119" i="44"/>
  <c r="AM119" i="44"/>
  <c r="AL119" i="44"/>
  <c r="W119" i="44"/>
  <c r="AE119" i="44" s="1"/>
  <c r="V119" i="44"/>
  <c r="AD119" i="44" s="1"/>
  <c r="BG118" i="44"/>
  <c r="BF118" i="44"/>
  <c r="AV118" i="44"/>
  <c r="AM118" i="44"/>
  <c r="AL118" i="44"/>
  <c r="W118" i="44"/>
  <c r="AE118" i="44" s="1"/>
  <c r="V118" i="44"/>
  <c r="AD118" i="44" s="1"/>
  <c r="BG117" i="44"/>
  <c r="BF117" i="44"/>
  <c r="AV117" i="44"/>
  <c r="AM117" i="44"/>
  <c r="AL117" i="44"/>
  <c r="W117" i="44"/>
  <c r="AE117" i="44" s="1"/>
  <c r="V117" i="44"/>
  <c r="AD117" i="44" s="1"/>
  <c r="BG116" i="44"/>
  <c r="BF116" i="44"/>
  <c r="AV116" i="44"/>
  <c r="AM116" i="44"/>
  <c r="AL116" i="44"/>
  <c r="W116" i="44"/>
  <c r="AE116" i="44" s="1"/>
  <c r="V116" i="44"/>
  <c r="AD116" i="44" s="1"/>
  <c r="BG115" i="44"/>
  <c r="BF115" i="44"/>
  <c r="AV115" i="44"/>
  <c r="AM115" i="44"/>
  <c r="AL115" i="44"/>
  <c r="W115" i="44"/>
  <c r="AE115" i="44" s="1"/>
  <c r="V115" i="44"/>
  <c r="AD115" i="44" s="1"/>
  <c r="BG114" i="44"/>
  <c r="BF114" i="44"/>
  <c r="AV114" i="44"/>
  <c r="AM114" i="44"/>
  <c r="AL114" i="44"/>
  <c r="W114" i="44"/>
  <c r="AE114" i="44" s="1"/>
  <c r="V114" i="44"/>
  <c r="AD114" i="44" s="1"/>
  <c r="BG113" i="44"/>
  <c r="BF113" i="44"/>
  <c r="AV113" i="44"/>
  <c r="AM113" i="44"/>
  <c r="AL113" i="44"/>
  <c r="W113" i="44"/>
  <c r="AE113" i="44" s="1"/>
  <c r="V113" i="44"/>
  <c r="BG111" i="44"/>
  <c r="BG112" i="44" s="1"/>
  <c r="BF111" i="44"/>
  <c r="AV111" i="44"/>
  <c r="AV112" i="44" s="1"/>
  <c r="AM111" i="44"/>
  <c r="AM112" i="44" s="1"/>
  <c r="AL111" i="44"/>
  <c r="AL112" i="44" s="1"/>
  <c r="W111" i="44"/>
  <c r="W112" i="44" s="1"/>
  <c r="V111" i="44"/>
  <c r="AD111" i="44" s="1"/>
  <c r="AD112" i="44" s="1"/>
  <c r="BG109" i="44"/>
  <c r="BF109" i="44"/>
  <c r="AV109" i="44"/>
  <c r="AM109" i="44"/>
  <c r="AL109" i="44"/>
  <c r="W109" i="44"/>
  <c r="AE109" i="44" s="1"/>
  <c r="V109" i="44"/>
  <c r="AD109" i="44" s="1"/>
  <c r="BG108" i="44"/>
  <c r="BF108" i="44"/>
  <c r="AV108" i="44"/>
  <c r="AM108" i="44"/>
  <c r="AL108" i="44"/>
  <c r="W108" i="44"/>
  <c r="AE108" i="44" s="1"/>
  <c r="V108" i="44"/>
  <c r="AD108" i="44" s="1"/>
  <c r="BG107" i="44"/>
  <c r="BF107" i="44"/>
  <c r="AV107" i="44"/>
  <c r="AM107" i="44"/>
  <c r="AL107" i="44"/>
  <c r="W107" i="44"/>
  <c r="AE107" i="44" s="1"/>
  <c r="V107" i="44"/>
  <c r="BG106" i="44"/>
  <c r="BF106" i="44"/>
  <c r="AV106" i="44"/>
  <c r="AM106" i="44"/>
  <c r="AL106" i="44"/>
  <c r="W106" i="44"/>
  <c r="AE106" i="44" s="1"/>
  <c r="V106" i="44"/>
  <c r="AD106" i="44" s="1"/>
  <c r="BG105" i="44"/>
  <c r="BF105" i="44"/>
  <c r="AV105" i="44"/>
  <c r="AM105" i="44"/>
  <c r="AL105" i="44"/>
  <c r="W105" i="44"/>
  <c r="AE105" i="44" s="1"/>
  <c r="V105" i="44"/>
  <c r="AD105" i="44" s="1"/>
  <c r="BG103" i="44"/>
  <c r="BG104" i="44" s="1"/>
  <c r="BF103" i="44"/>
  <c r="BF104" i="44" s="1"/>
  <c r="AV103" i="44"/>
  <c r="AV104" i="44" s="1"/>
  <c r="AM103" i="44"/>
  <c r="AM104" i="44" s="1"/>
  <c r="AL103" i="44"/>
  <c r="AL104" i="44" s="1"/>
  <c r="W103" i="44"/>
  <c r="W104" i="44" s="1"/>
  <c r="V103" i="44"/>
  <c r="AD103" i="44" s="1"/>
  <c r="AD104" i="44" s="1"/>
  <c r="BG101" i="44"/>
  <c r="BF101" i="44"/>
  <c r="AV101" i="44"/>
  <c r="AM101" i="44"/>
  <c r="AL101" i="44"/>
  <c r="W101" i="44"/>
  <c r="AE101" i="44" s="1"/>
  <c r="V101" i="44"/>
  <c r="AD101" i="44" s="1"/>
  <c r="BG100" i="44"/>
  <c r="BF100" i="44"/>
  <c r="AV100" i="44"/>
  <c r="AM100" i="44"/>
  <c r="AL100" i="44"/>
  <c r="W100" i="44"/>
  <c r="AE100" i="44" s="1"/>
  <c r="V100" i="44"/>
  <c r="AD100" i="44" s="1"/>
  <c r="BG99" i="44"/>
  <c r="BF99" i="44"/>
  <c r="AV99" i="44"/>
  <c r="AM99" i="44"/>
  <c r="AL99" i="44"/>
  <c r="W99" i="44"/>
  <c r="AE99" i="44" s="1"/>
  <c r="V99" i="44"/>
  <c r="AD99" i="44" s="1"/>
  <c r="BG97" i="44"/>
  <c r="BF97" i="44"/>
  <c r="AV97" i="44"/>
  <c r="AM97" i="44"/>
  <c r="AL97" i="44"/>
  <c r="W97" i="44"/>
  <c r="AE97" i="44" s="1"/>
  <c r="V97" i="44"/>
  <c r="AD97" i="44" s="1"/>
  <c r="BG96" i="44"/>
  <c r="BF96" i="44"/>
  <c r="AV96" i="44"/>
  <c r="AM96" i="44"/>
  <c r="AL96" i="44"/>
  <c r="W96" i="44"/>
  <c r="AE96" i="44" s="1"/>
  <c r="V96" i="44"/>
  <c r="AD96" i="44" s="1"/>
  <c r="BG95" i="44"/>
  <c r="BF95" i="44"/>
  <c r="AV95" i="44"/>
  <c r="AM95" i="44"/>
  <c r="AL95" i="44"/>
  <c r="W95" i="44"/>
  <c r="AE95" i="44" s="1"/>
  <c r="V95" i="44"/>
  <c r="AD95" i="44" s="1"/>
  <c r="BG94" i="44"/>
  <c r="BF94" i="44"/>
  <c r="AV94" i="44"/>
  <c r="AM94" i="44"/>
  <c r="AL94" i="44"/>
  <c r="W94" i="44"/>
  <c r="AE94" i="44" s="1"/>
  <c r="V94" i="44"/>
  <c r="AD94" i="44" s="1"/>
  <c r="BG93" i="44"/>
  <c r="BF93" i="44"/>
  <c r="AV93" i="44"/>
  <c r="AM93" i="44"/>
  <c r="AL93" i="44"/>
  <c r="W93" i="44"/>
  <c r="V93" i="44"/>
  <c r="AD93" i="44" s="1"/>
  <c r="BG91" i="44"/>
  <c r="BF91" i="44"/>
  <c r="AV91" i="44"/>
  <c r="AM91" i="44"/>
  <c r="AL91" i="44"/>
  <c r="W91" i="44"/>
  <c r="AE91" i="44" s="1"/>
  <c r="V91" i="44"/>
  <c r="AD91" i="44" s="1"/>
  <c r="BG90" i="44"/>
  <c r="BF90" i="44"/>
  <c r="AV90" i="44"/>
  <c r="AM90" i="44"/>
  <c r="AL90" i="44"/>
  <c r="W90" i="44"/>
  <c r="AE90" i="44" s="1"/>
  <c r="V90" i="44"/>
  <c r="AD90" i="44" s="1"/>
  <c r="BG89" i="44"/>
  <c r="BF89" i="44"/>
  <c r="AV89" i="44"/>
  <c r="AM89" i="44"/>
  <c r="AL89" i="44"/>
  <c r="W89" i="44"/>
  <c r="AE89" i="44" s="1"/>
  <c r="V89" i="44"/>
  <c r="AD89" i="44" s="1"/>
  <c r="BG87" i="44"/>
  <c r="BF87" i="44"/>
  <c r="AV87" i="44"/>
  <c r="AM87" i="44"/>
  <c r="AL87" i="44"/>
  <c r="W87" i="44"/>
  <c r="AE87" i="44" s="1"/>
  <c r="V87" i="44"/>
  <c r="AD87" i="44" s="1"/>
  <c r="BG86" i="44"/>
  <c r="BF86" i="44"/>
  <c r="AV86" i="44"/>
  <c r="AM86" i="44"/>
  <c r="AL86" i="44"/>
  <c r="W86" i="44"/>
  <c r="AE86" i="44" s="1"/>
  <c r="V86" i="44"/>
  <c r="AD86" i="44" s="1"/>
  <c r="BG85" i="44"/>
  <c r="BF85" i="44"/>
  <c r="AV85" i="44"/>
  <c r="AM85" i="44"/>
  <c r="AL85" i="44"/>
  <c r="W85" i="44"/>
  <c r="AE85" i="44" s="1"/>
  <c r="V85" i="44"/>
  <c r="AD85" i="44" s="1"/>
  <c r="BG83" i="44"/>
  <c r="BF83" i="44"/>
  <c r="AV83" i="44"/>
  <c r="AM83" i="44"/>
  <c r="AL83" i="44"/>
  <c r="W83" i="44"/>
  <c r="AE83" i="44" s="1"/>
  <c r="V83" i="44"/>
  <c r="AD83" i="44" s="1"/>
  <c r="BG82" i="44"/>
  <c r="BF82" i="44"/>
  <c r="AV82" i="44"/>
  <c r="AM82" i="44"/>
  <c r="AL82" i="44"/>
  <c r="W82" i="44"/>
  <c r="AE82" i="44" s="1"/>
  <c r="V82" i="44"/>
  <c r="AD82" i="44" s="1"/>
  <c r="BG81" i="44"/>
  <c r="BF81" i="44"/>
  <c r="AV81" i="44"/>
  <c r="AM81" i="44"/>
  <c r="AL81" i="44"/>
  <c r="W81" i="44"/>
  <c r="AE81" i="44" s="1"/>
  <c r="V81" i="44"/>
  <c r="AD81" i="44" s="1"/>
  <c r="BG80" i="44"/>
  <c r="BF80" i="44"/>
  <c r="AV80" i="44"/>
  <c r="AM80" i="44"/>
  <c r="AL80" i="44"/>
  <c r="W80" i="44"/>
  <c r="AE80" i="44" s="1"/>
  <c r="V80" i="44"/>
  <c r="AD80" i="44" s="1"/>
  <c r="BG79" i="44"/>
  <c r="BF79" i="44"/>
  <c r="AV79" i="44"/>
  <c r="AM79" i="44"/>
  <c r="AL79" i="44"/>
  <c r="W79" i="44"/>
  <c r="AE79" i="44" s="1"/>
  <c r="V79" i="44"/>
  <c r="AD79" i="44" s="1"/>
  <c r="BG78" i="44"/>
  <c r="BF78" i="44"/>
  <c r="AV78" i="44"/>
  <c r="AM78" i="44"/>
  <c r="AL78" i="44"/>
  <c r="W78" i="44"/>
  <c r="V78" i="44"/>
  <c r="AD78" i="44" s="1"/>
  <c r="BG76" i="44"/>
  <c r="BF76" i="44"/>
  <c r="AV76" i="44"/>
  <c r="AM76" i="44"/>
  <c r="AL76" i="44"/>
  <c r="W76" i="44"/>
  <c r="AE76" i="44" s="1"/>
  <c r="V76" i="44"/>
  <c r="AD76" i="44" s="1"/>
  <c r="BG75" i="44"/>
  <c r="BF75" i="44"/>
  <c r="AV75" i="44"/>
  <c r="AM75" i="44"/>
  <c r="AL75" i="44"/>
  <c r="W75" i="44"/>
  <c r="AE75" i="44" s="1"/>
  <c r="V75" i="44"/>
  <c r="AD75" i="44" s="1"/>
  <c r="BG74" i="44"/>
  <c r="BF74" i="44"/>
  <c r="AV74" i="44"/>
  <c r="AM74" i="44"/>
  <c r="AL74" i="44"/>
  <c r="W74" i="44"/>
  <c r="AE74" i="44" s="1"/>
  <c r="V74" i="44"/>
  <c r="AD74" i="44" s="1"/>
  <c r="BG73" i="44"/>
  <c r="BF73" i="44"/>
  <c r="AV73" i="44"/>
  <c r="AM73" i="44"/>
  <c r="AL73" i="44"/>
  <c r="W73" i="44"/>
  <c r="AE73" i="44" s="1"/>
  <c r="V73" i="44"/>
  <c r="AD73" i="44" s="1"/>
  <c r="BG72" i="44"/>
  <c r="BF72" i="44"/>
  <c r="AV72" i="44"/>
  <c r="AM72" i="44"/>
  <c r="AL72" i="44"/>
  <c r="W72" i="44"/>
  <c r="AE72" i="44" s="1"/>
  <c r="V72" i="44"/>
  <c r="AD72" i="44" s="1"/>
  <c r="BG71" i="44"/>
  <c r="BF71" i="44"/>
  <c r="AV71" i="44"/>
  <c r="AM71" i="44"/>
  <c r="AL71" i="44"/>
  <c r="W71" i="44"/>
  <c r="AE71" i="44" s="1"/>
  <c r="V71" i="44"/>
  <c r="BG69" i="44"/>
  <c r="BF69" i="44"/>
  <c r="AV69" i="44"/>
  <c r="AM69" i="44"/>
  <c r="AL69" i="44"/>
  <c r="W69" i="44"/>
  <c r="AE69" i="44" s="1"/>
  <c r="V69" i="44"/>
  <c r="AD69" i="44" s="1"/>
  <c r="BG68" i="44"/>
  <c r="BF68" i="44"/>
  <c r="AV68" i="44"/>
  <c r="AM68" i="44"/>
  <c r="AL68" i="44"/>
  <c r="W68" i="44"/>
  <c r="AE68" i="44" s="1"/>
  <c r="V68" i="44"/>
  <c r="AD68" i="44" s="1"/>
  <c r="BG67" i="44"/>
  <c r="BF67" i="44"/>
  <c r="AV67" i="44"/>
  <c r="AM67" i="44"/>
  <c r="AL67" i="44"/>
  <c r="W67" i="44"/>
  <c r="AE67" i="44" s="1"/>
  <c r="V67" i="44"/>
  <c r="AD67" i="44" s="1"/>
  <c r="BG66" i="44"/>
  <c r="BF66" i="44"/>
  <c r="AV66" i="44"/>
  <c r="AM66" i="44"/>
  <c r="AL66" i="44"/>
  <c r="W66" i="44"/>
  <c r="AE66" i="44" s="1"/>
  <c r="V66" i="44"/>
  <c r="AD66" i="44" s="1"/>
  <c r="BG65" i="44"/>
  <c r="BF65" i="44"/>
  <c r="AV65" i="44"/>
  <c r="AM65" i="44"/>
  <c r="AL65" i="44"/>
  <c r="W65" i="44"/>
  <c r="AE65" i="44" s="1"/>
  <c r="V65" i="44"/>
  <c r="AD65" i="44" s="1"/>
  <c r="BG64" i="44"/>
  <c r="BF64" i="44"/>
  <c r="AV64" i="44"/>
  <c r="AM64" i="44"/>
  <c r="AL64" i="44"/>
  <c r="W64" i="44"/>
  <c r="AE64" i="44" s="1"/>
  <c r="V64" i="44"/>
  <c r="AD64" i="44" s="1"/>
  <c r="BG62" i="44"/>
  <c r="BF62" i="44"/>
  <c r="AV62" i="44"/>
  <c r="AM62" i="44"/>
  <c r="AL62" i="44"/>
  <c r="W62" i="44"/>
  <c r="AE62" i="44" s="1"/>
  <c r="V62" i="44"/>
  <c r="AD62" i="44" s="1"/>
  <c r="BG61" i="44"/>
  <c r="BF61" i="44"/>
  <c r="AV61" i="44"/>
  <c r="AM61" i="44"/>
  <c r="AL61" i="44"/>
  <c r="W61" i="44"/>
  <c r="AE61" i="44" s="1"/>
  <c r="V61" i="44"/>
  <c r="AD61" i="44" s="1"/>
  <c r="BG60" i="44"/>
  <c r="BF60" i="44"/>
  <c r="AV60" i="44"/>
  <c r="AM60" i="44"/>
  <c r="AL60" i="44"/>
  <c r="W60" i="44"/>
  <c r="AE60" i="44" s="1"/>
  <c r="V60" i="44"/>
  <c r="AD60" i="44" s="1"/>
  <c r="BG59" i="44"/>
  <c r="BF59" i="44"/>
  <c r="AV59" i="44"/>
  <c r="AM59" i="44"/>
  <c r="AL59" i="44"/>
  <c r="W59" i="44"/>
  <c r="AE59" i="44" s="1"/>
  <c r="V59" i="44"/>
  <c r="AD59" i="44" s="1"/>
  <c r="BG58" i="44"/>
  <c r="BF58" i="44"/>
  <c r="AV58" i="44"/>
  <c r="AM58" i="44"/>
  <c r="AL58" i="44"/>
  <c r="W58" i="44"/>
  <c r="AE58" i="44" s="1"/>
  <c r="V58" i="44"/>
  <c r="AD58" i="44" s="1"/>
  <c r="BG57" i="44"/>
  <c r="BF57" i="44"/>
  <c r="AV57" i="44"/>
  <c r="AM57" i="44"/>
  <c r="AL57" i="44"/>
  <c r="W57" i="44"/>
  <c r="AE57" i="44" s="1"/>
  <c r="V57" i="44"/>
  <c r="BG55" i="44"/>
  <c r="BF55" i="44"/>
  <c r="AV55" i="44"/>
  <c r="AM55" i="44"/>
  <c r="AL55" i="44"/>
  <c r="W55" i="44"/>
  <c r="AE55" i="44" s="1"/>
  <c r="V55" i="44"/>
  <c r="AD55" i="44" s="1"/>
  <c r="BG54" i="44"/>
  <c r="BF54" i="44"/>
  <c r="AV54" i="44"/>
  <c r="AM54" i="44"/>
  <c r="AL54" i="44"/>
  <c r="W54" i="44"/>
  <c r="AE54" i="44" s="1"/>
  <c r="V54" i="44"/>
  <c r="AD54" i="44" s="1"/>
  <c r="BG53" i="44"/>
  <c r="BF53" i="44"/>
  <c r="AV53" i="44"/>
  <c r="AM53" i="44"/>
  <c r="AL53" i="44"/>
  <c r="W53" i="44"/>
  <c r="AE53" i="44" s="1"/>
  <c r="V53" i="44"/>
  <c r="AD53" i="44" s="1"/>
  <c r="BG52" i="44"/>
  <c r="BF52" i="44"/>
  <c r="AV52" i="44"/>
  <c r="AM52" i="44"/>
  <c r="AL52" i="44"/>
  <c r="W52" i="44"/>
  <c r="AE52" i="44" s="1"/>
  <c r="V52" i="44"/>
  <c r="AD52" i="44" s="1"/>
  <c r="BG51" i="44"/>
  <c r="BF51" i="44"/>
  <c r="AV51" i="44"/>
  <c r="AM51" i="44"/>
  <c r="AL51" i="44"/>
  <c r="W51" i="44"/>
  <c r="AE51" i="44" s="1"/>
  <c r="V51" i="44"/>
  <c r="AD51" i="44" s="1"/>
  <c r="BG50" i="44"/>
  <c r="BF50" i="44"/>
  <c r="AV50" i="44"/>
  <c r="AM50" i="44"/>
  <c r="AL50" i="44"/>
  <c r="W50" i="44"/>
  <c r="AE50" i="44" s="1"/>
  <c r="V50" i="44"/>
  <c r="AD50" i="44" s="1"/>
  <c r="BG48" i="44"/>
  <c r="BF48" i="44"/>
  <c r="AV48" i="44"/>
  <c r="AM48" i="44"/>
  <c r="AL48" i="44"/>
  <c r="W48" i="44"/>
  <c r="AE48" i="44" s="1"/>
  <c r="V48" i="44"/>
  <c r="AD48" i="44" s="1"/>
  <c r="BG47" i="44"/>
  <c r="BF47" i="44"/>
  <c r="AV47" i="44"/>
  <c r="AM47" i="44"/>
  <c r="AL47" i="44"/>
  <c r="W47" i="44"/>
  <c r="AE47" i="44" s="1"/>
  <c r="V47" i="44"/>
  <c r="AD47" i="44" s="1"/>
  <c r="BG46" i="44"/>
  <c r="BF46" i="44"/>
  <c r="AV46" i="44"/>
  <c r="AM46" i="44"/>
  <c r="AL46" i="44"/>
  <c r="W46" i="44"/>
  <c r="AE46" i="44" s="1"/>
  <c r="V46" i="44"/>
  <c r="AD46" i="44" s="1"/>
  <c r="BG45" i="44"/>
  <c r="BF45" i="44"/>
  <c r="AV45" i="44"/>
  <c r="AM45" i="44"/>
  <c r="AL45" i="44"/>
  <c r="W45" i="44"/>
  <c r="AE45" i="44" s="1"/>
  <c r="V45" i="44"/>
  <c r="AD45" i="44" s="1"/>
  <c r="BG44" i="44"/>
  <c r="BF44" i="44"/>
  <c r="AV44" i="44"/>
  <c r="AM44" i="44"/>
  <c r="AL44" i="44"/>
  <c r="W44" i="44"/>
  <c r="AE44" i="44" s="1"/>
  <c r="V44" i="44"/>
  <c r="AD44" i="44" s="1"/>
  <c r="BG43" i="44"/>
  <c r="BF43" i="44"/>
  <c r="AV43" i="44"/>
  <c r="AM43" i="44"/>
  <c r="AL43" i="44"/>
  <c r="W43" i="44"/>
  <c r="AE43" i="44" s="1"/>
  <c r="V43" i="44"/>
  <c r="AD43" i="44" s="1"/>
  <c r="BG41" i="44"/>
  <c r="BF41" i="44"/>
  <c r="AV41" i="44"/>
  <c r="AM41" i="44"/>
  <c r="AL41" i="44"/>
  <c r="W41" i="44"/>
  <c r="AE41" i="44" s="1"/>
  <c r="V41" i="44"/>
  <c r="AD41" i="44" s="1"/>
  <c r="BG40" i="44"/>
  <c r="BF40" i="44"/>
  <c r="AV40" i="44"/>
  <c r="AM40" i="44"/>
  <c r="AL40" i="44"/>
  <c r="W40" i="44"/>
  <c r="AE40" i="44" s="1"/>
  <c r="V40" i="44"/>
  <c r="AD40" i="44" s="1"/>
  <c r="BG39" i="44"/>
  <c r="BF39" i="44"/>
  <c r="AV39" i="44"/>
  <c r="AM39" i="44"/>
  <c r="AL39" i="44"/>
  <c r="W39" i="44"/>
  <c r="AE39" i="44" s="1"/>
  <c r="V39" i="44"/>
  <c r="AD39" i="44" s="1"/>
  <c r="BG38" i="44"/>
  <c r="BF38" i="44"/>
  <c r="AV38" i="44"/>
  <c r="AM38" i="44"/>
  <c r="AL38" i="44"/>
  <c r="W38" i="44"/>
  <c r="AE38" i="44" s="1"/>
  <c r="V38" i="44"/>
  <c r="AD38" i="44" s="1"/>
  <c r="BG37" i="44"/>
  <c r="BF37" i="44"/>
  <c r="AV37" i="44"/>
  <c r="AM37" i="44"/>
  <c r="AL37" i="44"/>
  <c r="W37" i="44"/>
  <c r="AE37" i="44" s="1"/>
  <c r="V37" i="44"/>
  <c r="AD37" i="44" s="1"/>
  <c r="BG36" i="44"/>
  <c r="BF36" i="44"/>
  <c r="AV36" i="44"/>
  <c r="AM36" i="44"/>
  <c r="AL36" i="44"/>
  <c r="W36" i="44"/>
  <c r="AE36" i="44" s="1"/>
  <c r="V36" i="44"/>
  <c r="AD36" i="44" s="1"/>
  <c r="BG34" i="44"/>
  <c r="BF34" i="44"/>
  <c r="AV34" i="44"/>
  <c r="AM34" i="44"/>
  <c r="AL34" i="44"/>
  <c r="W34" i="44"/>
  <c r="AE34" i="44" s="1"/>
  <c r="V34" i="44"/>
  <c r="AD34" i="44" s="1"/>
  <c r="BG33" i="44"/>
  <c r="BF33" i="44"/>
  <c r="AV33" i="44"/>
  <c r="AM33" i="44"/>
  <c r="AL33" i="44"/>
  <c r="W33" i="44"/>
  <c r="AE33" i="44" s="1"/>
  <c r="V33" i="44"/>
  <c r="AD33" i="44" s="1"/>
  <c r="BG32" i="44"/>
  <c r="BF32" i="44"/>
  <c r="AV32" i="44"/>
  <c r="AM32" i="44"/>
  <c r="AL32" i="44"/>
  <c r="W32" i="44"/>
  <c r="AE32" i="44" s="1"/>
  <c r="V32" i="44"/>
  <c r="AD32" i="44" s="1"/>
  <c r="BG31" i="44"/>
  <c r="BF31" i="44"/>
  <c r="AV31" i="44"/>
  <c r="AM31" i="44"/>
  <c r="AL31" i="44"/>
  <c r="W31" i="44"/>
  <c r="AE31" i="44" s="1"/>
  <c r="V31" i="44"/>
  <c r="AD31" i="44" s="1"/>
  <c r="BG30" i="44"/>
  <c r="BF30" i="44"/>
  <c r="AV30" i="44"/>
  <c r="AM30" i="44"/>
  <c r="AL30" i="44"/>
  <c r="W30" i="44"/>
  <c r="AE30" i="44" s="1"/>
  <c r="V30" i="44"/>
  <c r="AD30" i="44" s="1"/>
  <c r="BG29" i="44"/>
  <c r="BF29" i="44"/>
  <c r="AV29" i="44"/>
  <c r="AM29" i="44"/>
  <c r="AL29" i="44"/>
  <c r="W29" i="44"/>
  <c r="V29" i="44"/>
  <c r="AD29" i="44" s="1"/>
  <c r="BG27" i="44"/>
  <c r="BF27" i="44"/>
  <c r="AV27" i="44"/>
  <c r="AM27" i="44"/>
  <c r="AL27" i="44"/>
  <c r="W27" i="44"/>
  <c r="AE27" i="44" s="1"/>
  <c r="V27" i="44"/>
  <c r="AD27" i="44" s="1"/>
  <c r="BG26" i="44"/>
  <c r="BF26" i="44"/>
  <c r="AV26" i="44"/>
  <c r="AM26" i="44"/>
  <c r="AL26" i="44"/>
  <c r="W26" i="44"/>
  <c r="AE26" i="44" s="1"/>
  <c r="V26" i="44"/>
  <c r="AD26" i="44" s="1"/>
  <c r="BG25" i="44"/>
  <c r="BF25" i="44"/>
  <c r="AV25" i="44"/>
  <c r="AM25" i="44"/>
  <c r="AL25" i="44"/>
  <c r="W25" i="44"/>
  <c r="AE25" i="44" s="1"/>
  <c r="V25" i="44"/>
  <c r="AD25" i="44" s="1"/>
  <c r="BG24" i="44"/>
  <c r="BF24" i="44"/>
  <c r="AV24" i="44"/>
  <c r="AM24" i="44"/>
  <c r="AL24" i="44"/>
  <c r="W24" i="44"/>
  <c r="AE24" i="44" s="1"/>
  <c r="V24" i="44"/>
  <c r="AD24" i="44" s="1"/>
  <c r="BG23" i="44"/>
  <c r="BF23" i="44"/>
  <c r="AV23" i="44"/>
  <c r="AM23" i="44"/>
  <c r="AL23" i="44"/>
  <c r="W23" i="44"/>
  <c r="AE23" i="44" s="1"/>
  <c r="V23" i="44"/>
  <c r="AD23" i="44" s="1"/>
  <c r="BG22" i="44"/>
  <c r="BF22" i="44"/>
  <c r="AV22" i="44"/>
  <c r="AM22" i="44"/>
  <c r="AL22" i="44"/>
  <c r="W22" i="44"/>
  <c r="AE22" i="44" s="1"/>
  <c r="V22" i="44"/>
  <c r="AD22" i="44" s="1"/>
  <c r="BG21" i="44"/>
  <c r="BF21" i="44"/>
  <c r="AV21" i="44"/>
  <c r="AM21" i="44"/>
  <c r="AL21" i="44"/>
  <c r="W21" i="44"/>
  <c r="AE21" i="44" s="1"/>
  <c r="V21" i="44"/>
  <c r="AD21" i="44" s="1"/>
  <c r="BG20" i="44"/>
  <c r="BF20" i="44"/>
  <c r="AV20" i="44"/>
  <c r="AM20" i="44"/>
  <c r="AL20" i="44"/>
  <c r="W20" i="44"/>
  <c r="AE20" i="44" s="1"/>
  <c r="V20" i="44"/>
  <c r="AD20" i="44" s="1"/>
  <c r="BG18" i="44"/>
  <c r="BF18" i="44"/>
  <c r="AV18" i="44"/>
  <c r="AM18" i="44"/>
  <c r="AL18" i="44"/>
  <c r="W18" i="44"/>
  <c r="AE18" i="44" s="1"/>
  <c r="V18" i="44"/>
  <c r="AD18" i="44" s="1"/>
  <c r="BG17" i="44"/>
  <c r="BF17" i="44"/>
  <c r="AV17" i="44"/>
  <c r="AM17" i="44"/>
  <c r="AL17" i="44"/>
  <c r="W17" i="44"/>
  <c r="AE17" i="44" s="1"/>
  <c r="V17" i="44"/>
  <c r="AD17" i="44" s="1"/>
  <c r="BG16" i="44"/>
  <c r="BF16" i="44"/>
  <c r="AV16" i="44"/>
  <c r="AM16" i="44"/>
  <c r="AL16" i="44"/>
  <c r="W16" i="44"/>
  <c r="AE16" i="44" s="1"/>
  <c r="V16" i="44"/>
  <c r="AD16" i="44" s="1"/>
  <c r="BG15" i="44"/>
  <c r="BF15" i="44"/>
  <c r="AV15" i="44"/>
  <c r="AM15" i="44"/>
  <c r="AL15" i="44"/>
  <c r="W15" i="44"/>
  <c r="AE15" i="44" s="1"/>
  <c r="V15" i="44"/>
  <c r="AD15" i="44" s="1"/>
  <c r="BG14" i="44"/>
  <c r="BF14" i="44"/>
  <c r="AV14" i="44"/>
  <c r="AM14" i="44"/>
  <c r="AL14" i="44"/>
  <c r="W14" i="44"/>
  <c r="V14" i="44"/>
  <c r="AD14" i="44" s="1"/>
  <c r="BG12" i="44"/>
  <c r="BG13" i="44" s="1"/>
  <c r="BF12" i="44"/>
  <c r="BF13" i="44" s="1"/>
  <c r="AV12" i="44"/>
  <c r="AV13" i="44" s="1"/>
  <c r="AM12" i="44"/>
  <c r="AL12" i="44"/>
  <c r="AL13" i="44" s="1"/>
  <c r="W12" i="44"/>
  <c r="AE12" i="44" s="1"/>
  <c r="AE13" i="44" s="1"/>
  <c r="V12" i="44"/>
  <c r="AD12" i="44" s="1"/>
  <c r="AD13" i="44" s="1"/>
  <c r="BG463" i="43"/>
  <c r="BF463" i="43"/>
  <c r="AV463" i="43"/>
  <c r="AM463" i="43"/>
  <c r="AL463" i="43"/>
  <c r="W463" i="43"/>
  <c r="AE463" i="43" s="1"/>
  <c r="V463" i="43"/>
  <c r="AD463" i="43" s="1"/>
  <c r="BG462" i="43"/>
  <c r="BF462" i="43"/>
  <c r="AV462" i="43"/>
  <c r="AM462" i="43"/>
  <c r="AL462" i="43"/>
  <c r="W462" i="43"/>
  <c r="AE462" i="43" s="1"/>
  <c r="V462" i="43"/>
  <c r="AD462" i="43" s="1"/>
  <c r="BG461" i="43"/>
  <c r="BF461" i="43"/>
  <c r="AV461" i="43"/>
  <c r="AM461" i="43"/>
  <c r="AL461" i="43"/>
  <c r="W461" i="43"/>
  <c r="V461" i="43"/>
  <c r="BG459" i="43"/>
  <c r="BF459" i="43"/>
  <c r="AV459" i="43"/>
  <c r="AM459" i="43"/>
  <c r="AL459" i="43"/>
  <c r="W459" i="43"/>
  <c r="AE459" i="43" s="1"/>
  <c r="V459" i="43"/>
  <c r="AD459" i="43" s="1"/>
  <c r="BG458" i="43"/>
  <c r="BF458" i="43"/>
  <c r="AV458" i="43"/>
  <c r="AM458" i="43"/>
  <c r="AL458" i="43"/>
  <c r="W458" i="43"/>
  <c r="AE458" i="43" s="1"/>
  <c r="V458" i="43"/>
  <c r="BG456" i="43"/>
  <c r="BF456" i="43"/>
  <c r="AV456" i="43"/>
  <c r="AM456" i="43"/>
  <c r="AL456" i="43"/>
  <c r="W456" i="43"/>
  <c r="AE456" i="43" s="1"/>
  <c r="V456" i="43"/>
  <c r="AD456" i="43" s="1"/>
  <c r="BG455" i="43"/>
  <c r="BF455" i="43"/>
  <c r="AV455" i="43"/>
  <c r="AM455" i="43"/>
  <c r="AL455" i="43"/>
  <c r="W455" i="43"/>
  <c r="AE455" i="43" s="1"/>
  <c r="V455" i="43"/>
  <c r="AD455" i="43" s="1"/>
  <c r="BG454" i="43"/>
  <c r="BF454" i="43"/>
  <c r="AV454" i="43"/>
  <c r="AM454" i="43"/>
  <c r="AL454" i="43"/>
  <c r="W454" i="43"/>
  <c r="AE454" i="43" s="1"/>
  <c r="V454" i="43"/>
  <c r="AD454" i="43" s="1"/>
  <c r="BG453" i="43"/>
  <c r="BF453" i="43"/>
  <c r="AV453" i="43"/>
  <c r="AM453" i="43"/>
  <c r="AL453" i="43"/>
  <c r="W453" i="43"/>
  <c r="AE453" i="43" s="1"/>
  <c r="V453" i="43"/>
  <c r="AD453" i="43" s="1"/>
  <c r="BG452" i="43"/>
  <c r="BF452" i="43"/>
  <c r="AV452" i="43"/>
  <c r="AM452" i="43"/>
  <c r="AL452" i="43"/>
  <c r="W452" i="43"/>
  <c r="AE452" i="43" s="1"/>
  <c r="V452" i="43"/>
  <c r="AD452" i="43" s="1"/>
  <c r="BG451" i="43"/>
  <c r="BF451" i="43"/>
  <c r="AV451" i="43"/>
  <c r="AM451" i="43"/>
  <c r="AL451" i="43"/>
  <c r="W451" i="43"/>
  <c r="V451" i="43"/>
  <c r="BG449" i="43"/>
  <c r="BF449" i="43"/>
  <c r="AV449" i="43"/>
  <c r="AM449" i="43"/>
  <c r="AL449" i="43"/>
  <c r="W449" i="43"/>
  <c r="AE449" i="43" s="1"/>
  <c r="V449" i="43"/>
  <c r="AD449" i="43" s="1"/>
  <c r="BG448" i="43"/>
  <c r="BF448" i="43"/>
  <c r="AV448" i="43"/>
  <c r="AM448" i="43"/>
  <c r="AL448" i="43"/>
  <c r="W448" i="43"/>
  <c r="AE448" i="43" s="1"/>
  <c r="V448" i="43"/>
  <c r="AD448" i="43" s="1"/>
  <c r="BG447" i="43"/>
  <c r="BF447" i="43"/>
  <c r="AV447" i="43"/>
  <c r="AM447" i="43"/>
  <c r="AL447" i="43"/>
  <c r="W447" i="43"/>
  <c r="AE447" i="43" s="1"/>
  <c r="V447" i="43"/>
  <c r="AD447" i="43" s="1"/>
  <c r="BG446" i="43"/>
  <c r="BF446" i="43"/>
  <c r="AV446" i="43"/>
  <c r="AM446" i="43"/>
  <c r="AL446" i="43"/>
  <c r="W446" i="43"/>
  <c r="AE446" i="43" s="1"/>
  <c r="V446" i="43"/>
  <c r="AD446" i="43" s="1"/>
  <c r="BG445" i="43"/>
  <c r="BF445" i="43"/>
  <c r="AV445" i="43"/>
  <c r="AM445" i="43"/>
  <c r="AL445" i="43"/>
  <c r="W445" i="43"/>
  <c r="AE445" i="43" s="1"/>
  <c r="V445" i="43"/>
  <c r="AD445" i="43" s="1"/>
  <c r="BG444" i="43"/>
  <c r="BF444" i="43"/>
  <c r="AV444" i="43"/>
  <c r="AM444" i="43"/>
  <c r="AL444" i="43"/>
  <c r="W444" i="43"/>
  <c r="V444" i="43"/>
  <c r="BG442" i="43"/>
  <c r="BF442" i="43"/>
  <c r="AV442" i="43"/>
  <c r="AM442" i="43"/>
  <c r="AL442" i="43"/>
  <c r="W442" i="43"/>
  <c r="AE442" i="43" s="1"/>
  <c r="V442" i="43"/>
  <c r="AD442" i="43" s="1"/>
  <c r="BG441" i="43"/>
  <c r="BF441" i="43"/>
  <c r="AV441" i="43"/>
  <c r="AM441" i="43"/>
  <c r="AL441" i="43"/>
  <c r="W441" i="43"/>
  <c r="AE441" i="43" s="1"/>
  <c r="V441" i="43"/>
  <c r="AD441" i="43" s="1"/>
  <c r="BG440" i="43"/>
  <c r="BF440" i="43"/>
  <c r="AV440" i="43"/>
  <c r="AM440" i="43"/>
  <c r="AL440" i="43"/>
  <c r="W440" i="43"/>
  <c r="AE440" i="43" s="1"/>
  <c r="V440" i="43"/>
  <c r="AD440" i="43" s="1"/>
  <c r="BG439" i="43"/>
  <c r="BF439" i="43"/>
  <c r="AV439" i="43"/>
  <c r="AM439" i="43"/>
  <c r="AL439" i="43"/>
  <c r="W439" i="43"/>
  <c r="AE439" i="43" s="1"/>
  <c r="V439" i="43"/>
  <c r="AD439" i="43" s="1"/>
  <c r="BG438" i="43"/>
  <c r="BF438" i="43"/>
  <c r="AV438" i="43"/>
  <c r="AM438" i="43"/>
  <c r="AL438" i="43"/>
  <c r="W438" i="43"/>
  <c r="AE438" i="43" s="1"/>
  <c r="V438" i="43"/>
  <c r="AD438" i="43" s="1"/>
  <c r="BG437" i="43"/>
  <c r="BF437" i="43"/>
  <c r="AV437" i="43"/>
  <c r="AM437" i="43"/>
  <c r="AL437" i="43"/>
  <c r="W437" i="43"/>
  <c r="V437" i="43"/>
  <c r="BG435" i="43"/>
  <c r="BF435" i="43"/>
  <c r="AV435" i="43"/>
  <c r="AM435" i="43"/>
  <c r="AL435" i="43"/>
  <c r="W435" i="43"/>
  <c r="AE435" i="43" s="1"/>
  <c r="V435" i="43"/>
  <c r="AD435" i="43" s="1"/>
  <c r="BG434" i="43"/>
  <c r="BF434" i="43"/>
  <c r="AV434" i="43"/>
  <c r="AM434" i="43"/>
  <c r="AL434" i="43"/>
  <c r="W434" i="43"/>
  <c r="AE434" i="43" s="1"/>
  <c r="V434" i="43"/>
  <c r="AD434" i="43" s="1"/>
  <c r="BG433" i="43"/>
  <c r="BF433" i="43"/>
  <c r="AV433" i="43"/>
  <c r="AM433" i="43"/>
  <c r="AL433" i="43"/>
  <c r="W433" i="43"/>
  <c r="AE433" i="43" s="1"/>
  <c r="V433" i="43"/>
  <c r="AD433" i="43" s="1"/>
  <c r="BG432" i="43"/>
  <c r="BF432" i="43"/>
  <c r="AV432" i="43"/>
  <c r="AM432" i="43"/>
  <c r="AL432" i="43"/>
  <c r="W432" i="43"/>
  <c r="AE432" i="43" s="1"/>
  <c r="V432" i="43"/>
  <c r="AD432" i="43" s="1"/>
  <c r="BG431" i="43"/>
  <c r="BF431" i="43"/>
  <c r="AV431" i="43"/>
  <c r="AM431" i="43"/>
  <c r="AL431" i="43"/>
  <c r="W431" i="43"/>
  <c r="AE431" i="43" s="1"/>
  <c r="V431" i="43"/>
  <c r="AD431" i="43" s="1"/>
  <c r="BG430" i="43"/>
  <c r="BF430" i="43"/>
  <c r="AV430" i="43"/>
  <c r="AM430" i="43"/>
  <c r="AL430" i="43"/>
  <c r="W430" i="43"/>
  <c r="V430" i="43"/>
  <c r="BG428" i="43"/>
  <c r="BF428" i="43"/>
  <c r="AV428" i="43"/>
  <c r="AM428" i="43"/>
  <c r="AL428" i="43"/>
  <c r="W428" i="43"/>
  <c r="AE428" i="43" s="1"/>
  <c r="V428" i="43"/>
  <c r="AD428" i="43" s="1"/>
  <c r="BG427" i="43"/>
  <c r="BF427" i="43"/>
  <c r="AV427" i="43"/>
  <c r="AM427" i="43"/>
  <c r="AL427" i="43"/>
  <c r="W427" i="43"/>
  <c r="AE427" i="43" s="1"/>
  <c r="V427" i="43"/>
  <c r="AD427" i="43" s="1"/>
  <c r="BG426" i="43"/>
  <c r="BF426" i="43"/>
  <c r="AV426" i="43"/>
  <c r="AM426" i="43"/>
  <c r="AL426" i="43"/>
  <c r="W426" i="43"/>
  <c r="AE426" i="43" s="1"/>
  <c r="V426" i="43"/>
  <c r="AD426" i="43" s="1"/>
  <c r="BG425" i="43"/>
  <c r="BF425" i="43"/>
  <c r="AV425" i="43"/>
  <c r="AM425" i="43"/>
  <c r="AL425" i="43"/>
  <c r="W425" i="43"/>
  <c r="AE425" i="43" s="1"/>
  <c r="V425" i="43"/>
  <c r="AD425" i="43" s="1"/>
  <c r="BG424" i="43"/>
  <c r="BF424" i="43"/>
  <c r="AV424" i="43"/>
  <c r="AM424" i="43"/>
  <c r="AL424" i="43"/>
  <c r="W424" i="43"/>
  <c r="AE424" i="43" s="1"/>
  <c r="V424" i="43"/>
  <c r="AD424" i="43" s="1"/>
  <c r="BG423" i="43"/>
  <c r="BF423" i="43"/>
  <c r="AV423" i="43"/>
  <c r="AM423" i="43"/>
  <c r="AL423" i="43"/>
  <c r="W423" i="43"/>
  <c r="V423" i="43"/>
  <c r="BG421" i="43"/>
  <c r="BF421" i="43"/>
  <c r="AV421" i="43"/>
  <c r="AM421" i="43"/>
  <c r="AL421" i="43"/>
  <c r="W421" i="43"/>
  <c r="AE421" i="43" s="1"/>
  <c r="V421" i="43"/>
  <c r="AD421" i="43" s="1"/>
  <c r="BG420" i="43"/>
  <c r="BF420" i="43"/>
  <c r="AV420" i="43"/>
  <c r="AM420" i="43"/>
  <c r="AL420" i="43"/>
  <c r="W420" i="43"/>
  <c r="AE420" i="43" s="1"/>
  <c r="V420" i="43"/>
  <c r="AD420" i="43" s="1"/>
  <c r="BG419" i="43"/>
  <c r="BF419" i="43"/>
  <c r="AV419" i="43"/>
  <c r="AM419" i="43"/>
  <c r="AL419" i="43"/>
  <c r="W419" i="43"/>
  <c r="AE419" i="43" s="1"/>
  <c r="V419" i="43"/>
  <c r="AD419" i="43" s="1"/>
  <c r="BG418" i="43"/>
  <c r="BF418" i="43"/>
  <c r="AV418" i="43"/>
  <c r="AM418" i="43"/>
  <c r="AL418" i="43"/>
  <c r="W418" i="43"/>
  <c r="AE418" i="43" s="1"/>
  <c r="V418" i="43"/>
  <c r="AD418" i="43" s="1"/>
  <c r="BG417" i="43"/>
  <c r="BF417" i="43"/>
  <c r="AV417" i="43"/>
  <c r="AM417" i="43"/>
  <c r="AL417" i="43"/>
  <c r="W417" i="43"/>
  <c r="AE417" i="43" s="1"/>
  <c r="V417" i="43"/>
  <c r="AD417" i="43" s="1"/>
  <c r="BG416" i="43"/>
  <c r="BF416" i="43"/>
  <c r="AV416" i="43"/>
  <c r="AM416" i="43"/>
  <c r="AL416" i="43"/>
  <c r="W416" i="43"/>
  <c r="V416" i="43"/>
  <c r="BG414" i="43"/>
  <c r="BF414" i="43"/>
  <c r="AV414" i="43"/>
  <c r="AM414" i="43"/>
  <c r="AL414" i="43"/>
  <c r="W414" i="43"/>
  <c r="AE414" i="43" s="1"/>
  <c r="V414" i="43"/>
  <c r="AD414" i="43" s="1"/>
  <c r="BG413" i="43"/>
  <c r="BF413" i="43"/>
  <c r="AV413" i="43"/>
  <c r="AM413" i="43"/>
  <c r="AL413" i="43"/>
  <c r="W413" i="43"/>
  <c r="AE413" i="43" s="1"/>
  <c r="V413" i="43"/>
  <c r="AD413" i="43" s="1"/>
  <c r="BG412" i="43"/>
  <c r="BF412" i="43"/>
  <c r="AV412" i="43"/>
  <c r="AM412" i="43"/>
  <c r="AL412" i="43"/>
  <c r="W412" i="43"/>
  <c r="AE412" i="43" s="1"/>
  <c r="V412" i="43"/>
  <c r="AD412" i="43" s="1"/>
  <c r="BG411" i="43"/>
  <c r="BF411" i="43"/>
  <c r="AV411" i="43"/>
  <c r="AM411" i="43"/>
  <c r="AL411" i="43"/>
  <c r="W411" i="43"/>
  <c r="AE411" i="43" s="1"/>
  <c r="V411" i="43"/>
  <c r="AD411" i="43" s="1"/>
  <c r="BG410" i="43"/>
  <c r="BF410" i="43"/>
  <c r="AV410" i="43"/>
  <c r="AM410" i="43"/>
  <c r="AL410" i="43"/>
  <c r="W410" i="43"/>
  <c r="AE410" i="43" s="1"/>
  <c r="V410" i="43"/>
  <c r="AD410" i="43" s="1"/>
  <c r="BG409" i="43"/>
  <c r="BF409" i="43"/>
  <c r="AV409" i="43"/>
  <c r="AM409" i="43"/>
  <c r="AL409" i="43"/>
  <c r="W409" i="43"/>
  <c r="V409" i="43"/>
  <c r="BG407" i="43"/>
  <c r="BF407" i="43"/>
  <c r="AV407" i="43"/>
  <c r="AM407" i="43"/>
  <c r="AL407" i="43"/>
  <c r="W407" i="43"/>
  <c r="AE407" i="43" s="1"/>
  <c r="V407" i="43"/>
  <c r="AD407" i="43" s="1"/>
  <c r="BG406" i="43"/>
  <c r="BF406" i="43"/>
  <c r="AV406" i="43"/>
  <c r="AM406" i="43"/>
  <c r="AL406" i="43"/>
  <c r="W406" i="43"/>
  <c r="AE406" i="43" s="1"/>
  <c r="V406" i="43"/>
  <c r="AD406" i="43" s="1"/>
  <c r="BG405" i="43"/>
  <c r="BF405" i="43"/>
  <c r="AV405" i="43"/>
  <c r="AM405" i="43"/>
  <c r="AL405" i="43"/>
  <c r="W405" i="43"/>
  <c r="AE405" i="43" s="1"/>
  <c r="V405" i="43"/>
  <c r="AD405" i="43" s="1"/>
  <c r="BG404" i="43"/>
  <c r="BF404" i="43"/>
  <c r="AV404" i="43"/>
  <c r="AM404" i="43"/>
  <c r="AL404" i="43"/>
  <c r="W404" i="43"/>
  <c r="AE404" i="43" s="1"/>
  <c r="V404" i="43"/>
  <c r="AD404" i="43" s="1"/>
  <c r="BG403" i="43"/>
  <c r="BF403" i="43"/>
  <c r="AV403" i="43"/>
  <c r="AM403" i="43"/>
  <c r="AL403" i="43"/>
  <c r="W403" i="43"/>
  <c r="AE403" i="43" s="1"/>
  <c r="V403" i="43"/>
  <c r="AD403" i="43" s="1"/>
  <c r="BG402" i="43"/>
  <c r="BF402" i="43"/>
  <c r="AV402" i="43"/>
  <c r="AM402" i="43"/>
  <c r="AL402" i="43"/>
  <c r="W402" i="43"/>
  <c r="AE402" i="43" s="1"/>
  <c r="V402" i="43"/>
  <c r="BG400" i="43"/>
  <c r="BF400" i="43"/>
  <c r="AV400" i="43"/>
  <c r="AM400" i="43"/>
  <c r="AL400" i="43"/>
  <c r="W400" i="43"/>
  <c r="AE400" i="43" s="1"/>
  <c r="V400" i="43"/>
  <c r="AD400" i="43" s="1"/>
  <c r="BG399" i="43"/>
  <c r="BF399" i="43"/>
  <c r="AV399" i="43"/>
  <c r="AM399" i="43"/>
  <c r="AL399" i="43"/>
  <c r="W399" i="43"/>
  <c r="AE399" i="43" s="1"/>
  <c r="V399" i="43"/>
  <c r="AD399" i="43" s="1"/>
  <c r="BG398" i="43"/>
  <c r="BF398" i="43"/>
  <c r="AV398" i="43"/>
  <c r="AM398" i="43"/>
  <c r="AL398" i="43"/>
  <c r="W398" i="43"/>
  <c r="AE398" i="43" s="1"/>
  <c r="V398" i="43"/>
  <c r="AD398" i="43" s="1"/>
  <c r="BG397" i="43"/>
  <c r="BF397" i="43"/>
  <c r="AV397" i="43"/>
  <c r="AM397" i="43"/>
  <c r="AL397" i="43"/>
  <c r="W397" i="43"/>
  <c r="AE397" i="43" s="1"/>
  <c r="V397" i="43"/>
  <c r="AD397" i="43" s="1"/>
  <c r="BG396" i="43"/>
  <c r="BF396" i="43"/>
  <c r="AV396" i="43"/>
  <c r="AM396" i="43"/>
  <c r="AL396" i="43"/>
  <c r="W396" i="43"/>
  <c r="AE396" i="43" s="1"/>
  <c r="V396" i="43"/>
  <c r="AD396" i="43" s="1"/>
  <c r="BG395" i="43"/>
  <c r="BF395" i="43"/>
  <c r="AV395" i="43"/>
  <c r="AM395" i="43"/>
  <c r="AL395" i="43"/>
  <c r="W395" i="43"/>
  <c r="V395" i="43"/>
  <c r="BG393" i="43"/>
  <c r="BF393" i="43"/>
  <c r="AV393" i="43"/>
  <c r="AM393" i="43"/>
  <c r="AL393" i="43"/>
  <c r="W393" i="43"/>
  <c r="AE393" i="43" s="1"/>
  <c r="V393" i="43"/>
  <c r="AD393" i="43" s="1"/>
  <c r="BG392" i="43"/>
  <c r="BF392" i="43"/>
  <c r="AV392" i="43"/>
  <c r="AM392" i="43"/>
  <c r="AL392" i="43"/>
  <c r="W392" i="43"/>
  <c r="AE392" i="43" s="1"/>
  <c r="V392" i="43"/>
  <c r="AD392" i="43" s="1"/>
  <c r="BG391" i="43"/>
  <c r="BF391" i="43"/>
  <c r="AV391" i="43"/>
  <c r="AM391" i="43"/>
  <c r="AL391" i="43"/>
  <c r="W391" i="43"/>
  <c r="V391" i="43"/>
  <c r="BG389" i="43"/>
  <c r="BF389" i="43"/>
  <c r="AV389" i="43"/>
  <c r="AM389" i="43"/>
  <c r="AL389" i="43"/>
  <c r="W389" i="43"/>
  <c r="AE389" i="43" s="1"/>
  <c r="V389" i="43"/>
  <c r="AD389" i="43" s="1"/>
  <c r="BG388" i="43"/>
  <c r="BF388" i="43"/>
  <c r="AV388" i="43"/>
  <c r="AM388" i="43"/>
  <c r="AL388" i="43"/>
  <c r="W388" i="43"/>
  <c r="AE388" i="43" s="1"/>
  <c r="V388" i="43"/>
  <c r="AD388" i="43" s="1"/>
  <c r="BG387" i="43"/>
  <c r="BF387" i="43"/>
  <c r="AV387" i="43"/>
  <c r="AM387" i="43"/>
  <c r="AL387" i="43"/>
  <c r="W387" i="43"/>
  <c r="AE387" i="43" s="1"/>
  <c r="V387" i="43"/>
  <c r="AD387" i="43" s="1"/>
  <c r="BG386" i="43"/>
  <c r="BF386" i="43"/>
  <c r="AV386" i="43"/>
  <c r="AM386" i="43"/>
  <c r="AL386" i="43"/>
  <c r="W386" i="43"/>
  <c r="AE386" i="43" s="1"/>
  <c r="V386" i="43"/>
  <c r="AD386" i="43" s="1"/>
  <c r="BG385" i="43"/>
  <c r="BF385" i="43"/>
  <c r="AV385" i="43"/>
  <c r="AM385" i="43"/>
  <c r="AL385" i="43"/>
  <c r="W385" i="43"/>
  <c r="V385" i="43"/>
  <c r="BG383" i="43"/>
  <c r="BF383" i="43"/>
  <c r="AV383" i="43"/>
  <c r="AM383" i="43"/>
  <c r="AL383" i="43"/>
  <c r="W383" i="43"/>
  <c r="AE383" i="43" s="1"/>
  <c r="V383" i="43"/>
  <c r="AD383" i="43" s="1"/>
  <c r="BG382" i="43"/>
  <c r="BF382" i="43"/>
  <c r="AV382" i="43"/>
  <c r="AM382" i="43"/>
  <c r="AL382" i="43"/>
  <c r="W382" i="43"/>
  <c r="AE382" i="43" s="1"/>
  <c r="V382" i="43"/>
  <c r="AD382" i="43" s="1"/>
  <c r="BG381" i="43"/>
  <c r="BF381" i="43"/>
  <c r="AV381" i="43"/>
  <c r="AM381" i="43"/>
  <c r="AL381" i="43"/>
  <c r="W381" i="43"/>
  <c r="AE381" i="43" s="1"/>
  <c r="V381" i="43"/>
  <c r="AD381" i="43" s="1"/>
  <c r="BG380" i="43"/>
  <c r="BF380" i="43"/>
  <c r="AV380" i="43"/>
  <c r="AM380" i="43"/>
  <c r="AL380" i="43"/>
  <c r="W380" i="43"/>
  <c r="AE380" i="43" s="1"/>
  <c r="V380" i="43"/>
  <c r="AD380" i="43" s="1"/>
  <c r="BG379" i="43"/>
  <c r="BF379" i="43"/>
  <c r="AV379" i="43"/>
  <c r="AM379" i="43"/>
  <c r="AL379" i="43"/>
  <c r="W379" i="43"/>
  <c r="AE379" i="43" s="1"/>
  <c r="V379" i="43"/>
  <c r="AD379" i="43" s="1"/>
  <c r="BG378" i="43"/>
  <c r="BF378" i="43"/>
  <c r="AV378" i="43"/>
  <c r="AM378" i="43"/>
  <c r="AL378" i="43"/>
  <c r="W378" i="43"/>
  <c r="V378" i="43"/>
  <c r="BG376" i="43"/>
  <c r="BG377" i="43" s="1"/>
  <c r="BF376" i="43"/>
  <c r="AV376" i="43"/>
  <c r="AV377" i="43" s="1"/>
  <c r="AM376" i="43"/>
  <c r="AM377" i="43" s="1"/>
  <c r="AL376" i="43"/>
  <c r="AL377" i="43" s="1"/>
  <c r="W376" i="43"/>
  <c r="V376" i="43"/>
  <c r="BG374" i="43"/>
  <c r="BF374" i="43"/>
  <c r="AV374" i="43"/>
  <c r="AM374" i="43"/>
  <c r="AL374" i="43"/>
  <c r="W374" i="43"/>
  <c r="AE374" i="43" s="1"/>
  <c r="V374" i="43"/>
  <c r="AD374" i="43" s="1"/>
  <c r="BG373" i="43"/>
  <c r="BF373" i="43"/>
  <c r="AV373" i="43"/>
  <c r="AM373" i="43"/>
  <c r="AL373" i="43"/>
  <c r="W373" i="43"/>
  <c r="AE373" i="43" s="1"/>
  <c r="V373" i="43"/>
  <c r="AD373" i="43" s="1"/>
  <c r="BG372" i="43"/>
  <c r="BF372" i="43"/>
  <c r="AV372" i="43"/>
  <c r="AM372" i="43"/>
  <c r="AL372" i="43"/>
  <c r="W372" i="43"/>
  <c r="V372" i="43"/>
  <c r="BG370" i="43"/>
  <c r="BF370" i="43"/>
  <c r="AV370" i="43"/>
  <c r="AM370" i="43"/>
  <c r="AL370" i="43"/>
  <c r="W370" i="43"/>
  <c r="AE370" i="43" s="1"/>
  <c r="V370" i="43"/>
  <c r="AD370" i="43" s="1"/>
  <c r="BG369" i="43"/>
  <c r="BF369" i="43"/>
  <c r="AV369" i="43"/>
  <c r="AM369" i="43"/>
  <c r="AL369" i="43"/>
  <c r="W369" i="43"/>
  <c r="AE369" i="43" s="1"/>
  <c r="V369" i="43"/>
  <c r="AD369" i="43" s="1"/>
  <c r="BG368" i="43"/>
  <c r="BF368" i="43"/>
  <c r="AV368" i="43"/>
  <c r="AM368" i="43"/>
  <c r="AL368" i="43"/>
  <c r="W368" i="43"/>
  <c r="AE368" i="43" s="1"/>
  <c r="V368" i="43"/>
  <c r="AD368" i="43" s="1"/>
  <c r="BG367" i="43"/>
  <c r="BF367" i="43"/>
  <c r="AV367" i="43"/>
  <c r="AM367" i="43"/>
  <c r="AL367" i="43"/>
  <c r="W367" i="43"/>
  <c r="AE367" i="43" s="1"/>
  <c r="V367" i="43"/>
  <c r="AD367" i="43" s="1"/>
  <c r="BG366" i="43"/>
  <c r="BF366" i="43"/>
  <c r="AV366" i="43"/>
  <c r="AM366" i="43"/>
  <c r="AL366" i="43"/>
  <c r="W366" i="43"/>
  <c r="AE366" i="43" s="1"/>
  <c r="V366" i="43"/>
  <c r="AD366" i="43" s="1"/>
  <c r="BG365" i="43"/>
  <c r="BF365" i="43"/>
  <c r="AV365" i="43"/>
  <c r="AM365" i="43"/>
  <c r="AL365" i="43"/>
  <c r="W365" i="43"/>
  <c r="V365" i="43"/>
  <c r="BG363" i="43"/>
  <c r="BF363" i="43"/>
  <c r="AV363" i="43"/>
  <c r="AM363" i="43"/>
  <c r="AL363" i="43"/>
  <c r="W363" i="43"/>
  <c r="AE363" i="43" s="1"/>
  <c r="V363" i="43"/>
  <c r="AD363" i="43" s="1"/>
  <c r="BG362" i="43"/>
  <c r="BF362" i="43"/>
  <c r="AV362" i="43"/>
  <c r="AM362" i="43"/>
  <c r="AL362" i="43"/>
  <c r="W362" i="43"/>
  <c r="AE362" i="43" s="1"/>
  <c r="V362" i="43"/>
  <c r="AD362" i="43" s="1"/>
  <c r="BG361" i="43"/>
  <c r="BF361" i="43"/>
  <c r="AV361" i="43"/>
  <c r="AM361" i="43"/>
  <c r="AL361" i="43"/>
  <c r="W361" i="43"/>
  <c r="AE361" i="43" s="1"/>
  <c r="V361" i="43"/>
  <c r="AD361" i="43" s="1"/>
  <c r="BG360" i="43"/>
  <c r="BF360" i="43"/>
  <c r="AV360" i="43"/>
  <c r="AM360" i="43"/>
  <c r="AL360" i="43"/>
  <c r="W360" i="43"/>
  <c r="V360" i="43"/>
  <c r="AD360" i="43" s="1"/>
  <c r="BG358" i="43"/>
  <c r="BF358" i="43"/>
  <c r="AV358" i="43"/>
  <c r="AM358" i="43"/>
  <c r="AL358" i="43"/>
  <c r="W358" i="43"/>
  <c r="AE358" i="43" s="1"/>
  <c r="V358" i="43"/>
  <c r="AD358" i="43" s="1"/>
  <c r="BG357" i="43"/>
  <c r="BF357" i="43"/>
  <c r="AV357" i="43"/>
  <c r="AM357" i="43"/>
  <c r="AL357" i="43"/>
  <c r="W357" i="43"/>
  <c r="AE357" i="43" s="1"/>
  <c r="V357" i="43"/>
  <c r="AD357" i="43" s="1"/>
  <c r="BG356" i="43"/>
  <c r="BF356" i="43"/>
  <c r="AV356" i="43"/>
  <c r="AM356" i="43"/>
  <c r="AL356" i="43"/>
  <c r="W356" i="43"/>
  <c r="AE356" i="43" s="1"/>
  <c r="V356" i="43"/>
  <c r="AD356" i="43" s="1"/>
  <c r="BG355" i="43"/>
  <c r="BF355" i="43"/>
  <c r="AV355" i="43"/>
  <c r="AM355" i="43"/>
  <c r="AL355" i="43"/>
  <c r="W355" i="43"/>
  <c r="AE355" i="43" s="1"/>
  <c r="V355" i="43"/>
  <c r="AD355" i="43" s="1"/>
  <c r="BG354" i="43"/>
  <c r="BF354" i="43"/>
  <c r="AV354" i="43"/>
  <c r="AM354" i="43"/>
  <c r="AL354" i="43"/>
  <c r="W354" i="43"/>
  <c r="AE354" i="43" s="1"/>
  <c r="V354" i="43"/>
  <c r="AD354" i="43" s="1"/>
  <c r="BG353" i="43"/>
  <c r="BF353" i="43"/>
  <c r="AV353" i="43"/>
  <c r="AM353" i="43"/>
  <c r="AL353" i="43"/>
  <c r="W353" i="43"/>
  <c r="V353" i="43"/>
  <c r="BG351" i="43"/>
  <c r="BF351" i="43"/>
  <c r="AV351" i="43"/>
  <c r="AM351" i="43"/>
  <c r="AL351" i="43"/>
  <c r="W351" i="43"/>
  <c r="AE351" i="43" s="1"/>
  <c r="V351" i="43"/>
  <c r="AD351" i="43" s="1"/>
  <c r="BG350" i="43"/>
  <c r="BF350" i="43"/>
  <c r="AV350" i="43"/>
  <c r="AM350" i="43"/>
  <c r="AL350" i="43"/>
  <c r="W350" i="43"/>
  <c r="AE350" i="43" s="1"/>
  <c r="V350" i="43"/>
  <c r="AD350" i="43" s="1"/>
  <c r="BG349" i="43"/>
  <c r="BF349" i="43"/>
  <c r="AV349" i="43"/>
  <c r="AM349" i="43"/>
  <c r="AL349" i="43"/>
  <c r="W349" i="43"/>
  <c r="AE349" i="43" s="1"/>
  <c r="V349" i="43"/>
  <c r="AD349" i="43" s="1"/>
  <c r="BG348" i="43"/>
  <c r="BF348" i="43"/>
  <c r="AV348" i="43"/>
  <c r="AM348" i="43"/>
  <c r="AL348" i="43"/>
  <c r="W348" i="43"/>
  <c r="AE348" i="43" s="1"/>
  <c r="V348" i="43"/>
  <c r="AD348" i="43" s="1"/>
  <c r="BG347" i="43"/>
  <c r="BF347" i="43"/>
  <c r="AV347" i="43"/>
  <c r="AM347" i="43"/>
  <c r="AL347" i="43"/>
  <c r="W347" i="43"/>
  <c r="V347" i="43"/>
  <c r="BG345" i="43"/>
  <c r="BF345" i="43"/>
  <c r="AV345" i="43"/>
  <c r="AM345" i="43"/>
  <c r="AL345" i="43"/>
  <c r="W345" i="43"/>
  <c r="AE345" i="43" s="1"/>
  <c r="V345" i="43"/>
  <c r="AD345" i="43" s="1"/>
  <c r="BG344" i="43"/>
  <c r="BF344" i="43"/>
  <c r="AV344" i="43"/>
  <c r="AM344" i="43"/>
  <c r="AL344" i="43"/>
  <c r="W344" i="43"/>
  <c r="AE344" i="43" s="1"/>
  <c r="V344" i="43"/>
  <c r="AD344" i="43" s="1"/>
  <c r="BG343" i="43"/>
  <c r="BF343" i="43"/>
  <c r="AV343" i="43"/>
  <c r="AM343" i="43"/>
  <c r="AL343" i="43"/>
  <c r="W343" i="43"/>
  <c r="AE343" i="43" s="1"/>
  <c r="V343" i="43"/>
  <c r="AD343" i="43" s="1"/>
  <c r="BG342" i="43"/>
  <c r="BF342" i="43"/>
  <c r="AV342" i="43"/>
  <c r="AM342" i="43"/>
  <c r="AL342" i="43"/>
  <c r="W342" i="43"/>
  <c r="AE342" i="43" s="1"/>
  <c r="V342" i="43"/>
  <c r="AD342" i="43" s="1"/>
  <c r="BG341" i="43"/>
  <c r="BF341" i="43"/>
  <c r="AV341" i="43"/>
  <c r="AM341" i="43"/>
  <c r="AL341" i="43"/>
  <c r="W341" i="43"/>
  <c r="AE341" i="43" s="1"/>
  <c r="V341" i="43"/>
  <c r="AD341" i="43" s="1"/>
  <c r="BG340" i="43"/>
  <c r="BF340" i="43"/>
  <c r="AV340" i="43"/>
  <c r="AM340" i="43"/>
  <c r="AL340" i="43"/>
  <c r="W340" i="43"/>
  <c r="AE340" i="43" s="1"/>
  <c r="V340" i="43"/>
  <c r="AD340" i="43" s="1"/>
  <c r="BG339" i="43"/>
  <c r="BF339" i="43"/>
  <c r="AV339" i="43"/>
  <c r="AM339" i="43"/>
  <c r="AL339" i="43"/>
  <c r="W339" i="43"/>
  <c r="AE339" i="43" s="1"/>
  <c r="V339" i="43"/>
  <c r="AD339" i="43" s="1"/>
  <c r="BG338" i="43"/>
  <c r="BF338" i="43"/>
  <c r="AV338" i="43"/>
  <c r="AM338" i="43"/>
  <c r="AL338" i="43"/>
  <c r="W338" i="43"/>
  <c r="V338" i="43"/>
  <c r="BG336" i="43"/>
  <c r="BF336" i="43"/>
  <c r="AV336" i="43"/>
  <c r="AM336" i="43"/>
  <c r="AL336" i="43"/>
  <c r="W336" i="43"/>
  <c r="AE336" i="43" s="1"/>
  <c r="V336" i="43"/>
  <c r="AD336" i="43" s="1"/>
  <c r="BG335" i="43"/>
  <c r="BF335" i="43"/>
  <c r="AV335" i="43"/>
  <c r="AM335" i="43"/>
  <c r="AL335" i="43"/>
  <c r="W335" i="43"/>
  <c r="AE335" i="43" s="1"/>
  <c r="V335" i="43"/>
  <c r="AD335" i="43" s="1"/>
  <c r="BG334" i="43"/>
  <c r="BF334" i="43"/>
  <c r="AV334" i="43"/>
  <c r="AM334" i="43"/>
  <c r="AL334" i="43"/>
  <c r="W334" i="43"/>
  <c r="AE334" i="43" s="1"/>
  <c r="V334" i="43"/>
  <c r="BG332" i="43"/>
  <c r="BF332" i="43"/>
  <c r="AV332" i="43"/>
  <c r="AM332" i="43"/>
  <c r="AL332" i="43"/>
  <c r="W332" i="43"/>
  <c r="AE332" i="43" s="1"/>
  <c r="V332" i="43"/>
  <c r="AD332" i="43" s="1"/>
  <c r="BG331" i="43"/>
  <c r="BF331" i="43"/>
  <c r="AV331" i="43"/>
  <c r="AM331" i="43"/>
  <c r="AL331" i="43"/>
  <c r="W331" i="43"/>
  <c r="AE331" i="43" s="1"/>
  <c r="V331" i="43"/>
  <c r="AD331" i="43" s="1"/>
  <c r="BG330" i="43"/>
  <c r="BF330" i="43"/>
  <c r="AV330" i="43"/>
  <c r="AM330" i="43"/>
  <c r="AL330" i="43"/>
  <c r="W330" i="43"/>
  <c r="AE330" i="43" s="1"/>
  <c r="V330" i="43"/>
  <c r="BG328" i="43"/>
  <c r="BF328" i="43"/>
  <c r="AV328" i="43"/>
  <c r="AM328" i="43"/>
  <c r="AL328" i="43"/>
  <c r="W328" i="43"/>
  <c r="AE328" i="43" s="1"/>
  <c r="V328" i="43"/>
  <c r="AD328" i="43" s="1"/>
  <c r="BG327" i="43"/>
  <c r="BF327" i="43"/>
  <c r="AV327" i="43"/>
  <c r="AM327" i="43"/>
  <c r="AL327" i="43"/>
  <c r="W327" i="43"/>
  <c r="AE327" i="43" s="1"/>
  <c r="V327" i="43"/>
  <c r="AD327" i="43" s="1"/>
  <c r="BG326" i="43"/>
  <c r="BF326" i="43"/>
  <c r="AV326" i="43"/>
  <c r="AM326" i="43"/>
  <c r="AL326" i="43"/>
  <c r="W326" i="43"/>
  <c r="V326" i="43"/>
  <c r="BG324" i="43"/>
  <c r="BG325" i="43" s="1"/>
  <c r="BF324" i="43"/>
  <c r="BF325" i="43" s="1"/>
  <c r="AV324" i="43"/>
  <c r="AV325" i="43" s="1"/>
  <c r="AM324" i="43"/>
  <c r="AM325" i="43" s="1"/>
  <c r="AL324" i="43"/>
  <c r="AL325" i="43" s="1"/>
  <c r="W324" i="43"/>
  <c r="W325" i="43" s="1"/>
  <c r="V324" i="43"/>
  <c r="BG322" i="43"/>
  <c r="BF322" i="43"/>
  <c r="AV322" i="43"/>
  <c r="AM322" i="43"/>
  <c r="AL322" i="43"/>
  <c r="W322" i="43"/>
  <c r="AE322" i="43" s="1"/>
  <c r="V322" i="43"/>
  <c r="AD322" i="43" s="1"/>
  <c r="BG321" i="43"/>
  <c r="BF321" i="43"/>
  <c r="AV321" i="43"/>
  <c r="AM321" i="43"/>
  <c r="AL321" i="43"/>
  <c r="W321" i="43"/>
  <c r="AE321" i="43" s="1"/>
  <c r="V321" i="43"/>
  <c r="AD321" i="43" s="1"/>
  <c r="BG320" i="43"/>
  <c r="BF320" i="43"/>
  <c r="AV320" i="43"/>
  <c r="AM320" i="43"/>
  <c r="AL320" i="43"/>
  <c r="W320" i="43"/>
  <c r="AE320" i="43" s="1"/>
  <c r="V320" i="43"/>
  <c r="AD320" i="43" s="1"/>
  <c r="BG319" i="43"/>
  <c r="BF319" i="43"/>
  <c r="AV319" i="43"/>
  <c r="AM319" i="43"/>
  <c r="AL319" i="43"/>
  <c r="W319" i="43"/>
  <c r="AE319" i="43" s="1"/>
  <c r="V319" i="43"/>
  <c r="AD319" i="43" s="1"/>
  <c r="BG318" i="43"/>
  <c r="BF318" i="43"/>
  <c r="AV318" i="43"/>
  <c r="AM318" i="43"/>
  <c r="AL318" i="43"/>
  <c r="W318" i="43"/>
  <c r="V318" i="43"/>
  <c r="BG316" i="43"/>
  <c r="BF316" i="43"/>
  <c r="AV316" i="43"/>
  <c r="AM316" i="43"/>
  <c r="AL316" i="43"/>
  <c r="W316" i="43"/>
  <c r="AE316" i="43" s="1"/>
  <c r="V316" i="43"/>
  <c r="AD316" i="43" s="1"/>
  <c r="BG315" i="43"/>
  <c r="BF315" i="43"/>
  <c r="AV315" i="43"/>
  <c r="AM315" i="43"/>
  <c r="AL315" i="43"/>
  <c r="W315" i="43"/>
  <c r="AE315" i="43" s="1"/>
  <c r="V315" i="43"/>
  <c r="AD315" i="43" s="1"/>
  <c r="BG314" i="43"/>
  <c r="BF314" i="43"/>
  <c r="AV314" i="43"/>
  <c r="AM314" i="43"/>
  <c r="AL314" i="43"/>
  <c r="W314" i="43"/>
  <c r="V314" i="43"/>
  <c r="BG312" i="43"/>
  <c r="BF312" i="43"/>
  <c r="AV312" i="43"/>
  <c r="AM312" i="43"/>
  <c r="AL312" i="43"/>
  <c r="W312" i="43"/>
  <c r="AE312" i="43" s="1"/>
  <c r="V312" i="43"/>
  <c r="AD312" i="43" s="1"/>
  <c r="BG311" i="43"/>
  <c r="BF311" i="43"/>
  <c r="AV311" i="43"/>
  <c r="AM311" i="43"/>
  <c r="AL311" i="43"/>
  <c r="W311" i="43"/>
  <c r="AE311" i="43" s="1"/>
  <c r="V311" i="43"/>
  <c r="AD311" i="43" s="1"/>
  <c r="BG310" i="43"/>
  <c r="BF310" i="43"/>
  <c r="AV310" i="43"/>
  <c r="AM310" i="43"/>
  <c r="AL310" i="43"/>
  <c r="W310" i="43"/>
  <c r="AE310" i="43" s="1"/>
  <c r="V310" i="43"/>
  <c r="AD310" i="43" s="1"/>
  <c r="BG309" i="43"/>
  <c r="BF309" i="43"/>
  <c r="AV309" i="43"/>
  <c r="AM309" i="43"/>
  <c r="AL309" i="43"/>
  <c r="W309" i="43"/>
  <c r="AE309" i="43" s="1"/>
  <c r="V309" i="43"/>
  <c r="AD309" i="43" s="1"/>
  <c r="BG308" i="43"/>
  <c r="BF308" i="43"/>
  <c r="AV308" i="43"/>
  <c r="AM308" i="43"/>
  <c r="AL308" i="43"/>
  <c r="W308" i="43"/>
  <c r="AE308" i="43" s="1"/>
  <c r="V308" i="43"/>
  <c r="AD308" i="43" s="1"/>
  <c r="BG307" i="43"/>
  <c r="BF307" i="43"/>
  <c r="AV307" i="43"/>
  <c r="AM307" i="43"/>
  <c r="AL307" i="43"/>
  <c r="W307" i="43"/>
  <c r="V307" i="43"/>
  <c r="BG305" i="43"/>
  <c r="BF305" i="43"/>
  <c r="AV305" i="43"/>
  <c r="AM305" i="43"/>
  <c r="AL305" i="43"/>
  <c r="W305" i="43"/>
  <c r="AE305" i="43" s="1"/>
  <c r="V305" i="43"/>
  <c r="AD305" i="43" s="1"/>
  <c r="BG304" i="43"/>
  <c r="BF304" i="43"/>
  <c r="AV304" i="43"/>
  <c r="AM304" i="43"/>
  <c r="AL304" i="43"/>
  <c r="W304" i="43"/>
  <c r="AE304" i="43" s="1"/>
  <c r="V304" i="43"/>
  <c r="AD304" i="43" s="1"/>
  <c r="BG303" i="43"/>
  <c r="BF303" i="43"/>
  <c r="AV303" i="43"/>
  <c r="AM303" i="43"/>
  <c r="AL303" i="43"/>
  <c r="W303" i="43"/>
  <c r="AE303" i="43" s="1"/>
  <c r="V303" i="43"/>
  <c r="AD303" i="43" s="1"/>
  <c r="BG302" i="43"/>
  <c r="BF302" i="43"/>
  <c r="AV302" i="43"/>
  <c r="AM302" i="43"/>
  <c r="AL302" i="43"/>
  <c r="W302" i="43"/>
  <c r="AE302" i="43" s="1"/>
  <c r="V302" i="43"/>
  <c r="AD302" i="43" s="1"/>
  <c r="BG301" i="43"/>
  <c r="BF301" i="43"/>
  <c r="AV301" i="43"/>
  <c r="AM301" i="43"/>
  <c r="AL301" i="43"/>
  <c r="W301" i="43"/>
  <c r="AE301" i="43" s="1"/>
  <c r="V301" i="43"/>
  <c r="AD301" i="43" s="1"/>
  <c r="BG300" i="43"/>
  <c r="BF300" i="43"/>
  <c r="AV300" i="43"/>
  <c r="AM300" i="43"/>
  <c r="AL300" i="43"/>
  <c r="W300" i="43"/>
  <c r="V300" i="43"/>
  <c r="BG298" i="43"/>
  <c r="BG299" i="43" s="1"/>
  <c r="BF298" i="43"/>
  <c r="AV298" i="43"/>
  <c r="AV299" i="43" s="1"/>
  <c r="AM298" i="43"/>
  <c r="AM299" i="43" s="1"/>
  <c r="AL298" i="43"/>
  <c r="W298" i="43"/>
  <c r="V298" i="43"/>
  <c r="BG296" i="43"/>
  <c r="BF296" i="43"/>
  <c r="AV296" i="43"/>
  <c r="AM296" i="43"/>
  <c r="AL296" i="43"/>
  <c r="W296" i="43"/>
  <c r="AE296" i="43" s="1"/>
  <c r="V296" i="43"/>
  <c r="AD296" i="43" s="1"/>
  <c r="BG295" i="43"/>
  <c r="BF295" i="43"/>
  <c r="AV295" i="43"/>
  <c r="AM295" i="43"/>
  <c r="AL295" i="43"/>
  <c r="W295" i="43"/>
  <c r="AE295" i="43" s="1"/>
  <c r="V295" i="43"/>
  <c r="AD295" i="43" s="1"/>
  <c r="BG294" i="43"/>
  <c r="BF294" i="43"/>
  <c r="AV294" i="43"/>
  <c r="AM294" i="43"/>
  <c r="AL294" i="43"/>
  <c r="W294" i="43"/>
  <c r="AE294" i="43" s="1"/>
  <c r="V294" i="43"/>
  <c r="AD294" i="43" s="1"/>
  <c r="BG293" i="43"/>
  <c r="BF293" i="43"/>
  <c r="AV293" i="43"/>
  <c r="AM293" i="43"/>
  <c r="AL293" i="43"/>
  <c r="W293" i="43"/>
  <c r="AE293" i="43" s="1"/>
  <c r="V293" i="43"/>
  <c r="AD293" i="43" s="1"/>
  <c r="BG292" i="43"/>
  <c r="BF292" i="43"/>
  <c r="AV292" i="43"/>
  <c r="AM292" i="43"/>
  <c r="AL292" i="43"/>
  <c r="W292" i="43"/>
  <c r="AE292" i="43" s="1"/>
  <c r="V292" i="43"/>
  <c r="AD292" i="43" s="1"/>
  <c r="BG291" i="43"/>
  <c r="BF291" i="43"/>
  <c r="AV291" i="43"/>
  <c r="AM291" i="43"/>
  <c r="AL291" i="43"/>
  <c r="W291" i="43"/>
  <c r="AE291" i="43" s="1"/>
  <c r="V291" i="43"/>
  <c r="AD291" i="43" s="1"/>
  <c r="BG290" i="43"/>
  <c r="BF290" i="43"/>
  <c r="AV290" i="43"/>
  <c r="AM290" i="43"/>
  <c r="AL290" i="43"/>
  <c r="W290" i="43"/>
  <c r="V290" i="43"/>
  <c r="BG288" i="43"/>
  <c r="BF288" i="43"/>
  <c r="AV288" i="43"/>
  <c r="AM288" i="43"/>
  <c r="AL288" i="43"/>
  <c r="W288" i="43"/>
  <c r="AE288" i="43" s="1"/>
  <c r="V288" i="43"/>
  <c r="AD288" i="43" s="1"/>
  <c r="BG287" i="43"/>
  <c r="BF287" i="43"/>
  <c r="AV287" i="43"/>
  <c r="AM287" i="43"/>
  <c r="AL287" i="43"/>
  <c r="W287" i="43"/>
  <c r="AE287" i="43" s="1"/>
  <c r="V287" i="43"/>
  <c r="AD287" i="43" s="1"/>
  <c r="BG286" i="43"/>
  <c r="BF286" i="43"/>
  <c r="AV286" i="43"/>
  <c r="AM286" i="43"/>
  <c r="AL286" i="43"/>
  <c r="W286" i="43"/>
  <c r="AE286" i="43" s="1"/>
  <c r="V286" i="43"/>
  <c r="AD286" i="43" s="1"/>
  <c r="BG285" i="43"/>
  <c r="BF285" i="43"/>
  <c r="AV285" i="43"/>
  <c r="AM285" i="43"/>
  <c r="AL285" i="43"/>
  <c r="W285" i="43"/>
  <c r="V285" i="43"/>
  <c r="BG283" i="43"/>
  <c r="BF283" i="43"/>
  <c r="AV283" i="43"/>
  <c r="AM283" i="43"/>
  <c r="AL283" i="43"/>
  <c r="W283" i="43"/>
  <c r="AE283" i="43" s="1"/>
  <c r="V283" i="43"/>
  <c r="AD283" i="43" s="1"/>
  <c r="BG282" i="43"/>
  <c r="BF282" i="43"/>
  <c r="AV282" i="43"/>
  <c r="AM282" i="43"/>
  <c r="AL282" i="43"/>
  <c r="W282" i="43"/>
  <c r="AE282" i="43" s="1"/>
  <c r="V282" i="43"/>
  <c r="AD282" i="43" s="1"/>
  <c r="BG281" i="43"/>
  <c r="BF281" i="43"/>
  <c r="AV281" i="43"/>
  <c r="AM281" i="43"/>
  <c r="AL281" i="43"/>
  <c r="W281" i="43"/>
  <c r="AE281" i="43" s="1"/>
  <c r="V281" i="43"/>
  <c r="AD281" i="43" s="1"/>
  <c r="BG280" i="43"/>
  <c r="BF280" i="43"/>
  <c r="AV280" i="43"/>
  <c r="AM280" i="43"/>
  <c r="AL280" i="43"/>
  <c r="W280" i="43"/>
  <c r="AE280" i="43" s="1"/>
  <c r="V280" i="43"/>
  <c r="AD280" i="43" s="1"/>
  <c r="BG279" i="43"/>
  <c r="BF279" i="43"/>
  <c r="AV279" i="43"/>
  <c r="AM279" i="43"/>
  <c r="AL279" i="43"/>
  <c r="W279" i="43"/>
  <c r="AE279" i="43" s="1"/>
  <c r="V279" i="43"/>
  <c r="AD279" i="43" s="1"/>
  <c r="BG278" i="43"/>
  <c r="BF278" i="43"/>
  <c r="AV278" i="43"/>
  <c r="AM278" i="43"/>
  <c r="AL278" i="43"/>
  <c r="W278" i="43"/>
  <c r="V278" i="43"/>
  <c r="BG276" i="43"/>
  <c r="BF276" i="43"/>
  <c r="AV276" i="43"/>
  <c r="AM276" i="43"/>
  <c r="AL276" i="43"/>
  <c r="W276" i="43"/>
  <c r="AE276" i="43" s="1"/>
  <c r="V276" i="43"/>
  <c r="AD276" i="43" s="1"/>
  <c r="BG275" i="43"/>
  <c r="BF275" i="43"/>
  <c r="AV275" i="43"/>
  <c r="AM275" i="43"/>
  <c r="AL275" i="43"/>
  <c r="W275" i="43"/>
  <c r="AE275" i="43" s="1"/>
  <c r="V275" i="43"/>
  <c r="AD275" i="43" s="1"/>
  <c r="BG274" i="43"/>
  <c r="BF274" i="43"/>
  <c r="AV274" i="43"/>
  <c r="AM274" i="43"/>
  <c r="AL274" i="43"/>
  <c r="W274" i="43"/>
  <c r="V274" i="43"/>
  <c r="AD274" i="43" s="1"/>
  <c r="BG272" i="43"/>
  <c r="BF272" i="43"/>
  <c r="AV272" i="43"/>
  <c r="AM272" i="43"/>
  <c r="AL272" i="43"/>
  <c r="W272" i="43"/>
  <c r="AE272" i="43" s="1"/>
  <c r="V272" i="43"/>
  <c r="AD272" i="43" s="1"/>
  <c r="BG271" i="43"/>
  <c r="BF271" i="43"/>
  <c r="AV271" i="43"/>
  <c r="AM271" i="43"/>
  <c r="AL271" i="43"/>
  <c r="W271" i="43"/>
  <c r="AE271" i="43" s="1"/>
  <c r="V271" i="43"/>
  <c r="AD271" i="43" s="1"/>
  <c r="BG270" i="43"/>
  <c r="BF270" i="43"/>
  <c r="AV270" i="43"/>
  <c r="AM270" i="43"/>
  <c r="AL270" i="43"/>
  <c r="W270" i="43"/>
  <c r="AE270" i="43" s="1"/>
  <c r="V270" i="43"/>
  <c r="AD270" i="43" s="1"/>
  <c r="BG269" i="43"/>
  <c r="BF269" i="43"/>
  <c r="AV269" i="43"/>
  <c r="AM269" i="43"/>
  <c r="AL269" i="43"/>
  <c r="W269" i="43"/>
  <c r="AE269" i="43" s="1"/>
  <c r="V269" i="43"/>
  <c r="AD269" i="43" s="1"/>
  <c r="BG268" i="43"/>
  <c r="BF268" i="43"/>
  <c r="AV268" i="43"/>
  <c r="AM268" i="43"/>
  <c r="AL268" i="43"/>
  <c r="W268" i="43"/>
  <c r="V268" i="43"/>
  <c r="BG266" i="43"/>
  <c r="BF266" i="43"/>
  <c r="AV266" i="43"/>
  <c r="AM266" i="43"/>
  <c r="AL266" i="43"/>
  <c r="W266" i="43"/>
  <c r="AE266" i="43" s="1"/>
  <c r="V266" i="43"/>
  <c r="AD266" i="43" s="1"/>
  <c r="BG265" i="43"/>
  <c r="BF265" i="43"/>
  <c r="AV265" i="43"/>
  <c r="AM265" i="43"/>
  <c r="AL265" i="43"/>
  <c r="W265" i="43"/>
  <c r="AE265" i="43" s="1"/>
  <c r="V265" i="43"/>
  <c r="AD265" i="43" s="1"/>
  <c r="BG264" i="43"/>
  <c r="BF264" i="43"/>
  <c r="AV264" i="43"/>
  <c r="AM264" i="43"/>
  <c r="AL264" i="43"/>
  <c r="W264" i="43"/>
  <c r="V264" i="43"/>
  <c r="AD264" i="43" s="1"/>
  <c r="BG262" i="43"/>
  <c r="BF262" i="43"/>
  <c r="AV262" i="43"/>
  <c r="AM262" i="43"/>
  <c r="AL262" i="43"/>
  <c r="W262" i="43"/>
  <c r="AE262" i="43" s="1"/>
  <c r="V262" i="43"/>
  <c r="AD262" i="43" s="1"/>
  <c r="BG261" i="43"/>
  <c r="BF261" i="43"/>
  <c r="AV261" i="43"/>
  <c r="AM261" i="43"/>
  <c r="AL261" i="43"/>
  <c r="W261" i="43"/>
  <c r="AE261" i="43" s="1"/>
  <c r="V261" i="43"/>
  <c r="AD261" i="43" s="1"/>
  <c r="BG260" i="43"/>
  <c r="BF260" i="43"/>
  <c r="AV260" i="43"/>
  <c r="AM260" i="43"/>
  <c r="AL260" i="43"/>
  <c r="W260" i="43"/>
  <c r="V260" i="43"/>
  <c r="BG258" i="43"/>
  <c r="BG259" i="43" s="1"/>
  <c r="BF258" i="43"/>
  <c r="AV258" i="43"/>
  <c r="AV259" i="43" s="1"/>
  <c r="AM258" i="43"/>
  <c r="AM259" i="43" s="1"/>
  <c r="AL258" i="43"/>
  <c r="AL259" i="43" s="1"/>
  <c r="W258" i="43"/>
  <c r="V258" i="43"/>
  <c r="BG256" i="43"/>
  <c r="BF256" i="43"/>
  <c r="AV256" i="43"/>
  <c r="AM256" i="43"/>
  <c r="AL256" i="43"/>
  <c r="W256" i="43"/>
  <c r="AE256" i="43" s="1"/>
  <c r="V256" i="43"/>
  <c r="AD256" i="43" s="1"/>
  <c r="BG255" i="43"/>
  <c r="BF255" i="43"/>
  <c r="AV255" i="43"/>
  <c r="AM255" i="43"/>
  <c r="AL255" i="43"/>
  <c r="W255" i="43"/>
  <c r="AE255" i="43" s="1"/>
  <c r="V255" i="43"/>
  <c r="AD255" i="43" s="1"/>
  <c r="BG254" i="43"/>
  <c r="BF254" i="43"/>
  <c r="AV254" i="43"/>
  <c r="AM254" i="43"/>
  <c r="AL254" i="43"/>
  <c r="W254" i="43"/>
  <c r="AE254" i="43" s="1"/>
  <c r="V254" i="43"/>
  <c r="AD254" i="43" s="1"/>
  <c r="BG253" i="43"/>
  <c r="BF253" i="43"/>
  <c r="AV253" i="43"/>
  <c r="AM253" i="43"/>
  <c r="AL253" i="43"/>
  <c r="W253" i="43"/>
  <c r="AE253" i="43" s="1"/>
  <c r="V253" i="43"/>
  <c r="AD253" i="43" s="1"/>
  <c r="BG252" i="43"/>
  <c r="BF252" i="43"/>
  <c r="AV252" i="43"/>
  <c r="AM252" i="43"/>
  <c r="AL252" i="43"/>
  <c r="W252" i="43"/>
  <c r="AE252" i="43" s="1"/>
  <c r="V252" i="43"/>
  <c r="AD252" i="43" s="1"/>
  <c r="BG251" i="43"/>
  <c r="BF251" i="43"/>
  <c r="AV251" i="43"/>
  <c r="AM251" i="43"/>
  <c r="AL251" i="43"/>
  <c r="W251" i="43"/>
  <c r="V251" i="43"/>
  <c r="BG249" i="43"/>
  <c r="BF249" i="43"/>
  <c r="AV249" i="43"/>
  <c r="AM249" i="43"/>
  <c r="AL249" i="43"/>
  <c r="W249" i="43"/>
  <c r="AE249" i="43" s="1"/>
  <c r="V249" i="43"/>
  <c r="AD249" i="43" s="1"/>
  <c r="BG248" i="43"/>
  <c r="BF248" i="43"/>
  <c r="AV248" i="43"/>
  <c r="AM248" i="43"/>
  <c r="AL248" i="43"/>
  <c r="W248" i="43"/>
  <c r="AE248" i="43" s="1"/>
  <c r="V248" i="43"/>
  <c r="AD248" i="43" s="1"/>
  <c r="BG247" i="43"/>
  <c r="BF247" i="43"/>
  <c r="AV247" i="43"/>
  <c r="AM247" i="43"/>
  <c r="AL247" i="43"/>
  <c r="W247" i="43"/>
  <c r="AE247" i="43" s="1"/>
  <c r="V247" i="43"/>
  <c r="AD247" i="43" s="1"/>
  <c r="BG246" i="43"/>
  <c r="BF246" i="43"/>
  <c r="AV246" i="43"/>
  <c r="AM246" i="43"/>
  <c r="AL246" i="43"/>
  <c r="W246" i="43"/>
  <c r="AE246" i="43" s="1"/>
  <c r="V246" i="43"/>
  <c r="AD246" i="43" s="1"/>
  <c r="BG245" i="43"/>
  <c r="BF245" i="43"/>
  <c r="AV245" i="43"/>
  <c r="AM245" i="43"/>
  <c r="AL245" i="43"/>
  <c r="W245" i="43"/>
  <c r="V245" i="43"/>
  <c r="BG243" i="43"/>
  <c r="BF243" i="43"/>
  <c r="AV243" i="43"/>
  <c r="AM243" i="43"/>
  <c r="AL243" i="43"/>
  <c r="W243" i="43"/>
  <c r="AE243" i="43" s="1"/>
  <c r="V243" i="43"/>
  <c r="AD243" i="43" s="1"/>
  <c r="BG242" i="43"/>
  <c r="BF242" i="43"/>
  <c r="AV242" i="43"/>
  <c r="AM242" i="43"/>
  <c r="AL242" i="43"/>
  <c r="W242" i="43"/>
  <c r="AE242" i="43" s="1"/>
  <c r="V242" i="43"/>
  <c r="AD242" i="43" s="1"/>
  <c r="BG241" i="43"/>
  <c r="BF241" i="43"/>
  <c r="AV241" i="43"/>
  <c r="AM241" i="43"/>
  <c r="AL241" i="43"/>
  <c r="W241" i="43"/>
  <c r="AE241" i="43" s="1"/>
  <c r="V241" i="43"/>
  <c r="AD241" i="43" s="1"/>
  <c r="BG240" i="43"/>
  <c r="BF240" i="43"/>
  <c r="AV240" i="43"/>
  <c r="AM240" i="43"/>
  <c r="AL240" i="43"/>
  <c r="W240" i="43"/>
  <c r="AE240" i="43" s="1"/>
  <c r="V240" i="43"/>
  <c r="AD240" i="43" s="1"/>
  <c r="BG239" i="43"/>
  <c r="BF239" i="43"/>
  <c r="AV239" i="43"/>
  <c r="AM239" i="43"/>
  <c r="AL239" i="43"/>
  <c r="W239" i="43"/>
  <c r="V239" i="43"/>
  <c r="BG237" i="43"/>
  <c r="BF237" i="43"/>
  <c r="AV237" i="43"/>
  <c r="AM237" i="43"/>
  <c r="AL237" i="43"/>
  <c r="W237" i="43"/>
  <c r="AE237" i="43" s="1"/>
  <c r="V237" i="43"/>
  <c r="AD237" i="43" s="1"/>
  <c r="BG236" i="43"/>
  <c r="BF236" i="43"/>
  <c r="AV236" i="43"/>
  <c r="AM236" i="43"/>
  <c r="AL236" i="43"/>
  <c r="W236" i="43"/>
  <c r="AE236" i="43" s="1"/>
  <c r="V236" i="43"/>
  <c r="AD236" i="43" s="1"/>
  <c r="BG235" i="43"/>
  <c r="BF235" i="43"/>
  <c r="AV235" i="43"/>
  <c r="AM235" i="43"/>
  <c r="AL235" i="43"/>
  <c r="W235" i="43"/>
  <c r="AE235" i="43" s="1"/>
  <c r="V235" i="43"/>
  <c r="AD235" i="43" s="1"/>
  <c r="BG234" i="43"/>
  <c r="BF234" i="43"/>
  <c r="AV234" i="43"/>
  <c r="AM234" i="43"/>
  <c r="AL234" i="43"/>
  <c r="W234" i="43"/>
  <c r="AE234" i="43" s="1"/>
  <c r="V234" i="43"/>
  <c r="AD234" i="43" s="1"/>
  <c r="BG233" i="43"/>
  <c r="BF233" i="43"/>
  <c r="AV233" i="43"/>
  <c r="AM233" i="43"/>
  <c r="AL233" i="43"/>
  <c r="W233" i="43"/>
  <c r="V233" i="43"/>
  <c r="BG231" i="43"/>
  <c r="BF231" i="43"/>
  <c r="AV231" i="43"/>
  <c r="AM231" i="43"/>
  <c r="AL231" i="43"/>
  <c r="W231" i="43"/>
  <c r="AE231" i="43" s="1"/>
  <c r="V231" i="43"/>
  <c r="AD231" i="43" s="1"/>
  <c r="BG230" i="43"/>
  <c r="BF230" i="43"/>
  <c r="AV230" i="43"/>
  <c r="AM230" i="43"/>
  <c r="AL230" i="43"/>
  <c r="W230" i="43"/>
  <c r="AE230" i="43" s="1"/>
  <c r="V230" i="43"/>
  <c r="AD230" i="43" s="1"/>
  <c r="BG229" i="43"/>
  <c r="BF229" i="43"/>
  <c r="AV229" i="43"/>
  <c r="AM229" i="43"/>
  <c r="AL229" i="43"/>
  <c r="W229" i="43"/>
  <c r="AE229" i="43" s="1"/>
  <c r="V229" i="43"/>
  <c r="AD229" i="43" s="1"/>
  <c r="BG228" i="43"/>
  <c r="BF228" i="43"/>
  <c r="AV228" i="43"/>
  <c r="AM228" i="43"/>
  <c r="AL228" i="43"/>
  <c r="W228" i="43"/>
  <c r="AE228" i="43" s="1"/>
  <c r="V228" i="43"/>
  <c r="AD228" i="43" s="1"/>
  <c r="BG227" i="43"/>
  <c r="BF227" i="43"/>
  <c r="AV227" i="43"/>
  <c r="AM227" i="43"/>
  <c r="AL227" i="43"/>
  <c r="W227" i="43"/>
  <c r="V227" i="43"/>
  <c r="BG225" i="43"/>
  <c r="BF225" i="43"/>
  <c r="AV225" i="43"/>
  <c r="AM225" i="43"/>
  <c r="AL225" i="43"/>
  <c r="W225" i="43"/>
  <c r="AE225" i="43" s="1"/>
  <c r="V225" i="43"/>
  <c r="AD225" i="43" s="1"/>
  <c r="BG224" i="43"/>
  <c r="BF224" i="43"/>
  <c r="AV224" i="43"/>
  <c r="AM224" i="43"/>
  <c r="AL224" i="43"/>
  <c r="W224" i="43"/>
  <c r="AE224" i="43" s="1"/>
  <c r="V224" i="43"/>
  <c r="AD224" i="43" s="1"/>
  <c r="BG223" i="43"/>
  <c r="BF223" i="43"/>
  <c r="AV223" i="43"/>
  <c r="AM223" i="43"/>
  <c r="AL223" i="43"/>
  <c r="W223" i="43"/>
  <c r="AE223" i="43" s="1"/>
  <c r="V223" i="43"/>
  <c r="AD223" i="43" s="1"/>
  <c r="BG222" i="43"/>
  <c r="BF222" i="43"/>
  <c r="AV222" i="43"/>
  <c r="AM222" i="43"/>
  <c r="AL222" i="43"/>
  <c r="W222" i="43"/>
  <c r="AE222" i="43" s="1"/>
  <c r="V222" i="43"/>
  <c r="AD222" i="43" s="1"/>
  <c r="BG221" i="43"/>
  <c r="BF221" i="43"/>
  <c r="AV221" i="43"/>
  <c r="AM221" i="43"/>
  <c r="AL221" i="43"/>
  <c r="W221" i="43"/>
  <c r="V221" i="43"/>
  <c r="BG219" i="43"/>
  <c r="BF219" i="43"/>
  <c r="AV219" i="43"/>
  <c r="AM219" i="43"/>
  <c r="AL219" i="43"/>
  <c r="W219" i="43"/>
  <c r="AE219" i="43" s="1"/>
  <c r="V219" i="43"/>
  <c r="AD219" i="43" s="1"/>
  <c r="BG218" i="43"/>
  <c r="BF218" i="43"/>
  <c r="AV218" i="43"/>
  <c r="AM218" i="43"/>
  <c r="AL218" i="43"/>
  <c r="W218" i="43"/>
  <c r="AE218" i="43" s="1"/>
  <c r="V218" i="43"/>
  <c r="AD218" i="43" s="1"/>
  <c r="BG217" i="43"/>
  <c r="BF217" i="43"/>
  <c r="AV217" i="43"/>
  <c r="AM217" i="43"/>
  <c r="AL217" i="43"/>
  <c r="W217" i="43"/>
  <c r="AE217" i="43" s="1"/>
  <c r="V217" i="43"/>
  <c r="AD217" i="43" s="1"/>
  <c r="BG216" i="43"/>
  <c r="BF216" i="43"/>
  <c r="AV216" i="43"/>
  <c r="AM216" i="43"/>
  <c r="AL216" i="43"/>
  <c r="W216" i="43"/>
  <c r="AE216" i="43" s="1"/>
  <c r="V216" i="43"/>
  <c r="AD216" i="43" s="1"/>
  <c r="BG215" i="43"/>
  <c r="BF215" i="43"/>
  <c r="AV215" i="43"/>
  <c r="AM215" i="43"/>
  <c r="AL215" i="43"/>
  <c r="W215" i="43"/>
  <c r="V215" i="43"/>
  <c r="AD215" i="43" s="1"/>
  <c r="BG213" i="43"/>
  <c r="BF213" i="43"/>
  <c r="AV213" i="43"/>
  <c r="AM213" i="43"/>
  <c r="AL213" i="43"/>
  <c r="W213" i="43"/>
  <c r="AE213" i="43" s="1"/>
  <c r="V213" i="43"/>
  <c r="AD213" i="43" s="1"/>
  <c r="BG212" i="43"/>
  <c r="BF212" i="43"/>
  <c r="AV212" i="43"/>
  <c r="AM212" i="43"/>
  <c r="AL212" i="43"/>
  <c r="W212" i="43"/>
  <c r="AE212" i="43" s="1"/>
  <c r="V212" i="43"/>
  <c r="AD212" i="43" s="1"/>
  <c r="BG211" i="43"/>
  <c r="BF211" i="43"/>
  <c r="AV211" i="43"/>
  <c r="AM211" i="43"/>
  <c r="AL211" i="43"/>
  <c r="W211" i="43"/>
  <c r="AE211" i="43" s="1"/>
  <c r="V211" i="43"/>
  <c r="AD211" i="43" s="1"/>
  <c r="BG210" i="43"/>
  <c r="BF210" i="43"/>
  <c r="AV210" i="43"/>
  <c r="AM210" i="43"/>
  <c r="AL210" i="43"/>
  <c r="W210" i="43"/>
  <c r="AE210" i="43" s="1"/>
  <c r="V210" i="43"/>
  <c r="AD210" i="43" s="1"/>
  <c r="BG209" i="43"/>
  <c r="BF209" i="43"/>
  <c r="AV209" i="43"/>
  <c r="AM209" i="43"/>
  <c r="AL209" i="43"/>
  <c r="W209" i="43"/>
  <c r="AE209" i="43" s="1"/>
  <c r="V209" i="43"/>
  <c r="AD209" i="43" s="1"/>
  <c r="BG208" i="43"/>
  <c r="BF208" i="43"/>
  <c r="AV208" i="43"/>
  <c r="AM208" i="43"/>
  <c r="AL208" i="43"/>
  <c r="W208" i="43"/>
  <c r="V208" i="43"/>
  <c r="BG206" i="43"/>
  <c r="BF206" i="43"/>
  <c r="AV206" i="43"/>
  <c r="AM206" i="43"/>
  <c r="AL206" i="43"/>
  <c r="W206" i="43"/>
  <c r="AE206" i="43" s="1"/>
  <c r="V206" i="43"/>
  <c r="AD206" i="43" s="1"/>
  <c r="BG205" i="43"/>
  <c r="BF205" i="43"/>
  <c r="AV205" i="43"/>
  <c r="AM205" i="43"/>
  <c r="AL205" i="43"/>
  <c r="W205" i="43"/>
  <c r="AE205" i="43" s="1"/>
  <c r="V205" i="43"/>
  <c r="AD205" i="43" s="1"/>
  <c r="BG204" i="43"/>
  <c r="BF204" i="43"/>
  <c r="AV204" i="43"/>
  <c r="AM204" i="43"/>
  <c r="AL204" i="43"/>
  <c r="W204" i="43"/>
  <c r="AE204" i="43" s="1"/>
  <c r="V204" i="43"/>
  <c r="AD204" i="43" s="1"/>
  <c r="BG203" i="43"/>
  <c r="BF203" i="43"/>
  <c r="AV203" i="43"/>
  <c r="AM203" i="43"/>
  <c r="AL203" i="43"/>
  <c r="W203" i="43"/>
  <c r="AE203" i="43" s="1"/>
  <c r="V203" i="43"/>
  <c r="AD203" i="43" s="1"/>
  <c r="BG202" i="43"/>
  <c r="BF202" i="43"/>
  <c r="AV202" i="43"/>
  <c r="AM202" i="43"/>
  <c r="AL202" i="43"/>
  <c r="W202" i="43"/>
  <c r="AE202" i="43" s="1"/>
  <c r="V202" i="43"/>
  <c r="BG200" i="43"/>
  <c r="BF200" i="43"/>
  <c r="AV200" i="43"/>
  <c r="AM200" i="43"/>
  <c r="AL200" i="43"/>
  <c r="W200" i="43"/>
  <c r="AE200" i="43" s="1"/>
  <c r="V200" i="43"/>
  <c r="AD200" i="43" s="1"/>
  <c r="BG199" i="43"/>
  <c r="BF199" i="43"/>
  <c r="AV199" i="43"/>
  <c r="AM199" i="43"/>
  <c r="AL199" i="43"/>
  <c r="W199" i="43"/>
  <c r="AE199" i="43" s="1"/>
  <c r="V199" i="43"/>
  <c r="AD199" i="43" s="1"/>
  <c r="BG198" i="43"/>
  <c r="BF198" i="43"/>
  <c r="AV198" i="43"/>
  <c r="AM198" i="43"/>
  <c r="AL198" i="43"/>
  <c r="W198" i="43"/>
  <c r="AE198" i="43" s="1"/>
  <c r="V198" i="43"/>
  <c r="AD198" i="43" s="1"/>
  <c r="BG197" i="43"/>
  <c r="BF197" i="43"/>
  <c r="AV197" i="43"/>
  <c r="AM197" i="43"/>
  <c r="AL197" i="43"/>
  <c r="W197" i="43"/>
  <c r="AE197" i="43" s="1"/>
  <c r="V197" i="43"/>
  <c r="AD197" i="43" s="1"/>
  <c r="BG196" i="43"/>
  <c r="BF196" i="43"/>
  <c r="AV196" i="43"/>
  <c r="AM196" i="43"/>
  <c r="AL196" i="43"/>
  <c r="W196" i="43"/>
  <c r="V196" i="43"/>
  <c r="BG194" i="43"/>
  <c r="BF194" i="43"/>
  <c r="AV194" i="43"/>
  <c r="AM194" i="43"/>
  <c r="AL194" i="43"/>
  <c r="W194" i="43"/>
  <c r="AE194" i="43" s="1"/>
  <c r="V194" i="43"/>
  <c r="AD194" i="43" s="1"/>
  <c r="BG193" i="43"/>
  <c r="BF193" i="43"/>
  <c r="AV193" i="43"/>
  <c r="AM193" i="43"/>
  <c r="AL193" i="43"/>
  <c r="W193" i="43"/>
  <c r="AE193" i="43" s="1"/>
  <c r="V193" i="43"/>
  <c r="AD193" i="43" s="1"/>
  <c r="BG192" i="43"/>
  <c r="BF192" i="43"/>
  <c r="AV192" i="43"/>
  <c r="AM192" i="43"/>
  <c r="AL192" i="43"/>
  <c r="W192" i="43"/>
  <c r="AE192" i="43" s="1"/>
  <c r="V192" i="43"/>
  <c r="AD192" i="43" s="1"/>
  <c r="BG191" i="43"/>
  <c r="BF191" i="43"/>
  <c r="AV191" i="43"/>
  <c r="AM191" i="43"/>
  <c r="AL191" i="43"/>
  <c r="W191" i="43"/>
  <c r="AE191" i="43" s="1"/>
  <c r="V191" i="43"/>
  <c r="AD191" i="43" s="1"/>
  <c r="BG190" i="43"/>
  <c r="BF190" i="43"/>
  <c r="AV190" i="43"/>
  <c r="AM190" i="43"/>
  <c r="AL190" i="43"/>
  <c r="W190" i="43"/>
  <c r="AE190" i="43" s="1"/>
  <c r="V190" i="43"/>
  <c r="AD190" i="43" s="1"/>
  <c r="BG189" i="43"/>
  <c r="BF189" i="43"/>
  <c r="AV189" i="43"/>
  <c r="AM189" i="43"/>
  <c r="AL189" i="43"/>
  <c r="W189" i="43"/>
  <c r="V189" i="43"/>
  <c r="BG187" i="43"/>
  <c r="BF187" i="43"/>
  <c r="AV187" i="43"/>
  <c r="AM187" i="43"/>
  <c r="AL187" i="43"/>
  <c r="W187" i="43"/>
  <c r="AE187" i="43" s="1"/>
  <c r="V187" i="43"/>
  <c r="AD187" i="43" s="1"/>
  <c r="BG186" i="43"/>
  <c r="BF186" i="43"/>
  <c r="AV186" i="43"/>
  <c r="AM186" i="43"/>
  <c r="AL186" i="43"/>
  <c r="W186" i="43"/>
  <c r="AE186" i="43" s="1"/>
  <c r="V186" i="43"/>
  <c r="AD186" i="43" s="1"/>
  <c r="BG185" i="43"/>
  <c r="BF185" i="43"/>
  <c r="AV185" i="43"/>
  <c r="AM185" i="43"/>
  <c r="AL185" i="43"/>
  <c r="W185" i="43"/>
  <c r="AE185" i="43" s="1"/>
  <c r="V185" i="43"/>
  <c r="AD185" i="43" s="1"/>
  <c r="BG184" i="43"/>
  <c r="BF184" i="43"/>
  <c r="AV184" i="43"/>
  <c r="AM184" i="43"/>
  <c r="AL184" i="43"/>
  <c r="W184" i="43"/>
  <c r="AE184" i="43" s="1"/>
  <c r="V184" i="43"/>
  <c r="AD184" i="43" s="1"/>
  <c r="BG183" i="43"/>
  <c r="BF183" i="43"/>
  <c r="AV183" i="43"/>
  <c r="AM183" i="43"/>
  <c r="AL183" i="43"/>
  <c r="W183" i="43"/>
  <c r="AE183" i="43" s="1"/>
  <c r="V183" i="43"/>
  <c r="AD183" i="43" s="1"/>
  <c r="BG182" i="43"/>
  <c r="BF182" i="43"/>
  <c r="AV182" i="43"/>
  <c r="AM182" i="43"/>
  <c r="AL182" i="43"/>
  <c r="W182" i="43"/>
  <c r="V182" i="43"/>
  <c r="BG180" i="43"/>
  <c r="BF180" i="43"/>
  <c r="AV180" i="43"/>
  <c r="AM180" i="43"/>
  <c r="AL180" i="43"/>
  <c r="W180" i="43"/>
  <c r="AE180" i="43" s="1"/>
  <c r="V180" i="43"/>
  <c r="AD180" i="43" s="1"/>
  <c r="BG179" i="43"/>
  <c r="BF179" i="43"/>
  <c r="AV179" i="43"/>
  <c r="AM179" i="43"/>
  <c r="AL179" i="43"/>
  <c r="W179" i="43"/>
  <c r="AE179" i="43" s="1"/>
  <c r="V179" i="43"/>
  <c r="AD179" i="43" s="1"/>
  <c r="BG178" i="43"/>
  <c r="BF178" i="43"/>
  <c r="AV178" i="43"/>
  <c r="AM178" i="43"/>
  <c r="AL178" i="43"/>
  <c r="W178" i="43"/>
  <c r="AE178" i="43" s="1"/>
  <c r="V178" i="43"/>
  <c r="AD178" i="43" s="1"/>
  <c r="BG177" i="43"/>
  <c r="BF177" i="43"/>
  <c r="AV177" i="43"/>
  <c r="AM177" i="43"/>
  <c r="AL177" i="43"/>
  <c r="W177" i="43"/>
  <c r="AE177" i="43" s="1"/>
  <c r="V177" i="43"/>
  <c r="AD177" i="43" s="1"/>
  <c r="BG176" i="43"/>
  <c r="BF176" i="43"/>
  <c r="AV176" i="43"/>
  <c r="AM176" i="43"/>
  <c r="AL176" i="43"/>
  <c r="W176" i="43"/>
  <c r="V176" i="43"/>
  <c r="BG174" i="43"/>
  <c r="BF174" i="43"/>
  <c r="AV174" i="43"/>
  <c r="AM174" i="43"/>
  <c r="AL174" i="43"/>
  <c r="W174" i="43"/>
  <c r="AE174" i="43" s="1"/>
  <c r="V174" i="43"/>
  <c r="AD174" i="43" s="1"/>
  <c r="BG173" i="43"/>
  <c r="BF173" i="43"/>
  <c r="AV173" i="43"/>
  <c r="AM173" i="43"/>
  <c r="AL173" i="43"/>
  <c r="W173" i="43"/>
  <c r="AE173" i="43" s="1"/>
  <c r="V173" i="43"/>
  <c r="AD173" i="43" s="1"/>
  <c r="BG172" i="43"/>
  <c r="BF172" i="43"/>
  <c r="AV172" i="43"/>
  <c r="AM172" i="43"/>
  <c r="AL172" i="43"/>
  <c r="W172" i="43"/>
  <c r="AE172" i="43" s="1"/>
  <c r="V172" i="43"/>
  <c r="AD172" i="43" s="1"/>
  <c r="BG171" i="43"/>
  <c r="BF171" i="43"/>
  <c r="AV171" i="43"/>
  <c r="AM171" i="43"/>
  <c r="AL171" i="43"/>
  <c r="W171" i="43"/>
  <c r="AE171" i="43" s="1"/>
  <c r="V171" i="43"/>
  <c r="AD171" i="43" s="1"/>
  <c r="BG170" i="43"/>
  <c r="BF170" i="43"/>
  <c r="AV170" i="43"/>
  <c r="AM170" i="43"/>
  <c r="AL170" i="43"/>
  <c r="W170" i="43"/>
  <c r="V170" i="43"/>
  <c r="BG168" i="43"/>
  <c r="BF168" i="43"/>
  <c r="AV168" i="43"/>
  <c r="AM168" i="43"/>
  <c r="AL168" i="43"/>
  <c r="W168" i="43"/>
  <c r="AE168" i="43" s="1"/>
  <c r="V168" i="43"/>
  <c r="AD168" i="43" s="1"/>
  <c r="BG167" i="43"/>
  <c r="BF167" i="43"/>
  <c r="AV167" i="43"/>
  <c r="AM167" i="43"/>
  <c r="AL167" i="43"/>
  <c r="W167" i="43"/>
  <c r="AE167" i="43" s="1"/>
  <c r="V167" i="43"/>
  <c r="AD167" i="43" s="1"/>
  <c r="BG166" i="43"/>
  <c r="BF166" i="43"/>
  <c r="AV166" i="43"/>
  <c r="AM166" i="43"/>
  <c r="AL166" i="43"/>
  <c r="W166" i="43"/>
  <c r="AE166" i="43" s="1"/>
  <c r="V166" i="43"/>
  <c r="AD166" i="43" s="1"/>
  <c r="BG165" i="43"/>
  <c r="BF165" i="43"/>
  <c r="AV165" i="43"/>
  <c r="AM165" i="43"/>
  <c r="AL165" i="43"/>
  <c r="W165" i="43"/>
  <c r="AE165" i="43" s="1"/>
  <c r="V165" i="43"/>
  <c r="AD165" i="43" s="1"/>
  <c r="BG164" i="43"/>
  <c r="BF164" i="43"/>
  <c r="AV164" i="43"/>
  <c r="AM164" i="43"/>
  <c r="AL164" i="43"/>
  <c r="W164" i="43"/>
  <c r="V164" i="43"/>
  <c r="BG162" i="43"/>
  <c r="BF162" i="43"/>
  <c r="AV162" i="43"/>
  <c r="AM162" i="43"/>
  <c r="AL162" i="43"/>
  <c r="W162" i="43"/>
  <c r="AE162" i="43" s="1"/>
  <c r="V162" i="43"/>
  <c r="AD162" i="43" s="1"/>
  <c r="BG161" i="43"/>
  <c r="BF161" i="43"/>
  <c r="AV161" i="43"/>
  <c r="AM161" i="43"/>
  <c r="AL161" i="43"/>
  <c r="W161" i="43"/>
  <c r="AE161" i="43" s="1"/>
  <c r="V161" i="43"/>
  <c r="AD161" i="43" s="1"/>
  <c r="BG160" i="43"/>
  <c r="BF160" i="43"/>
  <c r="AV160" i="43"/>
  <c r="AM160" i="43"/>
  <c r="AL160" i="43"/>
  <c r="W160" i="43"/>
  <c r="AE160" i="43" s="1"/>
  <c r="V160" i="43"/>
  <c r="AD160" i="43" s="1"/>
  <c r="BG159" i="43"/>
  <c r="BF159" i="43"/>
  <c r="AV159" i="43"/>
  <c r="AM159" i="43"/>
  <c r="AL159" i="43"/>
  <c r="W159" i="43"/>
  <c r="V159" i="43"/>
  <c r="BG157" i="43"/>
  <c r="BF157" i="43"/>
  <c r="AV157" i="43"/>
  <c r="AM157" i="43"/>
  <c r="AL157" i="43"/>
  <c r="W157" i="43"/>
  <c r="AE157" i="43" s="1"/>
  <c r="V157" i="43"/>
  <c r="AD157" i="43" s="1"/>
  <c r="BG156" i="43"/>
  <c r="BF156" i="43"/>
  <c r="AV156" i="43"/>
  <c r="AM156" i="43"/>
  <c r="AL156" i="43"/>
  <c r="W156" i="43"/>
  <c r="AE156" i="43" s="1"/>
  <c r="V156" i="43"/>
  <c r="AD156" i="43" s="1"/>
  <c r="BG155" i="43"/>
  <c r="BF155" i="43"/>
  <c r="AV155" i="43"/>
  <c r="AM155" i="43"/>
  <c r="AL155" i="43"/>
  <c r="W155" i="43"/>
  <c r="AE155" i="43" s="1"/>
  <c r="V155" i="43"/>
  <c r="AD155" i="43" s="1"/>
  <c r="BG154" i="43"/>
  <c r="BF154" i="43"/>
  <c r="AV154" i="43"/>
  <c r="AM154" i="43"/>
  <c r="AL154" i="43"/>
  <c r="W154" i="43"/>
  <c r="AE154" i="43" s="1"/>
  <c r="V154" i="43"/>
  <c r="AD154" i="43" s="1"/>
  <c r="BG153" i="43"/>
  <c r="BF153" i="43"/>
  <c r="AV153" i="43"/>
  <c r="AM153" i="43"/>
  <c r="AL153" i="43"/>
  <c r="W153" i="43"/>
  <c r="V153" i="43"/>
  <c r="BG151" i="43"/>
  <c r="BF151" i="43"/>
  <c r="AV151" i="43"/>
  <c r="AM151" i="43"/>
  <c r="AL151" i="43"/>
  <c r="W151" i="43"/>
  <c r="AE151" i="43" s="1"/>
  <c r="V151" i="43"/>
  <c r="AD151" i="43" s="1"/>
  <c r="BG150" i="43"/>
  <c r="BF150" i="43"/>
  <c r="AV150" i="43"/>
  <c r="AM150" i="43"/>
  <c r="AL150" i="43"/>
  <c r="W150" i="43"/>
  <c r="AE150" i="43" s="1"/>
  <c r="V150" i="43"/>
  <c r="AD150" i="43" s="1"/>
  <c r="BG149" i="43"/>
  <c r="BF149" i="43"/>
  <c r="AV149" i="43"/>
  <c r="AM149" i="43"/>
  <c r="AL149" i="43"/>
  <c r="W149" i="43"/>
  <c r="AE149" i="43" s="1"/>
  <c r="V149" i="43"/>
  <c r="AD149" i="43" s="1"/>
  <c r="BG148" i="43"/>
  <c r="BF148" i="43"/>
  <c r="AV148" i="43"/>
  <c r="AM148" i="43"/>
  <c r="AL148" i="43"/>
  <c r="W148" i="43"/>
  <c r="AE148" i="43" s="1"/>
  <c r="V148" i="43"/>
  <c r="AD148" i="43" s="1"/>
  <c r="BG147" i="43"/>
  <c r="BF147" i="43"/>
  <c r="AV147" i="43"/>
  <c r="AM147" i="43"/>
  <c r="AL147" i="43"/>
  <c r="W147" i="43"/>
  <c r="V147" i="43"/>
  <c r="BG145" i="43"/>
  <c r="BF145" i="43"/>
  <c r="AV145" i="43"/>
  <c r="AM145" i="43"/>
  <c r="AL145" i="43"/>
  <c r="W145" i="43"/>
  <c r="AE145" i="43" s="1"/>
  <c r="V145" i="43"/>
  <c r="AD145" i="43" s="1"/>
  <c r="BG144" i="43"/>
  <c r="BF144" i="43"/>
  <c r="AV144" i="43"/>
  <c r="AM144" i="43"/>
  <c r="AL144" i="43"/>
  <c r="W144" i="43"/>
  <c r="AE144" i="43" s="1"/>
  <c r="V144" i="43"/>
  <c r="AD144" i="43" s="1"/>
  <c r="BG143" i="43"/>
  <c r="BF143" i="43"/>
  <c r="AV143" i="43"/>
  <c r="AM143" i="43"/>
  <c r="AL143" i="43"/>
  <c r="W143" i="43"/>
  <c r="AE143" i="43" s="1"/>
  <c r="V143" i="43"/>
  <c r="AD143" i="43" s="1"/>
  <c r="BG142" i="43"/>
  <c r="BF142" i="43"/>
  <c r="AV142" i="43"/>
  <c r="AM142" i="43"/>
  <c r="AL142" i="43"/>
  <c r="W142" i="43"/>
  <c r="AE142" i="43" s="1"/>
  <c r="V142" i="43"/>
  <c r="AD142" i="43" s="1"/>
  <c r="BG141" i="43"/>
  <c r="BF141" i="43"/>
  <c r="AV141" i="43"/>
  <c r="AM141" i="43"/>
  <c r="AL141" i="43"/>
  <c r="W141" i="43"/>
  <c r="V141" i="43"/>
  <c r="BG139" i="43"/>
  <c r="BF139" i="43"/>
  <c r="AV139" i="43"/>
  <c r="AM139" i="43"/>
  <c r="AL139" i="43"/>
  <c r="W139" i="43"/>
  <c r="AE139" i="43" s="1"/>
  <c r="V139" i="43"/>
  <c r="AD139" i="43" s="1"/>
  <c r="BG138" i="43"/>
  <c r="BF138" i="43"/>
  <c r="AV138" i="43"/>
  <c r="AM138" i="43"/>
  <c r="AL138" i="43"/>
  <c r="W138" i="43"/>
  <c r="AE138" i="43" s="1"/>
  <c r="V138" i="43"/>
  <c r="AD138" i="43" s="1"/>
  <c r="BG137" i="43"/>
  <c r="BF137" i="43"/>
  <c r="AV137" i="43"/>
  <c r="AM137" i="43"/>
  <c r="AL137" i="43"/>
  <c r="W137" i="43"/>
  <c r="AE137" i="43" s="1"/>
  <c r="V137" i="43"/>
  <c r="AD137" i="43" s="1"/>
  <c r="BG136" i="43"/>
  <c r="BF136" i="43"/>
  <c r="AV136" i="43"/>
  <c r="AM136" i="43"/>
  <c r="AL136" i="43"/>
  <c r="W136" i="43"/>
  <c r="AE136" i="43" s="1"/>
  <c r="V136" i="43"/>
  <c r="AD136" i="43" s="1"/>
  <c r="BG135" i="43"/>
  <c r="BF135" i="43"/>
  <c r="AV135" i="43"/>
  <c r="AM135" i="43"/>
  <c r="AL135" i="43"/>
  <c r="W135" i="43"/>
  <c r="AE135" i="43" s="1"/>
  <c r="V135" i="43"/>
  <c r="AD135" i="43" s="1"/>
  <c r="BG134" i="43"/>
  <c r="BF134" i="43"/>
  <c r="AV134" i="43"/>
  <c r="AM134" i="43"/>
  <c r="AL134" i="43"/>
  <c r="W134" i="43"/>
  <c r="V134" i="43"/>
  <c r="BG132" i="43"/>
  <c r="BF132" i="43"/>
  <c r="AV132" i="43"/>
  <c r="AM132" i="43"/>
  <c r="AL132" i="43"/>
  <c r="W132" i="43"/>
  <c r="AE132" i="43" s="1"/>
  <c r="V132" i="43"/>
  <c r="AD132" i="43" s="1"/>
  <c r="BG131" i="43"/>
  <c r="BF131" i="43"/>
  <c r="AV131" i="43"/>
  <c r="AM131" i="43"/>
  <c r="AL131" i="43"/>
  <c r="W131" i="43"/>
  <c r="AE131" i="43" s="1"/>
  <c r="V131" i="43"/>
  <c r="AD131" i="43" s="1"/>
  <c r="BG130" i="43"/>
  <c r="BF130" i="43"/>
  <c r="AV130" i="43"/>
  <c r="AM130" i="43"/>
  <c r="AL130" i="43"/>
  <c r="W130" i="43"/>
  <c r="AE130" i="43" s="1"/>
  <c r="V130" i="43"/>
  <c r="AD130" i="43" s="1"/>
  <c r="BG129" i="43"/>
  <c r="BF129" i="43"/>
  <c r="AV129" i="43"/>
  <c r="AM129" i="43"/>
  <c r="AL129" i="43"/>
  <c r="W129" i="43"/>
  <c r="AE129" i="43" s="1"/>
  <c r="V129" i="43"/>
  <c r="AD129" i="43" s="1"/>
  <c r="BG128" i="43"/>
  <c r="BF128" i="43"/>
  <c r="AV128" i="43"/>
  <c r="AM128" i="43"/>
  <c r="AL128" i="43"/>
  <c r="W128" i="43"/>
  <c r="AE128" i="43" s="1"/>
  <c r="V128" i="43"/>
  <c r="AD128" i="43" s="1"/>
  <c r="BG127" i="43"/>
  <c r="BF127" i="43"/>
  <c r="AV127" i="43"/>
  <c r="AM127" i="43"/>
  <c r="AL127" i="43"/>
  <c r="W127" i="43"/>
  <c r="V127" i="43"/>
  <c r="BG125" i="43"/>
  <c r="BF125" i="43"/>
  <c r="AV125" i="43"/>
  <c r="AM125" i="43"/>
  <c r="AL125" i="43"/>
  <c r="W125" i="43"/>
  <c r="AE125" i="43" s="1"/>
  <c r="V125" i="43"/>
  <c r="AD125" i="43" s="1"/>
  <c r="BG124" i="43"/>
  <c r="BF124" i="43"/>
  <c r="AV124" i="43"/>
  <c r="AM124" i="43"/>
  <c r="AL124" i="43"/>
  <c r="W124" i="43"/>
  <c r="AE124" i="43" s="1"/>
  <c r="V124" i="43"/>
  <c r="AD124" i="43" s="1"/>
  <c r="BG123" i="43"/>
  <c r="BF123" i="43"/>
  <c r="AV123" i="43"/>
  <c r="AM123" i="43"/>
  <c r="AL123" i="43"/>
  <c r="W123" i="43"/>
  <c r="AE123" i="43" s="1"/>
  <c r="V123" i="43"/>
  <c r="AD123" i="43" s="1"/>
  <c r="BG122" i="43"/>
  <c r="BF122" i="43"/>
  <c r="AV122" i="43"/>
  <c r="AM122" i="43"/>
  <c r="AL122" i="43"/>
  <c r="W122" i="43"/>
  <c r="V122" i="43"/>
  <c r="BG120" i="43"/>
  <c r="BF120" i="43"/>
  <c r="AV120" i="43"/>
  <c r="AM120" i="43"/>
  <c r="AL120" i="43"/>
  <c r="W120" i="43"/>
  <c r="AE120" i="43" s="1"/>
  <c r="V120" i="43"/>
  <c r="AD120" i="43" s="1"/>
  <c r="BG119" i="43"/>
  <c r="BF119" i="43"/>
  <c r="AV119" i="43"/>
  <c r="AM119" i="43"/>
  <c r="AL119" i="43"/>
  <c r="W119" i="43"/>
  <c r="AE119" i="43" s="1"/>
  <c r="V119" i="43"/>
  <c r="AD119" i="43" s="1"/>
  <c r="BG118" i="43"/>
  <c r="BF118" i="43"/>
  <c r="AV118" i="43"/>
  <c r="AM118" i="43"/>
  <c r="AL118" i="43"/>
  <c r="W118" i="43"/>
  <c r="V118" i="43"/>
  <c r="BG116" i="43"/>
  <c r="BF116" i="43"/>
  <c r="AV116" i="43"/>
  <c r="AM116" i="43"/>
  <c r="AL116" i="43"/>
  <c r="W116" i="43"/>
  <c r="AE116" i="43" s="1"/>
  <c r="V116" i="43"/>
  <c r="AD116" i="43" s="1"/>
  <c r="BG115" i="43"/>
  <c r="BF115" i="43"/>
  <c r="AV115" i="43"/>
  <c r="AM115" i="43"/>
  <c r="AL115" i="43"/>
  <c r="W115" i="43"/>
  <c r="V115" i="43"/>
  <c r="BG113" i="43"/>
  <c r="BF113" i="43"/>
  <c r="AV113" i="43"/>
  <c r="AM113" i="43"/>
  <c r="AL113" i="43"/>
  <c r="W113" i="43"/>
  <c r="AE113" i="43" s="1"/>
  <c r="V113" i="43"/>
  <c r="AD113" i="43" s="1"/>
  <c r="BG112" i="43"/>
  <c r="BF112" i="43"/>
  <c r="AV112" i="43"/>
  <c r="AM112" i="43"/>
  <c r="AL112" i="43"/>
  <c r="W112" i="43"/>
  <c r="AE112" i="43" s="1"/>
  <c r="V112" i="43"/>
  <c r="AD112" i="43" s="1"/>
  <c r="BG111" i="43"/>
  <c r="BF111" i="43"/>
  <c r="AV111" i="43"/>
  <c r="AM111" i="43"/>
  <c r="AL111" i="43"/>
  <c r="W111" i="43"/>
  <c r="V111" i="43"/>
  <c r="BG109" i="43"/>
  <c r="BF109" i="43"/>
  <c r="AV109" i="43"/>
  <c r="AM109" i="43"/>
  <c r="AL109" i="43"/>
  <c r="W109" i="43"/>
  <c r="AE109" i="43" s="1"/>
  <c r="V109" i="43"/>
  <c r="AD109" i="43" s="1"/>
  <c r="BG108" i="43"/>
  <c r="BF108" i="43"/>
  <c r="AV108" i="43"/>
  <c r="AM108" i="43"/>
  <c r="AL108" i="43"/>
  <c r="W108" i="43"/>
  <c r="AE108" i="43" s="1"/>
  <c r="V108" i="43"/>
  <c r="AD108" i="43" s="1"/>
  <c r="BG107" i="43"/>
  <c r="BF107" i="43"/>
  <c r="AV107" i="43"/>
  <c r="AM107" i="43"/>
  <c r="AL107" i="43"/>
  <c r="W107" i="43"/>
  <c r="V107" i="43"/>
  <c r="BG105" i="43"/>
  <c r="BF105" i="43"/>
  <c r="AV105" i="43"/>
  <c r="AM105" i="43"/>
  <c r="AL105" i="43"/>
  <c r="W105" i="43"/>
  <c r="AE105" i="43" s="1"/>
  <c r="V105" i="43"/>
  <c r="AD105" i="43" s="1"/>
  <c r="BG104" i="43"/>
  <c r="BF104" i="43"/>
  <c r="AV104" i="43"/>
  <c r="AM104" i="43"/>
  <c r="AL104" i="43"/>
  <c r="W104" i="43"/>
  <c r="V104" i="43"/>
  <c r="BG102" i="43"/>
  <c r="BF102" i="43"/>
  <c r="AV102" i="43"/>
  <c r="AM102" i="43"/>
  <c r="AL102" i="43"/>
  <c r="W102" i="43"/>
  <c r="AE102" i="43" s="1"/>
  <c r="V102" i="43"/>
  <c r="AD102" i="43" s="1"/>
  <c r="BG101" i="43"/>
  <c r="BF101" i="43"/>
  <c r="AV101" i="43"/>
  <c r="AM101" i="43"/>
  <c r="AL101" i="43"/>
  <c r="W101" i="43"/>
  <c r="AE101" i="43" s="1"/>
  <c r="V101" i="43"/>
  <c r="AD101" i="43" s="1"/>
  <c r="BG100" i="43"/>
  <c r="BF100" i="43"/>
  <c r="AV100" i="43"/>
  <c r="AM100" i="43"/>
  <c r="AL100" i="43"/>
  <c r="W100" i="43"/>
  <c r="V100" i="43"/>
  <c r="BG98" i="43"/>
  <c r="BF98" i="43"/>
  <c r="AV98" i="43"/>
  <c r="AM98" i="43"/>
  <c r="AL98" i="43"/>
  <c r="W98" i="43"/>
  <c r="AE98" i="43" s="1"/>
  <c r="V98" i="43"/>
  <c r="AD98" i="43" s="1"/>
  <c r="BG97" i="43"/>
  <c r="BF97" i="43"/>
  <c r="AV97" i="43"/>
  <c r="AM97" i="43"/>
  <c r="AL97" i="43"/>
  <c r="W97" i="43"/>
  <c r="AE97" i="43" s="1"/>
  <c r="V97" i="43"/>
  <c r="AD97" i="43" s="1"/>
  <c r="BG96" i="43"/>
  <c r="BF96" i="43"/>
  <c r="AV96" i="43"/>
  <c r="AM96" i="43"/>
  <c r="AL96" i="43"/>
  <c r="W96" i="43"/>
  <c r="V96" i="43"/>
  <c r="BG94" i="43"/>
  <c r="BF94" i="43"/>
  <c r="AV94" i="43"/>
  <c r="AM94" i="43"/>
  <c r="AL94" i="43"/>
  <c r="W94" i="43"/>
  <c r="AE94" i="43" s="1"/>
  <c r="V94" i="43"/>
  <c r="AD94" i="43" s="1"/>
  <c r="BG93" i="43"/>
  <c r="BF93" i="43"/>
  <c r="AV93" i="43"/>
  <c r="AM93" i="43"/>
  <c r="AL93" i="43"/>
  <c r="W93" i="43"/>
  <c r="AE93" i="43" s="1"/>
  <c r="V93" i="43"/>
  <c r="AD93" i="43" s="1"/>
  <c r="BG92" i="43"/>
  <c r="BF92" i="43"/>
  <c r="AV92" i="43"/>
  <c r="AM92" i="43"/>
  <c r="AL92" i="43"/>
  <c r="W92" i="43"/>
  <c r="V92" i="43"/>
  <c r="BG90" i="43"/>
  <c r="BF90" i="43"/>
  <c r="AV90" i="43"/>
  <c r="AM90" i="43"/>
  <c r="AL90" i="43"/>
  <c r="W90" i="43"/>
  <c r="AE90" i="43" s="1"/>
  <c r="V90" i="43"/>
  <c r="AD90" i="43" s="1"/>
  <c r="BG89" i="43"/>
  <c r="BF89" i="43"/>
  <c r="AV89" i="43"/>
  <c r="AM89" i="43"/>
  <c r="AL89" i="43"/>
  <c r="W89" i="43"/>
  <c r="AE89" i="43" s="1"/>
  <c r="V89" i="43"/>
  <c r="AD89" i="43" s="1"/>
  <c r="BG88" i="43"/>
  <c r="BF88" i="43"/>
  <c r="AV88" i="43"/>
  <c r="AM88" i="43"/>
  <c r="AL88" i="43"/>
  <c r="W88" i="43"/>
  <c r="V88" i="43"/>
  <c r="AD88" i="43" s="1"/>
  <c r="BG86" i="43"/>
  <c r="BF86" i="43"/>
  <c r="AV86" i="43"/>
  <c r="AM86" i="43"/>
  <c r="AL86" i="43"/>
  <c r="W86" i="43"/>
  <c r="AE86" i="43" s="1"/>
  <c r="V86" i="43"/>
  <c r="AD86" i="43" s="1"/>
  <c r="BG85" i="43"/>
  <c r="BF85" i="43"/>
  <c r="AV85" i="43"/>
  <c r="AM85" i="43"/>
  <c r="AL85" i="43"/>
  <c r="W85" i="43"/>
  <c r="AE85" i="43" s="1"/>
  <c r="V85" i="43"/>
  <c r="AD85" i="43" s="1"/>
  <c r="BG84" i="43"/>
  <c r="BF84" i="43"/>
  <c r="AV84" i="43"/>
  <c r="AM84" i="43"/>
  <c r="AL84" i="43"/>
  <c r="W84" i="43"/>
  <c r="V84" i="43"/>
  <c r="BG82" i="43"/>
  <c r="BF82" i="43"/>
  <c r="AV82" i="43"/>
  <c r="AM82" i="43"/>
  <c r="AL82" i="43"/>
  <c r="W82" i="43"/>
  <c r="AE82" i="43" s="1"/>
  <c r="V82" i="43"/>
  <c r="AD82" i="43" s="1"/>
  <c r="BG80" i="43"/>
  <c r="BF80" i="43"/>
  <c r="AV80" i="43"/>
  <c r="AM80" i="43"/>
  <c r="AL80" i="43"/>
  <c r="W80" i="43"/>
  <c r="V80" i="43"/>
  <c r="BG78" i="43"/>
  <c r="BF78" i="43"/>
  <c r="AV78" i="43"/>
  <c r="AM78" i="43"/>
  <c r="AL78" i="43"/>
  <c r="W78" i="43"/>
  <c r="AE78" i="43" s="1"/>
  <c r="V78" i="43"/>
  <c r="AD78" i="43" s="1"/>
  <c r="BG77" i="43"/>
  <c r="BF77" i="43"/>
  <c r="AV77" i="43"/>
  <c r="AM77" i="43"/>
  <c r="AL77" i="43"/>
  <c r="W77" i="43"/>
  <c r="AE77" i="43" s="1"/>
  <c r="V77" i="43"/>
  <c r="AD77" i="43" s="1"/>
  <c r="BG76" i="43"/>
  <c r="BF76" i="43"/>
  <c r="AV76" i="43"/>
  <c r="AM76" i="43"/>
  <c r="AL76" i="43"/>
  <c r="W76" i="43"/>
  <c r="V76" i="43"/>
  <c r="BG74" i="43"/>
  <c r="BF74" i="43"/>
  <c r="AV74" i="43"/>
  <c r="AM74" i="43"/>
  <c r="AL74" i="43"/>
  <c r="W74" i="43"/>
  <c r="AE74" i="43" s="1"/>
  <c r="V74" i="43"/>
  <c r="AD74" i="43" s="1"/>
  <c r="BG73" i="43"/>
  <c r="BF73" i="43"/>
  <c r="AV73" i="43"/>
  <c r="AM73" i="43"/>
  <c r="AL73" i="43"/>
  <c r="W73" i="43"/>
  <c r="AE73" i="43" s="1"/>
  <c r="V73" i="43"/>
  <c r="AD73" i="43" s="1"/>
  <c r="BG72" i="43"/>
  <c r="BF72" i="43"/>
  <c r="AV72" i="43"/>
  <c r="AM72" i="43"/>
  <c r="AL72" i="43"/>
  <c r="W72" i="43"/>
  <c r="AE72" i="43" s="1"/>
  <c r="V72" i="43"/>
  <c r="AD72" i="43" s="1"/>
  <c r="BG71" i="43"/>
  <c r="BF71" i="43"/>
  <c r="AV71" i="43"/>
  <c r="AM71" i="43"/>
  <c r="AL71" i="43"/>
  <c r="W71" i="43"/>
  <c r="V71" i="43"/>
  <c r="BG69" i="43"/>
  <c r="BF69" i="43"/>
  <c r="AV69" i="43"/>
  <c r="AM69" i="43"/>
  <c r="AL69" i="43"/>
  <c r="W69" i="43"/>
  <c r="AE69" i="43" s="1"/>
  <c r="V69" i="43"/>
  <c r="AD69" i="43" s="1"/>
  <c r="BG68" i="43"/>
  <c r="BF68" i="43"/>
  <c r="AV68" i="43"/>
  <c r="AM68" i="43"/>
  <c r="AL68" i="43"/>
  <c r="W68" i="43"/>
  <c r="V68" i="43"/>
  <c r="BG66" i="43"/>
  <c r="BF66" i="43"/>
  <c r="AV66" i="43"/>
  <c r="AM66" i="43"/>
  <c r="AL66" i="43"/>
  <c r="W66" i="43"/>
  <c r="AE66" i="43" s="1"/>
  <c r="V66" i="43"/>
  <c r="AD66" i="43" s="1"/>
  <c r="BG65" i="43"/>
  <c r="BF65" i="43"/>
  <c r="AV65" i="43"/>
  <c r="AM65" i="43"/>
  <c r="AL65" i="43"/>
  <c r="W65" i="43"/>
  <c r="AE65" i="43" s="1"/>
  <c r="V65" i="43"/>
  <c r="AD65" i="43" s="1"/>
  <c r="BG64" i="43"/>
  <c r="BF64" i="43"/>
  <c r="AV64" i="43"/>
  <c r="AM64" i="43"/>
  <c r="AL64" i="43"/>
  <c r="W64" i="43"/>
  <c r="V64" i="43"/>
  <c r="BG62" i="43"/>
  <c r="BF62" i="43"/>
  <c r="AV62" i="43"/>
  <c r="AM62" i="43"/>
  <c r="AL62" i="43"/>
  <c r="W62" i="43"/>
  <c r="AE62" i="43" s="1"/>
  <c r="V62" i="43"/>
  <c r="AD62" i="43" s="1"/>
  <c r="BG61" i="43"/>
  <c r="BF61" i="43"/>
  <c r="AV61" i="43"/>
  <c r="AM61" i="43"/>
  <c r="AL61" i="43"/>
  <c r="W61" i="43"/>
  <c r="AE61" i="43" s="1"/>
  <c r="V61" i="43"/>
  <c r="AD61" i="43" s="1"/>
  <c r="BG60" i="43"/>
  <c r="BF60" i="43"/>
  <c r="AV60" i="43"/>
  <c r="AM60" i="43"/>
  <c r="AL60" i="43"/>
  <c r="W60" i="43"/>
  <c r="V60" i="43"/>
  <c r="BG58" i="43"/>
  <c r="BF58" i="43"/>
  <c r="AV58" i="43"/>
  <c r="AM58" i="43"/>
  <c r="AL58" i="43"/>
  <c r="W58" i="43"/>
  <c r="AE58" i="43" s="1"/>
  <c r="V58" i="43"/>
  <c r="AD58" i="43" s="1"/>
  <c r="BG57" i="43"/>
  <c r="BF57" i="43"/>
  <c r="AV57" i="43"/>
  <c r="AM57" i="43"/>
  <c r="AL57" i="43"/>
  <c r="W57" i="43"/>
  <c r="AE57" i="43" s="1"/>
  <c r="V57" i="43"/>
  <c r="AD57" i="43" s="1"/>
  <c r="BG56" i="43"/>
  <c r="BF56" i="43"/>
  <c r="AV56" i="43"/>
  <c r="AM56" i="43"/>
  <c r="AL56" i="43"/>
  <c r="W56" i="43"/>
  <c r="V56" i="43"/>
  <c r="BG54" i="43"/>
  <c r="BF54" i="43"/>
  <c r="AV54" i="43"/>
  <c r="AM54" i="43"/>
  <c r="AL54" i="43"/>
  <c r="W54" i="43"/>
  <c r="AE54" i="43" s="1"/>
  <c r="V54" i="43"/>
  <c r="AD54" i="43" s="1"/>
  <c r="BG53" i="43"/>
  <c r="BF53" i="43"/>
  <c r="AV53" i="43"/>
  <c r="AM53" i="43"/>
  <c r="AL53" i="43"/>
  <c r="W53" i="43"/>
  <c r="V53" i="43"/>
  <c r="BG51" i="43"/>
  <c r="BF51" i="43"/>
  <c r="AV51" i="43"/>
  <c r="AM51" i="43"/>
  <c r="AL51" i="43"/>
  <c r="W51" i="43"/>
  <c r="AE51" i="43" s="1"/>
  <c r="V51" i="43"/>
  <c r="AD51" i="43" s="1"/>
  <c r="BG50" i="43"/>
  <c r="BF50" i="43"/>
  <c r="AV50" i="43"/>
  <c r="AM50" i="43"/>
  <c r="AL50" i="43"/>
  <c r="W50" i="43"/>
  <c r="V50" i="43"/>
  <c r="BG48" i="43"/>
  <c r="BF48" i="43"/>
  <c r="AV48" i="43"/>
  <c r="AM48" i="43"/>
  <c r="AL48" i="43"/>
  <c r="W48" i="43"/>
  <c r="AE48" i="43" s="1"/>
  <c r="V48" i="43"/>
  <c r="AD48" i="43" s="1"/>
  <c r="BG47" i="43"/>
  <c r="BF47" i="43"/>
  <c r="AV47" i="43"/>
  <c r="AM47" i="43"/>
  <c r="AL47" i="43"/>
  <c r="W47" i="43"/>
  <c r="V47" i="43"/>
  <c r="BG45" i="43"/>
  <c r="BF45" i="43"/>
  <c r="AV45" i="43"/>
  <c r="AM45" i="43"/>
  <c r="AL45" i="43"/>
  <c r="W45" i="43"/>
  <c r="AE45" i="43" s="1"/>
  <c r="V45" i="43"/>
  <c r="AD45" i="43" s="1"/>
  <c r="BG44" i="43"/>
  <c r="BF44" i="43"/>
  <c r="AV44" i="43"/>
  <c r="AM44" i="43"/>
  <c r="AL44" i="43"/>
  <c r="W44" i="43"/>
  <c r="AE44" i="43" s="1"/>
  <c r="V44" i="43"/>
  <c r="AD44" i="43" s="1"/>
  <c r="BG43" i="43"/>
  <c r="BF43" i="43"/>
  <c r="AV43" i="43"/>
  <c r="AM43" i="43"/>
  <c r="AL43" i="43"/>
  <c r="W43" i="43"/>
  <c r="V43" i="43"/>
  <c r="BG41" i="43"/>
  <c r="BF41" i="43"/>
  <c r="AV41" i="43"/>
  <c r="AM41" i="43"/>
  <c r="AL41" i="43"/>
  <c r="W41" i="43"/>
  <c r="AE41" i="43" s="1"/>
  <c r="V41" i="43"/>
  <c r="AD41" i="43" s="1"/>
  <c r="BG40" i="43"/>
  <c r="BF40" i="43"/>
  <c r="AV40" i="43"/>
  <c r="AM40" i="43"/>
  <c r="AL40" i="43"/>
  <c r="W40" i="43"/>
  <c r="V40" i="43"/>
  <c r="BG38" i="43"/>
  <c r="BF38" i="43"/>
  <c r="AV38" i="43"/>
  <c r="AM38" i="43"/>
  <c r="AL38" i="43"/>
  <c r="W38" i="43"/>
  <c r="AE38" i="43" s="1"/>
  <c r="V38" i="43"/>
  <c r="AD38" i="43" s="1"/>
  <c r="BG37" i="43"/>
  <c r="BF37" i="43"/>
  <c r="AV37" i="43"/>
  <c r="AM37" i="43"/>
  <c r="AL37" i="43"/>
  <c r="W37" i="43"/>
  <c r="AE37" i="43" s="1"/>
  <c r="V37" i="43"/>
  <c r="AD37" i="43" s="1"/>
  <c r="BG36" i="43"/>
  <c r="BF36" i="43"/>
  <c r="AV36" i="43"/>
  <c r="AM36" i="43"/>
  <c r="AL36" i="43"/>
  <c r="W36" i="43"/>
  <c r="V36" i="43"/>
  <c r="BG34" i="43"/>
  <c r="BF34" i="43"/>
  <c r="AV34" i="43"/>
  <c r="AM34" i="43"/>
  <c r="AL34" i="43"/>
  <c r="W34" i="43"/>
  <c r="AE34" i="43" s="1"/>
  <c r="V34" i="43"/>
  <c r="AD34" i="43" s="1"/>
  <c r="BG33" i="43"/>
  <c r="BF33" i="43"/>
  <c r="AV33" i="43"/>
  <c r="AM33" i="43"/>
  <c r="AL33" i="43"/>
  <c r="W33" i="43"/>
  <c r="AE33" i="43" s="1"/>
  <c r="V33" i="43"/>
  <c r="AD33" i="43" s="1"/>
  <c r="BG32" i="43"/>
  <c r="BF32" i="43"/>
  <c r="AV32" i="43"/>
  <c r="AM32" i="43"/>
  <c r="AL32" i="43"/>
  <c r="W32" i="43"/>
  <c r="V32" i="43"/>
  <c r="BG30" i="43"/>
  <c r="BF30" i="43"/>
  <c r="AV30" i="43"/>
  <c r="AM30" i="43"/>
  <c r="AL30" i="43"/>
  <c r="W30" i="43"/>
  <c r="AE30" i="43" s="1"/>
  <c r="V30" i="43"/>
  <c r="AD30" i="43" s="1"/>
  <c r="BG29" i="43"/>
  <c r="BF29" i="43"/>
  <c r="AV29" i="43"/>
  <c r="AM29" i="43"/>
  <c r="AL29" i="43"/>
  <c r="W29" i="43"/>
  <c r="AE29" i="43" s="1"/>
  <c r="V29" i="43"/>
  <c r="AD29" i="43" s="1"/>
  <c r="BG28" i="43"/>
  <c r="BF28" i="43"/>
  <c r="AV28" i="43"/>
  <c r="AM28" i="43"/>
  <c r="AL28" i="43"/>
  <c r="W28" i="43"/>
  <c r="V28" i="43"/>
  <c r="BG26" i="43"/>
  <c r="BF26" i="43"/>
  <c r="AV26" i="43"/>
  <c r="AM26" i="43"/>
  <c r="AL26" i="43"/>
  <c r="W26" i="43"/>
  <c r="AE26" i="43" s="1"/>
  <c r="V26" i="43"/>
  <c r="AD26" i="43" s="1"/>
  <c r="BG25" i="43"/>
  <c r="BF25" i="43"/>
  <c r="AV25" i="43"/>
  <c r="AM25" i="43"/>
  <c r="AL25" i="43"/>
  <c r="W25" i="43"/>
  <c r="AE25" i="43" s="1"/>
  <c r="V25" i="43"/>
  <c r="AD25" i="43" s="1"/>
  <c r="BG24" i="43"/>
  <c r="BF24" i="43"/>
  <c r="AV24" i="43"/>
  <c r="AM24" i="43"/>
  <c r="AL24" i="43"/>
  <c r="W24" i="43"/>
  <c r="AE24" i="43" s="1"/>
  <c r="V24" i="43"/>
  <c r="AD24" i="43" s="1"/>
  <c r="BG23" i="43"/>
  <c r="BF23" i="43"/>
  <c r="AV23" i="43"/>
  <c r="AM23" i="43"/>
  <c r="AL23" i="43"/>
  <c r="W23" i="43"/>
  <c r="V23" i="43"/>
  <c r="BG21" i="43"/>
  <c r="BF21" i="43"/>
  <c r="AV21" i="43"/>
  <c r="AM21" i="43"/>
  <c r="AL21" i="43"/>
  <c r="W21" i="43"/>
  <c r="AE21" i="43" s="1"/>
  <c r="V21" i="43"/>
  <c r="AD21" i="43" s="1"/>
  <c r="BG20" i="43"/>
  <c r="BF20" i="43"/>
  <c r="AV20" i="43"/>
  <c r="AM20" i="43"/>
  <c r="AL20" i="43"/>
  <c r="W20" i="43"/>
  <c r="AE20" i="43" s="1"/>
  <c r="V20" i="43"/>
  <c r="AD20" i="43" s="1"/>
  <c r="BG19" i="43"/>
  <c r="BF19" i="43"/>
  <c r="AV19" i="43"/>
  <c r="AM19" i="43"/>
  <c r="AL19" i="43"/>
  <c r="W19" i="43"/>
  <c r="V19" i="43"/>
  <c r="BG17" i="43"/>
  <c r="BF17" i="43"/>
  <c r="AV17" i="43"/>
  <c r="AM17" i="43"/>
  <c r="AL17" i="43"/>
  <c r="W17" i="43"/>
  <c r="AE17" i="43" s="1"/>
  <c r="V17" i="43"/>
  <c r="AD17" i="43" s="1"/>
  <c r="BG16" i="43"/>
  <c r="BF16" i="43"/>
  <c r="AV16" i="43"/>
  <c r="AM16" i="43"/>
  <c r="AL16" i="43"/>
  <c r="W16" i="43"/>
  <c r="AE16" i="43" s="1"/>
  <c r="V16" i="43"/>
  <c r="AD16" i="43" s="1"/>
  <c r="BG15" i="43"/>
  <c r="BF15" i="43"/>
  <c r="AV15" i="43"/>
  <c r="AM15" i="43"/>
  <c r="AL15" i="43"/>
  <c r="W15" i="43"/>
  <c r="AE15" i="43" s="1"/>
  <c r="V15" i="43"/>
  <c r="AD15" i="43" s="1"/>
  <c r="BG14" i="43"/>
  <c r="BF14" i="43"/>
  <c r="AV14" i="43"/>
  <c r="AM14" i="43"/>
  <c r="AL14" i="43"/>
  <c r="W14" i="43"/>
  <c r="V14" i="43"/>
  <c r="AP44" i="44" l="1"/>
  <c r="AO80" i="44"/>
  <c r="AN72" i="44"/>
  <c r="AF81" i="44"/>
  <c r="AR81" i="44" s="1"/>
  <c r="AN15" i="44"/>
  <c r="BH18" i="44"/>
  <c r="AP41" i="44"/>
  <c r="AP48" i="44"/>
  <c r="AP107" i="44"/>
  <c r="BH38" i="44"/>
  <c r="AN41" i="44"/>
  <c r="BH45" i="44"/>
  <c r="AN48" i="44"/>
  <c r="BH52" i="44"/>
  <c r="AN44" i="44"/>
  <c r="BH20" i="44"/>
  <c r="BH27" i="44"/>
  <c r="AN45" i="44"/>
  <c r="BH48" i="44"/>
  <c r="BH62" i="44"/>
  <c r="AF68" i="44"/>
  <c r="AS68" i="44" s="1"/>
  <c r="AP27" i="44"/>
  <c r="AN74" i="44"/>
  <c r="BH78" i="44"/>
  <c r="AN81" i="44"/>
  <c r="BH24" i="44"/>
  <c r="AP24" i="44"/>
  <c r="AP31" i="44"/>
  <c r="AP45" i="44"/>
  <c r="AO67" i="44"/>
  <c r="AP80" i="44"/>
  <c r="BG92" i="44"/>
  <c r="Y465" i="43"/>
  <c r="R13" i="47" s="1"/>
  <c r="BH362" i="43"/>
  <c r="AN366" i="43"/>
  <c r="AP73" i="43"/>
  <c r="AP386" i="43"/>
  <c r="AP407" i="43"/>
  <c r="AN455" i="43"/>
  <c r="AP456" i="43"/>
  <c r="AN16" i="43"/>
  <c r="AN24" i="43"/>
  <c r="AM49" i="43"/>
  <c r="BH61" i="43"/>
  <c r="BG70" i="43"/>
  <c r="BH69" i="43"/>
  <c r="AN73" i="43"/>
  <c r="AL117" i="43"/>
  <c r="AN130" i="43"/>
  <c r="AN137" i="43"/>
  <c r="AF154" i="43"/>
  <c r="AS154" i="43" s="1"/>
  <c r="AF168" i="43"/>
  <c r="AS168" i="43" s="1"/>
  <c r="BH453" i="43"/>
  <c r="BH198" i="43"/>
  <c r="AN216" i="43"/>
  <c r="AN223" i="43"/>
  <c r="BH234" i="43"/>
  <c r="AP400" i="43"/>
  <c r="AP366" i="43"/>
  <c r="AP97" i="44"/>
  <c r="AP127" i="44"/>
  <c r="AF81" i="43"/>
  <c r="AS81" i="43" s="1"/>
  <c r="BQ81" i="43" s="1"/>
  <c r="BH396" i="43"/>
  <c r="AN420" i="43"/>
  <c r="BH431" i="43"/>
  <c r="BH452" i="43"/>
  <c r="AP380" i="43"/>
  <c r="AO381" i="43"/>
  <c r="AO438" i="43"/>
  <c r="AE333" i="43"/>
  <c r="AN357" i="43"/>
  <c r="BH368" i="43"/>
  <c r="BH405" i="43"/>
  <c r="BH320" i="43"/>
  <c r="BH374" i="43"/>
  <c r="BH382" i="43"/>
  <c r="BH418" i="43"/>
  <c r="AP388" i="43"/>
  <c r="AN81" i="43"/>
  <c r="BM81" i="43" s="1"/>
  <c r="AP322" i="43"/>
  <c r="BH275" i="43"/>
  <c r="BH319" i="43"/>
  <c r="AO81" i="43"/>
  <c r="AP81" i="43"/>
  <c r="BH81" i="43"/>
  <c r="BS81" i="43" s="1"/>
  <c r="AP256" i="43"/>
  <c r="AN37" i="43"/>
  <c r="BG42" i="43"/>
  <c r="AM55" i="43"/>
  <c r="BH58" i="43"/>
  <c r="AN62" i="43"/>
  <c r="AN112" i="43"/>
  <c r="AN149" i="43"/>
  <c r="AN185" i="43"/>
  <c r="BH210" i="43"/>
  <c r="BH246" i="43"/>
  <c r="BH269" i="43"/>
  <c r="AV46" i="43"/>
  <c r="AV63" i="43"/>
  <c r="AV79" i="43"/>
  <c r="BF87" i="43"/>
  <c r="AL91" i="43"/>
  <c r="AL99" i="43"/>
  <c r="AP97" i="43"/>
  <c r="AP105" i="43"/>
  <c r="AP129" i="43"/>
  <c r="AP157" i="43"/>
  <c r="AP186" i="43"/>
  <c r="AO209" i="43"/>
  <c r="AP243" i="43"/>
  <c r="AP171" i="43"/>
  <c r="AP178" i="43"/>
  <c r="AP255" i="43"/>
  <c r="AP283" i="43"/>
  <c r="BH286" i="43"/>
  <c r="AN341" i="43"/>
  <c r="AN440" i="43"/>
  <c r="BH280" i="43"/>
  <c r="AN335" i="43"/>
  <c r="AP217" i="43"/>
  <c r="AP246" i="43"/>
  <c r="AP252" i="43"/>
  <c r="AM267" i="43"/>
  <c r="AP266" i="43"/>
  <c r="AD277" i="43"/>
  <c r="BH310" i="43"/>
  <c r="AP332" i="43"/>
  <c r="AP345" i="43"/>
  <c r="AN327" i="43"/>
  <c r="BG52" i="43"/>
  <c r="BH51" i="43"/>
  <c r="AV55" i="43"/>
  <c r="BH85" i="43"/>
  <c r="AN89" i="43"/>
  <c r="BF329" i="43"/>
  <c r="AN328" i="43"/>
  <c r="AN350" i="43"/>
  <c r="BG364" i="43"/>
  <c r="AN351" i="43"/>
  <c r="AO361" i="43"/>
  <c r="AP367" i="43"/>
  <c r="AP439" i="43"/>
  <c r="AP446" i="43"/>
  <c r="AP25" i="43"/>
  <c r="BF31" i="43"/>
  <c r="AP33" i="43"/>
  <c r="BF39" i="43"/>
  <c r="AP41" i="43"/>
  <c r="BG46" i="43"/>
  <c r="AM59" i="43"/>
  <c r="AP58" i="43"/>
  <c r="BG63" i="43"/>
  <c r="AP116" i="43"/>
  <c r="BG121" i="43"/>
  <c r="AP124" i="43"/>
  <c r="AP145" i="43"/>
  <c r="AN25" i="43"/>
  <c r="AN33" i="43"/>
  <c r="AM42" i="43"/>
  <c r="AN41" i="43"/>
  <c r="BH45" i="43"/>
  <c r="AV49" i="43"/>
  <c r="AL52" i="43"/>
  <c r="BG55" i="43"/>
  <c r="BH54" i="43"/>
  <c r="BH62" i="43"/>
  <c r="AP85" i="43"/>
  <c r="AP93" i="43"/>
  <c r="BG114" i="43"/>
  <c r="BH112" i="43"/>
  <c r="AO119" i="43"/>
  <c r="BH120" i="43"/>
  <c r="AN124" i="43"/>
  <c r="AP132" i="43"/>
  <c r="BH142" i="43"/>
  <c r="AN145" i="43"/>
  <c r="AN153" i="43"/>
  <c r="AF162" i="43"/>
  <c r="AS162" i="43" s="1"/>
  <c r="BH242" i="43"/>
  <c r="AN246" i="43"/>
  <c r="AN252" i="43"/>
  <c r="AO327" i="43"/>
  <c r="BH379" i="43"/>
  <c r="AP426" i="43"/>
  <c r="AO427" i="43"/>
  <c r="BH435" i="43"/>
  <c r="AN446" i="43"/>
  <c r="BH72" i="43"/>
  <c r="BF83" i="43"/>
  <c r="BH89" i="43"/>
  <c r="BH97" i="43"/>
  <c r="BH113" i="43"/>
  <c r="AV117" i="43"/>
  <c r="BF317" i="43"/>
  <c r="AP392" i="43"/>
  <c r="AO400" i="43"/>
  <c r="BH402" i="43"/>
  <c r="AP406" i="43"/>
  <c r="AP413" i="43"/>
  <c r="AN426" i="43"/>
  <c r="AP455" i="43"/>
  <c r="AV460" i="43"/>
  <c r="AP462" i="43"/>
  <c r="AP30" i="44"/>
  <c r="BH26" i="44"/>
  <c r="AN30" i="44"/>
  <c r="AP33" i="44"/>
  <c r="AP119" i="44"/>
  <c r="BH23" i="44"/>
  <c r="AN33" i="44"/>
  <c r="BH37" i="44"/>
  <c r="BH93" i="44"/>
  <c r="AD128" i="44"/>
  <c r="BH123" i="44"/>
  <c r="BH72" i="44"/>
  <c r="W98" i="44"/>
  <c r="AM49" i="44"/>
  <c r="AM98" i="44"/>
  <c r="AP67" i="44"/>
  <c r="AP74" i="44"/>
  <c r="AV102" i="44"/>
  <c r="BH22" i="44"/>
  <c r="AN39" i="44"/>
  <c r="BH50" i="44"/>
  <c r="AN60" i="44"/>
  <c r="AN24" i="44"/>
  <c r="AN79" i="44"/>
  <c r="BH82" i="44"/>
  <c r="BH96" i="44"/>
  <c r="AM121" i="44"/>
  <c r="BG128" i="44"/>
  <c r="AV110" i="44"/>
  <c r="AV28" i="44"/>
  <c r="AD35" i="44"/>
  <c r="AD42" i="44"/>
  <c r="BH44" i="44"/>
  <c r="AL128" i="44"/>
  <c r="AP17" i="44"/>
  <c r="AP36" i="44"/>
  <c r="AP57" i="44"/>
  <c r="AP64" i="44"/>
  <c r="AP71" i="44"/>
  <c r="AP85" i="44"/>
  <c r="AF94" i="44"/>
  <c r="AS94" i="44" s="1"/>
  <c r="AE103" i="44"/>
  <c r="AE104" i="44" s="1"/>
  <c r="AP117" i="44"/>
  <c r="AD28" i="44"/>
  <c r="BH21" i="44"/>
  <c r="AN23" i="44"/>
  <c r="BH25" i="44"/>
  <c r="BH32" i="44"/>
  <c r="AN36" i="44"/>
  <c r="AN57" i="44"/>
  <c r="BH60" i="44"/>
  <c r="AL77" i="44"/>
  <c r="AN78" i="44"/>
  <c r="AL88" i="44"/>
  <c r="BH89" i="44"/>
  <c r="BH100" i="44"/>
  <c r="BH114" i="44"/>
  <c r="AN124" i="44"/>
  <c r="BH126" i="44"/>
  <c r="AE93" i="44"/>
  <c r="AE98" i="44" s="1"/>
  <c r="AL35" i="44"/>
  <c r="AV70" i="44"/>
  <c r="AV77" i="44"/>
  <c r="AV84" i="44"/>
  <c r="AL98" i="44"/>
  <c r="AP123" i="44"/>
  <c r="AE56" i="44"/>
  <c r="BF63" i="44"/>
  <c r="BF70" i="44"/>
  <c r="BF92" i="44"/>
  <c r="BH95" i="44"/>
  <c r="AD102" i="44"/>
  <c r="BG102" i="44"/>
  <c r="BF110" i="44"/>
  <c r="AP51" i="44"/>
  <c r="BG77" i="44"/>
  <c r="AP83" i="44"/>
  <c r="AP90" i="44"/>
  <c r="AV98" i="44"/>
  <c r="AP99" i="44"/>
  <c r="AF100" i="44"/>
  <c r="AS100" i="44" s="1"/>
  <c r="BH47" i="44"/>
  <c r="AN51" i="44"/>
  <c r="BH53" i="44"/>
  <c r="BH59" i="44"/>
  <c r="AN62" i="44"/>
  <c r="AN90" i="44"/>
  <c r="BH108" i="44"/>
  <c r="AF345" i="43"/>
  <c r="AS345" i="43" s="1"/>
  <c r="AN129" i="43"/>
  <c r="AP130" i="43"/>
  <c r="AP137" i="43"/>
  <c r="BH139" i="43"/>
  <c r="AN143" i="43"/>
  <c r="AN157" i="43"/>
  <c r="AP166" i="43"/>
  <c r="AF174" i="43"/>
  <c r="AS174" i="43" s="1"/>
  <c r="AP180" i="43"/>
  <c r="AN186" i="43"/>
  <c r="AP187" i="43"/>
  <c r="BH190" i="43"/>
  <c r="AO203" i="43"/>
  <c r="BH204" i="43"/>
  <c r="AP216" i="43"/>
  <c r="AP223" i="43"/>
  <c r="BH240" i="43"/>
  <c r="AN243" i="43"/>
  <c r="BH294" i="43"/>
  <c r="AN362" i="43"/>
  <c r="AN454" i="43"/>
  <c r="AO403" i="43"/>
  <c r="AP449" i="43"/>
  <c r="AN449" i="43"/>
  <c r="AP198" i="43"/>
  <c r="AP316" i="43"/>
  <c r="BG329" i="43"/>
  <c r="AL333" i="43"/>
  <c r="AP331" i="43"/>
  <c r="AM337" i="43"/>
  <c r="AO344" i="43"/>
  <c r="AO412" i="43"/>
  <c r="AP445" i="43"/>
  <c r="AP452" i="43"/>
  <c r="AN141" i="43"/>
  <c r="AN177" i="43"/>
  <c r="BH194" i="43"/>
  <c r="AN198" i="43"/>
  <c r="BH202" i="43"/>
  <c r="BH216" i="43"/>
  <c r="BH230" i="43"/>
  <c r="AN234" i="43"/>
  <c r="BH237" i="43"/>
  <c r="BF257" i="43"/>
  <c r="AM273" i="43"/>
  <c r="AP270" i="43"/>
  <c r="BH270" i="43"/>
  <c r="BH271" i="43"/>
  <c r="AN275" i="43"/>
  <c r="AN295" i="43"/>
  <c r="AN438" i="43"/>
  <c r="AN445" i="43"/>
  <c r="BH448" i="43"/>
  <c r="AV317" i="43"/>
  <c r="AN336" i="43"/>
  <c r="AN400" i="43"/>
  <c r="AN418" i="43"/>
  <c r="BH440" i="43"/>
  <c r="BH447" i="43"/>
  <c r="AF150" i="43"/>
  <c r="AS150" i="43" s="1"/>
  <c r="AN205" i="43"/>
  <c r="BH26" i="43"/>
  <c r="BG158" i="43"/>
  <c r="AV207" i="43"/>
  <c r="BH217" i="43"/>
  <c r="BH279" i="43"/>
  <c r="AN90" i="43"/>
  <c r="AM220" i="43"/>
  <c r="BG238" i="43"/>
  <c r="AP369" i="43"/>
  <c r="AL408" i="43"/>
  <c r="BH132" i="43"/>
  <c r="AP44" i="43"/>
  <c r="BH295" i="43"/>
  <c r="AP301" i="43"/>
  <c r="AP308" i="43"/>
  <c r="BH315" i="43"/>
  <c r="AN332" i="43"/>
  <c r="AO370" i="43"/>
  <c r="AP397" i="43"/>
  <c r="AM408" i="43"/>
  <c r="AO434" i="43"/>
  <c r="AF172" i="43"/>
  <c r="AS172" i="43" s="1"/>
  <c r="AN105" i="43"/>
  <c r="AN171" i="43"/>
  <c r="BH44" i="43"/>
  <c r="AN236" i="43"/>
  <c r="AO345" i="43"/>
  <c r="AP20" i="43"/>
  <c r="BG99" i="43"/>
  <c r="AV110" i="43"/>
  <c r="BH128" i="43"/>
  <c r="AP204" i="43"/>
  <c r="AM22" i="43"/>
  <c r="AN20" i="43"/>
  <c r="BH30" i="43"/>
  <c r="BF35" i="43"/>
  <c r="AP37" i="43"/>
  <c r="BH38" i="43"/>
  <c r="AM46" i="43"/>
  <c r="AN44" i="43"/>
  <c r="AP62" i="43"/>
  <c r="BH64" i="43"/>
  <c r="BH73" i="43"/>
  <c r="BH98" i="43"/>
  <c r="AV103" i="43"/>
  <c r="AO113" i="43"/>
  <c r="AP135" i="43"/>
  <c r="BH143" i="43"/>
  <c r="AF156" i="43"/>
  <c r="AS156" i="43" s="1"/>
  <c r="BH157" i="43"/>
  <c r="AP194" i="43"/>
  <c r="AN204" i="43"/>
  <c r="AP205" i="43"/>
  <c r="AO206" i="43"/>
  <c r="BF214" i="43"/>
  <c r="AP212" i="43"/>
  <c r="AO213" i="43"/>
  <c r="BH222" i="43"/>
  <c r="BH235" i="43"/>
  <c r="AN239" i="43"/>
  <c r="AN301" i="43"/>
  <c r="BH304" i="43"/>
  <c r="W333" i="43"/>
  <c r="AO335" i="43"/>
  <c r="AP341" i="43"/>
  <c r="AP350" i="43"/>
  <c r="AO351" i="43"/>
  <c r="AN369" i="43"/>
  <c r="BG375" i="43"/>
  <c r="BH393" i="43"/>
  <c r="AP398" i="43"/>
  <c r="AO399" i="43"/>
  <c r="BH400" i="43"/>
  <c r="AN421" i="43"/>
  <c r="BH425" i="43"/>
  <c r="AD220" i="43"/>
  <c r="AM390" i="43"/>
  <c r="W163" i="43"/>
  <c r="AE159" i="43"/>
  <c r="AP159" i="43" s="1"/>
  <c r="AV273" i="43"/>
  <c r="BH37" i="43"/>
  <c r="BH78" i="43"/>
  <c r="AV83" i="43"/>
  <c r="AL87" i="43"/>
  <c r="BH148" i="43"/>
  <c r="BH218" i="43"/>
  <c r="AN222" i="43"/>
  <c r="AN229" i="43"/>
  <c r="BG244" i="43"/>
  <c r="BH301" i="43"/>
  <c r="AV22" i="43"/>
  <c r="AM39" i="43"/>
  <c r="AP38" i="43"/>
  <c r="AN45" i="43"/>
  <c r="BH136" i="43"/>
  <c r="V429" i="43"/>
  <c r="AM18" i="43"/>
  <c r="AN15" i="43"/>
  <c r="AP16" i="43"/>
  <c r="BF22" i="43"/>
  <c r="AL27" i="43"/>
  <c r="BH25" i="43"/>
  <c r="AV31" i="43"/>
  <c r="AV39" i="43"/>
  <c r="AN38" i="43"/>
  <c r="BF163" i="43"/>
  <c r="AN293" i="43"/>
  <c r="BG333" i="43"/>
  <c r="AE337" i="43"/>
  <c r="AN340" i="43"/>
  <c r="BF352" i="43"/>
  <c r="AN356" i="43"/>
  <c r="AP410" i="43"/>
  <c r="AN108" i="43"/>
  <c r="AF142" i="43"/>
  <c r="AS142" i="43" s="1"/>
  <c r="BH150" i="43"/>
  <c r="AF160" i="43"/>
  <c r="AS160" i="43" s="1"/>
  <c r="AM169" i="43"/>
  <c r="AF166" i="43"/>
  <c r="AS166" i="43" s="1"/>
  <c r="BH166" i="43"/>
  <c r="AM175" i="43"/>
  <c r="BH172" i="43"/>
  <c r="BH173" i="43"/>
  <c r="AM181" i="43"/>
  <c r="AF178" i="43"/>
  <c r="AS178" i="43" s="1"/>
  <c r="AV195" i="43"/>
  <c r="AN190" i="43"/>
  <c r="BH192" i="43"/>
  <c r="AL201" i="43"/>
  <c r="AN212" i="43"/>
  <c r="BG232" i="43"/>
  <c r="BH228" i="43"/>
  <c r="BH247" i="43"/>
  <c r="AN256" i="43"/>
  <c r="BH261" i="43"/>
  <c r="AL267" i="43"/>
  <c r="BH266" i="43"/>
  <c r="BH272" i="43"/>
  <c r="AN281" i="43"/>
  <c r="AM306" i="43"/>
  <c r="AO308" i="43"/>
  <c r="BH308" i="43"/>
  <c r="BH309" i="43"/>
  <c r="BG346" i="43"/>
  <c r="AN342" i="43"/>
  <c r="AM443" i="43"/>
  <c r="AM450" i="43"/>
  <c r="AM67" i="43"/>
  <c r="V110" i="43"/>
  <c r="BF126" i="43"/>
  <c r="AM146" i="43"/>
  <c r="BH144" i="43"/>
  <c r="BH151" i="43"/>
  <c r="BH185" i="43"/>
  <c r="BF195" i="43"/>
  <c r="BG226" i="43"/>
  <c r="V273" i="43"/>
  <c r="BG289" i="43"/>
  <c r="AL297" i="43"/>
  <c r="AV306" i="43"/>
  <c r="AO368" i="43"/>
  <c r="AV394" i="43"/>
  <c r="AL63" i="43"/>
  <c r="AP61" i="43"/>
  <c r="AV67" i="43"/>
  <c r="AV75" i="43"/>
  <c r="BF79" i="43"/>
  <c r="BG87" i="43"/>
  <c r="AM91" i="43"/>
  <c r="BG95" i="43"/>
  <c r="BG110" i="43"/>
  <c r="AV121" i="43"/>
  <c r="BG140" i="43"/>
  <c r="AV152" i="43"/>
  <c r="AV158" i="43"/>
  <c r="BF175" i="43"/>
  <c r="AV188" i="43"/>
  <c r="W195" i="43"/>
  <c r="AO200" i="43"/>
  <c r="BG220" i="43"/>
  <c r="AP228" i="43"/>
  <c r="BH229" i="43"/>
  <c r="AP235" i="43"/>
  <c r="AP241" i="43"/>
  <c r="AO248" i="43"/>
  <c r="AM257" i="43"/>
  <c r="AP253" i="43"/>
  <c r="AV267" i="43"/>
  <c r="AM284" i="43"/>
  <c r="AM297" i="43"/>
  <c r="AP292" i="43"/>
  <c r="AO293" i="43"/>
  <c r="AN324" i="43"/>
  <c r="AN325" i="43" s="1"/>
  <c r="AP355" i="43"/>
  <c r="AP361" i="43"/>
  <c r="AO362" i="43"/>
  <c r="AO373" i="43"/>
  <c r="AP389" i="43"/>
  <c r="AO396" i="43"/>
  <c r="AO414" i="43"/>
  <c r="AP419" i="43"/>
  <c r="AO420" i="43"/>
  <c r="AF428" i="43"/>
  <c r="AR428" i="43" s="1"/>
  <c r="V436" i="43"/>
  <c r="BG436" i="43"/>
  <c r="AO435" i="43"/>
  <c r="AO442" i="43"/>
  <c r="AP459" i="43"/>
  <c r="BG464" i="43"/>
  <c r="AP45" i="43"/>
  <c r="BG49" i="43"/>
  <c r="BH48" i="43"/>
  <c r="AV52" i="43"/>
  <c r="AL55" i="43"/>
  <c r="BG59" i="43"/>
  <c r="BH57" i="43"/>
  <c r="AM63" i="43"/>
  <c r="AN61" i="43"/>
  <c r="BF67" i="43"/>
  <c r="AN98" i="43"/>
  <c r="AV106" i="43"/>
  <c r="AD107" i="43"/>
  <c r="AD110" i="43" s="1"/>
  <c r="BH109" i="43"/>
  <c r="AV114" i="43"/>
  <c r="AO116" i="43"/>
  <c r="AN119" i="43"/>
  <c r="AL133" i="43"/>
  <c r="AP128" i="43"/>
  <c r="AN132" i="43"/>
  <c r="BH135" i="43"/>
  <c r="BF146" i="43"/>
  <c r="BF152" i="43"/>
  <c r="AN155" i="43"/>
  <c r="AN167" i="43"/>
  <c r="BG181" i="43"/>
  <c r="BH180" i="43"/>
  <c r="BF188" i="43"/>
  <c r="AN184" i="43"/>
  <c r="BH186" i="43"/>
  <c r="AE189" i="43"/>
  <c r="AE195" i="43" s="1"/>
  <c r="AP193" i="43"/>
  <c r="AP210" i="43"/>
  <c r="BH212" i="43"/>
  <c r="BH223" i="43"/>
  <c r="BH224" i="43"/>
  <c r="AN228" i="43"/>
  <c r="AP229" i="43"/>
  <c r="AN235" i="43"/>
  <c r="AO243" i="43"/>
  <c r="AV250" i="43"/>
  <c r="AV257" i="43"/>
  <c r="AN253" i="43"/>
  <c r="BH256" i="43"/>
  <c r="AM263" i="43"/>
  <c r="AP262" i="43"/>
  <c r="AN279" i="43"/>
  <c r="AO287" i="43"/>
  <c r="AP293" i="43"/>
  <c r="W337" i="43"/>
  <c r="BG337" i="43"/>
  <c r="AV359" i="43"/>
  <c r="AN355" i="43"/>
  <c r="AP356" i="43"/>
  <c r="BH357" i="43"/>
  <c r="AP370" i="43"/>
  <c r="BH381" i="43"/>
  <c r="V394" i="43"/>
  <c r="BG394" i="43"/>
  <c r="AO411" i="43"/>
  <c r="BG422" i="43"/>
  <c r="AN419" i="43"/>
  <c r="AP420" i="43"/>
  <c r="BH427" i="43"/>
  <c r="AO431" i="43"/>
  <c r="AN434" i="43"/>
  <c r="AN441" i="43"/>
  <c r="AP454" i="43"/>
  <c r="BH456" i="43"/>
  <c r="AM460" i="43"/>
  <c r="AN459" i="43"/>
  <c r="BH463" i="43"/>
  <c r="AM42" i="44"/>
  <c r="AN61" i="44"/>
  <c r="AM88" i="44"/>
  <c r="AE111" i="44"/>
  <c r="AP111" i="44" s="1"/>
  <c r="AP112" i="44" s="1"/>
  <c r="AL28" i="44"/>
  <c r="AP21" i="44"/>
  <c r="AV35" i="44"/>
  <c r="AP37" i="44"/>
  <c r="AP43" i="44"/>
  <c r="AP53" i="44"/>
  <c r="AM63" i="44"/>
  <c r="AO78" i="44"/>
  <c r="BF84" i="44"/>
  <c r="AV88" i="44"/>
  <c r="AP86" i="44"/>
  <c r="AV92" i="44"/>
  <c r="AD98" i="44"/>
  <c r="BF98" i="44"/>
  <c r="AF96" i="44"/>
  <c r="AR96" i="44" s="1"/>
  <c r="AL102" i="44"/>
  <c r="AL110" i="44"/>
  <c r="AP106" i="44"/>
  <c r="AP113" i="44"/>
  <c r="AV128" i="44"/>
  <c r="V13" i="44"/>
  <c r="AP54" i="44"/>
  <c r="BF121" i="44"/>
  <c r="V92" i="44"/>
  <c r="AL19" i="44"/>
  <c r="AN21" i="44"/>
  <c r="AF27" i="44"/>
  <c r="AS27" i="44" s="1"/>
  <c r="BH29" i="44"/>
  <c r="AN37" i="44"/>
  <c r="BH39" i="44"/>
  <c r="AN43" i="44"/>
  <c r="BG56" i="44"/>
  <c r="BH51" i="44"/>
  <c r="AN53" i="44"/>
  <c r="BH55" i="44"/>
  <c r="AE63" i="44"/>
  <c r="BH61" i="44"/>
  <c r="BH68" i="44"/>
  <c r="AM77" i="44"/>
  <c r="BF88" i="44"/>
  <c r="AD92" i="44"/>
  <c r="AN95" i="44"/>
  <c r="AM102" i="44"/>
  <c r="AN106" i="44"/>
  <c r="V42" i="44"/>
  <c r="AN26" i="44"/>
  <c r="AN27" i="44"/>
  <c r="BH31" i="44"/>
  <c r="AN38" i="44"/>
  <c r="AV49" i="44"/>
  <c r="AN50" i="44"/>
  <c r="BG63" i="44"/>
  <c r="BH58" i="44"/>
  <c r="BH64" i="44"/>
  <c r="BF77" i="44"/>
  <c r="BH74" i="44"/>
  <c r="AM84" i="44"/>
  <c r="BH85" i="44"/>
  <c r="AN108" i="44"/>
  <c r="BH111" i="44"/>
  <c r="BH112" i="44" s="1"/>
  <c r="AN120" i="44"/>
  <c r="AN126" i="44"/>
  <c r="AN32" i="44"/>
  <c r="AV42" i="44"/>
  <c r="AD56" i="44"/>
  <c r="AV63" i="44"/>
  <c r="AM70" i="44"/>
  <c r="AE78" i="44"/>
  <c r="AE84" i="44" s="1"/>
  <c r="W84" i="44"/>
  <c r="AM110" i="44"/>
  <c r="AL121" i="44"/>
  <c r="BF128" i="44"/>
  <c r="BF28" i="44"/>
  <c r="BF42" i="44"/>
  <c r="BF56" i="44"/>
  <c r="AM19" i="44"/>
  <c r="BG35" i="44"/>
  <c r="AD88" i="44"/>
  <c r="BG88" i="44"/>
  <c r="W92" i="44"/>
  <c r="V28" i="44"/>
  <c r="AE49" i="44"/>
  <c r="V56" i="44"/>
  <c r="V70" i="44"/>
  <c r="AE77" i="44"/>
  <c r="V84" i="44"/>
  <c r="AE88" i="44"/>
  <c r="V102" i="44"/>
  <c r="AV19" i="44"/>
  <c r="AE29" i="44"/>
  <c r="AF29" i="44" s="1"/>
  <c r="W35" i="44"/>
  <c r="AE42" i="44"/>
  <c r="BG42" i="44"/>
  <c r="AD57" i="44"/>
  <c r="AD63" i="44" s="1"/>
  <c r="V63" i="44"/>
  <c r="AE92" i="44"/>
  <c r="AV121" i="44"/>
  <c r="AE122" i="44"/>
  <c r="AE128" i="44" s="1"/>
  <c r="W128" i="44"/>
  <c r="AE14" i="44"/>
  <c r="AE19" i="44" s="1"/>
  <c r="W19" i="44"/>
  <c r="AN64" i="44"/>
  <c r="AL70" i="44"/>
  <c r="BH101" i="44"/>
  <c r="BF102" i="44"/>
  <c r="AD107" i="44"/>
  <c r="AD110" i="44" s="1"/>
  <c r="V110" i="44"/>
  <c r="BF19" i="44"/>
  <c r="BH43" i="44"/>
  <c r="BF49" i="44"/>
  <c r="AM56" i="44"/>
  <c r="AD70" i="44"/>
  <c r="BG70" i="44"/>
  <c r="V77" i="44"/>
  <c r="AD71" i="44"/>
  <c r="AL92" i="44"/>
  <c r="BG110" i="44"/>
  <c r="BG19" i="44"/>
  <c r="AE28" i="44"/>
  <c r="AM35" i="44"/>
  <c r="AD49" i="44"/>
  <c r="BG49" i="44"/>
  <c r="AF47" i="44"/>
  <c r="AS47" i="44" s="1"/>
  <c r="AV56" i="44"/>
  <c r="AN52" i="44"/>
  <c r="AO76" i="44"/>
  <c r="AF76" i="44"/>
  <c r="AR76" i="44" s="1"/>
  <c r="AE110" i="44"/>
  <c r="AD113" i="44"/>
  <c r="AD121" i="44" s="1"/>
  <c r="V121" i="44"/>
  <c r="BG121" i="44"/>
  <c r="AM128" i="44"/>
  <c r="AN12" i="44"/>
  <c r="AN13" i="44" s="1"/>
  <c r="BH16" i="44"/>
  <c r="AN20" i="44"/>
  <c r="AP40" i="44"/>
  <c r="AN55" i="44"/>
  <c r="BH57" i="44"/>
  <c r="AN73" i="44"/>
  <c r="AF74" i="44"/>
  <c r="AR74" i="44" s="1"/>
  <c r="BH75" i="44"/>
  <c r="AN76" i="44"/>
  <c r="AF82" i="44"/>
  <c r="AR82" i="44" s="1"/>
  <c r="BH83" i="44"/>
  <c r="W13" i="44"/>
  <c r="W28" i="44"/>
  <c r="BG28" i="44"/>
  <c r="W42" i="44"/>
  <c r="AL49" i="44"/>
  <c r="W56" i="44"/>
  <c r="AL63" i="44"/>
  <c r="W70" i="44"/>
  <c r="BG84" i="44"/>
  <c r="W102" i="44"/>
  <c r="W110" i="44"/>
  <c r="W121" i="44"/>
  <c r="BH67" i="44"/>
  <c r="AN69" i="44"/>
  <c r="AF72" i="44"/>
  <c r="AR72" i="44" s="1"/>
  <c r="AO96" i="44"/>
  <c r="AD84" i="44"/>
  <c r="BH12" i="44"/>
  <c r="BH13" i="44" s="1"/>
  <c r="AP46" i="44"/>
  <c r="AP91" i="44"/>
  <c r="BH105" i="44"/>
  <c r="BH120" i="44"/>
  <c r="V19" i="44"/>
  <c r="V35" i="44"/>
  <c r="BF35" i="44"/>
  <c r="V49" i="44"/>
  <c r="AE70" i="44"/>
  <c r="V88" i="44"/>
  <c r="V98" i="44"/>
  <c r="AE102" i="44"/>
  <c r="V104" i="44"/>
  <c r="V112" i="44"/>
  <c r="BF112" i="44"/>
  <c r="AE121" i="44"/>
  <c r="V128" i="44"/>
  <c r="AP18" i="44"/>
  <c r="AP26" i="44"/>
  <c r="AN31" i="44"/>
  <c r="AP32" i="44"/>
  <c r="AF45" i="44"/>
  <c r="AS45" i="44" s="1"/>
  <c r="AP52" i="44"/>
  <c r="BH65" i="44"/>
  <c r="AN75" i="44"/>
  <c r="BH76" i="44"/>
  <c r="BH90" i="44"/>
  <c r="BH94" i="44"/>
  <c r="AP109" i="44"/>
  <c r="AP115" i="44"/>
  <c r="AP125" i="44"/>
  <c r="AL42" i="44"/>
  <c r="W49" i="44"/>
  <c r="AL56" i="44"/>
  <c r="W63" i="44"/>
  <c r="W77" i="44"/>
  <c r="AL84" i="44"/>
  <c r="W88" i="44"/>
  <c r="BG98" i="44"/>
  <c r="AN18" i="44"/>
  <c r="AF33" i="44"/>
  <c r="AS33" i="44" s="1"/>
  <c r="BH33" i="44"/>
  <c r="AF41" i="44"/>
  <c r="AS41" i="44" s="1"/>
  <c r="BH41" i="44"/>
  <c r="AN54" i="44"/>
  <c r="BH66" i="44"/>
  <c r="AO69" i="44"/>
  <c r="BH87" i="44"/>
  <c r="AP89" i="44"/>
  <c r="AF91" i="44"/>
  <c r="AR91" i="44" s="1"/>
  <c r="BH91" i="44"/>
  <c r="AP105" i="44"/>
  <c r="BH117" i="44"/>
  <c r="AM13" i="44"/>
  <c r="AD19" i="44"/>
  <c r="AM28" i="44"/>
  <c r="AM92" i="44"/>
  <c r="AP39" i="44"/>
  <c r="AF39" i="44"/>
  <c r="AS39" i="44" s="1"/>
  <c r="AF86" i="44"/>
  <c r="AR86" i="44" s="1"/>
  <c r="AO86" i="44"/>
  <c r="AO79" i="44"/>
  <c r="AF79" i="44"/>
  <c r="AR79" i="44" s="1"/>
  <c r="AO99" i="44"/>
  <c r="AF99" i="44"/>
  <c r="AO73" i="44"/>
  <c r="AF73" i="44"/>
  <c r="AF85" i="44"/>
  <c r="AO85" i="44"/>
  <c r="BH14" i="44"/>
  <c r="AN17" i="44"/>
  <c r="AF67" i="44"/>
  <c r="AR67" i="44" s="1"/>
  <c r="AF71" i="44"/>
  <c r="AS71" i="44" s="1"/>
  <c r="BH71" i="44"/>
  <c r="AO72" i="44"/>
  <c r="AN80" i="44"/>
  <c r="BH81" i="44"/>
  <c r="AN82" i="44"/>
  <c r="AP94" i="44"/>
  <c r="AP100" i="44"/>
  <c r="BH103" i="44"/>
  <c r="BH104" i="44" s="1"/>
  <c r="BH15" i="44"/>
  <c r="AN29" i="44"/>
  <c r="AP38" i="44"/>
  <c r="AP58" i="44"/>
  <c r="AO66" i="44"/>
  <c r="AP75" i="44"/>
  <c r="BH79" i="44"/>
  <c r="AO82" i="44"/>
  <c r="AP95" i="44"/>
  <c r="AN14" i="44"/>
  <c r="AF16" i="44"/>
  <c r="AS16" i="44" s="1"/>
  <c r="BH17" i="44"/>
  <c r="AN22" i="44"/>
  <c r="BH30" i="44"/>
  <c r="AP47" i="44"/>
  <c r="BH54" i="44"/>
  <c r="AN58" i="44"/>
  <c r="AN67" i="44"/>
  <c r="AN71" i="44"/>
  <c r="BH73" i="44"/>
  <c r="AO74" i="44"/>
  <c r="AN103" i="44"/>
  <c r="AN104" i="44" s="1"/>
  <c r="AN105" i="44"/>
  <c r="BH106" i="44"/>
  <c r="BH109" i="44"/>
  <c r="BH115" i="44"/>
  <c r="BH118" i="44"/>
  <c r="BH124" i="44"/>
  <c r="BH127" i="44"/>
  <c r="AP12" i="44"/>
  <c r="AP13" i="44" s="1"/>
  <c r="AP16" i="44"/>
  <c r="AP20" i="44"/>
  <c r="AP25" i="44"/>
  <c r="AF97" i="44"/>
  <c r="AS97" i="44" s="1"/>
  <c r="AP101" i="44"/>
  <c r="AN16" i="44"/>
  <c r="AN25" i="44"/>
  <c r="AP34" i="44"/>
  <c r="AN47" i="44"/>
  <c r="AN66" i="44"/>
  <c r="BH69" i="44"/>
  <c r="AF80" i="44"/>
  <c r="AR80" i="44" s="1"/>
  <c r="BH80" i="44"/>
  <c r="AN83" i="44"/>
  <c r="AN86" i="44"/>
  <c r="AF90" i="44"/>
  <c r="AR90" i="44" s="1"/>
  <c r="BH97" i="44"/>
  <c r="AN101" i="44"/>
  <c r="BH107" i="44"/>
  <c r="BH113" i="44"/>
  <c r="BH116" i="44"/>
  <c r="BH119" i="44"/>
  <c r="BH122" i="44"/>
  <c r="BH125" i="44"/>
  <c r="BH23" i="43"/>
  <c r="BG27" i="43"/>
  <c r="BH40" i="43"/>
  <c r="BF42" i="43"/>
  <c r="AE80" i="43"/>
  <c r="W83" i="43"/>
  <c r="AD227" i="43"/>
  <c r="AD232" i="43" s="1"/>
  <c r="V232" i="43"/>
  <c r="AN14" i="43"/>
  <c r="AL18" i="43"/>
  <c r="AP15" i="43"/>
  <c r="AN21" i="43"/>
  <c r="AE23" i="43"/>
  <c r="AE27" i="43" s="1"/>
  <c r="W27" i="43"/>
  <c r="BH24" i="43"/>
  <c r="AM31" i="43"/>
  <c r="AD32" i="43"/>
  <c r="AD35" i="43" s="1"/>
  <c r="V35" i="43"/>
  <c r="BH32" i="43"/>
  <c r="BG35" i="43"/>
  <c r="AD40" i="43"/>
  <c r="AD42" i="43" s="1"/>
  <c r="V42" i="43"/>
  <c r="AE47" i="43"/>
  <c r="W49" i="43"/>
  <c r="BH50" i="43"/>
  <c r="BF52" i="43"/>
  <c r="AE56" i="43"/>
  <c r="W59" i="43"/>
  <c r="AE68" i="43"/>
  <c r="W70" i="43"/>
  <c r="BH71" i="43"/>
  <c r="BF75" i="43"/>
  <c r="AD76" i="43"/>
  <c r="AD79" i="43" s="1"/>
  <c r="V79" i="43"/>
  <c r="BG79" i="43"/>
  <c r="AN80" i="43"/>
  <c r="AL83" i="43"/>
  <c r="AP82" i="43"/>
  <c r="AD84" i="43"/>
  <c r="AD87" i="43" s="1"/>
  <c r="V87" i="43"/>
  <c r="AP90" i="43"/>
  <c r="AD92" i="43"/>
  <c r="AD95" i="43" s="1"/>
  <c r="V95" i="43"/>
  <c r="AN96" i="43"/>
  <c r="AM99" i="43"/>
  <c r="BH100" i="43"/>
  <c r="BF103" i="43"/>
  <c r="AN102" i="43"/>
  <c r="AN104" i="43"/>
  <c r="AL106" i="43"/>
  <c r="BH107" i="43"/>
  <c r="BF110" i="43"/>
  <c r="AN109" i="43"/>
  <c r="AN111" i="43"/>
  <c r="AL114" i="43"/>
  <c r="AP112" i="43"/>
  <c r="AN115" i="43"/>
  <c r="AM117" i="43"/>
  <c r="AD118" i="43"/>
  <c r="AD121" i="43" s="1"/>
  <c r="V121" i="43"/>
  <c r="AN120" i="43"/>
  <c r="AN122" i="43"/>
  <c r="AL126" i="43"/>
  <c r="AM133" i="43"/>
  <c r="AE134" i="43"/>
  <c r="W140" i="43"/>
  <c r="AN138" i="43"/>
  <c r="AD147" i="43"/>
  <c r="AD152" i="43" s="1"/>
  <c r="V152" i="43"/>
  <c r="BG152" i="43"/>
  <c r="AN150" i="43"/>
  <c r="AP155" i="43"/>
  <c r="BG163" i="43"/>
  <c r="AL169" i="43"/>
  <c r="AP168" i="43"/>
  <c r="BH168" i="43"/>
  <c r="AV175" i="43"/>
  <c r="AL181" i="43"/>
  <c r="AN179" i="43"/>
  <c r="AE182" i="43"/>
  <c r="AE188" i="43" s="1"/>
  <c r="W188" i="43"/>
  <c r="BG188" i="43"/>
  <c r="AN187" i="43"/>
  <c r="BH189" i="43"/>
  <c r="BG195" i="43"/>
  <c r="AO198" i="43"/>
  <c r="BH199" i="43"/>
  <c r="AL207" i="43"/>
  <c r="AD208" i="43"/>
  <c r="AD214" i="43" s="1"/>
  <c r="V214" i="43"/>
  <c r="BH208" i="43"/>
  <c r="BG214" i="43"/>
  <c r="AO212" i="43"/>
  <c r="AL220" i="43"/>
  <c r="AN218" i="43"/>
  <c r="AN219" i="43"/>
  <c r="AE221" i="43"/>
  <c r="AE226" i="43" s="1"/>
  <c r="W226" i="43"/>
  <c r="AN224" i="43"/>
  <c r="AN225" i="43"/>
  <c r="AE227" i="43"/>
  <c r="AE232" i="43" s="1"/>
  <c r="W232" i="43"/>
  <c r="AN230" i="43"/>
  <c r="AN231" i="43"/>
  <c r="AE233" i="43"/>
  <c r="AE238" i="43" s="1"/>
  <c r="W238" i="43"/>
  <c r="AL244" i="43"/>
  <c r="BH241" i="43"/>
  <c r="AD245" i="43"/>
  <c r="V250" i="43"/>
  <c r="BH245" i="43"/>
  <c r="BF250" i="43"/>
  <c r="AP248" i="43"/>
  <c r="BH249" i="43"/>
  <c r="AO253" i="43"/>
  <c r="AF311" i="43"/>
  <c r="AS311" i="43" s="1"/>
  <c r="AD318" i="43"/>
  <c r="AD323" i="43" s="1"/>
  <c r="V323" i="43"/>
  <c r="BG323" i="43"/>
  <c r="AP342" i="43"/>
  <c r="AF342" i="43"/>
  <c r="AS342" i="43" s="1"/>
  <c r="AD347" i="43"/>
  <c r="V352" i="43"/>
  <c r="BG384" i="43"/>
  <c r="V415" i="43"/>
  <c r="AD409" i="43"/>
  <c r="BG429" i="43"/>
  <c r="AE451" i="43"/>
  <c r="W457" i="43"/>
  <c r="AN28" i="43"/>
  <c r="AL31" i="43"/>
  <c r="AD159" i="43"/>
  <c r="AD163" i="43" s="1"/>
  <c r="V163" i="43"/>
  <c r="AD182" i="43"/>
  <c r="AO182" i="43" s="1"/>
  <c r="V188" i="43"/>
  <c r="AE196" i="43"/>
  <c r="W201" i="43"/>
  <c r="AE239" i="43"/>
  <c r="AE244" i="43" s="1"/>
  <c r="W244" i="43"/>
  <c r="AE391" i="43"/>
  <c r="W394" i="43"/>
  <c r="AN30" i="43"/>
  <c r="AE32" i="43"/>
  <c r="W35" i="43"/>
  <c r="AE40" i="43"/>
  <c r="AE42" i="43" s="1"/>
  <c r="W42" i="43"/>
  <c r="BH41" i="43"/>
  <c r="BH43" i="43"/>
  <c r="BF46" i="43"/>
  <c r="AN47" i="43"/>
  <c r="AL49" i="43"/>
  <c r="AD50" i="43"/>
  <c r="AD52" i="43" s="1"/>
  <c r="V52" i="43"/>
  <c r="AN56" i="43"/>
  <c r="AL59" i="43"/>
  <c r="AD64" i="43"/>
  <c r="AD67" i="43" s="1"/>
  <c r="V67" i="43"/>
  <c r="BG67" i="43"/>
  <c r="AN68" i="43"/>
  <c r="AL70" i="43"/>
  <c r="AD71" i="43"/>
  <c r="AD75" i="43" s="1"/>
  <c r="V75" i="43"/>
  <c r="BG75" i="43"/>
  <c r="AE76" i="43"/>
  <c r="W79" i="43"/>
  <c r="BH76" i="43"/>
  <c r="BH77" i="43"/>
  <c r="AM83" i="43"/>
  <c r="AE84" i="43"/>
  <c r="W87" i="43"/>
  <c r="BH86" i="43"/>
  <c r="AV91" i="43"/>
  <c r="AE92" i="43"/>
  <c r="AE95" i="43" s="1"/>
  <c r="W95" i="43"/>
  <c r="BH94" i="43"/>
  <c r="AV99" i="43"/>
  <c r="AD100" i="43"/>
  <c r="AD103" i="43" s="1"/>
  <c r="V103" i="43"/>
  <c r="BG103" i="43"/>
  <c r="BH101" i="43"/>
  <c r="AM106" i="43"/>
  <c r="AE107" i="43"/>
  <c r="AE110" i="43" s="1"/>
  <c r="W110" i="43"/>
  <c r="AM114" i="43"/>
  <c r="AE118" i="43"/>
  <c r="W121" i="43"/>
  <c r="AM126" i="43"/>
  <c r="AV133" i="43"/>
  <c r="AN128" i="43"/>
  <c r="AL140" i="43"/>
  <c r="AV146" i="43"/>
  <c r="AN142" i="43"/>
  <c r="AE147" i="43"/>
  <c r="W152" i="43"/>
  <c r="BH147" i="43"/>
  <c r="AD153" i="43"/>
  <c r="AD158" i="43" s="1"/>
  <c r="V158" i="43"/>
  <c r="BF158" i="43"/>
  <c r="AD170" i="43"/>
  <c r="AO170" i="43" s="1"/>
  <c r="V175" i="43"/>
  <c r="AF190" i="43"/>
  <c r="AR190" i="43" s="1"/>
  <c r="BH193" i="43"/>
  <c r="AN196" i="43"/>
  <c r="AM201" i="43"/>
  <c r="AN197" i="43"/>
  <c r="BH200" i="43"/>
  <c r="AN202" i="43"/>
  <c r="AM207" i="43"/>
  <c r="AE208" i="43"/>
  <c r="W214" i="43"/>
  <c r="AF213" i="43"/>
  <c r="AS213" i="43" s="1"/>
  <c r="BH213" i="43"/>
  <c r="AL226" i="43"/>
  <c r="AL232" i="43"/>
  <c r="AL238" i="43"/>
  <c r="BH236" i="43"/>
  <c r="AM244" i="43"/>
  <c r="AE245" i="43"/>
  <c r="AE250" i="43" s="1"/>
  <c r="W250" i="43"/>
  <c r="BG250" i="43"/>
  <c r="AN248" i="43"/>
  <c r="AN260" i="43"/>
  <c r="AL263" i="43"/>
  <c r="AN278" i="43"/>
  <c r="AL284" i="43"/>
  <c r="BH285" i="43"/>
  <c r="BF289" i="43"/>
  <c r="AP336" i="43"/>
  <c r="AF336" i="43"/>
  <c r="AS336" i="43" s="1"/>
  <c r="AD338" i="43"/>
  <c r="V346" i="43"/>
  <c r="AN365" i="43"/>
  <c r="AL371" i="43"/>
  <c r="BH372" i="43"/>
  <c r="BF375" i="43"/>
  <c r="W384" i="43"/>
  <c r="AE378" i="43"/>
  <c r="AE384" i="43" s="1"/>
  <c r="AE423" i="43"/>
  <c r="AE429" i="43" s="1"/>
  <c r="W429" i="43"/>
  <c r="AN36" i="43"/>
  <c r="AL39" i="43"/>
  <c r="AD56" i="43"/>
  <c r="AD59" i="43" s="1"/>
  <c r="V59" i="43"/>
  <c r="AE104" i="43"/>
  <c r="AE106" i="43" s="1"/>
  <c r="W106" i="43"/>
  <c r="AE164" i="43"/>
  <c r="W169" i="43"/>
  <c r="AE176" i="43"/>
  <c r="W181" i="43"/>
  <c r="AD221" i="43"/>
  <c r="AD226" i="43" s="1"/>
  <c r="V226" i="43"/>
  <c r="BH409" i="43"/>
  <c r="BF415" i="43"/>
  <c r="AV18" i="43"/>
  <c r="AD19" i="43"/>
  <c r="AD22" i="43" s="1"/>
  <c r="V22" i="43"/>
  <c r="BH19" i="43"/>
  <c r="BG22" i="43"/>
  <c r="AM27" i="43"/>
  <c r="AN32" i="43"/>
  <c r="AL35" i="43"/>
  <c r="AN40" i="43"/>
  <c r="AL42" i="43"/>
  <c r="AD43" i="43"/>
  <c r="AD46" i="43" s="1"/>
  <c r="V46" i="43"/>
  <c r="AE50" i="43"/>
  <c r="W52" i="43"/>
  <c r="BH53" i="43"/>
  <c r="BF55" i="43"/>
  <c r="BH60" i="43"/>
  <c r="BF63" i="43"/>
  <c r="AE64" i="43"/>
  <c r="W67" i="43"/>
  <c r="BH65" i="43"/>
  <c r="AM70" i="43"/>
  <c r="AE71" i="43"/>
  <c r="W75" i="43"/>
  <c r="AN76" i="43"/>
  <c r="AL79" i="43"/>
  <c r="BH88" i="43"/>
  <c r="BF91" i="43"/>
  <c r="AN92" i="43"/>
  <c r="AL95" i="43"/>
  <c r="BF99" i="43"/>
  <c r="AE100" i="43"/>
  <c r="W103" i="43"/>
  <c r="AP113" i="43"/>
  <c r="BH115" i="43"/>
  <c r="BF117" i="43"/>
  <c r="AL121" i="43"/>
  <c r="AP119" i="43"/>
  <c r="AV126" i="43"/>
  <c r="BF133" i="43"/>
  <c r="AM140" i="43"/>
  <c r="AD141" i="43"/>
  <c r="AD146" i="43" s="1"/>
  <c r="V146" i="43"/>
  <c r="AN147" i="43"/>
  <c r="AL152" i="43"/>
  <c r="BH149" i="43"/>
  <c r="AN151" i="43"/>
  <c r="AE153" i="43"/>
  <c r="W158" i="43"/>
  <c r="AP156" i="43"/>
  <c r="BH156" i="43"/>
  <c r="AN159" i="43"/>
  <c r="AL163" i="43"/>
  <c r="AV169" i="43"/>
  <c r="AN165" i="43"/>
  <c r="AE170" i="43"/>
  <c r="AE175" i="43" s="1"/>
  <c r="W175" i="43"/>
  <c r="BH170" i="43"/>
  <c r="BG175" i="43"/>
  <c r="AV181" i="43"/>
  <c r="AL188" i="43"/>
  <c r="AL195" i="43"/>
  <c r="AV201" i="43"/>
  <c r="AL214" i="43"/>
  <c r="AO215" i="43"/>
  <c r="AN221" i="43"/>
  <c r="AM226" i="43"/>
  <c r="AN227" i="43"/>
  <c r="AM232" i="43"/>
  <c r="AN233" i="43"/>
  <c r="AM238" i="43"/>
  <c r="AL250" i="43"/>
  <c r="AD251" i="43"/>
  <c r="V257" i="43"/>
  <c r="BG257" i="43"/>
  <c r="AE274" i="43"/>
  <c r="AF274" i="43" s="1"/>
  <c r="W277" i="43"/>
  <c r="BH274" i="43"/>
  <c r="BG277" i="43"/>
  <c r="AD285" i="43"/>
  <c r="AD289" i="43" s="1"/>
  <c r="V289" i="43"/>
  <c r="AF296" i="43"/>
  <c r="AS296" i="43" s="1"/>
  <c r="AO296" i="43"/>
  <c r="BH296" i="43"/>
  <c r="BH298" i="43"/>
  <c r="BH299" i="43" s="1"/>
  <c r="BF299" i="43"/>
  <c r="AN307" i="43"/>
  <c r="AL313" i="43"/>
  <c r="AP379" i="43"/>
  <c r="BG401" i="43"/>
  <c r="AE14" i="43"/>
  <c r="W18" i="43"/>
  <c r="AD68" i="43"/>
  <c r="AD70" i="43" s="1"/>
  <c r="V70" i="43"/>
  <c r="BH92" i="43"/>
  <c r="BF95" i="43"/>
  <c r="AE111" i="43"/>
  <c r="W114" i="43"/>
  <c r="BH118" i="43"/>
  <c r="BF121" i="43"/>
  <c r="AE122" i="43"/>
  <c r="W126" i="43"/>
  <c r="AD189" i="43"/>
  <c r="V195" i="43"/>
  <c r="AP202" i="43"/>
  <c r="AE207" i="43"/>
  <c r="BF18" i="43"/>
  <c r="AE19" i="43"/>
  <c r="W22" i="43"/>
  <c r="BH20" i="43"/>
  <c r="AV27" i="43"/>
  <c r="AP26" i="43"/>
  <c r="AD28" i="43"/>
  <c r="AD31" i="43" s="1"/>
  <c r="V31" i="43"/>
  <c r="BG31" i="43"/>
  <c r="AM35" i="43"/>
  <c r="AP34" i="43"/>
  <c r="AD36" i="43"/>
  <c r="AD39" i="43" s="1"/>
  <c r="V39" i="43"/>
  <c r="BH36" i="43"/>
  <c r="BG39" i="43"/>
  <c r="AE43" i="43"/>
  <c r="AE46" i="43" s="1"/>
  <c r="W46" i="43"/>
  <c r="AD53" i="43"/>
  <c r="AD55" i="43" s="1"/>
  <c r="V55" i="43"/>
  <c r="AV59" i="43"/>
  <c r="AN58" i="43"/>
  <c r="AD60" i="43"/>
  <c r="AD63" i="43" s="1"/>
  <c r="V63" i="43"/>
  <c r="AN64" i="43"/>
  <c r="AL67" i="43"/>
  <c r="BH66" i="43"/>
  <c r="AV70" i="43"/>
  <c r="AN71" i="43"/>
  <c r="AL75" i="43"/>
  <c r="AM79" i="43"/>
  <c r="AP77" i="43"/>
  <c r="AM87" i="43"/>
  <c r="AD91" i="43"/>
  <c r="BG91" i="43"/>
  <c r="AM95" i="43"/>
  <c r="AP94" i="43"/>
  <c r="AD96" i="43"/>
  <c r="AD99" i="43" s="1"/>
  <c r="V99" i="43"/>
  <c r="AL103" i="43"/>
  <c r="BH104" i="43"/>
  <c r="BF106" i="43"/>
  <c r="AN107" i="43"/>
  <c r="AL110" i="43"/>
  <c r="AP108" i="43"/>
  <c r="BF114" i="43"/>
  <c r="AD115" i="43"/>
  <c r="AD117" i="43" s="1"/>
  <c r="V117" i="43"/>
  <c r="BG117" i="43"/>
  <c r="AN118" i="43"/>
  <c r="AM121" i="43"/>
  <c r="AP125" i="43"/>
  <c r="AD127" i="43"/>
  <c r="AD133" i="43" s="1"/>
  <c r="V133" i="43"/>
  <c r="BG133" i="43"/>
  <c r="AV140" i="43"/>
  <c r="AN139" i="43"/>
  <c r="AE141" i="43"/>
  <c r="W146" i="43"/>
  <c r="BG146" i="43"/>
  <c r="AM152" i="43"/>
  <c r="AL158" i="43"/>
  <c r="AM163" i="43"/>
  <c r="AP161" i="43"/>
  <c r="BF169" i="43"/>
  <c r="AP173" i="43"/>
  <c r="BF181" i="43"/>
  <c r="AM188" i="43"/>
  <c r="AP183" i="43"/>
  <c r="AF184" i="43"/>
  <c r="AM195" i="43"/>
  <c r="BH196" i="43"/>
  <c r="BF201" i="43"/>
  <c r="AP200" i="43"/>
  <c r="AD202" i="43"/>
  <c r="AD207" i="43" s="1"/>
  <c r="V207" i="43"/>
  <c r="BF207" i="43"/>
  <c r="BH205" i="43"/>
  <c r="AN208" i="43"/>
  <c r="AM214" i="43"/>
  <c r="V220" i="43"/>
  <c r="AV220" i="43"/>
  <c r="AN217" i="43"/>
  <c r="AV226" i="43"/>
  <c r="AV232" i="43"/>
  <c r="AV238" i="43"/>
  <c r="AP236" i="43"/>
  <c r="AV244" i="43"/>
  <c r="AM250" i="43"/>
  <c r="AE251" i="43"/>
  <c r="AE257" i="43" s="1"/>
  <c r="W257" i="43"/>
  <c r="BH251" i="43"/>
  <c r="BH258" i="43"/>
  <c r="BH259" i="43" s="1"/>
  <c r="BF259" i="43"/>
  <c r="BH293" i="43"/>
  <c r="AL329" i="43"/>
  <c r="AN326" i="43"/>
  <c r="AP339" i="43"/>
  <c r="AF339" i="43"/>
  <c r="AS339" i="43" s="1"/>
  <c r="AL364" i="43"/>
  <c r="AN360" i="43"/>
  <c r="W401" i="43"/>
  <c r="AE395" i="43"/>
  <c r="AN458" i="43"/>
  <c r="AL460" i="43"/>
  <c r="AD461" i="43"/>
  <c r="AD464" i="43" s="1"/>
  <c r="V464" i="43"/>
  <c r="V91" i="43"/>
  <c r="AD23" i="43"/>
  <c r="AD27" i="43" s="1"/>
  <c r="V27" i="43"/>
  <c r="AD47" i="43"/>
  <c r="AD49" i="43" s="1"/>
  <c r="V49" i="43"/>
  <c r="AD134" i="43"/>
  <c r="AD140" i="43" s="1"/>
  <c r="V140" i="43"/>
  <c r="AD233" i="43"/>
  <c r="AD238" i="43" s="1"/>
  <c r="V238" i="43"/>
  <c r="AD14" i="43"/>
  <c r="AD18" i="43" s="1"/>
  <c r="V18" i="43"/>
  <c r="BH14" i="43"/>
  <c r="BG18" i="43"/>
  <c r="AN19" i="43"/>
  <c r="AL22" i="43"/>
  <c r="BF27" i="43"/>
  <c r="AN26" i="43"/>
  <c r="AE28" i="43"/>
  <c r="W31" i="43"/>
  <c r="BH29" i="43"/>
  <c r="AV35" i="43"/>
  <c r="AN34" i="43"/>
  <c r="AE36" i="43"/>
  <c r="AE39" i="43" s="1"/>
  <c r="W39" i="43"/>
  <c r="AV42" i="43"/>
  <c r="AN43" i="43"/>
  <c r="AL46" i="43"/>
  <c r="BH47" i="43"/>
  <c r="BF49" i="43"/>
  <c r="AM52" i="43"/>
  <c r="AE53" i="43"/>
  <c r="AE55" i="43" s="1"/>
  <c r="W55" i="43"/>
  <c r="BH56" i="43"/>
  <c r="BF59" i="43"/>
  <c r="AE60" i="43"/>
  <c r="AE63" i="43" s="1"/>
  <c r="W63" i="43"/>
  <c r="BH68" i="43"/>
  <c r="BF70" i="43"/>
  <c r="AM75" i="43"/>
  <c r="BH74" i="43"/>
  <c r="AN77" i="43"/>
  <c r="AD80" i="43"/>
  <c r="AD83" i="43" s="1"/>
  <c r="V83" i="43"/>
  <c r="BG83" i="43"/>
  <c r="BH82" i="43"/>
  <c r="AV87" i="43"/>
  <c r="AN85" i="43"/>
  <c r="AN86" i="43"/>
  <c r="AE88" i="43"/>
  <c r="AF88" i="43" s="1"/>
  <c r="W91" i="43"/>
  <c r="AV95" i="43"/>
  <c r="AN93" i="43"/>
  <c r="AE96" i="43"/>
  <c r="W99" i="43"/>
  <c r="AM103" i="43"/>
  <c r="AN101" i="43"/>
  <c r="AP102" i="43"/>
  <c r="AD104" i="43"/>
  <c r="AD106" i="43" s="1"/>
  <c r="V106" i="43"/>
  <c r="BG106" i="43"/>
  <c r="AM110" i="43"/>
  <c r="AP109" i="43"/>
  <c r="AD111" i="43"/>
  <c r="AD114" i="43" s="1"/>
  <c r="V114" i="43"/>
  <c r="AE115" i="43"/>
  <c r="W117" i="43"/>
  <c r="AD122" i="43"/>
  <c r="AD126" i="43" s="1"/>
  <c r="V126" i="43"/>
  <c r="BG126" i="43"/>
  <c r="AN125" i="43"/>
  <c r="AE127" i="43"/>
  <c r="AE133" i="43" s="1"/>
  <c r="W133" i="43"/>
  <c r="BF140" i="43"/>
  <c r="AN136" i="43"/>
  <c r="BH138" i="43"/>
  <c r="AL146" i="43"/>
  <c r="BH145" i="43"/>
  <c r="AM158" i="43"/>
  <c r="AP154" i="43"/>
  <c r="AV163" i="43"/>
  <c r="AN161" i="43"/>
  <c r="AD164" i="43"/>
  <c r="AO164" i="43" s="1"/>
  <c r="V169" i="43"/>
  <c r="BG169" i="43"/>
  <c r="AL175" i="43"/>
  <c r="AN173" i="43"/>
  <c r="AD176" i="43"/>
  <c r="AD181" i="43" s="1"/>
  <c r="V181" i="43"/>
  <c r="AN183" i="43"/>
  <c r="AD196" i="43"/>
  <c r="V201" i="43"/>
  <c r="BG201" i="43"/>
  <c r="BH197" i="43"/>
  <c r="AN200" i="43"/>
  <c r="W207" i="43"/>
  <c r="BG207" i="43"/>
  <c r="BH206" i="43"/>
  <c r="AV214" i="43"/>
  <c r="BH211" i="43"/>
  <c r="AE215" i="43"/>
  <c r="AE220" i="43" s="1"/>
  <c r="W220" i="43"/>
  <c r="BH215" i="43"/>
  <c r="BF220" i="43"/>
  <c r="BF226" i="43"/>
  <c r="BF232" i="43"/>
  <c r="BF238" i="43"/>
  <c r="AD239" i="43"/>
  <c r="AD244" i="43" s="1"/>
  <c r="V244" i="43"/>
  <c r="BH239" i="43"/>
  <c r="BF244" i="43"/>
  <c r="AN242" i="43"/>
  <c r="BH243" i="43"/>
  <c r="AN245" i="43"/>
  <c r="BH248" i="43"/>
  <c r="AN251" i="43"/>
  <c r="AL257" i="43"/>
  <c r="AF252" i="43"/>
  <c r="BH252" i="43"/>
  <c r="AN339" i="43"/>
  <c r="AD416" i="43"/>
  <c r="AD422" i="43" s="1"/>
  <c r="V422" i="43"/>
  <c r="AE430" i="43"/>
  <c r="AE436" i="43" s="1"/>
  <c r="W436" i="43"/>
  <c r="AN254" i="43"/>
  <c r="AD258" i="43"/>
  <c r="AO258" i="43" s="1"/>
  <c r="V259" i="43"/>
  <c r="AV263" i="43"/>
  <c r="BH262" i="43"/>
  <c r="BF273" i="43"/>
  <c r="AN270" i="43"/>
  <c r="AN274" i="43"/>
  <c r="AL277" i="43"/>
  <c r="AV284" i="43"/>
  <c r="AN283" i="43"/>
  <c r="AE285" i="43"/>
  <c r="AE289" i="43" s="1"/>
  <c r="W289" i="43"/>
  <c r="BH288" i="43"/>
  <c r="AV297" i="43"/>
  <c r="AD298" i="43"/>
  <c r="AD299" i="43" s="1"/>
  <c r="V299" i="43"/>
  <c r="BH300" i="43"/>
  <c r="BF306" i="43"/>
  <c r="AM313" i="43"/>
  <c r="AF308" i="43"/>
  <c r="AS308" i="43" s="1"/>
  <c r="AN316" i="43"/>
  <c r="AE318" i="43"/>
  <c r="AE323" i="43" s="1"/>
  <c r="W323" i="43"/>
  <c r="AD324" i="43"/>
  <c r="V325" i="43"/>
  <c r="AM329" i="43"/>
  <c r="BH327" i="43"/>
  <c r="AO331" i="43"/>
  <c r="AN334" i="43"/>
  <c r="AL337" i="43"/>
  <c r="AP335" i="43"/>
  <c r="AE338" i="43"/>
  <c r="W346" i="43"/>
  <c r="AO339" i="43"/>
  <c r="AO341" i="43"/>
  <c r="AN345" i="43"/>
  <c r="AE347" i="43"/>
  <c r="W352" i="43"/>
  <c r="BG352" i="43"/>
  <c r="AD353" i="43"/>
  <c r="AO353" i="43" s="1"/>
  <c r="V359" i="43"/>
  <c r="BH353" i="43"/>
  <c r="BF359" i="43"/>
  <c r="AM364" i="43"/>
  <c r="AM371" i="43"/>
  <c r="AD372" i="43"/>
  <c r="V375" i="43"/>
  <c r="BH373" i="43"/>
  <c r="AV390" i="43"/>
  <c r="AO388" i="43"/>
  <c r="BH388" i="43"/>
  <c r="AD391" i="43"/>
  <c r="AV408" i="43"/>
  <c r="AP404" i="43"/>
  <c r="AE409" i="43"/>
  <c r="W415" i="43"/>
  <c r="BG415" i="43"/>
  <c r="BH412" i="43"/>
  <c r="AE416" i="43"/>
  <c r="AE422" i="43" s="1"/>
  <c r="W422" i="43"/>
  <c r="AD423" i="43"/>
  <c r="AD430" i="43"/>
  <c r="AO439" i="43"/>
  <c r="AV450" i="43"/>
  <c r="AN451" i="43"/>
  <c r="AL457" i="43"/>
  <c r="AE461" i="43"/>
  <c r="W464" i="43"/>
  <c r="AF462" i="43"/>
  <c r="AR462" i="43" s="1"/>
  <c r="BH462" i="43"/>
  <c r="BH253" i="43"/>
  <c r="AE258" i="43"/>
  <c r="AE259" i="43" s="1"/>
  <c r="W259" i="43"/>
  <c r="V263" i="43"/>
  <c r="BF263" i="43"/>
  <c r="V267" i="43"/>
  <c r="BF267" i="43"/>
  <c r="AE268" i="43"/>
  <c r="W273" i="43"/>
  <c r="BH268" i="43"/>
  <c r="BG273" i="43"/>
  <c r="AM277" i="43"/>
  <c r="BH278" i="43"/>
  <c r="BF284" i="43"/>
  <c r="AL289" i="43"/>
  <c r="V297" i="43"/>
  <c r="BF297" i="43"/>
  <c r="AE298" i="43"/>
  <c r="W299" i="43"/>
  <c r="AD300" i="43"/>
  <c r="AD306" i="43" s="1"/>
  <c r="V306" i="43"/>
  <c r="BG306" i="43"/>
  <c r="AV313" i="43"/>
  <c r="AD314" i="43"/>
  <c r="AD317" i="43" s="1"/>
  <c r="V317" i="43"/>
  <c r="BG317" i="43"/>
  <c r="AL323" i="43"/>
  <c r="AP319" i="43"/>
  <c r="AM333" i="43"/>
  <c r="AO336" i="43"/>
  <c r="AN338" i="43"/>
  <c r="AL346" i="43"/>
  <c r="AO342" i="43"/>
  <c r="AL352" i="43"/>
  <c r="W359" i="43"/>
  <c r="BG359" i="43"/>
  <c r="AP357" i="43"/>
  <c r="AV371" i="43"/>
  <c r="AN367" i="43"/>
  <c r="AE372" i="43"/>
  <c r="AE375" i="43" s="1"/>
  <c r="W375" i="43"/>
  <c r="AL384" i="43"/>
  <c r="V390" i="43"/>
  <c r="BH385" i="43"/>
  <c r="BF390" i="43"/>
  <c r="AN391" i="43"/>
  <c r="AL394" i="43"/>
  <c r="AL401" i="43"/>
  <c r="AO397" i="43"/>
  <c r="AD402" i="43"/>
  <c r="V408" i="43"/>
  <c r="BF408" i="43"/>
  <c r="AO406" i="43"/>
  <c r="BH406" i="43"/>
  <c r="AN416" i="43"/>
  <c r="AL422" i="43"/>
  <c r="AP417" i="43"/>
  <c r="AL429" i="43"/>
  <c r="AF424" i="43"/>
  <c r="AR424" i="43" s="1"/>
  <c r="AF427" i="43"/>
  <c r="AR427" i="43" s="1"/>
  <c r="AN430" i="43"/>
  <c r="AL436" i="43"/>
  <c r="AV443" i="43"/>
  <c r="BH444" i="43"/>
  <c r="BF450" i="43"/>
  <c r="AP447" i="43"/>
  <c r="AM457" i="43"/>
  <c r="AN461" i="43"/>
  <c r="AL464" i="43"/>
  <c r="BH254" i="43"/>
  <c r="AE260" i="43"/>
  <c r="AE263" i="43" s="1"/>
  <c r="W263" i="43"/>
  <c r="BH260" i="43"/>
  <c r="BG263" i="43"/>
  <c r="AE264" i="43"/>
  <c r="AF264" i="43" s="1"/>
  <c r="W267" i="43"/>
  <c r="BH264" i="43"/>
  <c r="BG267" i="43"/>
  <c r="BH265" i="43"/>
  <c r="AD268" i="43"/>
  <c r="AD273" i="43" s="1"/>
  <c r="AP272" i="43"/>
  <c r="AV277" i="43"/>
  <c r="AP276" i="43"/>
  <c r="AD278" i="43"/>
  <c r="AD284" i="43" s="1"/>
  <c r="V284" i="43"/>
  <c r="BG284" i="43"/>
  <c r="AP281" i="43"/>
  <c r="BH282" i="43"/>
  <c r="AM289" i="43"/>
  <c r="AE290" i="43"/>
  <c r="W297" i="43"/>
  <c r="BG297" i="43"/>
  <c r="BH291" i="43"/>
  <c r="AN298" i="43"/>
  <c r="AN299" i="43" s="1"/>
  <c r="AL299" i="43"/>
  <c r="AE300" i="43"/>
  <c r="AE306" i="43" s="1"/>
  <c r="W306" i="43"/>
  <c r="BH305" i="43"/>
  <c r="BH307" i="43"/>
  <c r="BF313" i="43"/>
  <c r="AP310" i="43"/>
  <c r="AE314" i="43"/>
  <c r="W317" i="43"/>
  <c r="AM323" i="43"/>
  <c r="AE324" i="43"/>
  <c r="AE325" i="43" s="1"/>
  <c r="AN330" i="43"/>
  <c r="AV337" i="43"/>
  <c r="AM346" i="43"/>
  <c r="AP344" i="43"/>
  <c r="AM352" i="43"/>
  <c r="AP348" i="43"/>
  <c r="AO349" i="43"/>
  <c r="AE353" i="43"/>
  <c r="AF358" i="43"/>
  <c r="AS358" i="43" s="1"/>
  <c r="AV364" i="43"/>
  <c r="AP362" i="43"/>
  <c r="BH365" i="43"/>
  <c r="BF371" i="43"/>
  <c r="AP368" i="43"/>
  <c r="AL375" i="43"/>
  <c r="AP373" i="43"/>
  <c r="BH376" i="43"/>
  <c r="BH377" i="43" s="1"/>
  <c r="BF377" i="43"/>
  <c r="AM384" i="43"/>
  <c r="AO379" i="43"/>
  <c r="AP382" i="43"/>
  <c r="AE385" i="43"/>
  <c r="W390" i="43"/>
  <c r="BG390" i="43"/>
  <c r="AN388" i="43"/>
  <c r="AM394" i="43"/>
  <c r="AM401" i="43"/>
  <c r="W408" i="43"/>
  <c r="BG408" i="43"/>
  <c r="AN409" i="43"/>
  <c r="AL415" i="43"/>
  <c r="AP412" i="43"/>
  <c r="AM422" i="43"/>
  <c r="AN417" i="43"/>
  <c r="AP418" i="43"/>
  <c r="BH419" i="43"/>
  <c r="AM429" i="43"/>
  <c r="AO425" i="43"/>
  <c r="AM436" i="43"/>
  <c r="BH433" i="43"/>
  <c r="AD437" i="43"/>
  <c r="V443" i="43"/>
  <c r="BH437" i="43"/>
  <c r="BF443" i="43"/>
  <c r="AO440" i="43"/>
  <c r="AD444" i="43"/>
  <c r="AD450" i="43" s="1"/>
  <c r="V450" i="43"/>
  <c r="BG450" i="43"/>
  <c r="BH445" i="43"/>
  <c r="AN447" i="43"/>
  <c r="BH449" i="43"/>
  <c r="AV457" i="43"/>
  <c r="AF453" i="43"/>
  <c r="AS453" i="43" s="1"/>
  <c r="AD458" i="43"/>
  <c r="AD460" i="43" s="1"/>
  <c r="V460" i="43"/>
  <c r="BH458" i="43"/>
  <c r="BF460" i="43"/>
  <c r="AM464" i="43"/>
  <c r="AO254" i="43"/>
  <c r="BH255" i="43"/>
  <c r="AD260" i="43"/>
  <c r="AD267" i="43"/>
  <c r="AL273" i="43"/>
  <c r="V277" i="43"/>
  <c r="BF277" i="43"/>
  <c r="AE278" i="43"/>
  <c r="W284" i="43"/>
  <c r="BH283" i="43"/>
  <c r="AV289" i="43"/>
  <c r="AN286" i="43"/>
  <c r="AF287" i="43"/>
  <c r="AR287" i="43" s="1"/>
  <c r="AD290" i="43"/>
  <c r="AD297" i="43" s="1"/>
  <c r="BH292" i="43"/>
  <c r="AL306" i="43"/>
  <c r="AP305" i="43"/>
  <c r="AD307" i="43"/>
  <c r="AD313" i="43" s="1"/>
  <c r="V313" i="43"/>
  <c r="BG313" i="43"/>
  <c r="AL317" i="43"/>
  <c r="BH316" i="43"/>
  <c r="AV323" i="43"/>
  <c r="AD326" i="43"/>
  <c r="AD329" i="43" s="1"/>
  <c r="V329" i="43"/>
  <c r="AV329" i="43"/>
  <c r="AD330" i="43"/>
  <c r="AF330" i="43" s="1"/>
  <c r="V333" i="43"/>
  <c r="AV333" i="43"/>
  <c r="AD334" i="43"/>
  <c r="AD337" i="43" s="1"/>
  <c r="V337" i="43"/>
  <c r="BF337" i="43"/>
  <c r="AV346" i="43"/>
  <c r="AN344" i="43"/>
  <c r="AN347" i="43"/>
  <c r="AN348" i="43"/>
  <c r="AP349" i="43"/>
  <c r="AN353" i="43"/>
  <c r="AL359" i="43"/>
  <c r="AO355" i="43"/>
  <c r="AP358" i="43"/>
  <c r="AD364" i="43"/>
  <c r="BF364" i="43"/>
  <c r="AN361" i="43"/>
  <c r="AD365" i="43"/>
  <c r="AD371" i="43" s="1"/>
  <c r="V371" i="43"/>
  <c r="BG371" i="43"/>
  <c r="AM375" i="43"/>
  <c r="AN373" i="43"/>
  <c r="AD376" i="43"/>
  <c r="V377" i="43"/>
  <c r="AV384" i="43"/>
  <c r="AD385" i="43"/>
  <c r="AO393" i="43"/>
  <c r="AV401" i="43"/>
  <c r="BH399" i="43"/>
  <c r="AE408" i="43"/>
  <c r="BH403" i="43"/>
  <c r="AN406" i="43"/>
  <c r="AM415" i="43"/>
  <c r="BH411" i="43"/>
  <c r="AN412" i="43"/>
  <c r="AV422" i="43"/>
  <c r="AO419" i="43"/>
  <c r="AO421" i="43"/>
  <c r="AV429" i="43"/>
  <c r="AN424" i="43"/>
  <c r="AO428" i="43"/>
  <c r="AV436" i="43"/>
  <c r="AO432" i="43"/>
  <c r="AO433" i="43"/>
  <c r="AN435" i="43"/>
  <c r="AE437" i="43"/>
  <c r="W443" i="43"/>
  <c r="BG443" i="43"/>
  <c r="AN439" i="43"/>
  <c r="AO441" i="43"/>
  <c r="BH441" i="43"/>
  <c r="AN442" i="43"/>
  <c r="AE444" i="43"/>
  <c r="AE450" i="43" s="1"/>
  <c r="W450" i="43"/>
  <c r="AP448" i="43"/>
  <c r="BH451" i="43"/>
  <c r="BF457" i="43"/>
  <c r="AN452" i="43"/>
  <c r="AP453" i="43"/>
  <c r="BH454" i="43"/>
  <c r="AN456" i="43"/>
  <c r="W460" i="43"/>
  <c r="BG460" i="43"/>
  <c r="BH459" i="43"/>
  <c r="AV464" i="43"/>
  <c r="AN462" i="43"/>
  <c r="AP463" i="43"/>
  <c r="V364" i="43"/>
  <c r="AN305" i="43"/>
  <c r="AE307" i="43"/>
  <c r="W313" i="43"/>
  <c r="AM317" i="43"/>
  <c r="BH318" i="43"/>
  <c r="BF323" i="43"/>
  <c r="AE326" i="43"/>
  <c r="W329" i="43"/>
  <c r="BF333" i="43"/>
  <c r="BF346" i="43"/>
  <c r="AV352" i="43"/>
  <c r="AN349" i="43"/>
  <c r="BH351" i="43"/>
  <c r="AM359" i="43"/>
  <c r="AN354" i="43"/>
  <c r="AN358" i="43"/>
  <c r="AE360" i="43"/>
  <c r="W364" i="43"/>
  <c r="AN363" i="43"/>
  <c r="AE365" i="43"/>
  <c r="W371" i="43"/>
  <c r="BH370" i="43"/>
  <c r="AV375" i="43"/>
  <c r="AE376" i="43"/>
  <c r="AE377" i="43" s="1"/>
  <c r="W377" i="43"/>
  <c r="AD378" i="43"/>
  <c r="V384" i="43"/>
  <c r="BH378" i="43"/>
  <c r="BF384" i="43"/>
  <c r="AN379" i="43"/>
  <c r="AN382" i="43"/>
  <c r="AL390" i="43"/>
  <c r="BH387" i="43"/>
  <c r="BH391" i="43"/>
  <c r="BF394" i="43"/>
  <c r="AD395" i="43"/>
  <c r="AD401" i="43" s="1"/>
  <c r="V401" i="43"/>
  <c r="BF401" i="43"/>
  <c r="AN397" i="43"/>
  <c r="AV415" i="43"/>
  <c r="BH416" i="43"/>
  <c r="BF422" i="43"/>
  <c r="BH423" i="43"/>
  <c r="BF429" i="43"/>
  <c r="BH426" i="43"/>
  <c r="BF436" i="43"/>
  <c r="AN432" i="43"/>
  <c r="BH434" i="43"/>
  <c r="AL443" i="43"/>
  <c r="BH438" i="43"/>
  <c r="AN444" i="43"/>
  <c r="AL450" i="43"/>
  <c r="BH446" i="43"/>
  <c r="AN448" i="43"/>
  <c r="AD451" i="43"/>
  <c r="AD457" i="43" s="1"/>
  <c r="V457" i="43"/>
  <c r="BG457" i="43"/>
  <c r="AN453" i="43"/>
  <c r="BH455" i="43"/>
  <c r="AP458" i="43"/>
  <c r="AE460" i="43"/>
  <c r="AF459" i="43"/>
  <c r="AS459" i="43" s="1"/>
  <c r="BH461" i="43"/>
  <c r="BF464" i="43"/>
  <c r="AF435" i="43"/>
  <c r="AR435" i="43" s="1"/>
  <c r="AP435" i="43"/>
  <c r="BH15" i="43"/>
  <c r="BH21" i="43"/>
  <c r="BH16" i="43"/>
  <c r="AP21" i="43"/>
  <c r="BH28" i="43"/>
  <c r="BH34" i="43"/>
  <c r="AP65" i="43"/>
  <c r="AP74" i="43"/>
  <c r="AN113" i="43"/>
  <c r="BH130" i="43"/>
  <c r="AP143" i="43"/>
  <c r="BH159" i="43"/>
  <c r="BH171" i="43"/>
  <c r="AN206" i="43"/>
  <c r="AO281" i="43"/>
  <c r="AF281" i="43"/>
  <c r="AS281" i="43" s="1"/>
  <c r="AP374" i="43"/>
  <c r="AF374" i="43"/>
  <c r="AR374" i="43" s="1"/>
  <c r="BH33" i="43"/>
  <c r="BH134" i="43"/>
  <c r="BH17" i="43"/>
  <c r="AN50" i="43"/>
  <c r="AN53" i="43"/>
  <c r="AN65" i="43"/>
  <c r="AN74" i="43"/>
  <c r="AN116" i="43"/>
  <c r="AN199" i="43"/>
  <c r="BH209" i="43"/>
  <c r="AF246" i="43"/>
  <c r="AO247" i="43"/>
  <c r="BH276" i="43"/>
  <c r="AP17" i="43"/>
  <c r="AP29" i="43"/>
  <c r="AP48" i="43"/>
  <c r="AP51" i="43"/>
  <c r="AP54" i="43"/>
  <c r="AP57" i="43"/>
  <c r="AP66" i="43"/>
  <c r="AP69" i="43"/>
  <c r="AP72" i="43"/>
  <c r="AP78" i="43"/>
  <c r="AN84" i="43"/>
  <c r="AP86" i="43"/>
  <c r="AP89" i="43"/>
  <c r="AP98" i="43"/>
  <c r="AP101" i="43"/>
  <c r="BH122" i="43"/>
  <c r="AP151" i="43"/>
  <c r="BH164" i="43"/>
  <c r="BH178" i="43"/>
  <c r="AF180" i="43"/>
  <c r="AS180" i="43" s="1"/>
  <c r="AO197" i="43"/>
  <c r="AN211" i="43"/>
  <c r="AO242" i="43"/>
  <c r="AF242" i="43"/>
  <c r="AS242" i="43" s="1"/>
  <c r="AP247" i="43"/>
  <c r="AF293" i="43"/>
  <c r="AS293" i="43" s="1"/>
  <c r="AF320" i="43"/>
  <c r="AS320" i="43" s="1"/>
  <c r="AO320" i="43"/>
  <c r="AO369" i="43"/>
  <c r="AF369" i="43"/>
  <c r="AS369" i="43" s="1"/>
  <c r="AN17" i="43"/>
  <c r="AN23" i="43"/>
  <c r="AP24" i="43"/>
  <c r="AN29" i="43"/>
  <c r="AP30" i="43"/>
  <c r="AN48" i="43"/>
  <c r="AN51" i="43"/>
  <c r="AN54" i="43"/>
  <c r="AN57" i="43"/>
  <c r="AN60" i="43"/>
  <c r="AN66" i="43"/>
  <c r="AN69" i="43"/>
  <c r="AN72" i="43"/>
  <c r="AN78" i="43"/>
  <c r="AN82" i="43"/>
  <c r="AN88" i="43"/>
  <c r="AN94" i="43"/>
  <c r="AN97" i="43"/>
  <c r="AN100" i="43"/>
  <c r="BH111" i="43"/>
  <c r="BH116" i="43"/>
  <c r="BH119" i="43"/>
  <c r="AP149" i="43"/>
  <c r="BH154" i="43"/>
  <c r="BH161" i="43"/>
  <c r="BH176" i="43"/>
  <c r="BH191" i="43"/>
  <c r="AN237" i="43"/>
  <c r="AN247" i="43"/>
  <c r="AN258" i="43"/>
  <c r="AN259" i="43" s="1"/>
  <c r="BH155" i="43"/>
  <c r="AP162" i="43"/>
  <c r="BH162" i="43"/>
  <c r="BH167" i="43"/>
  <c r="AP174" i="43"/>
  <c r="BH174" i="43"/>
  <c r="BH179" i="43"/>
  <c r="AN193" i="43"/>
  <c r="AN209" i="43"/>
  <c r="AN262" i="43"/>
  <c r="AN264" i="43"/>
  <c r="AN266" i="43"/>
  <c r="AN268" i="43"/>
  <c r="AN272" i="43"/>
  <c r="BH281" i="43"/>
  <c r="AP287" i="43"/>
  <c r="BH290" i="43"/>
  <c r="AP296" i="43"/>
  <c r="AF302" i="43"/>
  <c r="AS302" i="43" s="1"/>
  <c r="AO302" i="43"/>
  <c r="BH303" i="43"/>
  <c r="AO357" i="43"/>
  <c r="AF357" i="43"/>
  <c r="AS357" i="43" s="1"/>
  <c r="AP363" i="43"/>
  <c r="AF363" i="43"/>
  <c r="AS363" i="43" s="1"/>
  <c r="BH397" i="43"/>
  <c r="AP403" i="43"/>
  <c r="BH421" i="43"/>
  <c r="AF433" i="43"/>
  <c r="AR433" i="43" s="1"/>
  <c r="AF447" i="43"/>
  <c r="AR447" i="43" s="1"/>
  <c r="AP120" i="43"/>
  <c r="AP123" i="43"/>
  <c r="AP131" i="43"/>
  <c r="AN134" i="43"/>
  <c r="BH153" i="43"/>
  <c r="AP160" i="43"/>
  <c r="BH160" i="43"/>
  <c r="BH165" i="43"/>
  <c r="AP167" i="43"/>
  <c r="AP172" i="43"/>
  <c r="BH177" i="43"/>
  <c r="AP179" i="43"/>
  <c r="BH182" i="43"/>
  <c r="BH184" i="43"/>
  <c r="BH203" i="43"/>
  <c r="BH219" i="43"/>
  <c r="BH221" i="43"/>
  <c r="BH225" i="43"/>
  <c r="BH227" i="43"/>
  <c r="BH231" i="43"/>
  <c r="BH233" i="43"/>
  <c r="AP242" i="43"/>
  <c r="AP254" i="43"/>
  <c r="AP261" i="43"/>
  <c r="AP265" i="43"/>
  <c r="AP269" i="43"/>
  <c r="AP271" i="43"/>
  <c r="AP275" i="43"/>
  <c r="AN276" i="43"/>
  <c r="AP280" i="43"/>
  <c r="AN290" i="43"/>
  <c r="AN292" i="43"/>
  <c r="BH312" i="43"/>
  <c r="AF434" i="43"/>
  <c r="AR434" i="43" s="1"/>
  <c r="AP434" i="43"/>
  <c r="AF440" i="43"/>
  <c r="AR440" i="43" s="1"/>
  <c r="AP440" i="43"/>
  <c r="AN123" i="43"/>
  <c r="BH124" i="43"/>
  <c r="AN127" i="43"/>
  <c r="AN131" i="43"/>
  <c r="AN135" i="43"/>
  <c r="BH137" i="43"/>
  <c r="AP139" i="43"/>
  <c r="AP165" i="43"/>
  <c r="AP177" i="43"/>
  <c r="AP192" i="43"/>
  <c r="AP197" i="43"/>
  <c r="AP206" i="43"/>
  <c r="AN210" i="43"/>
  <c r="AP213" i="43"/>
  <c r="AP218" i="43"/>
  <c r="AP224" i="43"/>
  <c r="AP230" i="43"/>
  <c r="BH287" i="43"/>
  <c r="AF456" i="43"/>
  <c r="AR456" i="43" s="1"/>
  <c r="BH183" i="43"/>
  <c r="AP185" i="43"/>
  <c r="BH187" i="43"/>
  <c r="AP211" i="43"/>
  <c r="AN213" i="43"/>
  <c r="AN215" i="43"/>
  <c r="AP219" i="43"/>
  <c r="AP225" i="43"/>
  <c r="AP231" i="43"/>
  <c r="AP237" i="43"/>
  <c r="AP249" i="43"/>
  <c r="AN265" i="43"/>
  <c r="AN269" i="43"/>
  <c r="AN271" i="43"/>
  <c r="AP279" i="43"/>
  <c r="AN280" i="43"/>
  <c r="AP286" i="43"/>
  <c r="AN287" i="43"/>
  <c r="AP295" i="43"/>
  <c r="AN296" i="43"/>
  <c r="AO305" i="43"/>
  <c r="AF305" i="43"/>
  <c r="AR305" i="43" s="1"/>
  <c r="AN343" i="43"/>
  <c r="AP351" i="43"/>
  <c r="AP354" i="43"/>
  <c r="AF425" i="43"/>
  <c r="AR425" i="43" s="1"/>
  <c r="AF431" i="43"/>
  <c r="AR431" i="43" s="1"/>
  <c r="AF438" i="43"/>
  <c r="AR438" i="43" s="1"/>
  <c r="AN308" i="43"/>
  <c r="AN310" i="43"/>
  <c r="AO311" i="43"/>
  <c r="AN319" i="43"/>
  <c r="AF327" i="43"/>
  <c r="AO340" i="43"/>
  <c r="AO343" i="43"/>
  <c r="BH347" i="43"/>
  <c r="BH369" i="43"/>
  <c r="AN428" i="43"/>
  <c r="AF442" i="43"/>
  <c r="AR442" i="43" s="1"/>
  <c r="BH442" i="43"/>
  <c r="AP302" i="43"/>
  <c r="AP311" i="43"/>
  <c r="BH314" i="43"/>
  <c r="AP320" i="43"/>
  <c r="AO328" i="43"/>
  <c r="BH328" i="43"/>
  <c r="AN331" i="43"/>
  <c r="AF335" i="43"/>
  <c r="AS335" i="43" s="1"/>
  <c r="AF341" i="43"/>
  <c r="AS341" i="43" s="1"/>
  <c r="AF344" i="43"/>
  <c r="AS344" i="43" s="1"/>
  <c r="BH363" i="43"/>
  <c r="AF370" i="43"/>
  <c r="AS370" i="43" s="1"/>
  <c r="AO374" i="43"/>
  <c r="BH420" i="43"/>
  <c r="AN423" i="43"/>
  <c r="AP304" i="43"/>
  <c r="AN314" i="43"/>
  <c r="AP330" i="43"/>
  <c r="AP334" i="43"/>
  <c r="AP340" i="43"/>
  <c r="AP343" i="43"/>
  <c r="AO367" i="43"/>
  <c r="AO387" i="43"/>
  <c r="AO405" i="43"/>
  <c r="BH424" i="43"/>
  <c r="AN425" i="43"/>
  <c r="BH302" i="43"/>
  <c r="BH311" i="43"/>
  <c r="BH331" i="43"/>
  <c r="AF340" i="43"/>
  <c r="AR340" i="43" s="1"/>
  <c r="AF343" i="43"/>
  <c r="AS343" i="43" s="1"/>
  <c r="AF351" i="43"/>
  <c r="AS351" i="43" s="1"/>
  <c r="BH356" i="43"/>
  <c r="AO382" i="43"/>
  <c r="AP383" i="43"/>
  <c r="AO424" i="43"/>
  <c r="AO426" i="43"/>
  <c r="AN427" i="43"/>
  <c r="BH428" i="43"/>
  <c r="AN437" i="43"/>
  <c r="AN463" i="43"/>
  <c r="AN302" i="43"/>
  <c r="AN304" i="43"/>
  <c r="AN311" i="43"/>
  <c r="AN320" i="43"/>
  <c r="AN322" i="43"/>
  <c r="BH350" i="43"/>
  <c r="AO358" i="43"/>
  <c r="AO363" i="43"/>
  <c r="AN385" i="43"/>
  <c r="AN403" i="43"/>
  <c r="AF426" i="43"/>
  <c r="AS426" i="43" s="1"/>
  <c r="BH430" i="43"/>
  <c r="AN431" i="43"/>
  <c r="BH432" i="43"/>
  <c r="AN433" i="43"/>
  <c r="AF439" i="43"/>
  <c r="AS439" i="43" s="1"/>
  <c r="BH439" i="43"/>
  <c r="AP442" i="43"/>
  <c r="AF15" i="44"/>
  <c r="AP15" i="44"/>
  <c r="AO32" i="44"/>
  <c r="AF32" i="44"/>
  <c r="AO15" i="44"/>
  <c r="AF17" i="44"/>
  <c r="AO17" i="44"/>
  <c r="AO24" i="44"/>
  <c r="AF24" i="44"/>
  <c r="AF25" i="44"/>
  <c r="AO30" i="44"/>
  <c r="AF30" i="44"/>
  <c r="AF31" i="44"/>
  <c r="AN34" i="44"/>
  <c r="AO36" i="44"/>
  <c r="AF36" i="44"/>
  <c r="AF37" i="44"/>
  <c r="AN40" i="44"/>
  <c r="AF43" i="44"/>
  <c r="AN46" i="44"/>
  <c r="AO48" i="44"/>
  <c r="AF48" i="44"/>
  <c r="AP65" i="44"/>
  <c r="AO81" i="44"/>
  <c r="AO87" i="44"/>
  <c r="AF87" i="44"/>
  <c r="AO93" i="44"/>
  <c r="AF127" i="44"/>
  <c r="AO127" i="44"/>
  <c r="AO26" i="44"/>
  <c r="AF26" i="44"/>
  <c r="AO38" i="44"/>
  <c r="AF38" i="44"/>
  <c r="AO44" i="44"/>
  <c r="AF44" i="44"/>
  <c r="AO89" i="44"/>
  <c r="AF89" i="44"/>
  <c r="AF83" i="44"/>
  <c r="AF18" i="44"/>
  <c r="AO18" i="44"/>
  <c r="AF23" i="44"/>
  <c r="AO23" i="44"/>
  <c r="BH36" i="44"/>
  <c r="AN65" i="44"/>
  <c r="AO97" i="44"/>
  <c r="BH99" i="44"/>
  <c r="AF53" i="44"/>
  <c r="AO53" i="44"/>
  <c r="AF58" i="44"/>
  <c r="AO58" i="44"/>
  <c r="AF62" i="44"/>
  <c r="AO62" i="44"/>
  <c r="AF75" i="44"/>
  <c r="AO75" i="44"/>
  <c r="AO68" i="44"/>
  <c r="AN68" i="44"/>
  <c r="AF22" i="44"/>
  <c r="AO22" i="44"/>
  <c r="AP23" i="44"/>
  <c r="AO34" i="44"/>
  <c r="AF34" i="44"/>
  <c r="AO40" i="44"/>
  <c r="AF40" i="44"/>
  <c r="AO46" i="44"/>
  <c r="AF46" i="44"/>
  <c r="AP59" i="44"/>
  <c r="AF64" i="44"/>
  <c r="AO64" i="44"/>
  <c r="AO83" i="44"/>
  <c r="AO14" i="44"/>
  <c r="AO16" i="44"/>
  <c r="AF20" i="44"/>
  <c r="AO20" i="44"/>
  <c r="AF21" i="44"/>
  <c r="AO21" i="44"/>
  <c r="AP22" i="44"/>
  <c r="BH34" i="44"/>
  <c r="BH40" i="44"/>
  <c r="BH46" i="44"/>
  <c r="AP50" i="44"/>
  <c r="AF52" i="44"/>
  <c r="AO52" i="44"/>
  <c r="AF54" i="44"/>
  <c r="AO54" i="44"/>
  <c r="AN59" i="44"/>
  <c r="AO106" i="44"/>
  <c r="AF106" i="44"/>
  <c r="AO105" i="44"/>
  <c r="AF105" i="44"/>
  <c r="AF55" i="44"/>
  <c r="AO55" i="44"/>
  <c r="AF61" i="44"/>
  <c r="AO61" i="44"/>
  <c r="AP62" i="44"/>
  <c r="AP72" i="44"/>
  <c r="AP81" i="44"/>
  <c r="AP87" i="44"/>
  <c r="AN116" i="44"/>
  <c r="AF117" i="44"/>
  <c r="AO117" i="44"/>
  <c r="AF125" i="44"/>
  <c r="AO125" i="44"/>
  <c r="AO25" i="44"/>
  <c r="AO27" i="44"/>
  <c r="AO29" i="44"/>
  <c r="AO31" i="44"/>
  <c r="AO33" i="44"/>
  <c r="AO37" i="44"/>
  <c r="AO39" i="44"/>
  <c r="AO41" i="44"/>
  <c r="AO43" i="44"/>
  <c r="AO45" i="44"/>
  <c r="AO47" i="44"/>
  <c r="AF50" i="44"/>
  <c r="AO50" i="44"/>
  <c r="AP55" i="44"/>
  <c r="AF60" i="44"/>
  <c r="AO60" i="44"/>
  <c r="AP61" i="44"/>
  <c r="AF66" i="44"/>
  <c r="AF69" i="44"/>
  <c r="AF115" i="44"/>
  <c r="AO115" i="44"/>
  <c r="AF51" i="44"/>
  <c r="AO51" i="44"/>
  <c r="AF59" i="44"/>
  <c r="AO59" i="44"/>
  <c r="AP60" i="44"/>
  <c r="AF65" i="44"/>
  <c r="AO65" i="44"/>
  <c r="AP66" i="44"/>
  <c r="AP69" i="44"/>
  <c r="BH86" i="44"/>
  <c r="AN89" i="44"/>
  <c r="AO95" i="44"/>
  <c r="AF95" i="44"/>
  <c r="AN114" i="44"/>
  <c r="AO90" i="44"/>
  <c r="AO91" i="44"/>
  <c r="AN100" i="44"/>
  <c r="AO100" i="44"/>
  <c r="AO103" i="44"/>
  <c r="AO111" i="44"/>
  <c r="AN122" i="44"/>
  <c r="AF123" i="44"/>
  <c r="AO123" i="44"/>
  <c r="AP68" i="44"/>
  <c r="AP73" i="44"/>
  <c r="AP76" i="44"/>
  <c r="AP79" i="44"/>
  <c r="AP82" i="44"/>
  <c r="AP96" i="44"/>
  <c r="AF109" i="44"/>
  <c r="AO109" i="44"/>
  <c r="AN94" i="44"/>
  <c r="AO94" i="44"/>
  <c r="AN96" i="44"/>
  <c r="AO101" i="44"/>
  <c r="AF101" i="44"/>
  <c r="AN118" i="44"/>
  <c r="AF119" i="44"/>
  <c r="AO119" i="44"/>
  <c r="AN87" i="44"/>
  <c r="AN93" i="44"/>
  <c r="AN99" i="44"/>
  <c r="AN107" i="44"/>
  <c r="AF108" i="44"/>
  <c r="AO108" i="44"/>
  <c r="AN109" i="44"/>
  <c r="AN111" i="44"/>
  <c r="AN112" i="44" s="1"/>
  <c r="AN113" i="44"/>
  <c r="AF114" i="44"/>
  <c r="AO114" i="44"/>
  <c r="AN115" i="44"/>
  <c r="AF116" i="44"/>
  <c r="AO116" i="44"/>
  <c r="AN117" i="44"/>
  <c r="AF118" i="44"/>
  <c r="AO118" i="44"/>
  <c r="AN119" i="44"/>
  <c r="AF120" i="44"/>
  <c r="AO120" i="44"/>
  <c r="AO122" i="44"/>
  <c r="AN123" i="44"/>
  <c r="AF124" i="44"/>
  <c r="AO124" i="44"/>
  <c r="AN125" i="44"/>
  <c r="AF126" i="44"/>
  <c r="AO126" i="44"/>
  <c r="AN127" i="44"/>
  <c r="AN85" i="44"/>
  <c r="AN91" i="44"/>
  <c r="AN97" i="44"/>
  <c r="AP108" i="44"/>
  <c r="AP114" i="44"/>
  <c r="AP116" i="44"/>
  <c r="AP118" i="44"/>
  <c r="AP120" i="44"/>
  <c r="AP124" i="44"/>
  <c r="AP126" i="44"/>
  <c r="AF12" i="44"/>
  <c r="AF13" i="44" s="1"/>
  <c r="AO12" i="44"/>
  <c r="AO26" i="43"/>
  <c r="AF26" i="43"/>
  <c r="AO41" i="43"/>
  <c r="AQ41" i="43" s="1"/>
  <c r="AF41" i="43"/>
  <c r="AF15" i="43"/>
  <c r="AO15" i="43"/>
  <c r="AO21" i="43"/>
  <c r="AF21" i="43"/>
  <c r="AO62" i="43"/>
  <c r="AF62" i="43"/>
  <c r="AO65" i="43"/>
  <c r="AF65" i="43"/>
  <c r="AO74" i="43"/>
  <c r="AF74" i="43"/>
  <c r="AO77" i="43"/>
  <c r="AF77" i="43"/>
  <c r="AF16" i="43"/>
  <c r="AO16" i="43"/>
  <c r="AO34" i="43"/>
  <c r="AF34" i="43"/>
  <c r="AO45" i="43"/>
  <c r="AF45" i="43"/>
  <c r="AO82" i="43"/>
  <c r="AF82" i="43"/>
  <c r="AO85" i="43"/>
  <c r="AF85" i="43"/>
  <c r="AO88" i="43"/>
  <c r="AO94" i="43"/>
  <c r="AF94" i="43"/>
  <c r="AO97" i="43"/>
  <c r="AF97" i="43"/>
  <c r="AO109" i="43"/>
  <c r="AF109" i="43"/>
  <c r="AF120" i="43"/>
  <c r="AO120" i="43"/>
  <c r="AF17" i="43"/>
  <c r="AO17" i="43"/>
  <c r="AO29" i="43"/>
  <c r="AF29" i="43"/>
  <c r="AO48" i="43"/>
  <c r="AF48" i="43"/>
  <c r="AO51" i="43"/>
  <c r="AF51" i="43"/>
  <c r="AO54" i="43"/>
  <c r="AF54" i="43"/>
  <c r="AO57" i="43"/>
  <c r="AF57" i="43"/>
  <c r="AO66" i="43"/>
  <c r="AF66" i="43"/>
  <c r="AO69" i="43"/>
  <c r="AF69" i="43"/>
  <c r="AO72" i="43"/>
  <c r="AF72" i="43"/>
  <c r="AO78" i="43"/>
  <c r="AF78" i="43"/>
  <c r="AF24" i="43"/>
  <c r="AO24" i="43"/>
  <c r="AO30" i="43"/>
  <c r="AF30" i="43"/>
  <c r="AO25" i="43"/>
  <c r="AF25" i="43"/>
  <c r="AO37" i="43"/>
  <c r="AF37" i="43"/>
  <c r="AO58" i="43"/>
  <c r="AF58" i="43"/>
  <c r="AO61" i="43"/>
  <c r="AF61" i="43"/>
  <c r="AO73" i="43"/>
  <c r="AF73" i="43"/>
  <c r="AF86" i="43"/>
  <c r="AF89" i="43"/>
  <c r="AF98" i="43"/>
  <c r="AF101" i="43"/>
  <c r="AF136" i="43"/>
  <c r="AP136" i="43"/>
  <c r="AF20" i="43"/>
  <c r="AO20" i="43"/>
  <c r="AF90" i="43"/>
  <c r="AO90" i="43"/>
  <c r="AF93" i="43"/>
  <c r="AO93" i="43"/>
  <c r="AF102" i="43"/>
  <c r="AO102" i="43"/>
  <c r="AF105" i="43"/>
  <c r="AO105" i="43"/>
  <c r="AF108" i="43"/>
  <c r="AO108" i="43"/>
  <c r="AO38" i="43"/>
  <c r="AF38" i="43"/>
  <c r="AO44" i="43"/>
  <c r="AF44" i="43"/>
  <c r="AO33" i="43"/>
  <c r="AF33" i="43"/>
  <c r="AF112" i="43"/>
  <c r="AO112" i="43"/>
  <c r="AF138" i="43"/>
  <c r="AP138" i="43"/>
  <c r="BH80" i="43"/>
  <c r="BH84" i="43"/>
  <c r="BH90" i="43"/>
  <c r="BH93" i="43"/>
  <c r="BH96" i="43"/>
  <c r="BH102" i="43"/>
  <c r="BH105" i="43"/>
  <c r="BH108" i="43"/>
  <c r="AF135" i="43"/>
  <c r="AO123" i="43"/>
  <c r="AF123" i="43"/>
  <c r="AO125" i="43"/>
  <c r="AF125" i="43"/>
  <c r="AO129" i="43"/>
  <c r="AF129" i="43"/>
  <c r="AO131" i="43"/>
  <c r="AF131" i="43"/>
  <c r="AO86" i="43"/>
  <c r="AO89" i="43"/>
  <c r="AO98" i="43"/>
  <c r="AO101" i="43"/>
  <c r="AF113" i="43"/>
  <c r="AF116" i="43"/>
  <c r="AF119" i="43"/>
  <c r="AF124" i="43"/>
  <c r="AF128" i="43"/>
  <c r="AF130" i="43"/>
  <c r="AF132" i="43"/>
  <c r="AP144" i="43"/>
  <c r="AF144" i="43"/>
  <c r="BH123" i="43"/>
  <c r="BH125" i="43"/>
  <c r="BH127" i="43"/>
  <c r="BH129" i="43"/>
  <c r="BH131" i="43"/>
  <c r="AF137" i="43"/>
  <c r="BH141" i="43"/>
  <c r="AP148" i="43"/>
  <c r="AF148" i="43"/>
  <c r="AO139" i="43"/>
  <c r="AF139" i="43"/>
  <c r="AO124" i="43"/>
  <c r="AO128" i="43"/>
  <c r="AO130" i="43"/>
  <c r="AO132" i="43"/>
  <c r="AO136" i="43"/>
  <c r="AP142" i="43"/>
  <c r="AP150" i="43"/>
  <c r="AR162" i="43"/>
  <c r="AP184" i="43"/>
  <c r="AP191" i="43"/>
  <c r="AO192" i="43"/>
  <c r="AN203" i="43"/>
  <c r="AF204" i="43"/>
  <c r="AO204" i="43"/>
  <c r="AN144" i="43"/>
  <c r="AN148" i="43"/>
  <c r="AN191" i="43"/>
  <c r="AF194" i="43"/>
  <c r="AO194" i="43"/>
  <c r="AO143" i="43"/>
  <c r="AF143" i="43"/>
  <c r="AO151" i="43"/>
  <c r="AF151" i="43"/>
  <c r="AF216" i="43"/>
  <c r="AO216" i="43"/>
  <c r="AO135" i="43"/>
  <c r="AO137" i="43"/>
  <c r="AN154" i="43"/>
  <c r="AN156" i="43"/>
  <c r="AN160" i="43"/>
  <c r="AN162" i="43"/>
  <c r="AN164" i="43"/>
  <c r="AN166" i="43"/>
  <c r="AN168" i="43"/>
  <c r="AN170" i="43"/>
  <c r="AN172" i="43"/>
  <c r="AN174" i="43"/>
  <c r="AN176" i="43"/>
  <c r="AN178" i="43"/>
  <c r="AN180" i="43"/>
  <c r="AN182" i="43"/>
  <c r="AO185" i="43"/>
  <c r="AF185" i="43"/>
  <c r="AO186" i="43"/>
  <c r="AF186" i="43"/>
  <c r="AF187" i="43"/>
  <c r="AN192" i="43"/>
  <c r="AO190" i="43"/>
  <c r="AF210" i="43"/>
  <c r="AO210" i="43"/>
  <c r="AO145" i="43"/>
  <c r="AF145" i="43"/>
  <c r="AO149" i="43"/>
  <c r="AF149" i="43"/>
  <c r="AO155" i="43"/>
  <c r="AF155" i="43"/>
  <c r="AO157" i="43"/>
  <c r="AF157" i="43"/>
  <c r="AO161" i="43"/>
  <c r="AF161" i="43"/>
  <c r="AO165" i="43"/>
  <c r="AF165" i="43"/>
  <c r="AO167" i="43"/>
  <c r="AF167" i="43"/>
  <c r="AO171" i="43"/>
  <c r="AF171" i="43"/>
  <c r="AO173" i="43"/>
  <c r="AF173" i="43"/>
  <c r="AO177" i="43"/>
  <c r="AF177" i="43"/>
  <c r="AO179" i="43"/>
  <c r="AF179" i="43"/>
  <c r="AO183" i="43"/>
  <c r="AF183" i="43"/>
  <c r="AN189" i="43"/>
  <c r="AF191" i="43"/>
  <c r="AP199" i="43"/>
  <c r="AP203" i="43"/>
  <c r="AP209" i="43"/>
  <c r="AP222" i="43"/>
  <c r="AP240" i="43"/>
  <c r="AF266" i="43"/>
  <c r="AO266" i="43"/>
  <c r="AF295" i="43"/>
  <c r="AO295" i="43"/>
  <c r="AO332" i="43"/>
  <c r="AF332" i="43"/>
  <c r="AO366" i="43"/>
  <c r="AF366" i="43"/>
  <c r="AN288" i="43"/>
  <c r="AO288" i="43"/>
  <c r="AP294" i="43"/>
  <c r="AF294" i="43"/>
  <c r="AO322" i="43"/>
  <c r="AF322" i="43"/>
  <c r="AP245" i="43"/>
  <c r="AN249" i="43"/>
  <c r="AO249" i="43"/>
  <c r="AN261" i="43"/>
  <c r="AO261" i="43"/>
  <c r="AF272" i="43"/>
  <c r="AO272" i="43"/>
  <c r="AO138" i="43"/>
  <c r="AO142" i="43"/>
  <c r="AO144" i="43"/>
  <c r="AO148" i="43"/>
  <c r="AO150" i="43"/>
  <c r="AO154" i="43"/>
  <c r="AO156" i="43"/>
  <c r="AO160" i="43"/>
  <c r="AO162" i="43"/>
  <c r="AO166" i="43"/>
  <c r="AO168" i="43"/>
  <c r="AO172" i="43"/>
  <c r="AO174" i="43"/>
  <c r="AO178" i="43"/>
  <c r="AO180" i="43"/>
  <c r="AO184" i="43"/>
  <c r="AO191" i="43"/>
  <c r="AN194" i="43"/>
  <c r="AF197" i="43"/>
  <c r="AF199" i="43"/>
  <c r="AO199" i="43"/>
  <c r="AF205" i="43"/>
  <c r="AO205" i="43"/>
  <c r="AF211" i="43"/>
  <c r="AO211" i="43"/>
  <c r="AP234" i="43"/>
  <c r="AP312" i="43"/>
  <c r="AF312" i="43"/>
  <c r="AO187" i="43"/>
  <c r="AP190" i="43"/>
  <c r="AF192" i="43"/>
  <c r="AF193" i="43"/>
  <c r="AO193" i="43"/>
  <c r="AF198" i="43"/>
  <c r="AN255" i="43"/>
  <c r="AO255" i="43"/>
  <c r="AO265" i="43"/>
  <c r="AF265" i="43"/>
  <c r="AO271" i="43"/>
  <c r="AF271" i="43"/>
  <c r="AO279" i="43"/>
  <c r="AF279" i="43"/>
  <c r="AF280" i="43"/>
  <c r="AO280" i="43"/>
  <c r="AN291" i="43"/>
  <c r="AO291" i="43"/>
  <c r="AN309" i="43"/>
  <c r="AO309" i="43"/>
  <c r="AP315" i="43"/>
  <c r="AF315" i="43"/>
  <c r="AF316" i="43"/>
  <c r="AO316" i="43"/>
  <c r="AO222" i="43"/>
  <c r="AF222" i="43"/>
  <c r="AO228" i="43"/>
  <c r="AF228" i="43"/>
  <c r="AO234" i="43"/>
  <c r="AF234" i="43"/>
  <c r="AO240" i="43"/>
  <c r="AF240" i="43"/>
  <c r="AO241" i="43"/>
  <c r="AF241" i="43"/>
  <c r="AO264" i="43"/>
  <c r="AF270" i="43"/>
  <c r="AO270" i="43"/>
  <c r="AP282" i="43"/>
  <c r="AF282" i="43"/>
  <c r="AF283" i="43"/>
  <c r="AO283" i="43"/>
  <c r="AS287" i="43"/>
  <c r="AN294" i="43"/>
  <c r="AO294" i="43"/>
  <c r="AF301" i="43"/>
  <c r="AO301" i="43"/>
  <c r="AN312" i="43"/>
  <c r="AO312" i="43"/>
  <c r="AF319" i="43"/>
  <c r="AO319" i="43"/>
  <c r="AF200" i="43"/>
  <c r="AF203" i="43"/>
  <c r="AF206" i="43"/>
  <c r="AF209" i="43"/>
  <c r="AF212" i="43"/>
  <c r="AO217" i="43"/>
  <c r="AF217" i="43"/>
  <c r="AO223" i="43"/>
  <c r="AF223" i="43"/>
  <c r="AO229" i="43"/>
  <c r="AF229" i="43"/>
  <c r="AO235" i="43"/>
  <c r="AF235" i="43"/>
  <c r="AF243" i="43"/>
  <c r="AF256" i="43"/>
  <c r="AF262" i="43"/>
  <c r="AO269" i="43"/>
  <c r="AF269" i="43"/>
  <c r="AO275" i="43"/>
  <c r="AF275" i="43"/>
  <c r="AF276" i="43"/>
  <c r="AO276" i="43"/>
  <c r="AF286" i="43"/>
  <c r="AO286" i="43"/>
  <c r="AP303" i="43"/>
  <c r="AF303" i="43"/>
  <c r="AF304" i="43"/>
  <c r="AO304" i="43"/>
  <c r="AN315" i="43"/>
  <c r="AO315" i="43"/>
  <c r="AP321" i="43"/>
  <c r="AF321" i="43"/>
  <c r="AO218" i="43"/>
  <c r="AF218" i="43"/>
  <c r="AO224" i="43"/>
  <c r="AF224" i="43"/>
  <c r="AO230" i="43"/>
  <c r="AF230" i="43"/>
  <c r="AO236" i="43"/>
  <c r="AF236" i="43"/>
  <c r="AO274" i="43"/>
  <c r="AN282" i="43"/>
  <c r="AO282" i="43"/>
  <c r="AP288" i="43"/>
  <c r="AF288" i="43"/>
  <c r="AN300" i="43"/>
  <c r="AN318" i="43"/>
  <c r="AO219" i="43"/>
  <c r="AF219" i="43"/>
  <c r="AO225" i="43"/>
  <c r="AF225" i="43"/>
  <c r="AO231" i="43"/>
  <c r="AF231" i="43"/>
  <c r="AO237" i="43"/>
  <c r="AF237" i="43"/>
  <c r="AN240" i="43"/>
  <c r="AN241" i="43"/>
  <c r="AO246" i="43"/>
  <c r="AF248" i="43"/>
  <c r="AF249" i="43"/>
  <c r="AO252" i="43"/>
  <c r="AF254" i="43"/>
  <c r="AF255" i="43"/>
  <c r="AF261" i="43"/>
  <c r="AN285" i="43"/>
  <c r="AP291" i="43"/>
  <c r="AF291" i="43"/>
  <c r="AF292" i="43"/>
  <c r="AO292" i="43"/>
  <c r="AN303" i="43"/>
  <c r="AO303" i="43"/>
  <c r="AP309" i="43"/>
  <c r="AF309" i="43"/>
  <c r="AF310" i="43"/>
  <c r="AO310" i="43"/>
  <c r="AN321" i="43"/>
  <c r="AO321" i="43"/>
  <c r="AF247" i="43"/>
  <c r="AF253" i="43"/>
  <c r="AO360" i="43"/>
  <c r="AO256" i="43"/>
  <c r="AO262" i="43"/>
  <c r="AP328" i="43"/>
  <c r="AF328" i="43"/>
  <c r="AO354" i="43"/>
  <c r="AF354" i="43"/>
  <c r="AP327" i="43"/>
  <c r="AO348" i="43"/>
  <c r="AF348" i="43"/>
  <c r="AO356" i="43"/>
  <c r="AF356" i="43"/>
  <c r="AO350" i="43"/>
  <c r="AF350" i="43"/>
  <c r="BH321" i="43"/>
  <c r="BH324" i="43"/>
  <c r="BH325" i="43" s="1"/>
  <c r="BH326" i="43"/>
  <c r="BH332" i="43"/>
  <c r="BH334" i="43"/>
  <c r="BH335" i="43"/>
  <c r="BH336" i="43"/>
  <c r="BH338" i="43"/>
  <c r="BH339" i="43"/>
  <c r="BH340" i="43"/>
  <c r="BH341" i="43"/>
  <c r="BH342" i="43"/>
  <c r="BH343" i="43"/>
  <c r="BH344" i="43"/>
  <c r="BH345" i="43"/>
  <c r="BH358" i="43"/>
  <c r="AF362" i="43"/>
  <c r="AF368" i="43"/>
  <c r="AF331" i="43"/>
  <c r="AF349" i="43"/>
  <c r="BH349" i="43"/>
  <c r="AF355" i="43"/>
  <c r="BH355" i="43"/>
  <c r="AF361" i="43"/>
  <c r="BH361" i="43"/>
  <c r="AF367" i="43"/>
  <c r="BH367" i="43"/>
  <c r="BH322" i="43"/>
  <c r="BH330" i="43"/>
  <c r="BH348" i="43"/>
  <c r="BH354" i="43"/>
  <c r="BH360" i="43"/>
  <c r="BH366" i="43"/>
  <c r="AO418" i="43"/>
  <c r="AF418" i="43"/>
  <c r="AN368" i="43"/>
  <c r="AF373" i="43"/>
  <c r="AN374" i="43"/>
  <c r="AN376" i="43"/>
  <c r="AN377" i="43" s="1"/>
  <c r="AF379" i="43"/>
  <c r="AF382" i="43"/>
  <c r="AF388" i="43"/>
  <c r="AF397" i="43"/>
  <c r="AF400" i="43"/>
  <c r="AF403" i="43"/>
  <c r="AF406" i="43"/>
  <c r="AF412" i="43"/>
  <c r="AO380" i="43"/>
  <c r="AF380" i="43"/>
  <c r="AP381" i="43"/>
  <c r="AF383" i="43"/>
  <c r="AO383" i="43"/>
  <c r="AO386" i="43"/>
  <c r="AF386" i="43"/>
  <c r="AP387" i="43"/>
  <c r="AF389" i="43"/>
  <c r="AO389" i="43"/>
  <c r="AO392" i="43"/>
  <c r="AF392" i="43"/>
  <c r="AP393" i="43"/>
  <c r="AP396" i="43"/>
  <c r="AO398" i="43"/>
  <c r="AF398" i="43"/>
  <c r="AP399" i="43"/>
  <c r="AP402" i="43"/>
  <c r="AO404" i="43"/>
  <c r="AF404" i="43"/>
  <c r="AP405" i="43"/>
  <c r="AF407" i="43"/>
  <c r="AO407" i="43"/>
  <c r="AO410" i="43"/>
  <c r="AF410" i="43"/>
  <c r="AP411" i="43"/>
  <c r="AQ411" i="43" s="1"/>
  <c r="AF413" i="43"/>
  <c r="AO413" i="43"/>
  <c r="AP414" i="43"/>
  <c r="AP421" i="43"/>
  <c r="AF421" i="43"/>
  <c r="AF441" i="43"/>
  <c r="AP441" i="43"/>
  <c r="AN370" i="43"/>
  <c r="AF381" i="43"/>
  <c r="AF387" i="43"/>
  <c r="AF393" i="43"/>
  <c r="AF396" i="43"/>
  <c r="AF399" i="43"/>
  <c r="AF405" i="43"/>
  <c r="AF411" i="43"/>
  <c r="AF414" i="43"/>
  <c r="AN380" i="43"/>
  <c r="BH380" i="43"/>
  <c r="AN383" i="43"/>
  <c r="BH383" i="43"/>
  <c r="AN386" i="43"/>
  <c r="BH386" i="43"/>
  <c r="AN389" i="43"/>
  <c r="BH389" i="43"/>
  <c r="AN392" i="43"/>
  <c r="BH392" i="43"/>
  <c r="AN395" i="43"/>
  <c r="BH395" i="43"/>
  <c r="AN398" i="43"/>
  <c r="BH398" i="43"/>
  <c r="AN404" i="43"/>
  <c r="BH404" i="43"/>
  <c r="AN407" i="43"/>
  <c r="BH407" i="43"/>
  <c r="AN410" i="43"/>
  <c r="BH410" i="43"/>
  <c r="AN413" i="43"/>
  <c r="BH413" i="43"/>
  <c r="BH414" i="43"/>
  <c r="AN381" i="43"/>
  <c r="AN387" i="43"/>
  <c r="AN393" i="43"/>
  <c r="AN399" i="43"/>
  <c r="AN405" i="43"/>
  <c r="AN411" i="43"/>
  <c r="BH417" i="43"/>
  <c r="AF419" i="43"/>
  <c r="AF420" i="43"/>
  <c r="AF432" i="43"/>
  <c r="AP432" i="43"/>
  <c r="AN372" i="43"/>
  <c r="AN378" i="43"/>
  <c r="AN396" i="43"/>
  <c r="AN402" i="43"/>
  <c r="AN414" i="43"/>
  <c r="AO417" i="43"/>
  <c r="AF417" i="43"/>
  <c r="AP424" i="43"/>
  <c r="AP427" i="43"/>
  <c r="AQ427" i="43" s="1"/>
  <c r="AP433" i="43"/>
  <c r="AP438" i="43"/>
  <c r="AF445" i="43"/>
  <c r="AF448" i="43"/>
  <c r="AF454" i="43"/>
  <c r="AF463" i="43"/>
  <c r="AP425" i="43"/>
  <c r="AP428" i="43"/>
  <c r="AP431" i="43"/>
  <c r="AF446" i="43"/>
  <c r="AF449" i="43"/>
  <c r="AF452" i="43"/>
  <c r="AF455" i="43"/>
  <c r="AO445" i="43"/>
  <c r="AO446" i="43"/>
  <c r="AO447" i="43"/>
  <c r="AO448" i="43"/>
  <c r="AO449" i="43"/>
  <c r="AO452" i="43"/>
  <c r="AO453" i="43"/>
  <c r="AO454" i="43"/>
  <c r="AO455" i="43"/>
  <c r="AO456" i="43"/>
  <c r="AO459" i="43"/>
  <c r="AO462" i="43"/>
  <c r="AO463" i="43"/>
  <c r="AQ308" i="43" l="1"/>
  <c r="AQ178" i="43"/>
  <c r="AR453" i="43"/>
  <c r="AQ231" i="43"/>
  <c r="BH70" i="43"/>
  <c r="AQ398" i="43"/>
  <c r="AQ205" i="43"/>
  <c r="AQ266" i="43"/>
  <c r="AQ336" i="43"/>
  <c r="AQ331" i="43"/>
  <c r="AQ66" i="43"/>
  <c r="AQ67" i="44"/>
  <c r="AF93" i="44"/>
  <c r="AF98" i="44" s="1"/>
  <c r="AQ27" i="44"/>
  <c r="AQ80" i="44"/>
  <c r="AQ17" i="43"/>
  <c r="AQ449" i="43"/>
  <c r="AQ241" i="43"/>
  <c r="AN46" i="43"/>
  <c r="AQ113" i="43"/>
  <c r="AR154" i="43"/>
  <c r="AQ256" i="43"/>
  <c r="AQ446" i="43"/>
  <c r="AO239" i="43"/>
  <c r="AO244" i="43" s="1"/>
  <c r="AQ89" i="43"/>
  <c r="AO56" i="43"/>
  <c r="AO59" i="43" s="1"/>
  <c r="AR357" i="43"/>
  <c r="AS433" i="43"/>
  <c r="AQ279" i="43"/>
  <c r="AQ255" i="43"/>
  <c r="AQ124" i="43"/>
  <c r="AQ439" i="43"/>
  <c r="AN42" i="43"/>
  <c r="AQ426" i="43"/>
  <c r="AQ116" i="43"/>
  <c r="AQ91" i="44"/>
  <c r="AQ44" i="44"/>
  <c r="AS81" i="44"/>
  <c r="AQ100" i="44"/>
  <c r="AQ119" i="44"/>
  <c r="AR68" i="44"/>
  <c r="AS86" i="44"/>
  <c r="AQ76" i="44"/>
  <c r="AQ47" i="44"/>
  <c r="AQ45" i="44"/>
  <c r="AR27" i="44"/>
  <c r="AQ123" i="44"/>
  <c r="AQ48" i="44"/>
  <c r="AS96" i="44"/>
  <c r="AQ24" i="44"/>
  <c r="AQ90" i="44"/>
  <c r="AP93" i="44"/>
  <c r="AP98" i="44" s="1"/>
  <c r="AP92" i="44"/>
  <c r="AQ117" i="44"/>
  <c r="AQ30" i="44"/>
  <c r="AQ127" i="44"/>
  <c r="AQ18" i="44"/>
  <c r="AQ41" i="44"/>
  <c r="AQ37" i="44"/>
  <c r="AQ97" i="44"/>
  <c r="AQ54" i="44"/>
  <c r="AQ53" i="44"/>
  <c r="AQ33" i="44"/>
  <c r="AQ106" i="44"/>
  <c r="AQ109" i="44"/>
  <c r="AQ31" i="44"/>
  <c r="AQ438" i="43"/>
  <c r="BH63" i="43"/>
  <c r="AQ86" i="43"/>
  <c r="AQ407" i="43"/>
  <c r="AQ400" i="43"/>
  <c r="AQ73" i="43"/>
  <c r="AQ209" i="43"/>
  <c r="AS425" i="43"/>
  <c r="AQ37" i="43"/>
  <c r="AQ316" i="43"/>
  <c r="AR142" i="43"/>
  <c r="AQ179" i="43"/>
  <c r="AR242" i="43"/>
  <c r="AN27" i="43"/>
  <c r="AQ174" i="43"/>
  <c r="AQ237" i="43"/>
  <c r="AS447" i="43"/>
  <c r="AQ386" i="43"/>
  <c r="AQ357" i="43"/>
  <c r="AS340" i="43"/>
  <c r="AQ160" i="43"/>
  <c r="AO141" i="43"/>
  <c r="AO146" i="43" s="1"/>
  <c r="AR369" i="43"/>
  <c r="AF215" i="43"/>
  <c r="AS215" i="43" s="1"/>
  <c r="AQ405" i="43"/>
  <c r="AQ381" i="43"/>
  <c r="AQ356" i="43"/>
  <c r="AO153" i="43"/>
  <c r="AO158" i="43" s="1"/>
  <c r="AQ135" i="43"/>
  <c r="AR178" i="43"/>
  <c r="AW178" i="43" s="1"/>
  <c r="AR150" i="43"/>
  <c r="AQ62" i="43"/>
  <c r="AQ462" i="43"/>
  <c r="AS428" i="43"/>
  <c r="AQ410" i="43"/>
  <c r="AR345" i="43"/>
  <c r="AR168" i="43"/>
  <c r="AQ373" i="43"/>
  <c r="AN106" i="43"/>
  <c r="BH52" i="43"/>
  <c r="AQ243" i="43"/>
  <c r="AR166" i="43"/>
  <c r="AQ85" i="43"/>
  <c r="AQ341" i="43"/>
  <c r="AQ200" i="43"/>
  <c r="AQ456" i="43"/>
  <c r="AQ292" i="43"/>
  <c r="AQ97" i="43"/>
  <c r="AQ287" i="43"/>
  <c r="AW287" i="43" s="1"/>
  <c r="AQ368" i="43"/>
  <c r="AQ248" i="43"/>
  <c r="AR156" i="43"/>
  <c r="AQ130" i="43"/>
  <c r="BH46" i="43"/>
  <c r="AQ413" i="43"/>
  <c r="AO416" i="43"/>
  <c r="AO422" i="43" s="1"/>
  <c r="AQ246" i="43"/>
  <c r="AR308" i="43"/>
  <c r="AW308" i="43" s="1"/>
  <c r="AQ61" i="43"/>
  <c r="AQ34" i="43"/>
  <c r="AP227" i="43"/>
  <c r="AP232" i="43" s="1"/>
  <c r="AQ397" i="43"/>
  <c r="AQ228" i="43"/>
  <c r="AF159" i="43"/>
  <c r="AS159" i="43" s="1"/>
  <c r="AR174" i="43"/>
  <c r="AE163" i="43"/>
  <c r="AF458" i="43"/>
  <c r="AR458" i="43" s="1"/>
  <c r="AQ396" i="43"/>
  <c r="AQ319" i="43"/>
  <c r="AQ58" i="43"/>
  <c r="AQ412" i="43"/>
  <c r="AO458" i="43"/>
  <c r="AQ458" i="43" s="1"/>
  <c r="AQ229" i="43"/>
  <c r="AQ332" i="43"/>
  <c r="AQ129" i="43"/>
  <c r="AF118" i="43"/>
  <c r="AF121" i="43" s="1"/>
  <c r="AQ351" i="43"/>
  <c r="AR81" i="43"/>
  <c r="BP81" i="43" s="1"/>
  <c r="AQ388" i="43"/>
  <c r="AQ366" i="43"/>
  <c r="BJ81" i="43"/>
  <c r="AQ101" i="44"/>
  <c r="AQ75" i="44"/>
  <c r="AQ79" i="44"/>
  <c r="AR47" i="44"/>
  <c r="AS91" i="44"/>
  <c r="AQ66" i="44"/>
  <c r="AP103" i="44"/>
  <c r="AP104" i="44" s="1"/>
  <c r="AQ32" i="44"/>
  <c r="AQ125" i="44"/>
  <c r="AQ58" i="44"/>
  <c r="AS74" i="44"/>
  <c r="AQ425" i="43"/>
  <c r="AQ380" i="43"/>
  <c r="AQ206" i="43"/>
  <c r="AQ44" i="43"/>
  <c r="AQ25" i="43"/>
  <c r="AO53" i="43"/>
  <c r="AO55" i="43" s="1"/>
  <c r="AQ399" i="43"/>
  <c r="AQ350" i="43"/>
  <c r="AO298" i="43"/>
  <c r="AO299" i="43" s="1"/>
  <c r="AQ211" i="43"/>
  <c r="AQ98" i="43"/>
  <c r="AQ120" i="43"/>
  <c r="AQ389" i="43"/>
  <c r="AS305" i="43"/>
  <c r="AQ283" i="43"/>
  <c r="AP189" i="43"/>
  <c r="AP195" i="43" s="1"/>
  <c r="AP372" i="43"/>
  <c r="AP375" i="43" s="1"/>
  <c r="AQ217" i="43"/>
  <c r="AQ145" i="43"/>
  <c r="AQ132" i="43"/>
  <c r="AQ93" i="43"/>
  <c r="AP423" i="43"/>
  <c r="AP429" i="43" s="1"/>
  <c r="AQ344" i="43"/>
  <c r="AQ166" i="43"/>
  <c r="AQ322" i="43"/>
  <c r="AQ203" i="43"/>
  <c r="AQ29" i="43"/>
  <c r="AQ45" i="43"/>
  <c r="BH238" i="43"/>
  <c r="AP104" i="43"/>
  <c r="AP106" i="43" s="1"/>
  <c r="AN337" i="43"/>
  <c r="BH59" i="43"/>
  <c r="AR426" i="43"/>
  <c r="AQ128" i="43"/>
  <c r="AO107" i="43"/>
  <c r="AO110" i="43" s="1"/>
  <c r="AQ105" i="43"/>
  <c r="AQ406" i="43"/>
  <c r="AQ198" i="43"/>
  <c r="AQ81" i="43"/>
  <c r="AQ404" i="43"/>
  <c r="AF300" i="43"/>
  <c r="AF306" i="43" s="1"/>
  <c r="AR213" i="43"/>
  <c r="AQ186" i="43"/>
  <c r="AQ403" i="43"/>
  <c r="AQ452" i="43"/>
  <c r="AQ275" i="43"/>
  <c r="AR339" i="43"/>
  <c r="AP215" i="43"/>
  <c r="AP220" i="43" s="1"/>
  <c r="AQ157" i="43"/>
  <c r="AQ194" i="43"/>
  <c r="AF14" i="43"/>
  <c r="AF18" i="43" s="1"/>
  <c r="AO47" i="43"/>
  <c r="AO49" i="43" s="1"/>
  <c r="AN329" i="43"/>
  <c r="AO451" i="43"/>
  <c r="AO457" i="43" s="1"/>
  <c r="AQ392" i="43"/>
  <c r="AQ223" i="43"/>
  <c r="AQ270" i="43"/>
  <c r="AQ183" i="43"/>
  <c r="AO14" i="43"/>
  <c r="AO18" i="43" s="1"/>
  <c r="BH55" i="43"/>
  <c r="AS434" i="43"/>
  <c r="AR336" i="43"/>
  <c r="AO202" i="43"/>
  <c r="AO207" i="43" s="1"/>
  <c r="AO104" i="43"/>
  <c r="AO106" i="43" s="1"/>
  <c r="AQ108" i="43"/>
  <c r="AQ367" i="43"/>
  <c r="AF196" i="43"/>
  <c r="AF201" i="43" s="1"/>
  <c r="AQ119" i="43"/>
  <c r="AQ455" i="43"/>
  <c r="AQ236" i="43"/>
  <c r="AQ218" i="43"/>
  <c r="AQ171" i="43"/>
  <c r="AF153" i="43"/>
  <c r="AF158" i="43" s="1"/>
  <c r="AF141" i="43"/>
  <c r="AF146" i="43" s="1"/>
  <c r="AF202" i="43"/>
  <c r="AS202" i="43" s="1"/>
  <c r="AO318" i="43"/>
  <c r="AO323" i="43" s="1"/>
  <c r="AQ370" i="43"/>
  <c r="AS374" i="43"/>
  <c r="AQ165" i="43"/>
  <c r="AQ33" i="43"/>
  <c r="AS427" i="43"/>
  <c r="AW427" i="43" s="1"/>
  <c r="AQ252" i="43"/>
  <c r="AQ345" i="43"/>
  <c r="AQ445" i="43"/>
  <c r="AQ387" i="43"/>
  <c r="AP300" i="43"/>
  <c r="AP306" i="43" s="1"/>
  <c r="AQ180" i="43"/>
  <c r="AO96" i="43"/>
  <c r="AO99" i="43" s="1"/>
  <c r="AO43" i="43"/>
  <c r="AO46" i="43" s="1"/>
  <c r="AO100" i="43"/>
  <c r="AO103" i="43" s="1"/>
  <c r="BH114" i="43"/>
  <c r="AQ339" i="43"/>
  <c r="AF76" i="43"/>
  <c r="AF79" i="43" s="1"/>
  <c r="AF451" i="43"/>
  <c r="AR451" i="43" s="1"/>
  <c r="AQ327" i="43"/>
  <c r="BH99" i="43"/>
  <c r="AP285" i="43"/>
  <c r="AP289" i="43" s="1"/>
  <c r="AO278" i="43"/>
  <c r="AO284" i="43" s="1"/>
  <c r="AQ137" i="43"/>
  <c r="AO28" i="43"/>
  <c r="AO31" i="43" s="1"/>
  <c r="AP416" i="43"/>
  <c r="AP422" i="43" s="1"/>
  <c r="AF100" i="43"/>
  <c r="AR100" i="43" s="1"/>
  <c r="AR370" i="43"/>
  <c r="AF278" i="43"/>
  <c r="AF284" i="43" s="1"/>
  <c r="AO111" i="43"/>
  <c r="AO114" i="43" s="1"/>
  <c r="AQ24" i="43"/>
  <c r="AQ447" i="43"/>
  <c r="AQ216" i="43"/>
  <c r="BH87" i="43"/>
  <c r="AN91" i="43"/>
  <c r="AQ361" i="43"/>
  <c r="AQ39" i="44"/>
  <c r="AP102" i="44"/>
  <c r="AQ83" i="44"/>
  <c r="AF103" i="44"/>
  <c r="AF104" i="44" s="1"/>
  <c r="AP42" i="44"/>
  <c r="AO57" i="44"/>
  <c r="AO63" i="44" s="1"/>
  <c r="AP14" i="44"/>
  <c r="AQ14" i="44" s="1"/>
  <c r="AQ16" i="44"/>
  <c r="AN49" i="44"/>
  <c r="AF57" i="44"/>
  <c r="AF63" i="44" s="1"/>
  <c r="AR94" i="44"/>
  <c r="AQ99" i="44"/>
  <c r="BH28" i="44"/>
  <c r="AS72" i="44"/>
  <c r="AO113" i="44"/>
  <c r="AO121" i="44" s="1"/>
  <c r="AR41" i="44"/>
  <c r="AQ17" i="44"/>
  <c r="AQ74" i="44"/>
  <c r="AF14" i="44"/>
  <c r="AS14" i="44" s="1"/>
  <c r="AF113" i="44"/>
  <c r="AF121" i="44" s="1"/>
  <c r="AR39" i="44"/>
  <c r="AS90" i="44"/>
  <c r="AQ115" i="44"/>
  <c r="AQ72" i="44"/>
  <c r="AR97" i="44"/>
  <c r="AQ26" i="44"/>
  <c r="AR16" i="44"/>
  <c r="BH98" i="44"/>
  <c r="AQ46" i="44"/>
  <c r="AR33" i="44"/>
  <c r="AQ86" i="44"/>
  <c r="AQ69" i="44"/>
  <c r="AP88" i="44"/>
  <c r="AF122" i="44"/>
  <c r="AR122" i="44" s="1"/>
  <c r="BH88" i="44"/>
  <c r="AP122" i="44"/>
  <c r="AP128" i="44" s="1"/>
  <c r="AF111" i="44"/>
  <c r="AF112" i="44" s="1"/>
  <c r="AP78" i="44"/>
  <c r="AQ78" i="44" s="1"/>
  <c r="AF78" i="44"/>
  <c r="AR78" i="44" s="1"/>
  <c r="AR100" i="44"/>
  <c r="AE112" i="44"/>
  <c r="AS67" i="44"/>
  <c r="AQ51" i="44"/>
  <c r="AR45" i="44"/>
  <c r="BH102" i="44"/>
  <c r="AN42" i="44"/>
  <c r="BH56" i="44"/>
  <c r="AP63" i="44"/>
  <c r="AQ448" i="43"/>
  <c r="AQ142" i="43"/>
  <c r="AQ249" i="43"/>
  <c r="AF245" i="43"/>
  <c r="AS245" i="43" s="1"/>
  <c r="AQ442" i="43"/>
  <c r="AQ463" i="43"/>
  <c r="AQ187" i="43"/>
  <c r="AF267" i="43"/>
  <c r="BH273" i="43"/>
  <c r="BH106" i="43"/>
  <c r="AN146" i="43"/>
  <c r="AQ355" i="43"/>
  <c r="AS435" i="43"/>
  <c r="AQ432" i="43"/>
  <c r="AQ310" i="43"/>
  <c r="AF260" i="43"/>
  <c r="AF263" i="43" s="1"/>
  <c r="AN464" i="43"/>
  <c r="AQ431" i="43"/>
  <c r="AQ286" i="43"/>
  <c r="AQ343" i="43"/>
  <c r="AP430" i="43"/>
  <c r="AP436" i="43" s="1"/>
  <c r="AQ362" i="43"/>
  <c r="AQ123" i="43"/>
  <c r="AP182" i="43"/>
  <c r="AP188" i="43" s="1"/>
  <c r="AS462" i="43"/>
  <c r="AF251" i="43"/>
  <c r="AF257" i="43" s="1"/>
  <c r="AQ272" i="43"/>
  <c r="AR342" i="43"/>
  <c r="AQ335" i="43"/>
  <c r="AN364" i="43"/>
  <c r="AN232" i="43"/>
  <c r="AQ420" i="43"/>
  <c r="AP444" i="43"/>
  <c r="AP450" i="43" s="1"/>
  <c r="AQ417" i="43"/>
  <c r="AQ304" i="43"/>
  <c r="AQ294" i="43"/>
  <c r="AO227" i="43"/>
  <c r="AP251" i="43"/>
  <c r="AP257" i="43" s="1"/>
  <c r="AN195" i="43"/>
  <c r="AO147" i="43"/>
  <c r="AO152" i="43" s="1"/>
  <c r="AF104" i="43"/>
  <c r="AF106" i="43" s="1"/>
  <c r="AO36" i="43"/>
  <c r="AQ78" i="43"/>
  <c r="AQ51" i="43"/>
  <c r="AO23" i="43"/>
  <c r="AO27" i="43" s="1"/>
  <c r="AQ94" i="43"/>
  <c r="AQ82" i="43"/>
  <c r="AP40" i="43"/>
  <c r="AP42" i="43" s="1"/>
  <c r="AP23" i="43"/>
  <c r="AF290" i="43"/>
  <c r="AF297" i="43" s="1"/>
  <c r="AP460" i="43"/>
  <c r="AQ441" i="43"/>
  <c r="AF385" i="43"/>
  <c r="AF390" i="43" s="1"/>
  <c r="AQ440" i="43"/>
  <c r="AF324" i="43"/>
  <c r="AF325" i="43" s="1"/>
  <c r="AN35" i="43"/>
  <c r="AF176" i="43"/>
  <c r="AS176" i="43" s="1"/>
  <c r="AF47" i="43"/>
  <c r="AF49" i="43" s="1"/>
  <c r="AR296" i="43"/>
  <c r="AF233" i="43"/>
  <c r="AS233" i="43" s="1"/>
  <c r="AO50" i="43"/>
  <c r="AO52" i="43" s="1"/>
  <c r="BH401" i="43"/>
  <c r="AO233" i="43"/>
  <c r="AO238" i="43" s="1"/>
  <c r="AQ199" i="43"/>
  <c r="AQ154" i="43"/>
  <c r="AF147" i="43"/>
  <c r="AF152" i="43" s="1"/>
  <c r="AF40" i="43"/>
  <c r="AF42" i="43" s="1"/>
  <c r="AF23" i="43"/>
  <c r="AF27" i="43" s="1"/>
  <c r="AP324" i="43"/>
  <c r="AP325" i="43" s="1"/>
  <c r="AQ340" i="43"/>
  <c r="AQ434" i="43"/>
  <c r="AF423" i="43"/>
  <c r="AF429" i="43" s="1"/>
  <c r="AN277" i="43"/>
  <c r="BH220" i="43"/>
  <c r="AR459" i="43"/>
  <c r="AS440" i="43"/>
  <c r="AQ418" i="43"/>
  <c r="AR311" i="43"/>
  <c r="AR320" i="43"/>
  <c r="AF221" i="43"/>
  <c r="AF226" i="43" s="1"/>
  <c r="AR172" i="43"/>
  <c r="AQ20" i="43"/>
  <c r="AQ109" i="43"/>
  <c r="AF68" i="43"/>
  <c r="AS68" i="43" s="1"/>
  <c r="AQ26" i="43"/>
  <c r="BH317" i="43"/>
  <c r="AQ213" i="43"/>
  <c r="BH207" i="43"/>
  <c r="AQ369" i="43"/>
  <c r="AQ281" i="43"/>
  <c r="AO290" i="43"/>
  <c r="AO297" i="43" s="1"/>
  <c r="AQ419" i="43"/>
  <c r="AN158" i="43"/>
  <c r="AQ112" i="43"/>
  <c r="AQ65" i="43"/>
  <c r="AP221" i="43"/>
  <c r="AP226" i="43" s="1"/>
  <c r="BH31" i="43"/>
  <c r="AQ459" i="43"/>
  <c r="AS442" i="43"/>
  <c r="AF416" i="43"/>
  <c r="AR416" i="43" s="1"/>
  <c r="BH329" i="43"/>
  <c r="AQ348" i="43"/>
  <c r="AQ262" i="43"/>
  <c r="AQ235" i="43"/>
  <c r="AQ301" i="43"/>
  <c r="AF239" i="43"/>
  <c r="AR239" i="43" s="1"/>
  <c r="AO221" i="43"/>
  <c r="AO226" i="43" s="1"/>
  <c r="AQ162" i="43"/>
  <c r="AW162" i="43" s="1"/>
  <c r="AQ173" i="43"/>
  <c r="AQ143" i="43"/>
  <c r="AQ204" i="43"/>
  <c r="AQ192" i="43"/>
  <c r="AO122" i="43"/>
  <c r="AO126" i="43" s="1"/>
  <c r="AO68" i="43"/>
  <c r="AO70" i="43" s="1"/>
  <c r="AF53" i="43"/>
  <c r="AF55" i="43" s="1"/>
  <c r="AF372" i="43"/>
  <c r="AR372" i="43" s="1"/>
  <c r="AN460" i="43"/>
  <c r="AN121" i="43"/>
  <c r="AQ212" i="43"/>
  <c r="AN250" i="43"/>
  <c r="AO19" i="43"/>
  <c r="AO22" i="43" s="1"/>
  <c r="AQ21" i="43"/>
  <c r="AQ167" i="43"/>
  <c r="AO92" i="43"/>
  <c r="AO95" i="43" s="1"/>
  <c r="BH422" i="43"/>
  <c r="AF395" i="43"/>
  <c r="AR395" i="43" s="1"/>
  <c r="AR343" i="43"/>
  <c r="AR341" i="43"/>
  <c r="AQ303" i="43"/>
  <c r="AN244" i="43"/>
  <c r="AQ230" i="43"/>
  <c r="AQ312" i="43"/>
  <c r="AQ240" i="43"/>
  <c r="AR281" i="43"/>
  <c r="AQ148" i="43"/>
  <c r="AQ210" i="43"/>
  <c r="AS190" i="43"/>
  <c r="AF19" i="43"/>
  <c r="AS19" i="43" s="1"/>
  <c r="AQ72" i="43"/>
  <c r="AQ15" i="43"/>
  <c r="AN63" i="43"/>
  <c r="AP92" i="43"/>
  <c r="AP95" i="43" s="1"/>
  <c r="AN55" i="43"/>
  <c r="BH408" i="43"/>
  <c r="BH49" i="43"/>
  <c r="BH39" i="43"/>
  <c r="AQ293" i="43"/>
  <c r="AP43" i="43"/>
  <c r="AP46" i="43" s="1"/>
  <c r="BH323" i="43"/>
  <c r="AS456" i="43"/>
  <c r="AS438" i="43"/>
  <c r="AQ414" i="43"/>
  <c r="AQ393" i="43"/>
  <c r="AF376" i="43"/>
  <c r="AF377" i="43" s="1"/>
  <c r="AR358" i="43"/>
  <c r="BH337" i="43"/>
  <c r="AO300" i="43"/>
  <c r="AO306" i="43" s="1"/>
  <c r="AQ315" i="43"/>
  <c r="AQ144" i="43"/>
  <c r="AN188" i="43"/>
  <c r="AQ38" i="43"/>
  <c r="AF92" i="43"/>
  <c r="AF95" i="43" s="1"/>
  <c r="AF64" i="43"/>
  <c r="AF67" i="43" s="1"/>
  <c r="AQ16" i="43"/>
  <c r="AP376" i="43"/>
  <c r="AP377" i="43" s="1"/>
  <c r="AN52" i="43"/>
  <c r="AF333" i="43"/>
  <c r="AQ349" i="43"/>
  <c r="BH267" i="43"/>
  <c r="BH257" i="43"/>
  <c r="AF122" i="43"/>
  <c r="AF126" i="43" s="1"/>
  <c r="BH95" i="43"/>
  <c r="AQ379" i="43"/>
  <c r="AN39" i="43"/>
  <c r="BH250" i="43"/>
  <c r="AN117" i="43"/>
  <c r="BH110" i="43"/>
  <c r="AF56" i="43"/>
  <c r="AF59" i="43" s="1"/>
  <c r="AN18" i="43"/>
  <c r="BH42" i="43"/>
  <c r="BH390" i="43"/>
  <c r="AQ454" i="43"/>
  <c r="AQ424" i="43"/>
  <c r="AP378" i="43"/>
  <c r="AP384" i="43" s="1"/>
  <c r="AR351" i="43"/>
  <c r="AQ219" i="43"/>
  <c r="AN306" i="43"/>
  <c r="AF277" i="43"/>
  <c r="AQ269" i="43"/>
  <c r="AQ234" i="43"/>
  <c r="AF227" i="43"/>
  <c r="AF232" i="43" s="1"/>
  <c r="AO208" i="43"/>
  <c r="AO214" i="43" s="1"/>
  <c r="AF32" i="43"/>
  <c r="AS32" i="43" s="1"/>
  <c r="AO64" i="43"/>
  <c r="AO67" i="43" s="1"/>
  <c r="AQ54" i="43"/>
  <c r="AF71" i="43"/>
  <c r="AF75" i="43" s="1"/>
  <c r="AP258" i="43"/>
  <c r="AP259" i="43" s="1"/>
  <c r="AP60" i="43"/>
  <c r="AP63" i="43" s="1"/>
  <c r="AQ435" i="43"/>
  <c r="AN110" i="43"/>
  <c r="AN201" i="43"/>
  <c r="AN75" i="43"/>
  <c r="AO395" i="43"/>
  <c r="AO401" i="43" s="1"/>
  <c r="AO159" i="43"/>
  <c r="AQ159" i="43" s="1"/>
  <c r="AQ131" i="43"/>
  <c r="AO115" i="43"/>
  <c r="AO117" i="43" s="1"/>
  <c r="AQ433" i="43"/>
  <c r="AO461" i="43"/>
  <c r="AO464" i="43" s="1"/>
  <c r="AR439" i="43"/>
  <c r="AN375" i="43"/>
  <c r="AQ265" i="43"/>
  <c r="AQ193" i="43"/>
  <c r="AQ156" i="43"/>
  <c r="AQ161" i="43"/>
  <c r="AQ155" i="43"/>
  <c r="AR160" i="43"/>
  <c r="AO134" i="43"/>
  <c r="AO140" i="43" s="1"/>
  <c r="BH146" i="43"/>
  <c r="AQ101" i="43"/>
  <c r="AQ125" i="43"/>
  <c r="AO32" i="43"/>
  <c r="AO35" i="43" s="1"/>
  <c r="AQ90" i="43"/>
  <c r="AF36" i="43"/>
  <c r="AR36" i="43" s="1"/>
  <c r="AO118" i="43"/>
  <c r="AO71" i="43"/>
  <c r="AO75" i="43" s="1"/>
  <c r="AQ358" i="43"/>
  <c r="AP239" i="43"/>
  <c r="AP244" i="43" s="1"/>
  <c r="AN140" i="43"/>
  <c r="AN103" i="43"/>
  <c r="AN87" i="43"/>
  <c r="BH140" i="43"/>
  <c r="AQ342" i="43"/>
  <c r="AF338" i="43"/>
  <c r="AF346" i="43" s="1"/>
  <c r="BH91" i="43"/>
  <c r="BH67" i="43"/>
  <c r="AQ253" i="43"/>
  <c r="AO84" i="44"/>
  <c r="AQ73" i="44"/>
  <c r="AQ59" i="44"/>
  <c r="AQ21" i="44"/>
  <c r="AQ40" i="44"/>
  <c r="BH42" i="44"/>
  <c r="AF92" i="44"/>
  <c r="AP70" i="44"/>
  <c r="AN77" i="44"/>
  <c r="BH84" i="44"/>
  <c r="AF102" i="44"/>
  <c r="BH92" i="44"/>
  <c r="BH35" i="44"/>
  <c r="AQ94" i="44"/>
  <c r="AQ96" i="44"/>
  <c r="AS79" i="44"/>
  <c r="AQ38" i="44"/>
  <c r="AQ25" i="44"/>
  <c r="AS76" i="44"/>
  <c r="AN63" i="44"/>
  <c r="AP49" i="44"/>
  <c r="BH70" i="44"/>
  <c r="AP121" i="44"/>
  <c r="AQ82" i="44"/>
  <c r="AQ95" i="44"/>
  <c r="AQ34" i="44"/>
  <c r="AF42" i="44"/>
  <c r="BH77" i="44"/>
  <c r="BH63" i="44"/>
  <c r="AN56" i="44"/>
  <c r="AO128" i="44"/>
  <c r="AQ52" i="44"/>
  <c r="AO19" i="44"/>
  <c r="AQ64" i="44"/>
  <c r="AO70" i="44"/>
  <c r="AF35" i="44"/>
  <c r="BH128" i="44"/>
  <c r="AN84" i="44"/>
  <c r="BH19" i="44"/>
  <c r="AO102" i="44"/>
  <c r="AN121" i="44"/>
  <c r="AN102" i="44"/>
  <c r="AO107" i="44"/>
  <c r="AQ107" i="44" s="1"/>
  <c r="AO104" i="44"/>
  <c r="AO56" i="44"/>
  <c r="AF70" i="44"/>
  <c r="AS80" i="44"/>
  <c r="AN110" i="44"/>
  <c r="AQ85" i="44"/>
  <c r="AO88" i="44"/>
  <c r="AS82" i="44"/>
  <c r="BH110" i="44"/>
  <c r="AN28" i="44"/>
  <c r="AO71" i="44"/>
  <c r="AD77" i="44"/>
  <c r="AN98" i="44"/>
  <c r="AF107" i="44"/>
  <c r="AF110" i="44" s="1"/>
  <c r="AF56" i="44"/>
  <c r="AQ105" i="44"/>
  <c r="AP56" i="44"/>
  <c r="AQ36" i="44"/>
  <c r="AO42" i="44"/>
  <c r="AN19" i="44"/>
  <c r="AF88" i="44"/>
  <c r="AP77" i="44"/>
  <c r="BH49" i="44"/>
  <c r="AP29" i="44"/>
  <c r="AP35" i="44" s="1"/>
  <c r="AE35" i="44"/>
  <c r="AQ43" i="44"/>
  <c r="AO49" i="44"/>
  <c r="AN128" i="44"/>
  <c r="AN92" i="44"/>
  <c r="AR99" i="44"/>
  <c r="AO28" i="44"/>
  <c r="AQ89" i="44"/>
  <c r="AO92" i="44"/>
  <c r="AO98" i="44"/>
  <c r="AF49" i="44"/>
  <c r="BH121" i="44"/>
  <c r="AR71" i="44"/>
  <c r="AF77" i="44"/>
  <c r="AO35" i="44"/>
  <c r="AQ12" i="44"/>
  <c r="AQ13" i="44" s="1"/>
  <c r="AO13" i="44"/>
  <c r="AN88" i="44"/>
  <c r="AQ111" i="44"/>
  <c r="AQ112" i="44" s="1"/>
  <c r="AO112" i="44"/>
  <c r="AS99" i="44"/>
  <c r="AF28" i="44"/>
  <c r="AP28" i="44"/>
  <c r="AN35" i="44"/>
  <c r="AP110" i="44"/>
  <c r="AN70" i="44"/>
  <c r="AQ20" i="44"/>
  <c r="AS85" i="44"/>
  <c r="AR85" i="44"/>
  <c r="AQ62" i="44"/>
  <c r="AR73" i="44"/>
  <c r="AS73" i="44"/>
  <c r="AQ23" i="44"/>
  <c r="AQ60" i="44"/>
  <c r="AQ116" i="44"/>
  <c r="AQ22" i="44"/>
  <c r="AO259" i="43"/>
  <c r="AP250" i="43"/>
  <c r="AO359" i="43"/>
  <c r="AP333" i="43"/>
  <c r="AN273" i="43"/>
  <c r="AP360" i="43"/>
  <c r="AP364" i="43" s="1"/>
  <c r="AE364" i="43"/>
  <c r="AP385" i="43"/>
  <c r="AP390" i="43" s="1"/>
  <c r="AE390" i="43"/>
  <c r="AP461" i="43"/>
  <c r="AP464" i="43" s="1"/>
  <c r="AE464" i="43"/>
  <c r="AP409" i="43"/>
  <c r="AP415" i="43" s="1"/>
  <c r="AE415" i="43"/>
  <c r="AO196" i="43"/>
  <c r="AD201" i="43"/>
  <c r="AP28" i="43"/>
  <c r="AP31" i="43" s="1"/>
  <c r="AE31" i="43"/>
  <c r="AP208" i="43"/>
  <c r="AP214" i="43" s="1"/>
  <c r="AE214" i="43"/>
  <c r="AF461" i="43"/>
  <c r="AF464" i="43" s="1"/>
  <c r="AS424" i="43"/>
  <c r="AS431" i="43"/>
  <c r="BH364" i="43"/>
  <c r="AR363" i="43"/>
  <c r="AR344" i="43"/>
  <c r="AR335" i="43"/>
  <c r="AF360" i="43"/>
  <c r="AF364" i="43" s="1"/>
  <c r="AN323" i="43"/>
  <c r="AQ276" i="43"/>
  <c r="AQ222" i="43"/>
  <c r="AQ271" i="43"/>
  <c r="AO176" i="43"/>
  <c r="AO169" i="43"/>
  <c r="AQ261" i="43"/>
  <c r="AQ295" i="43"/>
  <c r="AQ177" i="43"/>
  <c r="AN181" i="43"/>
  <c r="AN169" i="43"/>
  <c r="AF127" i="43"/>
  <c r="AF133" i="43" s="1"/>
  <c r="AQ102" i="43"/>
  <c r="AO76" i="43"/>
  <c r="AO40" i="43"/>
  <c r="AQ69" i="43"/>
  <c r="AQ57" i="43"/>
  <c r="AQ48" i="43"/>
  <c r="AF115" i="43"/>
  <c r="AF117" i="43" s="1"/>
  <c r="BH436" i="43"/>
  <c r="AF365" i="43"/>
  <c r="AN317" i="43"/>
  <c r="BH352" i="43"/>
  <c r="AQ296" i="43"/>
  <c r="AF314" i="43"/>
  <c r="BH394" i="43"/>
  <c r="BH384" i="43"/>
  <c r="AO385" i="43"/>
  <c r="AD390" i="43"/>
  <c r="AN352" i="43"/>
  <c r="BH263" i="43"/>
  <c r="AN436" i="43"/>
  <c r="AN422" i="43"/>
  <c r="AN346" i="43"/>
  <c r="AP268" i="43"/>
  <c r="AP273" i="43" s="1"/>
  <c r="AE273" i="43"/>
  <c r="BH359" i="43"/>
  <c r="AO324" i="43"/>
  <c r="AD325" i="43"/>
  <c r="AP115" i="43"/>
  <c r="AP117" i="43" s="1"/>
  <c r="AE117" i="43"/>
  <c r="AP96" i="43"/>
  <c r="AP99" i="43" s="1"/>
  <c r="AE99" i="43"/>
  <c r="AS184" i="43"/>
  <c r="AR184" i="43"/>
  <c r="AP141" i="43"/>
  <c r="AP146" i="43" s="1"/>
  <c r="AE146" i="43"/>
  <c r="AO189" i="43"/>
  <c r="AO195" i="43" s="1"/>
  <c r="AD195" i="43"/>
  <c r="AP111" i="43"/>
  <c r="AP114" i="43" s="1"/>
  <c r="AE114" i="43"/>
  <c r="AP14" i="43"/>
  <c r="AP18" i="43" s="1"/>
  <c r="AE18" i="43"/>
  <c r="AO251" i="43"/>
  <c r="AO257" i="43" s="1"/>
  <c r="AD257" i="43"/>
  <c r="AN152" i="43"/>
  <c r="AP100" i="43"/>
  <c r="AP103" i="43" s="1"/>
  <c r="AE103" i="43"/>
  <c r="AN371" i="43"/>
  <c r="BH289" i="43"/>
  <c r="AP163" i="43"/>
  <c r="AP147" i="43"/>
  <c r="AP152" i="43" s="1"/>
  <c r="AE152" i="43"/>
  <c r="AP84" i="43"/>
  <c r="AP87" i="43" s="1"/>
  <c r="AE87" i="43"/>
  <c r="AD188" i="43"/>
  <c r="AF182" i="43"/>
  <c r="AP451" i="43"/>
  <c r="AP457" i="43" s="1"/>
  <c r="AE457" i="43"/>
  <c r="AO347" i="43"/>
  <c r="AD352" i="43"/>
  <c r="AN126" i="43"/>
  <c r="AN99" i="43"/>
  <c r="BH457" i="43"/>
  <c r="AO402" i="43"/>
  <c r="AO408" i="43" s="1"/>
  <c r="AD408" i="43"/>
  <c r="AO423" i="43"/>
  <c r="AD429" i="43"/>
  <c r="AP347" i="43"/>
  <c r="AP352" i="43" s="1"/>
  <c r="AE352" i="43"/>
  <c r="AF258" i="43"/>
  <c r="AD259" i="43"/>
  <c r="BH18" i="43"/>
  <c r="BH22" i="43"/>
  <c r="AP76" i="43"/>
  <c r="AP79" i="43" s="1"/>
  <c r="AE79" i="43"/>
  <c r="AP391" i="43"/>
  <c r="AP394" i="43" s="1"/>
  <c r="AE394" i="43"/>
  <c r="AQ428" i="43"/>
  <c r="AN401" i="43"/>
  <c r="AQ383" i="43"/>
  <c r="AO364" i="43"/>
  <c r="AR293" i="43"/>
  <c r="AO277" i="43"/>
  <c r="AO267" i="43"/>
  <c r="AR302" i="43"/>
  <c r="AQ280" i="43"/>
  <c r="AR180" i="43"/>
  <c r="AO127" i="43"/>
  <c r="AF28" i="43"/>
  <c r="AF31" i="43" s="1"/>
  <c r="AQ77" i="43"/>
  <c r="AQ363" i="43"/>
  <c r="AO365" i="43"/>
  <c r="AP260" i="43"/>
  <c r="AN220" i="43"/>
  <c r="AF189" i="43"/>
  <c r="AN297" i="43"/>
  <c r="BH232" i="43"/>
  <c r="BH188" i="43"/>
  <c r="AP127" i="43"/>
  <c r="AP133" i="43" s="1"/>
  <c r="BH297" i="43"/>
  <c r="AN267" i="43"/>
  <c r="AO314" i="43"/>
  <c r="BH181" i="43"/>
  <c r="AP36" i="43"/>
  <c r="AP39" i="43" s="1"/>
  <c r="BH169" i="43"/>
  <c r="BH163" i="43"/>
  <c r="AP53" i="43"/>
  <c r="AP55" i="43" s="1"/>
  <c r="BH464" i="43"/>
  <c r="AN450" i="43"/>
  <c r="BH460" i="43"/>
  <c r="AP353" i="43"/>
  <c r="AP359" i="43" s="1"/>
  <c r="AE359" i="43"/>
  <c r="AP314" i="43"/>
  <c r="AP317" i="43" s="1"/>
  <c r="AE317" i="43"/>
  <c r="AP290" i="43"/>
  <c r="AP297" i="43" s="1"/>
  <c r="AE297" i="43"/>
  <c r="BH284" i="43"/>
  <c r="AN457" i="43"/>
  <c r="BH306" i="43"/>
  <c r="AS252" i="43"/>
  <c r="AR252" i="43"/>
  <c r="AF164" i="43"/>
  <c r="AD169" i="43"/>
  <c r="AP19" i="43"/>
  <c r="AP22" i="43" s="1"/>
  <c r="AE22" i="43"/>
  <c r="BH277" i="43"/>
  <c r="AN79" i="43"/>
  <c r="AN207" i="43"/>
  <c r="AN49" i="43"/>
  <c r="AO245" i="43"/>
  <c r="AO250" i="43" s="1"/>
  <c r="AD250" i="43"/>
  <c r="BH214" i="43"/>
  <c r="BH75" i="43"/>
  <c r="BH35" i="43"/>
  <c r="AN408" i="43"/>
  <c r="BH346" i="43"/>
  <c r="AF326" i="43"/>
  <c r="AF329" i="43" s="1"/>
  <c r="AO285" i="43"/>
  <c r="AQ225" i="43"/>
  <c r="AQ184" i="43"/>
  <c r="AQ172" i="43"/>
  <c r="AQ149" i="43"/>
  <c r="AQ185" i="43"/>
  <c r="AQ139" i="43"/>
  <c r="AF134" i="43"/>
  <c r="AF140" i="43" s="1"/>
  <c r="AF80" i="43"/>
  <c r="AF83" i="43" s="1"/>
  <c r="AO84" i="43"/>
  <c r="AN429" i="43"/>
  <c r="AO444" i="43"/>
  <c r="AP233" i="43"/>
  <c r="AP238" i="43" s="1"/>
  <c r="AO378" i="43"/>
  <c r="AO384" i="43" s="1"/>
  <c r="AD384" i="43"/>
  <c r="AP365" i="43"/>
  <c r="AP371" i="43" s="1"/>
  <c r="AE371" i="43"/>
  <c r="AO330" i="43"/>
  <c r="AO333" i="43" s="1"/>
  <c r="AD333" i="43"/>
  <c r="AO260" i="43"/>
  <c r="AO263" i="43" s="1"/>
  <c r="AD263" i="43"/>
  <c r="BH443" i="43"/>
  <c r="AP298" i="43"/>
  <c r="AP299" i="43" s="1"/>
  <c r="AE299" i="43"/>
  <c r="AO391" i="43"/>
  <c r="AD394" i="43"/>
  <c r="AO372" i="43"/>
  <c r="AD375" i="43"/>
  <c r="AF353" i="43"/>
  <c r="AD359" i="43"/>
  <c r="AP122" i="43"/>
  <c r="AP126" i="43" s="1"/>
  <c r="AE126" i="43"/>
  <c r="AN226" i="43"/>
  <c r="AP153" i="43"/>
  <c r="AP158" i="43" s="1"/>
  <c r="AE158" i="43"/>
  <c r="AP64" i="43"/>
  <c r="AP67" i="43" s="1"/>
  <c r="AE67" i="43"/>
  <c r="AP50" i="43"/>
  <c r="AP52" i="43" s="1"/>
  <c r="AE52" i="43"/>
  <c r="AP176" i="43"/>
  <c r="AP181" i="43" s="1"/>
  <c r="AE181" i="43"/>
  <c r="AO338" i="43"/>
  <c r="AD346" i="43"/>
  <c r="AN284" i="43"/>
  <c r="AP118" i="43"/>
  <c r="AP121" i="43" s="1"/>
  <c r="AE121" i="43"/>
  <c r="AP32" i="43"/>
  <c r="AP35" i="43" s="1"/>
  <c r="AE35" i="43"/>
  <c r="AO409" i="43"/>
  <c r="AD415" i="43"/>
  <c r="BH195" i="43"/>
  <c r="AN114" i="43"/>
  <c r="AN83" i="43"/>
  <c r="BH27" i="43"/>
  <c r="AP56" i="43"/>
  <c r="AP59" i="43" s="1"/>
  <c r="AE59" i="43"/>
  <c r="AF402" i="43"/>
  <c r="AF408" i="43" s="1"/>
  <c r="AF378" i="43"/>
  <c r="AF384" i="43" s="1"/>
  <c r="AQ421" i="43"/>
  <c r="AF391" i="43"/>
  <c r="AF394" i="43" s="1"/>
  <c r="BH333" i="43"/>
  <c r="AO326" i="43"/>
  <c r="AQ354" i="43"/>
  <c r="AQ328" i="43"/>
  <c r="AN289" i="43"/>
  <c r="AO307" i="43"/>
  <c r="AO268" i="43"/>
  <c r="AF285" i="43"/>
  <c r="AF289" i="43" s="1"/>
  <c r="AF318" i="43"/>
  <c r="AF323" i="43" s="1"/>
  <c r="AO188" i="43"/>
  <c r="AO175" i="43"/>
  <c r="AN175" i="43"/>
  <c r="BH133" i="43"/>
  <c r="BH83" i="43"/>
  <c r="AO80" i="43"/>
  <c r="AF96" i="43"/>
  <c r="AF99" i="43" s="1"/>
  <c r="AF84" i="43"/>
  <c r="AF87" i="43" s="1"/>
  <c r="AF111" i="43"/>
  <c r="AF114" i="43" s="1"/>
  <c r="AF43" i="43"/>
  <c r="AF46" i="43" s="1"/>
  <c r="AF60" i="43"/>
  <c r="AF63" i="43" s="1"/>
  <c r="AF91" i="43"/>
  <c r="AQ74" i="43"/>
  <c r="AN390" i="43"/>
  <c r="AN443" i="43"/>
  <c r="AQ382" i="43"/>
  <c r="AF334" i="43"/>
  <c r="AO334" i="43"/>
  <c r="AF444" i="43"/>
  <c r="AQ305" i="43"/>
  <c r="AP170" i="43"/>
  <c r="AP175" i="43" s="1"/>
  <c r="AN133" i="43"/>
  <c r="AQ254" i="43"/>
  <c r="BH226" i="43"/>
  <c r="BH126" i="43"/>
  <c r="BH429" i="43"/>
  <c r="AE329" i="43"/>
  <c r="AP326" i="43"/>
  <c r="AP329" i="43" s="1"/>
  <c r="AP307" i="43"/>
  <c r="AP313" i="43" s="1"/>
  <c r="AE313" i="43"/>
  <c r="AF437" i="43"/>
  <c r="AE443" i="43"/>
  <c r="AP437" i="43"/>
  <c r="AP443" i="43" s="1"/>
  <c r="AO376" i="43"/>
  <c r="AO377" i="43" s="1"/>
  <c r="AD377" i="43"/>
  <c r="AN359" i="43"/>
  <c r="AP278" i="43"/>
  <c r="AP284" i="43" s="1"/>
  <c r="AE284" i="43"/>
  <c r="AN415" i="43"/>
  <c r="BH371" i="43"/>
  <c r="AN333" i="43"/>
  <c r="BH450" i="43"/>
  <c r="AN394" i="43"/>
  <c r="AN257" i="43"/>
  <c r="AN22" i="43"/>
  <c r="AP395" i="43"/>
  <c r="AP401" i="43" s="1"/>
  <c r="AE401" i="43"/>
  <c r="AN214" i="43"/>
  <c r="AN67" i="43"/>
  <c r="AP274" i="43"/>
  <c r="AP277" i="43" s="1"/>
  <c r="AE277" i="43"/>
  <c r="AO220" i="43"/>
  <c r="BH117" i="43"/>
  <c r="AN95" i="43"/>
  <c r="AP71" i="43"/>
  <c r="AP75" i="43" s="1"/>
  <c r="AE75" i="43"/>
  <c r="BH79" i="43"/>
  <c r="AN59" i="43"/>
  <c r="AP134" i="43"/>
  <c r="AP140" i="43" s="1"/>
  <c r="AE140" i="43"/>
  <c r="AP68" i="43"/>
  <c r="AP70" i="43" s="1"/>
  <c r="AE70" i="43"/>
  <c r="AP47" i="43"/>
  <c r="AP49" i="43" s="1"/>
  <c r="AE49" i="43"/>
  <c r="AQ453" i="43"/>
  <c r="AW453" i="43" s="1"/>
  <c r="AN384" i="43"/>
  <c r="AP408" i="43"/>
  <c r="AF409" i="43"/>
  <c r="AF415" i="43" s="1"/>
  <c r="AQ321" i="43"/>
  <c r="AF307" i="43"/>
  <c r="AF313" i="43" s="1"/>
  <c r="AF268" i="43"/>
  <c r="AF273" i="43" s="1"/>
  <c r="AQ224" i="43"/>
  <c r="AP318" i="43"/>
  <c r="AP323" i="43" s="1"/>
  <c r="AF298" i="43"/>
  <c r="AF299" i="43" s="1"/>
  <c r="AQ168" i="43"/>
  <c r="AF208" i="43"/>
  <c r="AF214" i="43" s="1"/>
  <c r="AQ151" i="43"/>
  <c r="AQ136" i="43"/>
  <c r="AF107" i="43"/>
  <c r="AF110" i="43" s="1"/>
  <c r="AQ30" i="43"/>
  <c r="AO60" i="43"/>
  <c r="AO91" i="43"/>
  <c r="AF50" i="43"/>
  <c r="AF52" i="43" s="1"/>
  <c r="AP337" i="43"/>
  <c r="AQ374" i="43"/>
  <c r="AF347" i="43"/>
  <c r="AF430" i="43"/>
  <c r="BH158" i="43"/>
  <c r="AP107" i="43"/>
  <c r="AP110" i="43" s="1"/>
  <c r="AO437" i="43"/>
  <c r="AD443" i="43"/>
  <c r="BH313" i="43"/>
  <c r="AP264" i="43"/>
  <c r="AP267" i="43" s="1"/>
  <c r="AE267" i="43"/>
  <c r="AO430" i="43"/>
  <c r="AD436" i="43"/>
  <c r="AP338" i="43"/>
  <c r="AP346" i="43" s="1"/>
  <c r="AE346" i="43"/>
  <c r="BH244" i="43"/>
  <c r="AP88" i="43"/>
  <c r="AP91" i="43" s="1"/>
  <c r="AE91" i="43"/>
  <c r="BH201" i="43"/>
  <c r="AP207" i="43"/>
  <c r="BH121" i="43"/>
  <c r="AN313" i="43"/>
  <c r="AN238" i="43"/>
  <c r="BH175" i="43"/>
  <c r="AN163" i="43"/>
  <c r="BH415" i="43"/>
  <c r="AP164" i="43"/>
  <c r="AP169" i="43" s="1"/>
  <c r="AE169" i="43"/>
  <c r="BH375" i="43"/>
  <c r="AN263" i="43"/>
  <c r="AD175" i="43"/>
  <c r="AF170" i="43"/>
  <c r="BH152" i="43"/>
  <c r="AN70" i="43"/>
  <c r="AP196" i="43"/>
  <c r="AP201" i="43" s="1"/>
  <c r="AE201" i="43"/>
  <c r="AN31" i="43"/>
  <c r="BH103" i="43"/>
  <c r="AP80" i="43"/>
  <c r="AP83" i="43" s="1"/>
  <c r="AE83" i="43"/>
  <c r="AQ197" i="43"/>
  <c r="AQ302" i="43"/>
  <c r="AQ247" i="43"/>
  <c r="AS246" i="43"/>
  <c r="AR246" i="43"/>
  <c r="AR327" i="43"/>
  <c r="AS327" i="43"/>
  <c r="AQ320" i="43"/>
  <c r="AQ242" i="43"/>
  <c r="AQ311" i="43"/>
  <c r="AS65" i="44"/>
  <c r="AR65" i="44"/>
  <c r="AR117" i="44"/>
  <c r="AS117" i="44"/>
  <c r="AR105" i="44"/>
  <c r="AS105" i="44"/>
  <c r="AS34" i="44"/>
  <c r="AR34" i="44"/>
  <c r="AS26" i="44"/>
  <c r="AR26" i="44"/>
  <c r="AQ126" i="44"/>
  <c r="AQ118" i="44"/>
  <c r="AQ114" i="44"/>
  <c r="AR115" i="44"/>
  <c r="AS115" i="44"/>
  <c r="AR69" i="44"/>
  <c r="AS69" i="44"/>
  <c r="AQ50" i="44"/>
  <c r="AS21" i="44"/>
  <c r="AR21" i="44"/>
  <c r="AQ68" i="44"/>
  <c r="AR62" i="44"/>
  <c r="AS62" i="44"/>
  <c r="AS87" i="44"/>
  <c r="AR87" i="44"/>
  <c r="AQ15" i="44"/>
  <c r="AR126" i="44"/>
  <c r="AS126" i="44"/>
  <c r="AR118" i="44"/>
  <c r="AS118" i="44"/>
  <c r="AR114" i="44"/>
  <c r="AS114" i="44"/>
  <c r="AR109" i="44"/>
  <c r="AS109" i="44"/>
  <c r="AR123" i="44"/>
  <c r="AS123" i="44"/>
  <c r="AS66" i="44"/>
  <c r="AR66" i="44"/>
  <c r="AR50" i="44"/>
  <c r="AS50" i="44"/>
  <c r="AQ55" i="44"/>
  <c r="AR83" i="44"/>
  <c r="AS83" i="44"/>
  <c r="AS44" i="44"/>
  <c r="AR44" i="44"/>
  <c r="AQ87" i="44"/>
  <c r="AS48" i="44"/>
  <c r="AR48" i="44"/>
  <c r="AS25" i="44"/>
  <c r="AR25" i="44"/>
  <c r="AS32" i="44"/>
  <c r="AR32" i="44"/>
  <c r="AS46" i="44"/>
  <c r="AR46" i="44"/>
  <c r="AS17" i="44"/>
  <c r="AR17" i="44"/>
  <c r="AR101" i="44"/>
  <c r="AS101" i="44"/>
  <c r="AS59" i="44"/>
  <c r="AR59" i="44"/>
  <c r="AS55" i="44"/>
  <c r="AR55" i="44"/>
  <c r="AS54" i="44"/>
  <c r="AR54" i="44"/>
  <c r="AR20" i="44"/>
  <c r="AS20" i="44"/>
  <c r="AS40" i="44"/>
  <c r="AR40" i="44"/>
  <c r="AS29" i="44"/>
  <c r="AR29" i="44"/>
  <c r="AS22" i="44"/>
  <c r="AR22" i="44"/>
  <c r="AR58" i="44"/>
  <c r="AS58" i="44"/>
  <c r="AR127" i="44"/>
  <c r="AS127" i="44"/>
  <c r="AQ81" i="44"/>
  <c r="AS24" i="44"/>
  <c r="AR24" i="44"/>
  <c r="AR15" i="44"/>
  <c r="AS15" i="44"/>
  <c r="AS18" i="44"/>
  <c r="AR18" i="44"/>
  <c r="AQ124" i="44"/>
  <c r="AQ120" i="44"/>
  <c r="AQ108" i="44"/>
  <c r="AS95" i="44"/>
  <c r="AR95" i="44"/>
  <c r="AR125" i="44"/>
  <c r="AS125" i="44"/>
  <c r="AR64" i="44"/>
  <c r="AS64" i="44"/>
  <c r="AS23" i="44"/>
  <c r="AR23" i="44"/>
  <c r="AS89" i="44"/>
  <c r="AR89" i="44"/>
  <c r="AS38" i="44"/>
  <c r="AR38" i="44"/>
  <c r="AS93" i="44"/>
  <c r="AR93" i="44"/>
  <c r="AR31" i="44"/>
  <c r="AS31" i="44"/>
  <c r="AS61" i="44"/>
  <c r="AR61" i="44"/>
  <c r="AS43" i="44"/>
  <c r="AR43" i="44"/>
  <c r="AS36" i="44"/>
  <c r="AR36" i="44"/>
  <c r="AR124" i="44"/>
  <c r="AS124" i="44"/>
  <c r="AR120" i="44"/>
  <c r="AS120" i="44"/>
  <c r="AR116" i="44"/>
  <c r="AS116" i="44"/>
  <c r="AR108" i="44"/>
  <c r="AS108" i="44"/>
  <c r="AR119" i="44"/>
  <c r="AS119" i="44"/>
  <c r="AQ65" i="44"/>
  <c r="AR51" i="44"/>
  <c r="AS51" i="44"/>
  <c r="AS60" i="44"/>
  <c r="AR60" i="44"/>
  <c r="AQ61" i="44"/>
  <c r="AR106" i="44"/>
  <c r="AS106" i="44"/>
  <c r="AS52" i="44"/>
  <c r="AR52" i="44"/>
  <c r="AR75" i="44"/>
  <c r="AS75" i="44"/>
  <c r="AS53" i="44"/>
  <c r="AR53" i="44"/>
  <c r="AR37" i="44"/>
  <c r="AS37" i="44"/>
  <c r="AS30" i="44"/>
  <c r="AR30" i="44"/>
  <c r="AR12" i="44"/>
  <c r="AR13" i="44" s="1"/>
  <c r="AS12" i="44"/>
  <c r="AS13" i="44" s="1"/>
  <c r="AR449" i="43"/>
  <c r="AS449" i="43"/>
  <c r="AS411" i="43"/>
  <c r="AR411" i="43"/>
  <c r="AS393" i="43"/>
  <c r="AR393" i="43"/>
  <c r="AS406" i="43"/>
  <c r="AR406" i="43"/>
  <c r="AS388" i="43"/>
  <c r="AR388" i="43"/>
  <c r="AR330" i="43"/>
  <c r="AS330" i="43"/>
  <c r="AS292" i="43"/>
  <c r="AR292" i="43"/>
  <c r="AQ282" i="43"/>
  <c r="AR236" i="43"/>
  <c r="AS236" i="43"/>
  <c r="AR218" i="43"/>
  <c r="AS218" i="43"/>
  <c r="AS276" i="43"/>
  <c r="AR276" i="43"/>
  <c r="AS229" i="43"/>
  <c r="AR229" i="43"/>
  <c r="AS301" i="43"/>
  <c r="AR301" i="43"/>
  <c r="AS234" i="43"/>
  <c r="AR234" i="43"/>
  <c r="AQ309" i="43"/>
  <c r="AS205" i="43"/>
  <c r="AR205" i="43"/>
  <c r="AQ191" i="43"/>
  <c r="AQ150" i="43"/>
  <c r="AQ138" i="43"/>
  <c r="AS191" i="43"/>
  <c r="AR191" i="43"/>
  <c r="AS216" i="43"/>
  <c r="AR216" i="43"/>
  <c r="AS194" i="43"/>
  <c r="AR194" i="43"/>
  <c r="AR137" i="43"/>
  <c r="AS137" i="43"/>
  <c r="AS130" i="43"/>
  <c r="AR130" i="43"/>
  <c r="AR116" i="43"/>
  <c r="AS116" i="43"/>
  <c r="AR129" i="43"/>
  <c r="AS129" i="43"/>
  <c r="AR123" i="43"/>
  <c r="AS123" i="43"/>
  <c r="AS33" i="43"/>
  <c r="AR33" i="43"/>
  <c r="AR102" i="43"/>
  <c r="AS102" i="43"/>
  <c r="AR93" i="43"/>
  <c r="AS93" i="43"/>
  <c r="AR136" i="43"/>
  <c r="AS136" i="43"/>
  <c r="AR101" i="43"/>
  <c r="AS101" i="43"/>
  <c r="AR120" i="43"/>
  <c r="AS120" i="43"/>
  <c r="AS74" i="43"/>
  <c r="AR74" i="43"/>
  <c r="AS65" i="43"/>
  <c r="AR65" i="43"/>
  <c r="AR446" i="43"/>
  <c r="AS446" i="43"/>
  <c r="AR454" i="43"/>
  <c r="AS454" i="43"/>
  <c r="AR432" i="43"/>
  <c r="AS432" i="43"/>
  <c r="AR413" i="43"/>
  <c r="AS413" i="43"/>
  <c r="AR407" i="43"/>
  <c r="AS407" i="43"/>
  <c r="AR389" i="43"/>
  <c r="AS389" i="43"/>
  <c r="AR383" i="43"/>
  <c r="AS383" i="43"/>
  <c r="AS403" i="43"/>
  <c r="AR403" i="43"/>
  <c r="AS373" i="43"/>
  <c r="AR373" i="43"/>
  <c r="AS367" i="43"/>
  <c r="AR367" i="43"/>
  <c r="AS349" i="43"/>
  <c r="AR349" i="43"/>
  <c r="AS356" i="43"/>
  <c r="AR356" i="43"/>
  <c r="AR328" i="43"/>
  <c r="AS328" i="43"/>
  <c r="AS291" i="43"/>
  <c r="AR291" i="43"/>
  <c r="AS255" i="43"/>
  <c r="AR255" i="43"/>
  <c r="AS225" i="43"/>
  <c r="AR225" i="43"/>
  <c r="AS286" i="43"/>
  <c r="AR286" i="43"/>
  <c r="AS275" i="43"/>
  <c r="AR275" i="43"/>
  <c r="AS262" i="43"/>
  <c r="AR262" i="43"/>
  <c r="AS243" i="43"/>
  <c r="AR243" i="43"/>
  <c r="AS212" i="43"/>
  <c r="AR212" i="43"/>
  <c r="AS264" i="43"/>
  <c r="AR264" i="43"/>
  <c r="AS265" i="43"/>
  <c r="AR265" i="43"/>
  <c r="AS198" i="43"/>
  <c r="AR198" i="43"/>
  <c r="AS294" i="43"/>
  <c r="AR294" i="43"/>
  <c r="AS366" i="43"/>
  <c r="AR366" i="43"/>
  <c r="AS183" i="43"/>
  <c r="AR183" i="43"/>
  <c r="AR177" i="43"/>
  <c r="AS177" i="43"/>
  <c r="AR171" i="43"/>
  <c r="AS171" i="43"/>
  <c r="AR165" i="43"/>
  <c r="AS165" i="43"/>
  <c r="AS187" i="43"/>
  <c r="AR187" i="43"/>
  <c r="AS204" i="43"/>
  <c r="AR204" i="43"/>
  <c r="AR148" i="43"/>
  <c r="AS148" i="43"/>
  <c r="AS128" i="43"/>
  <c r="AR128" i="43"/>
  <c r="AR113" i="43"/>
  <c r="AS113" i="43"/>
  <c r="AR98" i="43"/>
  <c r="AS98" i="43"/>
  <c r="AS61" i="43"/>
  <c r="AR61" i="43"/>
  <c r="AS66" i="43"/>
  <c r="AR66" i="43"/>
  <c r="AS57" i="43"/>
  <c r="AR57" i="43"/>
  <c r="AS48" i="43"/>
  <c r="AR48" i="43"/>
  <c r="AR97" i="43"/>
  <c r="AS97" i="43"/>
  <c r="AR88" i="43"/>
  <c r="AS88" i="43"/>
  <c r="AS45" i="43"/>
  <c r="AR45" i="43"/>
  <c r="AS34" i="43"/>
  <c r="AR34" i="43"/>
  <c r="AS15" i="43"/>
  <c r="AR15" i="43"/>
  <c r="AS417" i="43"/>
  <c r="AR417" i="43"/>
  <c r="AS405" i="43"/>
  <c r="AR405" i="43"/>
  <c r="AS387" i="43"/>
  <c r="AR387" i="43"/>
  <c r="AS421" i="43"/>
  <c r="AR421" i="43"/>
  <c r="AS400" i="43"/>
  <c r="AR400" i="43"/>
  <c r="AS382" i="43"/>
  <c r="AR382" i="43"/>
  <c r="AR331" i="43"/>
  <c r="AS331" i="43"/>
  <c r="AS368" i="43"/>
  <c r="AR368" i="43"/>
  <c r="AS254" i="43"/>
  <c r="AR254" i="43"/>
  <c r="AR230" i="43"/>
  <c r="AS230" i="43"/>
  <c r="AS321" i="43"/>
  <c r="AR321" i="43"/>
  <c r="AS256" i="43"/>
  <c r="AR256" i="43"/>
  <c r="AS223" i="43"/>
  <c r="AR223" i="43"/>
  <c r="AS209" i="43"/>
  <c r="AR209" i="43"/>
  <c r="AS241" i="43"/>
  <c r="AR241" i="43"/>
  <c r="AS228" i="43"/>
  <c r="AR228" i="43"/>
  <c r="AS316" i="43"/>
  <c r="AR316" i="43"/>
  <c r="AS280" i="43"/>
  <c r="AR280" i="43"/>
  <c r="AS312" i="43"/>
  <c r="AR312" i="43"/>
  <c r="AS199" i="43"/>
  <c r="AR199" i="43"/>
  <c r="AS295" i="43"/>
  <c r="AR295" i="43"/>
  <c r="AQ190" i="43"/>
  <c r="AS186" i="43"/>
  <c r="AR186" i="43"/>
  <c r="AR144" i="43"/>
  <c r="AS144" i="43"/>
  <c r="AS44" i="43"/>
  <c r="AR44" i="43"/>
  <c r="AR108" i="43"/>
  <c r="AS108" i="43"/>
  <c r="AR90" i="43"/>
  <c r="AS90" i="43"/>
  <c r="AS20" i="43"/>
  <c r="AR20" i="43"/>
  <c r="AS24" i="43"/>
  <c r="AR24" i="43"/>
  <c r="AS16" i="43"/>
  <c r="AR16" i="43"/>
  <c r="AS62" i="43"/>
  <c r="AR62" i="43"/>
  <c r="AS41" i="43"/>
  <c r="AR41" i="43"/>
  <c r="AR448" i="43"/>
  <c r="AS448" i="43"/>
  <c r="AS420" i="43"/>
  <c r="AR420" i="43"/>
  <c r="AR410" i="43"/>
  <c r="AS410" i="43"/>
  <c r="AR404" i="43"/>
  <c r="AS404" i="43"/>
  <c r="AR398" i="43"/>
  <c r="AS398" i="43"/>
  <c r="AR392" i="43"/>
  <c r="AS392" i="43"/>
  <c r="AR386" i="43"/>
  <c r="AS386" i="43"/>
  <c r="AR380" i="43"/>
  <c r="AS380" i="43"/>
  <c r="AS397" i="43"/>
  <c r="AR397" i="43"/>
  <c r="AS379" i="43"/>
  <c r="AR379" i="43"/>
  <c r="AS361" i="43"/>
  <c r="AR361" i="43"/>
  <c r="AS362" i="43"/>
  <c r="AR362" i="43"/>
  <c r="AS350" i="43"/>
  <c r="AR350" i="43"/>
  <c r="AS348" i="43"/>
  <c r="AR348" i="43"/>
  <c r="AS310" i="43"/>
  <c r="AR310" i="43"/>
  <c r="AS237" i="43"/>
  <c r="AR237" i="43"/>
  <c r="AS219" i="43"/>
  <c r="AR219" i="43"/>
  <c r="AS288" i="43"/>
  <c r="AR288" i="43"/>
  <c r="AS274" i="43"/>
  <c r="AR274" i="43"/>
  <c r="AS269" i="43"/>
  <c r="AR269" i="43"/>
  <c r="AS206" i="43"/>
  <c r="AR206" i="43"/>
  <c r="AS319" i="43"/>
  <c r="AR319" i="43"/>
  <c r="AS283" i="43"/>
  <c r="AR283" i="43"/>
  <c r="AS315" i="43"/>
  <c r="AR315" i="43"/>
  <c r="AQ291" i="43"/>
  <c r="AS279" i="43"/>
  <c r="AR279" i="43"/>
  <c r="AS193" i="43"/>
  <c r="AR193" i="43"/>
  <c r="AS197" i="43"/>
  <c r="AR197" i="43"/>
  <c r="AQ288" i="43"/>
  <c r="AR332" i="43"/>
  <c r="AS332" i="43"/>
  <c r="AR157" i="43"/>
  <c r="AS157" i="43"/>
  <c r="AR149" i="43"/>
  <c r="AS149" i="43"/>
  <c r="AR143" i="43"/>
  <c r="AS143" i="43"/>
  <c r="AS124" i="43"/>
  <c r="AR124" i="43"/>
  <c r="AR112" i="43"/>
  <c r="AS112" i="43"/>
  <c r="AS58" i="43"/>
  <c r="AR58" i="43"/>
  <c r="AS25" i="43"/>
  <c r="AR25" i="43"/>
  <c r="AS72" i="43"/>
  <c r="AR72" i="43"/>
  <c r="AS54" i="43"/>
  <c r="AR54" i="43"/>
  <c r="AR94" i="43"/>
  <c r="AS94" i="43"/>
  <c r="AR85" i="43"/>
  <c r="AS85" i="43"/>
  <c r="AR455" i="43"/>
  <c r="AS455" i="43"/>
  <c r="AR463" i="43"/>
  <c r="AS463" i="43"/>
  <c r="AR445" i="43"/>
  <c r="AS445" i="43"/>
  <c r="AS419" i="43"/>
  <c r="AR419" i="43"/>
  <c r="AS399" i="43"/>
  <c r="AR399" i="43"/>
  <c r="AS381" i="43"/>
  <c r="AR381" i="43"/>
  <c r="AR441" i="43"/>
  <c r="AS441" i="43"/>
  <c r="AS412" i="43"/>
  <c r="AR412" i="43"/>
  <c r="AS418" i="43"/>
  <c r="AR418" i="43"/>
  <c r="AS253" i="43"/>
  <c r="AR253" i="43"/>
  <c r="AS309" i="43"/>
  <c r="AR309" i="43"/>
  <c r="AS261" i="43"/>
  <c r="AR261" i="43"/>
  <c r="AS249" i="43"/>
  <c r="AR249" i="43"/>
  <c r="AR224" i="43"/>
  <c r="AS224" i="43"/>
  <c r="AS304" i="43"/>
  <c r="AR304" i="43"/>
  <c r="AS235" i="43"/>
  <c r="AR235" i="43"/>
  <c r="AS217" i="43"/>
  <c r="AR217" i="43"/>
  <c r="AS203" i="43"/>
  <c r="AR203" i="43"/>
  <c r="AS282" i="43"/>
  <c r="AR282" i="43"/>
  <c r="AS240" i="43"/>
  <c r="AR240" i="43"/>
  <c r="AS222" i="43"/>
  <c r="AR222" i="43"/>
  <c r="AR192" i="43"/>
  <c r="AS192" i="43"/>
  <c r="AS211" i="43"/>
  <c r="AR211" i="43"/>
  <c r="AR322" i="43"/>
  <c r="AS322" i="43"/>
  <c r="AS266" i="43"/>
  <c r="AR266" i="43"/>
  <c r="AS210" i="43"/>
  <c r="AR210" i="43"/>
  <c r="AS185" i="43"/>
  <c r="AR185" i="43"/>
  <c r="AR131" i="43"/>
  <c r="AS131" i="43"/>
  <c r="AR125" i="43"/>
  <c r="AS125" i="43"/>
  <c r="AS38" i="43"/>
  <c r="AR38" i="43"/>
  <c r="AR105" i="43"/>
  <c r="AS105" i="43"/>
  <c r="AR89" i="43"/>
  <c r="AS89" i="43"/>
  <c r="AS17" i="43"/>
  <c r="AR17" i="43"/>
  <c r="AS77" i="43"/>
  <c r="AR77" i="43"/>
  <c r="AS21" i="43"/>
  <c r="AR21" i="43"/>
  <c r="AS26" i="43"/>
  <c r="AR26" i="43"/>
  <c r="AR452" i="43"/>
  <c r="AS452" i="43"/>
  <c r="AS414" i="43"/>
  <c r="AR414" i="43"/>
  <c r="AS396" i="43"/>
  <c r="AR396" i="43"/>
  <c r="AS355" i="43"/>
  <c r="AR355" i="43"/>
  <c r="AS354" i="43"/>
  <c r="AR354" i="43"/>
  <c r="AS247" i="43"/>
  <c r="AR247" i="43"/>
  <c r="AS248" i="43"/>
  <c r="AR248" i="43"/>
  <c r="AS231" i="43"/>
  <c r="AR231" i="43"/>
  <c r="AS303" i="43"/>
  <c r="AR303" i="43"/>
  <c r="AS200" i="43"/>
  <c r="AR200" i="43"/>
  <c r="AS270" i="43"/>
  <c r="AR270" i="43"/>
  <c r="AS271" i="43"/>
  <c r="AR271" i="43"/>
  <c r="AS272" i="43"/>
  <c r="AR272" i="43"/>
  <c r="AR179" i="43"/>
  <c r="AS179" i="43"/>
  <c r="AR173" i="43"/>
  <c r="AS173" i="43"/>
  <c r="AR167" i="43"/>
  <c r="AS167" i="43"/>
  <c r="AR161" i="43"/>
  <c r="AS161" i="43"/>
  <c r="AR155" i="43"/>
  <c r="AS155" i="43"/>
  <c r="AR145" i="43"/>
  <c r="AS145" i="43"/>
  <c r="AR151" i="43"/>
  <c r="AS151" i="43"/>
  <c r="AR139" i="43"/>
  <c r="AS139" i="43"/>
  <c r="AS132" i="43"/>
  <c r="AR132" i="43"/>
  <c r="AR119" i="43"/>
  <c r="AS119" i="43"/>
  <c r="AR135" i="43"/>
  <c r="AS135" i="43"/>
  <c r="AS138" i="43"/>
  <c r="AR138" i="43"/>
  <c r="AR86" i="43"/>
  <c r="AS86" i="43"/>
  <c r="AS73" i="43"/>
  <c r="AR73" i="43"/>
  <c r="AS37" i="43"/>
  <c r="AR37" i="43"/>
  <c r="AS30" i="43"/>
  <c r="AR30" i="43"/>
  <c r="AS78" i="43"/>
  <c r="AR78" i="43"/>
  <c r="AS69" i="43"/>
  <c r="AR69" i="43"/>
  <c r="AS51" i="43"/>
  <c r="AR51" i="43"/>
  <c r="AS29" i="43"/>
  <c r="AR29" i="43"/>
  <c r="AR109" i="43"/>
  <c r="AS109" i="43"/>
  <c r="AR82" i="43"/>
  <c r="AS82" i="43"/>
  <c r="AW67" i="44" l="1"/>
  <c r="AR19" i="43"/>
  <c r="AW336" i="43"/>
  <c r="AW80" i="44"/>
  <c r="AW33" i="44"/>
  <c r="AW27" i="44"/>
  <c r="AW154" i="43"/>
  <c r="AS378" i="43"/>
  <c r="AS384" i="43" s="1"/>
  <c r="AF103" i="43"/>
  <c r="AR196" i="43"/>
  <c r="AR201" i="43" s="1"/>
  <c r="AW433" i="43"/>
  <c r="AS458" i="43"/>
  <c r="AS460" i="43" s="1"/>
  <c r="AW242" i="43"/>
  <c r="AW439" i="43"/>
  <c r="AW357" i="43"/>
  <c r="AF457" i="43"/>
  <c r="AR159" i="43"/>
  <c r="AW159" i="43" s="1"/>
  <c r="AW426" i="43"/>
  <c r="AF220" i="43"/>
  <c r="AW305" i="43"/>
  <c r="AW442" i="43"/>
  <c r="AR278" i="43"/>
  <c r="AR284" i="43" s="1"/>
  <c r="AF163" i="43"/>
  <c r="AW438" i="43"/>
  <c r="AW68" i="44"/>
  <c r="AQ93" i="44"/>
  <c r="AQ98" i="44" s="1"/>
  <c r="AW81" i="44"/>
  <c r="AW91" i="44"/>
  <c r="AW100" i="44"/>
  <c r="AW45" i="44"/>
  <c r="AW86" i="44"/>
  <c r="AW96" i="44"/>
  <c r="AS78" i="44"/>
  <c r="AW78" i="44" s="1"/>
  <c r="AW76" i="44"/>
  <c r="AW97" i="44"/>
  <c r="AW47" i="44"/>
  <c r="AQ92" i="44"/>
  <c r="AS92" i="44"/>
  <c r="AR103" i="44"/>
  <c r="AR104" i="44" s="1"/>
  <c r="AQ103" i="44"/>
  <c r="AQ104" i="44" s="1"/>
  <c r="AW90" i="44"/>
  <c r="AW41" i="44"/>
  <c r="AW74" i="44"/>
  <c r="AS111" i="44"/>
  <c r="AS112" i="44" s="1"/>
  <c r="AF19" i="44"/>
  <c r="AR111" i="44"/>
  <c r="AR112" i="44" s="1"/>
  <c r="AR14" i="44"/>
  <c r="AR19" i="44" s="1"/>
  <c r="AW79" i="44"/>
  <c r="AR57" i="44"/>
  <c r="AR63" i="44" s="1"/>
  <c r="AS57" i="44"/>
  <c r="AS63" i="44" s="1"/>
  <c r="AS122" i="44"/>
  <c r="AS128" i="44" s="1"/>
  <c r="AF128" i="44"/>
  <c r="AQ102" i="44"/>
  <c r="AS103" i="44"/>
  <c r="AS104" i="44" s="1"/>
  <c r="AW425" i="43"/>
  <c r="AW340" i="43"/>
  <c r="AS111" i="43"/>
  <c r="AS114" i="43" s="1"/>
  <c r="AW428" i="43"/>
  <c r="AR111" i="43"/>
  <c r="AR114" i="43" s="1"/>
  <c r="AR118" i="43"/>
  <c r="AR121" i="43" s="1"/>
  <c r="AR60" i="43"/>
  <c r="AR63" i="43" s="1"/>
  <c r="AO460" i="43"/>
  <c r="AS451" i="43"/>
  <c r="AS457" i="43" s="1"/>
  <c r="AR215" i="43"/>
  <c r="AR220" i="43" s="1"/>
  <c r="AR134" i="43"/>
  <c r="AR140" i="43" s="1"/>
  <c r="AW142" i="43"/>
  <c r="AW174" i="43"/>
  <c r="AW345" i="43"/>
  <c r="AW166" i="43"/>
  <c r="AW386" i="43"/>
  <c r="AS385" i="43"/>
  <c r="AS390" i="43" s="1"/>
  <c r="AW431" i="43"/>
  <c r="AR96" i="43"/>
  <c r="AR99" i="43" s="1"/>
  <c r="AS278" i="43"/>
  <c r="AS284" i="43" s="1"/>
  <c r="AW434" i="43"/>
  <c r="AS36" i="43"/>
  <c r="AS39" i="43" s="1"/>
  <c r="AS141" i="43"/>
  <c r="AS146" i="43" s="1"/>
  <c r="AS104" i="43"/>
  <c r="AS106" i="43" s="1"/>
  <c r="AR141" i="43"/>
  <c r="AR146" i="43" s="1"/>
  <c r="AW156" i="43"/>
  <c r="AW351" i="43"/>
  <c r="AW369" i="43"/>
  <c r="AW447" i="43"/>
  <c r="AR104" i="43"/>
  <c r="AR106" i="43" s="1"/>
  <c r="AS134" i="43"/>
  <c r="AS140" i="43" s="1"/>
  <c r="AS118" i="43"/>
  <c r="AS121" i="43" s="1"/>
  <c r="AR385" i="43"/>
  <c r="AR390" i="43" s="1"/>
  <c r="AR47" i="43"/>
  <c r="AR49" i="43" s="1"/>
  <c r="AS260" i="43"/>
  <c r="AS263" i="43" s="1"/>
  <c r="AR318" i="43"/>
  <c r="AR323" i="43" s="1"/>
  <c r="AF250" i="43"/>
  <c r="AW344" i="43"/>
  <c r="AW456" i="43"/>
  <c r="AW213" i="43"/>
  <c r="AS318" i="43"/>
  <c r="AS323" i="43" s="1"/>
  <c r="AF181" i="43"/>
  <c r="AR460" i="43"/>
  <c r="AR53" i="43"/>
  <c r="AR55" i="43" s="1"/>
  <c r="AR326" i="43"/>
  <c r="AR329" i="43" s="1"/>
  <c r="AW462" i="43"/>
  <c r="AR64" i="43"/>
  <c r="AR67" i="43" s="1"/>
  <c r="AS53" i="43"/>
  <c r="AS55" i="43" s="1"/>
  <c r="AW256" i="43"/>
  <c r="AQ100" i="43"/>
  <c r="AQ103" i="43" s="1"/>
  <c r="AW160" i="43"/>
  <c r="AF460" i="43"/>
  <c r="AQ215" i="43"/>
  <c r="AQ220" i="43" s="1"/>
  <c r="AW341" i="43"/>
  <c r="AS298" i="43"/>
  <c r="AS299" i="43" s="1"/>
  <c r="AR115" i="43"/>
  <c r="AR117" i="43" s="1"/>
  <c r="AW374" i="43"/>
  <c r="AR298" i="43"/>
  <c r="AR299" i="43" s="1"/>
  <c r="AS115" i="43"/>
  <c r="AS117" i="43" s="1"/>
  <c r="AS100" i="43"/>
  <c r="AS103" i="43" s="1"/>
  <c r="AR307" i="43"/>
  <c r="AR313" i="43" s="1"/>
  <c r="AR251" i="43"/>
  <c r="AR257" i="43" s="1"/>
  <c r="AQ318" i="43"/>
  <c r="AQ323" i="43" s="1"/>
  <c r="AW168" i="43"/>
  <c r="AS307" i="43"/>
  <c r="AS313" i="43" s="1"/>
  <c r="AR378" i="43"/>
  <c r="AR384" i="43" s="1"/>
  <c r="AW150" i="43"/>
  <c r="AS251" i="43"/>
  <c r="AS257" i="43" s="1"/>
  <c r="AS196" i="43"/>
  <c r="AS201" i="43" s="1"/>
  <c r="AR176" i="43"/>
  <c r="AR181" i="43" s="1"/>
  <c r="AQ227" i="43"/>
  <c r="AQ232" i="43" s="1"/>
  <c r="AS56" i="43"/>
  <c r="AS59" i="43" s="1"/>
  <c r="AW370" i="43"/>
  <c r="AW339" i="43"/>
  <c r="AR245" i="43"/>
  <c r="AR250" i="43" s="1"/>
  <c r="AS153" i="43"/>
  <c r="AS158" i="43" s="1"/>
  <c r="AR260" i="43"/>
  <c r="AR263" i="43" s="1"/>
  <c r="AR153" i="43"/>
  <c r="AR158" i="43" s="1"/>
  <c r="AQ402" i="43"/>
  <c r="AQ408" i="43" s="1"/>
  <c r="AW459" i="43"/>
  <c r="AW81" i="43"/>
  <c r="BI81" i="43" s="1"/>
  <c r="AW366" i="43"/>
  <c r="AW39" i="44"/>
  <c r="AW109" i="44"/>
  <c r="AS113" i="44"/>
  <c r="AS121" i="44" s="1"/>
  <c r="AW94" i="44"/>
  <c r="AR113" i="44"/>
  <c r="AR121" i="44" s="1"/>
  <c r="AW72" i="44"/>
  <c r="AW125" i="44"/>
  <c r="AW16" i="44"/>
  <c r="AS239" i="43"/>
  <c r="AS244" i="43" s="1"/>
  <c r="AS461" i="43"/>
  <c r="AS464" i="43" s="1"/>
  <c r="AR300" i="43"/>
  <c r="AR306" i="43" s="1"/>
  <c r="AF422" i="43"/>
  <c r="AR461" i="43"/>
  <c r="AR464" i="43" s="1"/>
  <c r="AS268" i="43"/>
  <c r="AS273" i="43" s="1"/>
  <c r="AS107" i="43"/>
  <c r="AS110" i="43" s="1"/>
  <c r="AW404" i="43"/>
  <c r="AS326" i="43"/>
  <c r="AS329" i="43" s="1"/>
  <c r="AS416" i="43"/>
  <c r="AQ416" i="43"/>
  <c r="AQ422" i="43" s="1"/>
  <c r="AQ23" i="43"/>
  <c r="AQ27" i="43" s="1"/>
  <c r="AR107" i="43"/>
  <c r="AR110" i="43" s="1"/>
  <c r="AS300" i="43"/>
  <c r="AS306" i="43" s="1"/>
  <c r="AS47" i="43"/>
  <c r="AS49" i="43" s="1"/>
  <c r="AF375" i="43"/>
  <c r="AQ460" i="43"/>
  <c r="AR375" i="43"/>
  <c r="AW172" i="43"/>
  <c r="AQ104" i="43"/>
  <c r="AQ106" i="43" s="1"/>
  <c r="AR268" i="43"/>
  <c r="AR273" i="43" s="1"/>
  <c r="AQ182" i="43"/>
  <c r="AQ188" i="43" s="1"/>
  <c r="AW335" i="43"/>
  <c r="AW292" i="43"/>
  <c r="AW380" i="43"/>
  <c r="AW241" i="43"/>
  <c r="AQ202" i="43"/>
  <c r="AQ207" i="43" s="1"/>
  <c r="AW449" i="43"/>
  <c r="AQ208" i="43"/>
  <c r="AQ214" i="43" s="1"/>
  <c r="AW77" i="43"/>
  <c r="AR14" i="43"/>
  <c r="AR18" i="43" s="1"/>
  <c r="AW144" i="43"/>
  <c r="AW228" i="43"/>
  <c r="AW120" i="43"/>
  <c r="AW93" i="43"/>
  <c r="AW130" i="43"/>
  <c r="AW216" i="43"/>
  <c r="AQ118" i="43"/>
  <c r="AQ121" i="43" s="1"/>
  <c r="AS14" i="43"/>
  <c r="AS18" i="43" s="1"/>
  <c r="AR202" i="43"/>
  <c r="AR207" i="43" s="1"/>
  <c r="AR402" i="43"/>
  <c r="AS208" i="43"/>
  <c r="AS214" i="43" s="1"/>
  <c r="AQ221" i="43"/>
  <c r="AQ226" i="43" s="1"/>
  <c r="AF207" i="43"/>
  <c r="AS402" i="43"/>
  <c r="AS408" i="43" s="1"/>
  <c r="AS40" i="43"/>
  <c r="AS42" i="43" s="1"/>
  <c r="AW446" i="43"/>
  <c r="AS127" i="43"/>
  <c r="AS133" i="43" s="1"/>
  <c r="AS64" i="43"/>
  <c r="AS67" i="43" s="1"/>
  <c r="AR391" i="43"/>
  <c r="AR394" i="43" s="1"/>
  <c r="AR227" i="43"/>
  <c r="AW180" i="43"/>
  <c r="AF70" i="43"/>
  <c r="AS80" i="43"/>
  <c r="AS83" i="43" s="1"/>
  <c r="AR71" i="43"/>
  <c r="AR75" i="43" s="1"/>
  <c r="AS227" i="43"/>
  <c r="AS232" i="43" s="1"/>
  <c r="AP27" i="43"/>
  <c r="AR68" i="43"/>
  <c r="AR70" i="43" s="1"/>
  <c r="AS71" i="43"/>
  <c r="AS75" i="43" s="1"/>
  <c r="AS324" i="43"/>
  <c r="AS325" i="43" s="1"/>
  <c r="AW224" i="43"/>
  <c r="AO121" i="43"/>
  <c r="AW452" i="43"/>
  <c r="AR76" i="43"/>
  <c r="AR79" i="43" s="1"/>
  <c r="AW315" i="43"/>
  <c r="AW362" i="43"/>
  <c r="AR324" i="43"/>
  <c r="AR325" i="43" s="1"/>
  <c r="AW33" i="43"/>
  <c r="AW116" i="43"/>
  <c r="AW194" i="43"/>
  <c r="AW320" i="43"/>
  <c r="AF244" i="43"/>
  <c r="AQ360" i="43"/>
  <c r="AQ364" i="43" s="1"/>
  <c r="AW342" i="43"/>
  <c r="AW358" i="43"/>
  <c r="AS76" i="43"/>
  <c r="AS79" i="43" s="1"/>
  <c r="AR40" i="43"/>
  <c r="AR42" i="43" s="1"/>
  <c r="AW275" i="43"/>
  <c r="AW255" i="43"/>
  <c r="AW356" i="43"/>
  <c r="AS92" i="43"/>
  <c r="AS95" i="43" s="1"/>
  <c r="AR23" i="43"/>
  <c r="AR27" i="43" s="1"/>
  <c r="AW413" i="43"/>
  <c r="AQ278" i="43"/>
  <c r="AQ284" i="43" s="1"/>
  <c r="AW363" i="43"/>
  <c r="AF39" i="43"/>
  <c r="AW276" i="43"/>
  <c r="AQ258" i="43"/>
  <c r="AQ259" i="43" s="1"/>
  <c r="AR92" i="43"/>
  <c r="AR95" i="43" s="1"/>
  <c r="AR221" i="43"/>
  <c r="AR226" i="43" s="1"/>
  <c r="AW291" i="43"/>
  <c r="AS23" i="43"/>
  <c r="AS27" i="43" s="1"/>
  <c r="AW435" i="43"/>
  <c r="AW21" i="43"/>
  <c r="AW301" i="43"/>
  <c r="AW440" i="43"/>
  <c r="AQ36" i="43"/>
  <c r="AQ39" i="43" s="1"/>
  <c r="AW200" i="43"/>
  <c r="AS221" i="43"/>
  <c r="AS226" i="43" s="1"/>
  <c r="AS277" i="43"/>
  <c r="AW265" i="43"/>
  <c r="AW234" i="43"/>
  <c r="AW212" i="43"/>
  <c r="AQ461" i="43"/>
  <c r="AQ464" i="43" s="1"/>
  <c r="AW124" i="43"/>
  <c r="AW230" i="43"/>
  <c r="AW368" i="43"/>
  <c r="AW405" i="43"/>
  <c r="AR56" i="43"/>
  <c r="AR59" i="43" s="1"/>
  <c r="AQ113" i="44"/>
  <c r="AQ121" i="44" s="1"/>
  <c r="AP19" i="44"/>
  <c r="AQ57" i="44"/>
  <c r="AW115" i="44"/>
  <c r="AW48" i="44"/>
  <c r="AW44" i="44"/>
  <c r="AQ122" i="44"/>
  <c r="AS70" i="44"/>
  <c r="AO110" i="44"/>
  <c r="AR84" i="44"/>
  <c r="AW18" i="44"/>
  <c r="AW17" i="44"/>
  <c r="AQ49" i="44"/>
  <c r="AW59" i="44"/>
  <c r="AR107" i="44"/>
  <c r="AR110" i="44" s="1"/>
  <c r="AF84" i="44"/>
  <c r="AW117" i="44"/>
  <c r="AP84" i="44"/>
  <c r="AW53" i="44"/>
  <c r="AS107" i="44"/>
  <c r="AS110" i="44" s="1"/>
  <c r="AW30" i="44"/>
  <c r="AW24" i="44"/>
  <c r="AW99" i="44"/>
  <c r="AW95" i="44"/>
  <c r="AW82" i="44"/>
  <c r="AW128" i="43"/>
  <c r="AR147" i="43"/>
  <c r="AR152" i="43" s="1"/>
  <c r="AS395" i="43"/>
  <c r="AS401" i="43" s="1"/>
  <c r="AW129" i="43"/>
  <c r="AW137" i="43"/>
  <c r="AW236" i="43"/>
  <c r="AQ251" i="43"/>
  <c r="AQ163" i="43"/>
  <c r="AW296" i="43"/>
  <c r="AW51" i="43"/>
  <c r="AW151" i="43"/>
  <c r="AW381" i="43"/>
  <c r="AW72" i="43"/>
  <c r="AW205" i="43"/>
  <c r="AO232" i="43"/>
  <c r="AQ353" i="43"/>
  <c r="AQ359" i="43" s="1"/>
  <c r="AR50" i="43"/>
  <c r="AR52" i="43" s="1"/>
  <c r="AR285" i="43"/>
  <c r="AR289" i="43" s="1"/>
  <c r="AW109" i="43"/>
  <c r="AS50" i="43"/>
  <c r="AS52" i="43" s="1"/>
  <c r="AW16" i="43"/>
  <c r="AW321" i="43"/>
  <c r="AW177" i="43"/>
  <c r="AW247" i="43"/>
  <c r="AW414" i="43"/>
  <c r="AW17" i="43"/>
  <c r="AS96" i="43"/>
  <c r="AS99" i="43" s="1"/>
  <c r="AR80" i="43"/>
  <c r="AR83" i="43" s="1"/>
  <c r="AW240" i="43"/>
  <c r="AW203" i="43"/>
  <c r="AW193" i="43"/>
  <c r="AW279" i="43"/>
  <c r="AW65" i="43"/>
  <c r="AQ300" i="43"/>
  <c r="AQ306" i="43" s="1"/>
  <c r="AW424" i="43"/>
  <c r="AW343" i="43"/>
  <c r="AW463" i="43"/>
  <c r="AR127" i="43"/>
  <c r="AR133" i="43" s="1"/>
  <c r="AQ111" i="43"/>
  <c r="AQ114" i="43" s="1"/>
  <c r="AR423" i="43"/>
  <c r="AR429" i="43" s="1"/>
  <c r="AQ47" i="43"/>
  <c r="AQ49" i="43" s="1"/>
  <c r="AF238" i="43"/>
  <c r="AW29" i="43"/>
  <c r="AW139" i="43"/>
  <c r="AW25" i="43"/>
  <c r="AW332" i="43"/>
  <c r="AW348" i="43"/>
  <c r="AW48" i="43"/>
  <c r="AW407" i="43"/>
  <c r="AW136" i="43"/>
  <c r="AW311" i="43"/>
  <c r="AF35" i="43"/>
  <c r="AQ28" i="43"/>
  <c r="AQ31" i="43" s="1"/>
  <c r="AW225" i="43"/>
  <c r="AW78" i="43"/>
  <c r="AR233" i="43"/>
  <c r="AW204" i="43"/>
  <c r="AW294" i="43"/>
  <c r="AW246" i="43"/>
  <c r="AW302" i="43"/>
  <c r="AO39" i="43"/>
  <c r="AS423" i="43"/>
  <c r="AS429" i="43" s="1"/>
  <c r="AO163" i="43"/>
  <c r="AW281" i="43"/>
  <c r="AW58" i="43"/>
  <c r="AW90" i="43"/>
  <c r="AW44" i="43"/>
  <c r="AW102" i="43"/>
  <c r="AS372" i="43"/>
  <c r="AS375" i="43" s="1"/>
  <c r="AR290" i="43"/>
  <c r="AR297" i="43" s="1"/>
  <c r="AS290" i="43"/>
  <c r="AS297" i="43" s="1"/>
  <c r="AW30" i="43"/>
  <c r="AW412" i="43"/>
  <c r="AW112" i="43"/>
  <c r="AW421" i="43"/>
  <c r="AW417" i="43"/>
  <c r="AW45" i="43"/>
  <c r="AS147" i="43"/>
  <c r="AS152" i="43" s="1"/>
  <c r="AW183" i="43"/>
  <c r="AW198" i="43"/>
  <c r="AW262" i="43"/>
  <c r="AW328" i="43"/>
  <c r="AR208" i="43"/>
  <c r="AF401" i="43"/>
  <c r="AW293" i="43"/>
  <c r="AS60" i="43"/>
  <c r="AS63" i="43" s="1"/>
  <c r="AW455" i="43"/>
  <c r="AW82" i="43"/>
  <c r="AR43" i="43"/>
  <c r="AR46" i="43" s="1"/>
  <c r="AS391" i="43"/>
  <c r="AS394" i="43" s="1"/>
  <c r="AR122" i="43"/>
  <c r="AR126" i="43" s="1"/>
  <c r="AW266" i="43"/>
  <c r="AW143" i="43"/>
  <c r="AW24" i="43"/>
  <c r="AW148" i="43"/>
  <c r="AW171" i="43"/>
  <c r="AW432" i="43"/>
  <c r="AW74" i="43"/>
  <c r="AW101" i="43"/>
  <c r="AW327" i="43"/>
  <c r="AQ239" i="43"/>
  <c r="AF22" i="43"/>
  <c r="AQ96" i="43"/>
  <c r="AQ99" i="43" s="1"/>
  <c r="AQ147" i="43"/>
  <c r="AQ152" i="43" s="1"/>
  <c r="AS43" i="43"/>
  <c r="AS46" i="43" s="1"/>
  <c r="AW26" i="43"/>
  <c r="AS70" i="43"/>
  <c r="AS122" i="43"/>
  <c r="AS126" i="43" s="1"/>
  <c r="AW185" i="43"/>
  <c r="AW322" i="43"/>
  <c r="AW361" i="43"/>
  <c r="AW448" i="43"/>
  <c r="AW286" i="43"/>
  <c r="AQ43" i="43"/>
  <c r="AQ46" i="43" s="1"/>
  <c r="AQ92" i="43"/>
  <c r="AQ95" i="43" s="1"/>
  <c r="AS338" i="43"/>
  <c r="AS346" i="43" s="1"/>
  <c r="AW420" i="43"/>
  <c r="AW98" i="43"/>
  <c r="AW105" i="43"/>
  <c r="AW217" i="43"/>
  <c r="AS376" i="43"/>
  <c r="AS377" i="43" s="1"/>
  <c r="AW62" i="43"/>
  <c r="AW190" i="43"/>
  <c r="AS163" i="43"/>
  <c r="AW383" i="43"/>
  <c r="AW454" i="43"/>
  <c r="AR32" i="43"/>
  <c r="AR35" i="43" s="1"/>
  <c r="AQ68" i="43"/>
  <c r="AQ14" i="43"/>
  <c r="AQ18" i="43" s="1"/>
  <c r="AR338" i="43"/>
  <c r="AR346" i="43" s="1"/>
  <c r="AW396" i="43"/>
  <c r="AW211" i="43"/>
  <c r="AR376" i="43"/>
  <c r="AR377" i="43" s="1"/>
  <c r="AW157" i="43"/>
  <c r="AW197" i="43"/>
  <c r="AW350" i="43"/>
  <c r="AW20" i="43"/>
  <c r="AW295" i="43"/>
  <c r="AW209" i="43"/>
  <c r="AW97" i="43"/>
  <c r="AQ298" i="43"/>
  <c r="AQ299" i="43" s="1"/>
  <c r="AW252" i="43"/>
  <c r="AQ264" i="43"/>
  <c r="AQ267" i="43" s="1"/>
  <c r="AQ189" i="43"/>
  <c r="AQ195" i="43" s="1"/>
  <c r="AQ71" i="43"/>
  <c r="AQ75" i="43" s="1"/>
  <c r="AQ134" i="43"/>
  <c r="AW52" i="44"/>
  <c r="AR49" i="44"/>
  <c r="AS19" i="44"/>
  <c r="AW21" i="44"/>
  <c r="AQ42" i="44"/>
  <c r="AR56" i="44"/>
  <c r="AS77" i="44"/>
  <c r="AR98" i="44"/>
  <c r="AW23" i="44"/>
  <c r="AQ29" i="44"/>
  <c r="AQ35" i="44" s="1"/>
  <c r="AR77" i="44"/>
  <c r="AW37" i="44"/>
  <c r="AW61" i="44"/>
  <c r="AW51" i="44"/>
  <c r="AW119" i="44"/>
  <c r="AS49" i="44"/>
  <c r="AW38" i="44"/>
  <c r="AW64" i="44"/>
  <c r="AR70" i="44"/>
  <c r="AS28" i="44"/>
  <c r="AW25" i="44"/>
  <c r="AW66" i="44"/>
  <c r="AQ56" i="44"/>
  <c r="AW26" i="44"/>
  <c r="AQ70" i="44"/>
  <c r="AW89" i="44"/>
  <c r="AR92" i="44"/>
  <c r="AR28" i="44"/>
  <c r="AR128" i="44"/>
  <c r="AR88" i="44"/>
  <c r="AR102" i="44"/>
  <c r="AW43" i="44"/>
  <c r="AW127" i="44"/>
  <c r="AR35" i="44"/>
  <c r="AW54" i="44"/>
  <c r="AW46" i="44"/>
  <c r="AW83" i="44"/>
  <c r="AS88" i="44"/>
  <c r="AQ19" i="44"/>
  <c r="AW36" i="44"/>
  <c r="AR42" i="44"/>
  <c r="AS35" i="44"/>
  <c r="AW55" i="44"/>
  <c r="AQ28" i="44"/>
  <c r="AQ84" i="44"/>
  <c r="AQ110" i="44"/>
  <c r="AQ88" i="44"/>
  <c r="AW116" i="44"/>
  <c r="AS42" i="44"/>
  <c r="AS98" i="44"/>
  <c r="AW58" i="44"/>
  <c r="AW40" i="44"/>
  <c r="AW101" i="44"/>
  <c r="AW32" i="44"/>
  <c r="AS56" i="44"/>
  <c r="AW105" i="44"/>
  <c r="AW73" i="44"/>
  <c r="AS102" i="44"/>
  <c r="AQ71" i="44"/>
  <c r="AO77" i="44"/>
  <c r="AW12" i="44"/>
  <c r="AW13" i="44" s="1"/>
  <c r="AW106" i="44"/>
  <c r="AW60" i="44"/>
  <c r="AW75" i="44"/>
  <c r="AW31" i="44"/>
  <c r="AW123" i="44"/>
  <c r="AW85" i="44"/>
  <c r="AW69" i="44"/>
  <c r="AW34" i="44"/>
  <c r="AW108" i="44"/>
  <c r="AW22" i="44"/>
  <c r="AW20" i="44"/>
  <c r="AW62" i="44"/>
  <c r="AF450" i="43"/>
  <c r="AR444" i="43"/>
  <c r="AR450" i="43" s="1"/>
  <c r="AS444" i="43"/>
  <c r="AS450" i="43" s="1"/>
  <c r="AQ127" i="43"/>
  <c r="AQ133" i="43" s="1"/>
  <c r="AO133" i="43"/>
  <c r="AS182" i="43"/>
  <c r="AS188" i="43" s="1"/>
  <c r="AF188" i="43"/>
  <c r="AR182" i="43"/>
  <c r="AR188" i="43" s="1"/>
  <c r="AF317" i="43"/>
  <c r="AS314" i="43"/>
  <c r="AS317" i="43" s="1"/>
  <c r="AR314" i="43"/>
  <c r="AQ233" i="43"/>
  <c r="AQ238" i="43" s="1"/>
  <c r="AW132" i="43"/>
  <c r="AW145" i="43"/>
  <c r="AW167" i="43"/>
  <c r="AW272" i="43"/>
  <c r="AW248" i="43"/>
  <c r="AW131" i="43"/>
  <c r="AW304" i="43"/>
  <c r="AW261" i="43"/>
  <c r="AW253" i="43"/>
  <c r="AW445" i="43"/>
  <c r="AW283" i="43"/>
  <c r="AW269" i="43"/>
  <c r="AW310" i="43"/>
  <c r="AW398" i="43"/>
  <c r="AW108" i="43"/>
  <c r="AS285" i="43"/>
  <c r="AS289" i="43" s="1"/>
  <c r="AR457" i="43"/>
  <c r="AW15" i="43"/>
  <c r="AS333" i="43"/>
  <c r="AW406" i="43"/>
  <c r="AS170" i="43"/>
  <c r="AS175" i="43" s="1"/>
  <c r="AF175" i="43"/>
  <c r="AR170" i="43"/>
  <c r="AR175" i="43" s="1"/>
  <c r="AQ122" i="43"/>
  <c r="AO337" i="43"/>
  <c r="AQ334" i="43"/>
  <c r="AQ53" i="43"/>
  <c r="AQ55" i="43" s="1"/>
  <c r="AQ170" i="43"/>
  <c r="AQ268" i="43"/>
  <c r="AQ273" i="43" s="1"/>
  <c r="AO273" i="43"/>
  <c r="AQ326" i="43"/>
  <c r="AO329" i="43"/>
  <c r="AQ395" i="43"/>
  <c r="AQ401" i="43" s="1"/>
  <c r="AO375" i="43"/>
  <c r="AQ372" i="43"/>
  <c r="AO450" i="43"/>
  <c r="AQ444" i="43"/>
  <c r="AQ285" i="43"/>
  <c r="AO289" i="43"/>
  <c r="AQ40" i="43"/>
  <c r="AO42" i="43"/>
  <c r="AQ164" i="43"/>
  <c r="AQ378" i="43"/>
  <c r="AQ384" i="43" s="1"/>
  <c r="AQ451" i="43"/>
  <c r="AQ457" i="43" s="1"/>
  <c r="AQ290" i="43"/>
  <c r="AQ107" i="43"/>
  <c r="AQ110" i="43" s="1"/>
  <c r="AW69" i="43"/>
  <c r="AW354" i="43"/>
  <c r="AW418" i="43"/>
  <c r="AW399" i="43"/>
  <c r="AR39" i="43"/>
  <c r="AS250" i="43"/>
  <c r="AW123" i="43"/>
  <c r="AR333" i="43"/>
  <c r="AO443" i="43"/>
  <c r="AQ437" i="43"/>
  <c r="AF436" i="43"/>
  <c r="AR430" i="43"/>
  <c r="AR436" i="43" s="1"/>
  <c r="AS430" i="43"/>
  <c r="AS436" i="43" s="1"/>
  <c r="AF337" i="43"/>
  <c r="AS334" i="43"/>
  <c r="AS337" i="43" s="1"/>
  <c r="AR334" i="43"/>
  <c r="AR337" i="43" s="1"/>
  <c r="AQ80" i="43"/>
  <c r="AQ83" i="43" s="1"/>
  <c r="AO83" i="43"/>
  <c r="AQ307" i="43"/>
  <c r="AQ313" i="43" s="1"/>
  <c r="AO313" i="43"/>
  <c r="AS164" i="43"/>
  <c r="AS169" i="43" s="1"/>
  <c r="AF169" i="43"/>
  <c r="AR164" i="43"/>
  <c r="AR169" i="43" s="1"/>
  <c r="AQ260" i="43"/>
  <c r="AQ263" i="43" s="1"/>
  <c r="AP263" i="43"/>
  <c r="AQ56" i="43"/>
  <c r="AO429" i="43"/>
  <c r="AQ423" i="43"/>
  <c r="AQ429" i="43" s="1"/>
  <c r="AQ76" i="43"/>
  <c r="AQ79" i="43" s="1"/>
  <c r="AO79" i="43"/>
  <c r="AQ141" i="43"/>
  <c r="AQ146" i="43" s="1"/>
  <c r="AQ176" i="43"/>
  <c r="AO181" i="43"/>
  <c r="AQ376" i="43"/>
  <c r="AQ377" i="43" s="1"/>
  <c r="AQ115" i="43"/>
  <c r="AQ117" i="43" s="1"/>
  <c r="AQ245" i="43"/>
  <c r="AQ250" i="43" s="1"/>
  <c r="AW73" i="43"/>
  <c r="AW155" i="43"/>
  <c r="AW173" i="43"/>
  <c r="AW270" i="43"/>
  <c r="AW303" i="43"/>
  <c r="AS207" i="43"/>
  <c r="AW94" i="43"/>
  <c r="AW219" i="43"/>
  <c r="AW199" i="43"/>
  <c r="AW280" i="43"/>
  <c r="AW223" i="43"/>
  <c r="AS91" i="43"/>
  <c r="AW165" i="43"/>
  <c r="AW349" i="43"/>
  <c r="AW389" i="43"/>
  <c r="AR422" i="43"/>
  <c r="AW393" i="43"/>
  <c r="AO436" i="43"/>
  <c r="AQ430" i="43"/>
  <c r="AQ64" i="43"/>
  <c r="AQ67" i="43" s="1"/>
  <c r="AO415" i="43"/>
  <c r="AQ409" i="43"/>
  <c r="AQ415" i="43" s="1"/>
  <c r="AO394" i="43"/>
  <c r="AQ391" i="43"/>
  <c r="AQ394" i="43" s="1"/>
  <c r="AW184" i="43"/>
  <c r="AQ365" i="43"/>
  <c r="AO371" i="43"/>
  <c r="AQ19" i="43"/>
  <c r="AQ274" i="43"/>
  <c r="AQ277" i="43" s="1"/>
  <c r="AO352" i="43"/>
  <c r="AQ347" i="43"/>
  <c r="AQ352" i="43" s="1"/>
  <c r="AO390" i="43"/>
  <c r="AQ385" i="43"/>
  <c r="AQ390" i="43" s="1"/>
  <c r="AQ196" i="43"/>
  <c r="AQ201" i="43" s="1"/>
  <c r="AO201" i="43"/>
  <c r="AR401" i="43"/>
  <c r="AR103" i="43"/>
  <c r="AS238" i="43"/>
  <c r="AR409" i="43"/>
  <c r="AR28" i="43"/>
  <c r="AR244" i="43"/>
  <c r="AR277" i="43"/>
  <c r="AR360" i="43"/>
  <c r="AR91" i="43"/>
  <c r="AR267" i="43"/>
  <c r="AR22" i="43"/>
  <c r="AS84" i="43"/>
  <c r="AS87" i="43" s="1"/>
  <c r="AF352" i="43"/>
  <c r="AR347" i="43"/>
  <c r="AR352" i="43" s="1"/>
  <c r="AS347" i="43"/>
  <c r="AQ88" i="43"/>
  <c r="AQ60" i="43"/>
  <c r="AQ63" i="43" s="1"/>
  <c r="AO63" i="43"/>
  <c r="AO346" i="43"/>
  <c r="AQ338" i="43"/>
  <c r="AS181" i="43"/>
  <c r="AQ314" i="43"/>
  <c r="AQ317" i="43" s="1"/>
  <c r="AO317" i="43"/>
  <c r="AF259" i="43"/>
  <c r="AS258" i="43"/>
  <c r="AS259" i="43" s="1"/>
  <c r="AR258" i="43"/>
  <c r="AR259" i="43" s="1"/>
  <c r="AQ153" i="43"/>
  <c r="AQ158" i="43" s="1"/>
  <c r="AQ330" i="43"/>
  <c r="AQ333" i="43" s="1"/>
  <c r="AQ50" i="43"/>
  <c r="AQ52" i="43" s="1"/>
  <c r="AW37" i="43"/>
  <c r="AW161" i="43"/>
  <c r="AW179" i="43"/>
  <c r="AW271" i="43"/>
  <c r="AW231" i="43"/>
  <c r="AS409" i="43"/>
  <c r="AS415" i="43" s="1"/>
  <c r="AW89" i="43"/>
  <c r="AW125" i="43"/>
  <c r="AW222" i="43"/>
  <c r="AW235" i="43"/>
  <c r="AW249" i="43"/>
  <c r="AW441" i="43"/>
  <c r="AS28" i="43"/>
  <c r="AS31" i="43" s="1"/>
  <c r="AW206" i="43"/>
  <c r="AS360" i="43"/>
  <c r="AS364" i="43" s="1"/>
  <c r="AW392" i="43"/>
  <c r="AW410" i="43"/>
  <c r="AW41" i="43"/>
  <c r="AW312" i="43"/>
  <c r="AW316" i="43"/>
  <c r="AW331" i="43"/>
  <c r="AW34" i="43"/>
  <c r="AW57" i="43"/>
  <c r="AW61" i="43"/>
  <c r="AS267" i="43"/>
  <c r="AW367" i="43"/>
  <c r="AW403" i="43"/>
  <c r="AS22" i="43"/>
  <c r="AR84" i="43"/>
  <c r="AR87" i="43" s="1"/>
  <c r="AS35" i="43"/>
  <c r="AS220" i="43"/>
  <c r="AW218" i="43"/>
  <c r="AW388" i="43"/>
  <c r="AW411" i="43"/>
  <c r="AF443" i="43"/>
  <c r="AR437" i="43"/>
  <c r="AR443" i="43" s="1"/>
  <c r="AS437" i="43"/>
  <c r="AS443" i="43" s="1"/>
  <c r="AF359" i="43"/>
  <c r="AS353" i="43"/>
  <c r="AS359" i="43" s="1"/>
  <c r="AR353" i="43"/>
  <c r="AR359" i="43" s="1"/>
  <c r="AQ84" i="43"/>
  <c r="AO87" i="43"/>
  <c r="AS189" i="43"/>
  <c r="AS195" i="43" s="1"/>
  <c r="AF195" i="43"/>
  <c r="AR189" i="43"/>
  <c r="AO325" i="43"/>
  <c r="AQ324" i="43"/>
  <c r="AQ325" i="43" s="1"/>
  <c r="AF371" i="43"/>
  <c r="AS365" i="43"/>
  <c r="AS371" i="43" s="1"/>
  <c r="AR365" i="43"/>
  <c r="AR371" i="43" s="1"/>
  <c r="AQ32" i="43"/>
  <c r="AQ35" i="43" s="1"/>
  <c r="AW119" i="43"/>
  <c r="AW38" i="43"/>
  <c r="AW85" i="43"/>
  <c r="AW149" i="43"/>
  <c r="AW66" i="43"/>
  <c r="AW135" i="43"/>
  <c r="AW355" i="43"/>
  <c r="AW387" i="43"/>
  <c r="AW192" i="43"/>
  <c r="AW319" i="43"/>
  <c r="AW187" i="43"/>
  <c r="AW86" i="43"/>
  <c r="AW54" i="43"/>
  <c r="AW186" i="43"/>
  <c r="AW210" i="43"/>
  <c r="AW237" i="43"/>
  <c r="AW229" i="43"/>
  <c r="AW118" i="44"/>
  <c r="AW15" i="44"/>
  <c r="AW126" i="44"/>
  <c r="AW87" i="44"/>
  <c r="AW120" i="44"/>
  <c r="AW124" i="44"/>
  <c r="AW65" i="44"/>
  <c r="AW50" i="44"/>
  <c r="AW114" i="44"/>
  <c r="AW397" i="43"/>
  <c r="AW400" i="43"/>
  <c r="AW282" i="43"/>
  <c r="AW138" i="43"/>
  <c r="AW113" i="43"/>
  <c r="AW309" i="43"/>
  <c r="AW419" i="43"/>
  <c r="AW288" i="43"/>
  <c r="AW379" i="43"/>
  <c r="AW254" i="43"/>
  <c r="AW382" i="43"/>
  <c r="AW243" i="43"/>
  <c r="AW373" i="43"/>
  <c r="AW191" i="43"/>
  <c r="AW93" i="44" l="1"/>
  <c r="AW98" i="44" s="1"/>
  <c r="AW14" i="44"/>
  <c r="AW19" i="44" s="1"/>
  <c r="AR163" i="43"/>
  <c r="AW458" i="43"/>
  <c r="AW460" i="43" s="1"/>
  <c r="AS84" i="44"/>
  <c r="AW92" i="44"/>
  <c r="AW103" i="44"/>
  <c r="AW104" i="44" s="1"/>
  <c r="AW111" i="44"/>
  <c r="AW112" i="44" s="1"/>
  <c r="AW57" i="44"/>
  <c r="AW63" i="44" s="1"/>
  <c r="AW122" i="44"/>
  <c r="AW128" i="44" s="1"/>
  <c r="AQ128" i="44"/>
  <c r="AW202" i="43"/>
  <c r="AW207" i="43" s="1"/>
  <c r="AW134" i="43"/>
  <c r="AW140" i="43" s="1"/>
  <c r="AW100" i="43"/>
  <c r="AW103" i="43" s="1"/>
  <c r="AW104" i="43"/>
  <c r="AW106" i="43" s="1"/>
  <c r="AW215" i="43"/>
  <c r="AW220" i="43" s="1"/>
  <c r="AW251" i="43"/>
  <c r="AW257" i="43" s="1"/>
  <c r="AW118" i="43"/>
  <c r="AW121" i="43" s="1"/>
  <c r="AW318" i="43"/>
  <c r="AW323" i="43" s="1"/>
  <c r="AW47" i="43"/>
  <c r="AW49" i="43" s="1"/>
  <c r="AW416" i="43"/>
  <c r="AW422" i="43" s="1"/>
  <c r="AW239" i="43"/>
  <c r="AW244" i="43" s="1"/>
  <c r="AQ63" i="44"/>
  <c r="AW113" i="44"/>
  <c r="AW121" i="44" s="1"/>
  <c r="AS422" i="43"/>
  <c r="AW68" i="43"/>
  <c r="AW70" i="43" s="1"/>
  <c r="AW36" i="43"/>
  <c r="AW39" i="43" s="1"/>
  <c r="AW208" i="43"/>
  <c r="AW214" i="43" s="1"/>
  <c r="AW227" i="43"/>
  <c r="AW232" i="43" s="1"/>
  <c r="AW402" i="43"/>
  <c r="AW408" i="43" s="1"/>
  <c r="AR408" i="43"/>
  <c r="AW14" i="43"/>
  <c r="AW18" i="43" s="1"/>
  <c r="AQ257" i="43"/>
  <c r="AR232" i="43"/>
  <c r="AW141" i="43"/>
  <c r="AW146" i="43" s="1"/>
  <c r="AW461" i="43"/>
  <c r="AW464" i="43" s="1"/>
  <c r="AW300" i="43"/>
  <c r="AW306" i="43" s="1"/>
  <c r="AW278" i="43"/>
  <c r="AW284" i="43" s="1"/>
  <c r="AW221" i="43"/>
  <c r="AW226" i="43" s="1"/>
  <c r="AW23" i="43"/>
  <c r="AW27" i="43" s="1"/>
  <c r="AW92" i="43"/>
  <c r="AW95" i="43" s="1"/>
  <c r="AQ70" i="43"/>
  <c r="AW324" i="43"/>
  <c r="AW325" i="43" s="1"/>
  <c r="AW260" i="43"/>
  <c r="AW263" i="43" s="1"/>
  <c r="AW111" i="43"/>
  <c r="AW114" i="43" s="1"/>
  <c r="AW233" i="43"/>
  <c r="AW238" i="43" s="1"/>
  <c r="AW107" i="44"/>
  <c r="AW110" i="44" s="1"/>
  <c r="AW102" i="44"/>
  <c r="AW29" i="44"/>
  <c r="AW35" i="44" s="1"/>
  <c r="AW84" i="44"/>
  <c r="AW274" i="43"/>
  <c r="AW277" i="43" s="1"/>
  <c r="AW147" i="43"/>
  <c r="AW152" i="43" s="1"/>
  <c r="AW71" i="43"/>
  <c r="AW75" i="43" s="1"/>
  <c r="AW451" i="43"/>
  <c r="AW457" i="43" s="1"/>
  <c r="AW264" i="43"/>
  <c r="AW267" i="43" s="1"/>
  <c r="AW378" i="43"/>
  <c r="AW384" i="43" s="1"/>
  <c r="AR238" i="43"/>
  <c r="AR214" i="43"/>
  <c r="AQ244" i="43"/>
  <c r="AW376" i="43"/>
  <c r="AW377" i="43" s="1"/>
  <c r="AW423" i="43"/>
  <c r="AW429" i="43" s="1"/>
  <c r="AW115" i="43"/>
  <c r="AW117" i="43" s="1"/>
  <c r="AW43" i="43"/>
  <c r="AW46" i="43" s="1"/>
  <c r="AW395" i="43"/>
  <c r="AW401" i="43" s="1"/>
  <c r="AQ140" i="43"/>
  <c r="AW385" i="43"/>
  <c r="AW390" i="43" s="1"/>
  <c r="AW32" i="43"/>
  <c r="AW35" i="43" s="1"/>
  <c r="AW307" i="43"/>
  <c r="AW313" i="43" s="1"/>
  <c r="AW391" i="43"/>
  <c r="AW394" i="43" s="1"/>
  <c r="AW153" i="43"/>
  <c r="AW158" i="43" s="1"/>
  <c r="AW96" i="43"/>
  <c r="AW99" i="43" s="1"/>
  <c r="AW298" i="43"/>
  <c r="AW299" i="43" s="1"/>
  <c r="AW88" i="44"/>
  <c r="AW42" i="44"/>
  <c r="AQ77" i="44"/>
  <c r="AW71" i="44"/>
  <c r="AW77" i="44" s="1"/>
  <c r="AW49" i="44"/>
  <c r="AW28" i="44"/>
  <c r="AW56" i="44"/>
  <c r="AW70" i="44"/>
  <c r="AQ346" i="43"/>
  <c r="AW338" i="43"/>
  <c r="AW346" i="43" s="1"/>
  <c r="AW347" i="43"/>
  <c r="AW352" i="43" s="1"/>
  <c r="AS352" i="43"/>
  <c r="AQ443" i="43"/>
  <c r="AW437" i="43"/>
  <c r="AW443" i="43" s="1"/>
  <c r="AQ42" i="43"/>
  <c r="AW40" i="43"/>
  <c r="AW42" i="43" s="1"/>
  <c r="AW170" i="43"/>
  <c r="AW175" i="43" s="1"/>
  <c r="AQ175" i="43"/>
  <c r="AW196" i="43"/>
  <c r="AW201" i="43" s="1"/>
  <c r="AR31" i="43"/>
  <c r="AW28" i="43"/>
  <c r="AW31" i="43" s="1"/>
  <c r="AQ371" i="43"/>
  <c r="AW365" i="43"/>
  <c r="AW371" i="43" s="1"/>
  <c r="AW176" i="43"/>
  <c r="AW181" i="43" s="1"/>
  <c r="AQ181" i="43"/>
  <c r="AQ59" i="43"/>
  <c r="AW56" i="43"/>
  <c r="AW59" i="43" s="1"/>
  <c r="AQ297" i="43"/>
  <c r="AW290" i="43"/>
  <c r="AW297" i="43" s="1"/>
  <c r="AW245" i="43"/>
  <c r="AW250" i="43" s="1"/>
  <c r="AW53" i="43"/>
  <c r="AW55" i="43" s="1"/>
  <c r="AW268" i="43"/>
  <c r="AW273" i="43" s="1"/>
  <c r="AW360" i="43"/>
  <c r="AW364" i="43" s="1"/>
  <c r="AR364" i="43"/>
  <c r="AW182" i="43"/>
  <c r="AW188" i="43" s="1"/>
  <c r="AW50" i="43"/>
  <c r="AW52" i="43" s="1"/>
  <c r="AW80" i="43"/>
  <c r="AW83" i="43" s="1"/>
  <c r="AQ289" i="43"/>
  <c r="AW285" i="43"/>
  <c r="AW289" i="43" s="1"/>
  <c r="AW409" i="43"/>
  <c r="AW415" i="43" s="1"/>
  <c r="AR415" i="43"/>
  <c r="AQ450" i="43"/>
  <c r="AW444" i="43"/>
  <c r="AW450" i="43" s="1"/>
  <c r="AQ329" i="43"/>
  <c r="AW326" i="43"/>
  <c r="AW329" i="43" s="1"/>
  <c r="AQ337" i="43"/>
  <c r="AW334" i="43"/>
  <c r="AW337" i="43" s="1"/>
  <c r="AW353" i="43"/>
  <c r="AW359" i="43" s="1"/>
  <c r="AW107" i="43"/>
  <c r="AW110" i="43" s="1"/>
  <c r="AW314" i="43"/>
  <c r="AW317" i="43" s="1"/>
  <c r="AR317" i="43"/>
  <c r="AW60" i="43"/>
  <c r="AW63" i="43" s="1"/>
  <c r="AW330" i="43"/>
  <c r="AW333" i="43" s="1"/>
  <c r="AR195" i="43"/>
  <c r="AW189" i="43"/>
  <c r="AW195" i="43" s="1"/>
  <c r="AQ87" i="43"/>
  <c r="AW84" i="43"/>
  <c r="AW87" i="43" s="1"/>
  <c r="AW258" i="43"/>
  <c r="AW259" i="43" s="1"/>
  <c r="AQ436" i="43"/>
  <c r="AW430" i="43"/>
  <c r="AW436" i="43" s="1"/>
  <c r="AW164" i="43"/>
  <c r="AW169" i="43" s="1"/>
  <c r="AQ169" i="43"/>
  <c r="AQ91" i="43"/>
  <c r="AW88" i="43"/>
  <c r="AW91" i="43" s="1"/>
  <c r="AQ22" i="43"/>
  <c r="AW19" i="43"/>
  <c r="AW22" i="43" s="1"/>
  <c r="AW76" i="43"/>
  <c r="AW79" i="43" s="1"/>
  <c r="AW127" i="43"/>
  <c r="AW133" i="43" s="1"/>
  <c r="AQ375" i="43"/>
  <c r="AW372" i="43"/>
  <c r="AW375" i="43" s="1"/>
  <c r="AQ126" i="43"/>
  <c r="AW122" i="43"/>
  <c r="AW126" i="43" s="1"/>
  <c r="AW163" i="43"/>
  <c r="AW64" i="43"/>
  <c r="AW67" i="43" s="1"/>
  <c r="BL30" i="44" l="1"/>
  <c r="BL36" i="44"/>
  <c r="BL48" i="44"/>
  <c r="BL54" i="44"/>
  <c r="BL66" i="44"/>
  <c r="BL72" i="44"/>
  <c r="BL90" i="44"/>
  <c r="BL96" i="44"/>
  <c r="BL114" i="44"/>
  <c r="BL120" i="44"/>
  <c r="BL126" i="44"/>
  <c r="BL16" i="43"/>
  <c r="BL17" i="43"/>
  <c r="BL21" i="43"/>
  <c r="BL24" i="43"/>
  <c r="BL26" i="43"/>
  <c r="BL29" i="43"/>
  <c r="BL33" i="43"/>
  <c r="BL34" i="43"/>
  <c r="BL37" i="43"/>
  <c r="BL41" i="43"/>
  <c r="BL45" i="43"/>
  <c r="BL48" i="43"/>
  <c r="BL51" i="43"/>
  <c r="BL54" i="43"/>
  <c r="BL58" i="43"/>
  <c r="BL62" i="43"/>
  <c r="BL66" i="43"/>
  <c r="BL77" i="43"/>
  <c r="BL78" i="43"/>
  <c r="BL85" i="43"/>
  <c r="BL89" i="43"/>
  <c r="BL93" i="43"/>
  <c r="BL94" i="43"/>
  <c r="BL101" i="43"/>
  <c r="BL102" i="43"/>
  <c r="BL108" i="43"/>
  <c r="BL109" i="43"/>
  <c r="BL112" i="43"/>
  <c r="BL119" i="43"/>
  <c r="BL120" i="43"/>
  <c r="BL124" i="43"/>
  <c r="BL128" i="43"/>
  <c r="BL130" i="43"/>
  <c r="BL131" i="43"/>
  <c r="BL132" i="43"/>
  <c r="BL135" i="43"/>
  <c r="BL136" i="43"/>
  <c r="BL137" i="43"/>
  <c r="BL138" i="43"/>
  <c r="BL139" i="43"/>
  <c r="BL142" i="43"/>
  <c r="BL145" i="43"/>
  <c r="BL148" i="43"/>
  <c r="BL149" i="43"/>
  <c r="BL151" i="43"/>
  <c r="BL154" i="43"/>
  <c r="BL155" i="43"/>
  <c r="BL156" i="43"/>
  <c r="BL160" i="43"/>
  <c r="BL162" i="43"/>
  <c r="BL166" i="43"/>
  <c r="BL167" i="43"/>
  <c r="BL168" i="43"/>
  <c r="BL171" i="43"/>
  <c r="BL172" i="43"/>
  <c r="BL173" i="43"/>
  <c r="BL174" i="43"/>
  <c r="BL178" i="43"/>
  <c r="BL180" i="43"/>
  <c r="BL190" i="43"/>
  <c r="BL191" i="43"/>
  <c r="BL211" i="43"/>
  <c r="BL223" i="43"/>
  <c r="BL229" i="43"/>
  <c r="BL241" i="43"/>
  <c r="BL286" i="43"/>
  <c r="BL287" i="43"/>
  <c r="BL293" i="43"/>
  <c r="BL302" i="43"/>
  <c r="BL311" i="43"/>
  <c r="BL312" i="43"/>
  <c r="BL328" i="43"/>
  <c r="BL331" i="43"/>
  <c r="BL332" i="43"/>
  <c r="BL335" i="43"/>
  <c r="BL336" i="43"/>
  <c r="BL340" i="43"/>
  <c r="BL341" i="43"/>
  <c r="BL342" i="43"/>
  <c r="BL358" i="43"/>
  <c r="BL368" i="43"/>
  <c r="BL370" i="43"/>
  <c r="BL379" i="43"/>
  <c r="BL382" i="43"/>
  <c r="BL383" i="43"/>
  <c r="BL388" i="43"/>
  <c r="BL389" i="43"/>
  <c r="BL396" i="43"/>
  <c r="BL400" i="43"/>
  <c r="BL410" i="43"/>
  <c r="BL413" i="43"/>
  <c r="BL414" i="43"/>
  <c r="BL417" i="43"/>
  <c r="BL418" i="43"/>
  <c r="BL419" i="43"/>
  <c r="BL426" i="43"/>
  <c r="BL427" i="43"/>
  <c r="BL431" i="43"/>
  <c r="BL438" i="43"/>
  <c r="BL439" i="43"/>
  <c r="BL440" i="43"/>
  <c r="BL445" i="43"/>
  <c r="BL447" i="43"/>
  <c r="BL449" i="43"/>
  <c r="BL452" i="43"/>
  <c r="BL454" i="43"/>
  <c r="BL455" i="43"/>
  <c r="BL456" i="43"/>
  <c r="BL462" i="43"/>
  <c r="BL463" i="43"/>
  <c r="W12" i="43"/>
  <c r="BU127" i="44"/>
  <c r="BT127" i="44"/>
  <c r="BR127" i="44"/>
  <c r="BO127" i="44"/>
  <c r="BN127" i="44"/>
  <c r="BL127" i="44"/>
  <c r="BU126" i="44"/>
  <c r="BT126" i="44"/>
  <c r="BR126" i="44"/>
  <c r="BO126" i="44"/>
  <c r="BN126" i="44"/>
  <c r="BU125" i="44"/>
  <c r="BT125" i="44"/>
  <c r="BR125" i="44"/>
  <c r="BO125" i="44"/>
  <c r="BN125" i="44"/>
  <c r="BL125" i="44"/>
  <c r="BU124" i="44"/>
  <c r="BT124" i="44"/>
  <c r="BR124" i="44"/>
  <c r="BO124" i="44"/>
  <c r="BN124" i="44"/>
  <c r="BL124" i="44"/>
  <c r="BU123" i="44"/>
  <c r="BT123" i="44"/>
  <c r="BR123" i="44"/>
  <c r="BO123" i="44"/>
  <c r="BN123" i="44"/>
  <c r="BL123" i="44"/>
  <c r="BT122" i="44"/>
  <c r="BU120" i="44"/>
  <c r="BT120" i="44"/>
  <c r="BR120" i="44"/>
  <c r="BO120" i="44"/>
  <c r="BN120" i="44"/>
  <c r="BU119" i="44"/>
  <c r="BT119" i="44"/>
  <c r="BR119" i="44"/>
  <c r="BO119" i="44"/>
  <c r="BN119" i="44"/>
  <c r="BL119" i="44"/>
  <c r="BU118" i="44"/>
  <c r="BT118" i="44"/>
  <c r="BR118" i="44"/>
  <c r="BO118" i="44"/>
  <c r="BN118" i="44"/>
  <c r="BL118" i="44"/>
  <c r="BU117" i="44"/>
  <c r="BT117" i="44"/>
  <c r="BR117" i="44"/>
  <c r="BO117" i="44"/>
  <c r="BN117" i="44"/>
  <c r="BL117" i="44"/>
  <c r="BU116" i="44"/>
  <c r="BT116" i="44"/>
  <c r="BR116" i="44"/>
  <c r="BO116" i="44"/>
  <c r="BN116" i="44"/>
  <c r="BL116" i="44"/>
  <c r="BU115" i="44"/>
  <c r="BT115" i="44"/>
  <c r="BR115" i="44"/>
  <c r="BO115" i="44"/>
  <c r="BN115" i="44"/>
  <c r="BL115" i="44"/>
  <c r="BU114" i="44"/>
  <c r="BT114" i="44"/>
  <c r="BR114" i="44"/>
  <c r="BO114" i="44"/>
  <c r="BN114" i="44"/>
  <c r="BN113" i="44"/>
  <c r="BR111" i="44"/>
  <c r="BR112" i="44" s="1"/>
  <c r="BU109" i="44"/>
  <c r="BT109" i="44"/>
  <c r="BR109" i="44"/>
  <c r="BO109" i="44"/>
  <c r="BL109" i="44"/>
  <c r="BU108" i="44"/>
  <c r="BT108" i="44"/>
  <c r="BR108" i="44"/>
  <c r="BO108" i="44"/>
  <c r="BL108" i="44"/>
  <c r="BU107" i="44"/>
  <c r="BT107" i="44"/>
  <c r="BR107" i="44"/>
  <c r="BO107" i="44"/>
  <c r="BL107" i="44"/>
  <c r="BU106" i="44"/>
  <c r="BT106" i="44"/>
  <c r="BR106" i="44"/>
  <c r="BO106" i="44"/>
  <c r="BL106" i="44"/>
  <c r="BT105" i="44"/>
  <c r="BN103" i="44"/>
  <c r="BN104" i="44" s="1"/>
  <c r="BU101" i="44"/>
  <c r="BT101" i="44"/>
  <c r="BR101" i="44"/>
  <c r="BO101" i="44"/>
  <c r="BN101" i="44"/>
  <c r="BL101" i="44"/>
  <c r="BK101" i="44"/>
  <c r="BU100" i="44"/>
  <c r="BT100" i="44"/>
  <c r="BR100" i="44"/>
  <c r="BO100" i="44"/>
  <c r="BL100" i="44"/>
  <c r="BR99" i="44"/>
  <c r="BT97" i="44"/>
  <c r="BR97" i="44"/>
  <c r="BO97" i="44"/>
  <c r="BN97" i="44"/>
  <c r="BL97" i="44"/>
  <c r="BU96" i="44"/>
  <c r="BS96" i="44"/>
  <c r="BR96" i="44"/>
  <c r="BO96" i="44"/>
  <c r="BU95" i="44"/>
  <c r="BT95" i="44"/>
  <c r="BR95" i="44"/>
  <c r="BO95" i="44"/>
  <c r="BN95" i="44"/>
  <c r="BL95" i="44"/>
  <c r="BU94" i="44"/>
  <c r="BT94" i="44"/>
  <c r="BR94" i="44"/>
  <c r="BO94" i="44"/>
  <c r="BL94" i="44"/>
  <c r="BT93" i="44"/>
  <c r="BU91" i="44"/>
  <c r="BR91" i="44"/>
  <c r="BO91" i="44"/>
  <c r="BL91" i="44"/>
  <c r="BU90" i="44"/>
  <c r="BT90" i="44"/>
  <c r="BR90" i="44"/>
  <c r="BO90" i="44"/>
  <c r="BN90" i="44"/>
  <c r="BN89" i="44"/>
  <c r="BU87" i="44"/>
  <c r="BR87" i="44"/>
  <c r="BO87" i="44"/>
  <c r="BN87" i="44"/>
  <c r="BL87" i="44"/>
  <c r="BT86" i="44"/>
  <c r="BR86" i="44"/>
  <c r="BO86" i="44"/>
  <c r="BN86" i="44"/>
  <c r="BL86" i="44"/>
  <c r="BR85" i="44"/>
  <c r="BU83" i="44"/>
  <c r="BS83" i="44"/>
  <c r="BR83" i="44"/>
  <c r="BO83" i="44"/>
  <c r="BN83" i="44"/>
  <c r="BL83" i="44"/>
  <c r="BU82" i="44"/>
  <c r="BT82" i="44"/>
  <c r="BR82" i="44"/>
  <c r="BO82" i="44"/>
  <c r="BN82" i="44"/>
  <c r="BL82" i="44"/>
  <c r="BT81" i="44"/>
  <c r="BR81" i="44"/>
  <c r="BO81" i="44"/>
  <c r="BN81" i="44"/>
  <c r="BL81" i="44"/>
  <c r="BU80" i="44"/>
  <c r="BR80" i="44"/>
  <c r="BO80" i="44"/>
  <c r="BL80" i="44"/>
  <c r="BU79" i="44"/>
  <c r="BT79" i="44"/>
  <c r="BR79" i="44"/>
  <c r="BO79" i="44"/>
  <c r="BL79" i="44"/>
  <c r="BO78" i="44"/>
  <c r="BU76" i="44"/>
  <c r="BT76" i="44"/>
  <c r="BR76" i="44"/>
  <c r="BO76" i="44"/>
  <c r="BL76" i="44"/>
  <c r="BU75" i="44"/>
  <c r="BT75" i="44"/>
  <c r="BR75" i="44"/>
  <c r="BO75" i="44"/>
  <c r="BL75" i="44"/>
  <c r="BU74" i="44"/>
  <c r="BT74" i="44"/>
  <c r="BR74" i="44"/>
  <c r="BO74" i="44"/>
  <c r="BL74" i="44"/>
  <c r="BU73" i="44"/>
  <c r="BT73" i="44"/>
  <c r="BR73" i="44"/>
  <c r="BO73" i="44"/>
  <c r="BL73" i="44"/>
  <c r="BU72" i="44"/>
  <c r="BR72" i="44"/>
  <c r="BO72" i="44"/>
  <c r="BU69" i="44"/>
  <c r="BT69" i="44"/>
  <c r="BR69" i="44"/>
  <c r="BO69" i="44"/>
  <c r="BM69" i="44"/>
  <c r="BL69" i="44"/>
  <c r="BU68" i="44"/>
  <c r="BT68" i="44"/>
  <c r="BR68" i="44"/>
  <c r="BO68" i="44"/>
  <c r="BL68" i="44"/>
  <c r="BU67" i="44"/>
  <c r="BS67" i="44"/>
  <c r="BR67" i="44"/>
  <c r="BO67" i="44"/>
  <c r="BL67" i="44"/>
  <c r="BU66" i="44"/>
  <c r="BT66" i="44"/>
  <c r="BR66" i="44"/>
  <c r="BO66" i="44"/>
  <c r="BU65" i="44"/>
  <c r="BR65" i="44"/>
  <c r="BO65" i="44"/>
  <c r="BL65" i="44"/>
  <c r="BR64" i="44"/>
  <c r="BU62" i="44"/>
  <c r="BS62" i="44"/>
  <c r="BR62" i="44"/>
  <c r="BO62" i="44"/>
  <c r="BN62" i="44"/>
  <c r="BL62" i="44"/>
  <c r="BU61" i="44"/>
  <c r="BR61" i="44"/>
  <c r="BO61" i="44"/>
  <c r="BL61" i="44"/>
  <c r="BU60" i="44"/>
  <c r="BR60" i="44"/>
  <c r="BO60" i="44"/>
  <c r="BN60" i="44"/>
  <c r="BL60" i="44"/>
  <c r="BU59" i="44"/>
  <c r="BT59" i="44"/>
  <c r="BR59" i="44"/>
  <c r="BO59" i="44"/>
  <c r="BL59" i="44"/>
  <c r="BU58" i="44"/>
  <c r="BT58" i="44"/>
  <c r="BR58" i="44"/>
  <c r="BO58" i="44"/>
  <c r="BL58" i="44"/>
  <c r="BU55" i="44"/>
  <c r="BT55" i="44"/>
  <c r="BR55" i="44"/>
  <c r="BO55" i="44"/>
  <c r="BN55" i="44"/>
  <c r="BL55" i="44"/>
  <c r="BU54" i="44"/>
  <c r="BT54" i="44"/>
  <c r="BR54" i="44"/>
  <c r="BO54" i="44"/>
  <c r="BU53" i="44"/>
  <c r="BR53" i="44"/>
  <c r="BO53" i="44"/>
  <c r="BN53" i="44"/>
  <c r="BL53" i="44"/>
  <c r="BT52" i="44"/>
  <c r="BR52" i="44"/>
  <c r="BO52" i="44"/>
  <c r="BN52" i="44"/>
  <c r="BL52" i="44"/>
  <c r="BT51" i="44"/>
  <c r="BR51" i="44"/>
  <c r="BO51" i="44"/>
  <c r="BN51" i="44"/>
  <c r="BL51" i="44"/>
  <c r="BU48" i="44"/>
  <c r="BT48" i="44"/>
  <c r="BR48" i="44"/>
  <c r="BO48" i="44"/>
  <c r="BN48" i="44"/>
  <c r="BT47" i="44"/>
  <c r="BR47" i="44"/>
  <c r="BO47" i="44"/>
  <c r="BL47" i="44"/>
  <c r="BU46" i="44"/>
  <c r="BT46" i="44"/>
  <c r="BR46" i="44"/>
  <c r="BO46" i="44"/>
  <c r="BN46" i="44"/>
  <c r="BL46" i="44"/>
  <c r="BT45" i="44"/>
  <c r="BR45" i="44"/>
  <c r="BO45" i="44"/>
  <c r="BL45" i="44"/>
  <c r="BU44" i="44"/>
  <c r="BT44" i="44"/>
  <c r="BR44" i="44"/>
  <c r="BO44" i="44"/>
  <c r="BL44" i="44"/>
  <c r="BR43" i="44"/>
  <c r="BU41" i="44"/>
  <c r="BT41" i="44"/>
  <c r="BR41" i="44"/>
  <c r="BO41" i="44"/>
  <c r="BN41" i="44"/>
  <c r="BU40" i="44"/>
  <c r="BR40" i="44"/>
  <c r="BO40" i="44"/>
  <c r="BN40" i="44"/>
  <c r="BU39" i="44"/>
  <c r="BR39" i="44"/>
  <c r="BO39" i="44"/>
  <c r="BU38" i="44"/>
  <c r="BR38" i="44"/>
  <c r="BO38" i="44"/>
  <c r="BL38" i="44"/>
  <c r="BU37" i="44"/>
  <c r="BR37" i="44"/>
  <c r="BO37" i="44"/>
  <c r="BL37" i="44"/>
  <c r="BR36" i="44"/>
  <c r="BU34" i="44"/>
  <c r="BR34" i="44"/>
  <c r="BO34" i="44"/>
  <c r="BU33" i="44"/>
  <c r="BO33" i="44"/>
  <c r="BU32" i="44"/>
  <c r="BR32" i="44"/>
  <c r="BO32" i="44"/>
  <c r="BL32" i="44"/>
  <c r="BU31" i="44"/>
  <c r="BR31" i="44"/>
  <c r="BO31" i="44"/>
  <c r="BU30" i="44"/>
  <c r="BR30" i="44"/>
  <c r="BO30" i="44"/>
  <c r="BU29" i="44"/>
  <c r="BR29" i="44"/>
  <c r="BO29" i="44"/>
  <c r="BU27" i="44"/>
  <c r="BR27" i="44"/>
  <c r="BO27" i="44"/>
  <c r="BU26" i="44"/>
  <c r="BR26" i="44"/>
  <c r="BO26" i="44"/>
  <c r="BM26" i="44"/>
  <c r="BL26" i="44"/>
  <c r="BU25" i="44"/>
  <c r="BR25" i="44"/>
  <c r="BO25" i="44"/>
  <c r="BU24" i="44"/>
  <c r="BR24" i="44"/>
  <c r="BO24" i="44"/>
  <c r="BU23" i="44"/>
  <c r="BR23" i="44"/>
  <c r="BO23" i="44"/>
  <c r="BU22" i="44"/>
  <c r="BR22" i="44"/>
  <c r="BO22" i="44"/>
  <c r="BU21" i="44"/>
  <c r="BR21" i="44"/>
  <c r="BO21" i="44"/>
  <c r="BU20" i="44"/>
  <c r="BR20" i="44"/>
  <c r="BO20" i="44"/>
  <c r="BL20" i="44"/>
  <c r="BU18" i="44"/>
  <c r="BR18" i="44"/>
  <c r="BO18" i="44"/>
  <c r="BM18" i="44"/>
  <c r="BU17" i="44"/>
  <c r="BR17" i="44"/>
  <c r="BO17" i="44"/>
  <c r="BU16" i="44"/>
  <c r="BR16" i="44"/>
  <c r="BO16" i="44"/>
  <c r="BU15" i="44"/>
  <c r="BR15" i="44"/>
  <c r="BO15" i="44"/>
  <c r="BT14" i="44"/>
  <c r="BR14" i="44"/>
  <c r="BO14" i="44"/>
  <c r="BN14" i="44"/>
  <c r="BU463" i="43"/>
  <c r="BR463" i="43"/>
  <c r="BO463" i="43"/>
  <c r="BN463" i="43"/>
  <c r="BU462" i="43"/>
  <c r="BT462" i="43"/>
  <c r="BR462" i="43"/>
  <c r="BO462" i="43"/>
  <c r="BN462" i="43"/>
  <c r="BU459" i="43"/>
  <c r="BT459" i="43"/>
  <c r="BR459" i="43"/>
  <c r="BO459" i="43"/>
  <c r="BU456" i="43"/>
  <c r="BT456" i="43"/>
  <c r="BR456" i="43"/>
  <c r="BO456" i="43"/>
  <c r="BN456" i="43"/>
  <c r="BU455" i="43"/>
  <c r="BR455" i="43"/>
  <c r="BO455" i="43"/>
  <c r="BU454" i="43"/>
  <c r="BR454" i="43"/>
  <c r="BO454" i="43"/>
  <c r="BN454" i="43"/>
  <c r="BU453" i="43"/>
  <c r="BR453" i="43"/>
  <c r="BO453" i="43"/>
  <c r="BL453" i="43"/>
  <c r="BU452" i="43"/>
  <c r="BT452" i="43"/>
  <c r="BR452" i="43"/>
  <c r="BO452" i="43"/>
  <c r="BN452" i="43"/>
  <c r="BR451" i="43"/>
  <c r="BU449" i="43"/>
  <c r="BR449" i="43"/>
  <c r="BN449" i="43"/>
  <c r="BU448" i="43"/>
  <c r="BR448" i="43"/>
  <c r="BO448" i="43"/>
  <c r="BT447" i="43"/>
  <c r="BR447" i="43"/>
  <c r="BO447" i="43"/>
  <c r="BU446" i="43"/>
  <c r="BT446" i="43"/>
  <c r="BR446" i="43"/>
  <c r="BO446" i="43"/>
  <c r="BL446" i="43"/>
  <c r="BT445" i="43"/>
  <c r="BR445" i="43"/>
  <c r="BO445" i="43"/>
  <c r="BN445" i="43"/>
  <c r="BT442" i="43"/>
  <c r="BR442" i="43"/>
  <c r="BO442" i="43"/>
  <c r="BN442" i="43"/>
  <c r="BL442" i="43"/>
  <c r="BT441" i="43"/>
  <c r="BR441" i="43"/>
  <c r="BO441" i="43"/>
  <c r="BN441" i="43"/>
  <c r="BL441" i="43"/>
  <c r="BU440" i="43"/>
  <c r="BT440" i="43"/>
  <c r="BR440" i="43"/>
  <c r="BO440" i="43"/>
  <c r="BT439" i="43"/>
  <c r="BR439" i="43"/>
  <c r="BO439" i="43"/>
  <c r="BT438" i="43"/>
  <c r="BR438" i="43"/>
  <c r="BO438" i="43"/>
  <c r="BN438" i="43"/>
  <c r="BU435" i="43"/>
  <c r="BT435" i="43"/>
  <c r="BR435" i="43"/>
  <c r="BO435" i="43"/>
  <c r="BN435" i="43"/>
  <c r="BL435" i="43"/>
  <c r="BU434" i="43"/>
  <c r="BT434" i="43"/>
  <c r="BR434" i="43"/>
  <c r="BO434" i="43"/>
  <c r="BL434" i="43"/>
  <c r="BT433" i="43"/>
  <c r="BR433" i="43"/>
  <c r="BO433" i="43"/>
  <c r="BU432" i="43"/>
  <c r="BR432" i="43"/>
  <c r="BO432" i="43"/>
  <c r="BN432" i="43"/>
  <c r="BU431" i="43"/>
  <c r="BR431" i="43"/>
  <c r="BO431" i="43"/>
  <c r="BU428" i="43"/>
  <c r="BT428" i="43"/>
  <c r="BR428" i="43"/>
  <c r="BO428" i="43"/>
  <c r="BN428" i="43"/>
  <c r="BU427" i="43"/>
  <c r="BR427" i="43"/>
  <c r="BO427" i="43"/>
  <c r="BN427" i="43"/>
  <c r="BU426" i="43"/>
  <c r="BR426" i="43"/>
  <c r="BO426" i="43"/>
  <c r="BN426" i="43"/>
  <c r="BU425" i="43"/>
  <c r="BT425" i="43"/>
  <c r="BR425" i="43"/>
  <c r="BO425" i="43"/>
  <c r="BU424" i="43"/>
  <c r="BT424" i="43"/>
  <c r="BR424" i="43"/>
  <c r="BO424" i="43"/>
  <c r="BN424" i="43"/>
  <c r="BU421" i="43"/>
  <c r="BR421" i="43"/>
  <c r="BO421" i="43"/>
  <c r="BN421" i="43"/>
  <c r="BU420" i="43"/>
  <c r="BT420" i="43"/>
  <c r="BR420" i="43"/>
  <c r="BO420" i="43"/>
  <c r="BL420" i="43"/>
  <c r="BU419" i="43"/>
  <c r="BR419" i="43"/>
  <c r="BO419" i="43"/>
  <c r="BK419" i="43"/>
  <c r="BU418" i="43"/>
  <c r="BR418" i="43"/>
  <c r="BO418" i="43"/>
  <c r="BN418" i="43"/>
  <c r="BU417" i="43"/>
  <c r="BR417" i="43"/>
  <c r="BN417" i="43"/>
  <c r="BT416" i="43"/>
  <c r="BU414" i="43"/>
  <c r="BT414" i="43"/>
  <c r="BR414" i="43"/>
  <c r="BO414" i="43"/>
  <c r="BU413" i="43"/>
  <c r="BR413" i="43"/>
  <c r="BO413" i="43"/>
  <c r="BK413" i="43"/>
  <c r="BU412" i="43"/>
  <c r="BR412" i="43"/>
  <c r="BO412" i="43"/>
  <c r="BN412" i="43"/>
  <c r="BU411" i="43"/>
  <c r="BR411" i="43"/>
  <c r="BN411" i="43"/>
  <c r="BL411" i="43"/>
  <c r="BU410" i="43"/>
  <c r="BR410" i="43"/>
  <c r="BO410" i="43"/>
  <c r="BK410" i="43"/>
  <c r="BU407" i="43"/>
  <c r="BR407" i="43"/>
  <c r="BO407" i="43"/>
  <c r="BN407" i="43"/>
  <c r="BK407" i="43"/>
  <c r="BU406" i="43"/>
  <c r="BR406" i="43"/>
  <c r="BO406" i="43"/>
  <c r="BN406" i="43"/>
  <c r="BL406" i="43"/>
  <c r="BU405" i="43"/>
  <c r="BR405" i="43"/>
  <c r="BO405" i="43"/>
  <c r="BU404" i="43"/>
  <c r="BR404" i="43"/>
  <c r="BO404" i="43"/>
  <c r="BL404" i="43"/>
  <c r="BU403" i="43"/>
  <c r="BT403" i="43"/>
  <c r="BR403" i="43"/>
  <c r="BO403" i="43"/>
  <c r="BN403" i="43"/>
  <c r="BU400" i="43"/>
  <c r="BS400" i="43"/>
  <c r="BR400" i="43"/>
  <c r="BO400" i="43"/>
  <c r="BU399" i="43"/>
  <c r="BT399" i="43"/>
  <c r="BR399" i="43"/>
  <c r="BO399" i="43"/>
  <c r="BU398" i="43"/>
  <c r="BT398" i="43"/>
  <c r="BR398" i="43"/>
  <c r="BO398" i="43"/>
  <c r="BN398" i="43"/>
  <c r="BU397" i="43"/>
  <c r="BR397" i="43"/>
  <c r="BO397" i="43"/>
  <c r="BN397" i="43"/>
  <c r="BU396" i="43"/>
  <c r="BR396" i="43"/>
  <c r="BO396" i="43"/>
  <c r="BU393" i="43"/>
  <c r="BT393" i="43"/>
  <c r="BR393" i="43"/>
  <c r="BO393" i="43"/>
  <c r="BL393" i="43"/>
  <c r="BU392" i="43"/>
  <c r="BT392" i="43"/>
  <c r="BR392" i="43"/>
  <c r="BO392" i="43"/>
  <c r="BN392" i="43"/>
  <c r="BT389" i="43"/>
  <c r="BR389" i="43"/>
  <c r="BU388" i="43"/>
  <c r="BR388" i="43"/>
  <c r="BO388" i="43"/>
  <c r="BU387" i="43"/>
  <c r="BT387" i="43"/>
  <c r="BR387" i="43"/>
  <c r="BO387" i="43"/>
  <c r="BU386" i="43"/>
  <c r="BT386" i="43"/>
  <c r="BR386" i="43"/>
  <c r="BO386" i="43"/>
  <c r="BN386" i="43"/>
  <c r="BT383" i="43"/>
  <c r="BR383" i="43"/>
  <c r="BN383" i="43"/>
  <c r="BU382" i="43"/>
  <c r="BR382" i="43"/>
  <c r="BO382" i="43"/>
  <c r="BU381" i="43"/>
  <c r="BT381" i="43"/>
  <c r="BR381" i="43"/>
  <c r="BO381" i="43"/>
  <c r="BU380" i="43"/>
  <c r="BT380" i="43"/>
  <c r="BR380" i="43"/>
  <c r="BO380" i="43"/>
  <c r="BN380" i="43"/>
  <c r="BL380" i="43"/>
  <c r="BU379" i="43"/>
  <c r="BT379" i="43"/>
  <c r="BR379" i="43"/>
  <c r="BO379" i="43"/>
  <c r="BN379" i="43"/>
  <c r="BU374" i="43"/>
  <c r="BR374" i="43"/>
  <c r="BO374" i="43"/>
  <c r="BN374" i="43"/>
  <c r="BU373" i="43"/>
  <c r="BR373" i="43"/>
  <c r="BO373" i="43"/>
  <c r="BN373" i="43"/>
  <c r="BU370" i="43"/>
  <c r="BR370" i="43"/>
  <c r="BO370" i="43"/>
  <c r="BU369" i="43"/>
  <c r="BR369" i="43"/>
  <c r="BO369" i="43"/>
  <c r="BL369" i="43"/>
  <c r="BU368" i="43"/>
  <c r="BR368" i="43"/>
  <c r="BO368" i="43"/>
  <c r="BU367" i="43"/>
  <c r="BR367" i="43"/>
  <c r="BO367" i="43"/>
  <c r="BU366" i="43"/>
  <c r="BR366" i="43"/>
  <c r="BO366" i="43"/>
  <c r="BU363" i="43"/>
  <c r="BR363" i="43"/>
  <c r="BO363" i="43"/>
  <c r="BU362" i="43"/>
  <c r="BR362" i="43"/>
  <c r="BO362" i="43"/>
  <c r="BU361" i="43"/>
  <c r="BR361" i="43"/>
  <c r="BO361" i="43"/>
  <c r="BR360" i="43"/>
  <c r="BU358" i="43"/>
  <c r="BR358" i="43"/>
  <c r="BO358" i="43"/>
  <c r="BU357" i="43"/>
  <c r="BR357" i="43"/>
  <c r="BN357" i="43"/>
  <c r="BU356" i="43"/>
  <c r="BR356" i="43"/>
  <c r="BO356" i="43"/>
  <c r="BU355" i="43"/>
  <c r="BR355" i="43"/>
  <c r="BO355" i="43"/>
  <c r="BU354" i="43"/>
  <c r="BR354" i="43"/>
  <c r="BO354" i="43"/>
  <c r="BU351" i="43"/>
  <c r="BR351" i="43"/>
  <c r="BO351" i="43"/>
  <c r="BU350" i="43"/>
  <c r="BR350" i="43"/>
  <c r="BO350" i="43"/>
  <c r="BU349" i="43"/>
  <c r="BR349" i="43"/>
  <c r="BO349" i="43"/>
  <c r="BU348" i="43"/>
  <c r="BR348" i="43"/>
  <c r="BO348" i="43"/>
  <c r="BU345" i="43"/>
  <c r="BR345" i="43"/>
  <c r="BO345" i="43"/>
  <c r="BU344" i="43"/>
  <c r="BR344" i="43"/>
  <c r="BO344" i="43"/>
  <c r="BU343" i="43"/>
  <c r="BR343" i="43"/>
  <c r="BO343" i="43"/>
  <c r="BU342" i="43"/>
  <c r="BT342" i="43"/>
  <c r="BR342" i="43"/>
  <c r="BO342" i="43"/>
  <c r="BN342" i="43"/>
  <c r="BU341" i="43"/>
  <c r="BT341" i="43"/>
  <c r="BR341" i="43"/>
  <c r="BO341" i="43"/>
  <c r="BN341" i="43"/>
  <c r="BU340" i="43"/>
  <c r="BT340" i="43"/>
  <c r="BR340" i="43"/>
  <c r="BO340" i="43"/>
  <c r="BN340" i="43"/>
  <c r="BU339" i="43"/>
  <c r="BT339" i="43"/>
  <c r="BR339" i="43"/>
  <c r="BO339" i="43"/>
  <c r="BN339" i="43"/>
  <c r="BL339" i="43"/>
  <c r="BU336" i="43"/>
  <c r="BT336" i="43"/>
  <c r="BR336" i="43"/>
  <c r="BO336" i="43"/>
  <c r="BN336" i="43"/>
  <c r="BU335" i="43"/>
  <c r="BT335" i="43"/>
  <c r="BR335" i="43"/>
  <c r="BO335" i="43"/>
  <c r="BN335" i="43"/>
  <c r="BU332" i="43"/>
  <c r="BT332" i="43"/>
  <c r="BR332" i="43"/>
  <c r="BO332" i="43"/>
  <c r="BN332" i="43"/>
  <c r="BU331" i="43"/>
  <c r="BT331" i="43"/>
  <c r="BR331" i="43"/>
  <c r="BO331" i="43"/>
  <c r="BN331" i="43"/>
  <c r="BU328" i="43"/>
  <c r="BT328" i="43"/>
  <c r="BR328" i="43"/>
  <c r="BO328" i="43"/>
  <c r="BN328" i="43"/>
  <c r="BU327" i="43"/>
  <c r="BT327" i="43"/>
  <c r="BR327" i="43"/>
  <c r="BO327" i="43"/>
  <c r="BN327" i="43"/>
  <c r="BU322" i="43"/>
  <c r="BR322" i="43"/>
  <c r="BN322" i="43"/>
  <c r="BU321" i="43"/>
  <c r="BR321" i="43"/>
  <c r="BO321" i="43"/>
  <c r="BN321" i="43"/>
  <c r="BL321" i="43"/>
  <c r="BU320" i="43"/>
  <c r="BR320" i="43"/>
  <c r="BO320" i="43"/>
  <c r="BN320" i="43"/>
  <c r="BU319" i="43"/>
  <c r="BR319" i="43"/>
  <c r="BN319" i="43"/>
  <c r="BU316" i="43"/>
  <c r="BR316" i="43"/>
  <c r="BO316" i="43"/>
  <c r="BN316" i="43"/>
  <c r="BU315" i="43"/>
  <c r="BR315" i="43"/>
  <c r="BN315" i="43"/>
  <c r="BL315" i="43"/>
  <c r="BU312" i="43"/>
  <c r="BR312" i="43"/>
  <c r="BO312" i="43"/>
  <c r="BN312" i="43"/>
  <c r="BU311" i="43"/>
  <c r="BR311" i="43"/>
  <c r="BO311" i="43"/>
  <c r="BN311" i="43"/>
  <c r="BU310" i="43"/>
  <c r="BR310" i="43"/>
  <c r="BO310" i="43"/>
  <c r="BN310" i="43"/>
  <c r="BU309" i="43"/>
  <c r="BR309" i="43"/>
  <c r="BO309" i="43"/>
  <c r="BN309" i="43"/>
  <c r="BU308" i="43"/>
  <c r="BR308" i="43"/>
  <c r="BN308" i="43"/>
  <c r="BL308" i="43"/>
  <c r="BU305" i="43"/>
  <c r="BR305" i="43"/>
  <c r="BO305" i="43"/>
  <c r="BN305" i="43"/>
  <c r="BU304" i="43"/>
  <c r="BR304" i="43"/>
  <c r="BN304" i="43"/>
  <c r="BU303" i="43"/>
  <c r="BR303" i="43"/>
  <c r="BN303" i="43"/>
  <c r="BU302" i="43"/>
  <c r="BR302" i="43"/>
  <c r="BN302" i="43"/>
  <c r="BU301" i="43"/>
  <c r="BR301" i="43"/>
  <c r="BN301" i="43"/>
  <c r="BU296" i="43"/>
  <c r="BR296" i="43"/>
  <c r="BO296" i="43"/>
  <c r="BU295" i="43"/>
  <c r="BR295" i="43"/>
  <c r="BO295" i="43"/>
  <c r="BU294" i="43"/>
  <c r="BR294" i="43"/>
  <c r="BO294" i="43"/>
  <c r="BU293" i="43"/>
  <c r="BR293" i="43"/>
  <c r="BO293" i="43"/>
  <c r="BU292" i="43"/>
  <c r="BR292" i="43"/>
  <c r="BO292" i="43"/>
  <c r="BU291" i="43"/>
  <c r="BR291" i="43"/>
  <c r="BO291" i="43"/>
  <c r="BU288" i="43"/>
  <c r="BR288" i="43"/>
  <c r="BO288" i="43"/>
  <c r="BM288" i="43"/>
  <c r="BU287" i="43"/>
  <c r="BR287" i="43"/>
  <c r="BO287" i="43"/>
  <c r="BU286" i="43"/>
  <c r="BR286" i="43"/>
  <c r="BO286" i="43"/>
  <c r="BU283" i="43"/>
  <c r="BR283" i="43"/>
  <c r="BO283" i="43"/>
  <c r="BU282" i="43"/>
  <c r="BR282" i="43"/>
  <c r="BO282" i="43"/>
  <c r="BU281" i="43"/>
  <c r="BR281" i="43"/>
  <c r="BO281" i="43"/>
  <c r="BU280" i="43"/>
  <c r="BR280" i="43"/>
  <c r="BO280" i="43"/>
  <c r="BU279" i="43"/>
  <c r="BR279" i="43"/>
  <c r="BO279" i="43"/>
  <c r="BU276" i="43"/>
  <c r="BR276" i="43"/>
  <c r="BO276" i="43"/>
  <c r="BU275" i="43"/>
  <c r="BR275" i="43"/>
  <c r="BN275" i="43"/>
  <c r="BU272" i="43"/>
  <c r="BR272" i="43"/>
  <c r="BN272" i="43"/>
  <c r="BU271" i="43"/>
  <c r="BR271" i="43"/>
  <c r="BO271" i="43"/>
  <c r="BN271" i="43"/>
  <c r="BU270" i="43"/>
  <c r="BR270" i="43"/>
  <c r="BO270" i="43"/>
  <c r="BU269" i="43"/>
  <c r="BR269" i="43"/>
  <c r="BO269" i="43"/>
  <c r="BU266" i="43"/>
  <c r="BR266" i="43"/>
  <c r="BO266" i="43"/>
  <c r="BU265" i="43"/>
  <c r="BR265" i="43"/>
  <c r="BO265" i="43"/>
  <c r="BU262" i="43"/>
  <c r="BR262" i="43"/>
  <c r="BN262" i="43"/>
  <c r="BU261" i="43"/>
  <c r="BR261" i="43"/>
  <c r="BO261" i="43"/>
  <c r="BN261" i="43"/>
  <c r="BU256" i="43"/>
  <c r="BR256" i="43"/>
  <c r="BO256" i="43"/>
  <c r="BN256" i="43"/>
  <c r="BU255" i="43"/>
  <c r="BR255" i="43"/>
  <c r="BN255" i="43"/>
  <c r="BU254" i="43"/>
  <c r="BR254" i="43"/>
  <c r="BO254" i="43"/>
  <c r="BN254" i="43"/>
  <c r="BU253" i="43"/>
  <c r="BR253" i="43"/>
  <c r="BO253" i="43"/>
  <c r="BU252" i="43"/>
  <c r="BR252" i="43"/>
  <c r="BO252" i="43"/>
  <c r="BU249" i="43"/>
  <c r="BR249" i="43"/>
  <c r="BO249" i="43"/>
  <c r="BN249" i="43"/>
  <c r="BU248" i="43"/>
  <c r="BR248" i="43"/>
  <c r="BO248" i="43"/>
  <c r="BN248" i="43"/>
  <c r="BU247" i="43"/>
  <c r="BR247" i="43"/>
  <c r="BO247" i="43"/>
  <c r="BN247" i="43"/>
  <c r="BU246" i="43"/>
  <c r="BR246" i="43"/>
  <c r="BO246" i="43"/>
  <c r="BU243" i="43"/>
  <c r="BR243" i="43"/>
  <c r="BO243" i="43"/>
  <c r="BU242" i="43"/>
  <c r="BR242" i="43"/>
  <c r="BO242" i="43"/>
  <c r="BU241" i="43"/>
  <c r="BR241" i="43"/>
  <c r="BO241" i="43"/>
  <c r="BU240" i="43"/>
  <c r="BR240" i="43"/>
  <c r="BO240" i="43"/>
  <c r="BU237" i="43"/>
  <c r="BR237" i="43"/>
  <c r="BO237" i="43"/>
  <c r="BU236" i="43"/>
  <c r="BR236" i="43"/>
  <c r="BO236" i="43"/>
  <c r="BU235" i="43"/>
  <c r="BR235" i="43"/>
  <c r="BO235" i="43"/>
  <c r="BU234" i="43"/>
  <c r="BR234" i="43"/>
  <c r="BO234" i="43"/>
  <c r="BU231" i="43"/>
  <c r="BR231" i="43"/>
  <c r="BO231" i="43"/>
  <c r="BU230" i="43"/>
  <c r="BR230" i="43"/>
  <c r="BO230" i="43"/>
  <c r="BU229" i="43"/>
  <c r="BR229" i="43"/>
  <c r="BO229" i="43"/>
  <c r="BU228" i="43"/>
  <c r="BR228" i="43"/>
  <c r="BO228" i="43"/>
  <c r="BU225" i="43"/>
  <c r="BR225" i="43"/>
  <c r="BO225" i="43"/>
  <c r="BU224" i="43"/>
  <c r="BR224" i="43"/>
  <c r="BO224" i="43"/>
  <c r="BU223" i="43"/>
  <c r="BR223" i="43"/>
  <c r="BO223" i="43"/>
  <c r="BU222" i="43"/>
  <c r="BR222" i="43"/>
  <c r="BO222" i="43"/>
  <c r="BU219" i="43"/>
  <c r="BR219" i="43"/>
  <c r="BO219" i="43"/>
  <c r="BU218" i="43"/>
  <c r="BR218" i="43"/>
  <c r="BO218" i="43"/>
  <c r="BU217" i="43"/>
  <c r="BR217" i="43"/>
  <c r="BO217" i="43"/>
  <c r="BU216" i="43"/>
  <c r="BR216" i="43"/>
  <c r="BO216" i="43"/>
  <c r="BU213" i="43"/>
  <c r="BR213" i="43"/>
  <c r="BO213" i="43"/>
  <c r="BU212" i="43"/>
  <c r="BR212" i="43"/>
  <c r="BO212" i="43"/>
  <c r="BU211" i="43"/>
  <c r="BR211" i="43"/>
  <c r="BO211" i="43"/>
  <c r="BU210" i="43"/>
  <c r="BR210" i="43"/>
  <c r="BO210" i="43"/>
  <c r="BU209" i="43"/>
  <c r="BR209" i="43"/>
  <c r="BO209" i="43"/>
  <c r="BU206" i="43"/>
  <c r="BR206" i="43"/>
  <c r="BO206" i="43"/>
  <c r="BU205" i="43"/>
  <c r="BR205" i="43"/>
  <c r="BO205" i="43"/>
  <c r="BU204" i="43"/>
  <c r="BR204" i="43"/>
  <c r="BO204" i="43"/>
  <c r="BU203" i="43"/>
  <c r="BR203" i="43"/>
  <c r="BO203" i="43"/>
  <c r="BU200" i="43"/>
  <c r="BR200" i="43"/>
  <c r="BO200" i="43"/>
  <c r="BU199" i="43"/>
  <c r="BR199" i="43"/>
  <c r="BO199" i="43"/>
  <c r="BU198" i="43"/>
  <c r="BR198" i="43"/>
  <c r="BO198" i="43"/>
  <c r="BU197" i="43"/>
  <c r="BR197" i="43"/>
  <c r="BO197" i="43"/>
  <c r="BN197" i="43"/>
  <c r="BU194" i="43"/>
  <c r="BR194" i="43"/>
  <c r="BO194" i="43"/>
  <c r="BU193" i="43"/>
  <c r="BR193" i="43"/>
  <c r="BO193" i="43"/>
  <c r="BU192" i="43"/>
  <c r="BR192" i="43"/>
  <c r="BO192" i="43"/>
  <c r="BU191" i="43"/>
  <c r="BR191" i="43"/>
  <c r="BO191" i="43"/>
  <c r="BN191" i="43"/>
  <c r="BU190" i="43"/>
  <c r="BR190" i="43"/>
  <c r="BO190" i="43"/>
  <c r="BU187" i="43"/>
  <c r="BR187" i="43"/>
  <c r="BO187" i="43"/>
  <c r="BU186" i="43"/>
  <c r="BR186" i="43"/>
  <c r="BO186" i="43"/>
  <c r="BU185" i="43"/>
  <c r="BR185" i="43"/>
  <c r="BO185" i="43"/>
  <c r="BU184" i="43"/>
  <c r="BR184" i="43"/>
  <c r="BO184" i="43"/>
  <c r="BU183" i="43"/>
  <c r="BR183" i="43"/>
  <c r="BO183" i="43"/>
  <c r="BU180" i="43"/>
  <c r="BR180" i="43"/>
  <c r="BO180" i="43"/>
  <c r="BU179" i="43"/>
  <c r="BR179" i="43"/>
  <c r="BO179" i="43"/>
  <c r="BU178" i="43"/>
  <c r="BR178" i="43"/>
  <c r="BO178" i="43"/>
  <c r="BN178" i="43"/>
  <c r="BU177" i="43"/>
  <c r="BR177" i="43"/>
  <c r="BO177" i="43"/>
  <c r="BL177" i="43"/>
  <c r="BU174" i="43"/>
  <c r="BT174" i="43"/>
  <c r="BR174" i="43"/>
  <c r="BO174" i="43"/>
  <c r="BN174" i="43"/>
  <c r="BU173" i="43"/>
  <c r="BT173" i="43"/>
  <c r="BR173" i="43"/>
  <c r="BO173" i="43"/>
  <c r="BU172" i="43"/>
  <c r="BR172" i="43"/>
  <c r="BO172" i="43"/>
  <c r="BN172" i="43"/>
  <c r="BU171" i="43"/>
  <c r="BR171" i="43"/>
  <c r="BO171" i="43"/>
  <c r="BU170" i="43"/>
  <c r="BT170" i="43"/>
  <c r="BU168" i="43"/>
  <c r="BT168" i="43"/>
  <c r="BR168" i="43"/>
  <c r="BO168" i="43"/>
  <c r="BN168" i="43"/>
  <c r="BU167" i="43"/>
  <c r="BT167" i="43"/>
  <c r="BR167" i="43"/>
  <c r="BO167" i="43"/>
  <c r="BU166" i="43"/>
  <c r="BR166" i="43"/>
  <c r="BO166" i="43"/>
  <c r="BN166" i="43"/>
  <c r="BU165" i="43"/>
  <c r="BR165" i="43"/>
  <c r="BO165" i="43"/>
  <c r="BL165" i="43"/>
  <c r="BT164" i="43"/>
  <c r="BU162" i="43"/>
  <c r="BR162" i="43"/>
  <c r="BO162" i="43"/>
  <c r="BN162" i="43"/>
  <c r="BU161" i="43"/>
  <c r="BR161" i="43"/>
  <c r="BO161" i="43"/>
  <c r="BL161" i="43"/>
  <c r="BU160" i="43"/>
  <c r="BR160" i="43"/>
  <c r="BO160" i="43"/>
  <c r="BN160" i="43"/>
  <c r="BU157" i="43"/>
  <c r="BR157" i="43"/>
  <c r="BO157" i="43"/>
  <c r="BL157" i="43"/>
  <c r="BU156" i="43"/>
  <c r="BR156" i="43"/>
  <c r="BO156" i="43"/>
  <c r="BN156" i="43"/>
  <c r="BU155" i="43"/>
  <c r="BT155" i="43"/>
  <c r="BR155" i="43"/>
  <c r="BO155" i="43"/>
  <c r="BU154" i="43"/>
  <c r="BR154" i="43"/>
  <c r="BO154" i="43"/>
  <c r="BN154" i="43"/>
  <c r="BU153" i="43"/>
  <c r="BU151" i="43"/>
  <c r="BT151" i="43"/>
  <c r="BR151" i="43"/>
  <c r="BO151" i="43"/>
  <c r="BU150" i="43"/>
  <c r="BT150" i="43"/>
  <c r="BR150" i="43"/>
  <c r="BO150" i="43"/>
  <c r="BN150" i="43"/>
  <c r="BL150" i="43"/>
  <c r="BU149" i="43"/>
  <c r="BT149" i="43"/>
  <c r="BR149" i="43"/>
  <c r="BO149" i="43"/>
  <c r="BU148" i="43"/>
  <c r="BR148" i="43"/>
  <c r="BO148" i="43"/>
  <c r="BN148" i="43"/>
  <c r="BU145" i="43"/>
  <c r="BT145" i="43"/>
  <c r="BR145" i="43"/>
  <c r="BO145" i="43"/>
  <c r="BU144" i="43"/>
  <c r="BT144" i="43"/>
  <c r="BR144" i="43"/>
  <c r="BO144" i="43"/>
  <c r="BN144" i="43"/>
  <c r="BL144" i="43"/>
  <c r="BU143" i="43"/>
  <c r="BR143" i="43"/>
  <c r="BO143" i="43"/>
  <c r="BL143" i="43"/>
  <c r="BU142" i="43"/>
  <c r="BR142" i="43"/>
  <c r="BO142" i="43"/>
  <c r="BN142" i="43"/>
  <c r="BU141" i="43"/>
  <c r="BT141" i="43"/>
  <c r="BU139" i="43"/>
  <c r="BR139" i="43"/>
  <c r="BO139" i="43"/>
  <c r="BN139" i="43"/>
  <c r="BU138" i="43"/>
  <c r="BR138" i="43"/>
  <c r="BO138" i="43"/>
  <c r="BN138" i="43"/>
  <c r="BU137" i="43"/>
  <c r="BR137" i="43"/>
  <c r="BO137" i="43"/>
  <c r="BN137" i="43"/>
  <c r="BU136" i="43"/>
  <c r="BR136" i="43"/>
  <c r="BO136" i="43"/>
  <c r="BN136" i="43"/>
  <c r="BT135" i="43"/>
  <c r="BR135" i="43"/>
  <c r="BO135" i="43"/>
  <c r="BN135" i="43"/>
  <c r="BU132" i="43"/>
  <c r="BR132" i="43"/>
  <c r="BO132" i="43"/>
  <c r="BU131" i="43"/>
  <c r="BT131" i="43"/>
  <c r="BR131" i="43"/>
  <c r="BO131" i="43"/>
  <c r="BN131" i="43"/>
  <c r="BT130" i="43"/>
  <c r="BR130" i="43"/>
  <c r="BO130" i="43"/>
  <c r="BU129" i="43"/>
  <c r="BT129" i="43"/>
  <c r="BR129" i="43"/>
  <c r="BO129" i="43"/>
  <c r="BN129" i="43"/>
  <c r="BL129" i="43"/>
  <c r="BU128" i="43"/>
  <c r="BT128" i="43"/>
  <c r="BR128" i="43"/>
  <c r="BO128" i="43"/>
  <c r="BU125" i="43"/>
  <c r="BR125" i="43"/>
  <c r="BO125" i="43"/>
  <c r="BU124" i="43"/>
  <c r="BT124" i="43"/>
  <c r="BR124" i="43"/>
  <c r="BO124" i="43"/>
  <c r="BN124" i="43"/>
  <c r="BU123" i="43"/>
  <c r="BT123" i="43"/>
  <c r="BR123" i="43"/>
  <c r="BO123" i="43"/>
  <c r="BN123" i="43"/>
  <c r="BL123" i="43"/>
  <c r="BU120" i="43"/>
  <c r="BT120" i="43"/>
  <c r="BR120" i="43"/>
  <c r="BO120" i="43"/>
  <c r="BN120" i="43"/>
  <c r="BU119" i="43"/>
  <c r="BT119" i="43"/>
  <c r="BR119" i="43"/>
  <c r="BO119" i="43"/>
  <c r="BN119" i="43"/>
  <c r="BU116" i="43"/>
  <c r="BT116" i="43"/>
  <c r="BR116" i="43"/>
  <c r="BO116" i="43"/>
  <c r="BL116" i="43"/>
  <c r="BU113" i="43"/>
  <c r="BT113" i="43"/>
  <c r="BR113" i="43"/>
  <c r="BO113" i="43"/>
  <c r="BL113" i="43"/>
  <c r="BU112" i="43"/>
  <c r="BT112" i="43"/>
  <c r="BR112" i="43"/>
  <c r="BO112" i="43"/>
  <c r="BN112" i="43"/>
  <c r="BU109" i="43"/>
  <c r="BT109" i="43"/>
  <c r="BR109" i="43"/>
  <c r="BO109" i="43"/>
  <c r="BN109" i="43"/>
  <c r="BU108" i="43"/>
  <c r="BT108" i="43"/>
  <c r="BR108" i="43"/>
  <c r="BO108" i="43"/>
  <c r="BN108" i="43"/>
  <c r="BU105" i="43"/>
  <c r="BT105" i="43"/>
  <c r="BR105" i="43"/>
  <c r="BO105" i="43"/>
  <c r="BL105" i="43"/>
  <c r="BU102" i="43"/>
  <c r="BT102" i="43"/>
  <c r="BR102" i="43"/>
  <c r="BN102" i="43"/>
  <c r="BU101" i="43"/>
  <c r="BT101" i="43"/>
  <c r="BR101" i="43"/>
  <c r="BO101" i="43"/>
  <c r="BN101" i="43"/>
  <c r="BU98" i="43"/>
  <c r="BT98" i="43"/>
  <c r="BR98" i="43"/>
  <c r="BO98" i="43"/>
  <c r="BN98" i="43"/>
  <c r="BL98" i="43"/>
  <c r="BU97" i="43"/>
  <c r="BT97" i="43"/>
  <c r="BR97" i="43"/>
  <c r="BO97" i="43"/>
  <c r="BN97" i="43"/>
  <c r="BL97" i="43"/>
  <c r="BU94" i="43"/>
  <c r="BT94" i="43"/>
  <c r="BR94" i="43"/>
  <c r="BO94" i="43"/>
  <c r="BN94" i="43"/>
  <c r="BU93" i="43"/>
  <c r="BT93" i="43"/>
  <c r="BR93" i="43"/>
  <c r="BO93" i="43"/>
  <c r="BR92" i="43"/>
  <c r="BU90" i="43"/>
  <c r="BT90" i="43"/>
  <c r="BR90" i="43"/>
  <c r="BN90" i="43"/>
  <c r="BL90" i="43"/>
  <c r="BT89" i="43"/>
  <c r="BR89" i="43"/>
  <c r="BO89" i="43"/>
  <c r="BN89" i="43"/>
  <c r="BU86" i="43"/>
  <c r="BT86" i="43"/>
  <c r="BR86" i="43"/>
  <c r="BO86" i="43"/>
  <c r="BN86" i="43"/>
  <c r="BL86" i="43"/>
  <c r="BU85" i="43"/>
  <c r="BT85" i="43"/>
  <c r="BR85" i="43"/>
  <c r="BO85" i="43"/>
  <c r="BN85" i="43"/>
  <c r="BU82" i="43"/>
  <c r="BT82" i="43"/>
  <c r="BR82" i="43"/>
  <c r="BO82" i="43"/>
  <c r="BN82" i="43"/>
  <c r="BL82" i="43"/>
  <c r="BU78" i="43"/>
  <c r="BT78" i="43"/>
  <c r="BR78" i="43"/>
  <c r="BO78" i="43"/>
  <c r="BU77" i="43"/>
  <c r="BT77" i="43"/>
  <c r="BR77" i="43"/>
  <c r="BO77" i="43"/>
  <c r="BN77" i="43"/>
  <c r="BU74" i="43"/>
  <c r="BT74" i="43"/>
  <c r="BR74" i="43"/>
  <c r="BO74" i="43"/>
  <c r="BN74" i="43"/>
  <c r="BL74" i="43"/>
  <c r="BU73" i="43"/>
  <c r="BT73" i="43"/>
  <c r="BR73" i="43"/>
  <c r="BO73" i="43"/>
  <c r="BL73" i="43"/>
  <c r="BU72" i="43"/>
  <c r="BT72" i="43"/>
  <c r="BR72" i="43"/>
  <c r="BO72" i="43"/>
  <c r="BN72" i="43"/>
  <c r="BL72" i="43"/>
  <c r="BU69" i="43"/>
  <c r="BT69" i="43"/>
  <c r="BR69" i="43"/>
  <c r="BO69" i="43"/>
  <c r="BN69" i="43"/>
  <c r="BL69" i="43"/>
  <c r="BU66" i="43"/>
  <c r="BT66" i="43"/>
  <c r="BR66" i="43"/>
  <c r="BO66" i="43"/>
  <c r="BU65" i="43"/>
  <c r="BT65" i="43"/>
  <c r="BR65" i="43"/>
  <c r="BO65" i="43"/>
  <c r="BN65" i="43"/>
  <c r="BL65" i="43"/>
  <c r="BU62" i="43"/>
  <c r="BR62" i="43"/>
  <c r="BO62" i="43"/>
  <c r="BN62" i="43"/>
  <c r="BU61" i="43"/>
  <c r="BT61" i="43"/>
  <c r="BR61" i="43"/>
  <c r="BO61" i="43"/>
  <c r="BN61" i="43"/>
  <c r="BL61" i="43"/>
  <c r="BU58" i="43"/>
  <c r="BT58" i="43"/>
  <c r="BR58" i="43"/>
  <c r="BO58" i="43"/>
  <c r="BN58" i="43"/>
  <c r="BU57" i="43"/>
  <c r="BR57" i="43"/>
  <c r="BO57" i="43"/>
  <c r="BN57" i="43"/>
  <c r="BL57" i="43"/>
  <c r="BU56" i="43"/>
  <c r="BU54" i="43"/>
  <c r="BR54" i="43"/>
  <c r="BO54" i="43"/>
  <c r="BN54" i="43"/>
  <c r="BR53" i="43"/>
  <c r="BU51" i="43"/>
  <c r="BR51" i="43"/>
  <c r="BO51" i="43"/>
  <c r="BU48" i="43"/>
  <c r="BT48" i="43"/>
  <c r="BR48" i="43"/>
  <c r="BO48" i="43"/>
  <c r="BN48" i="43"/>
  <c r="BU45" i="43"/>
  <c r="BR45" i="43"/>
  <c r="BO45" i="43"/>
  <c r="BN45" i="43"/>
  <c r="BU44" i="43"/>
  <c r="BR44" i="43"/>
  <c r="BO44" i="43"/>
  <c r="BN44" i="43"/>
  <c r="BL44" i="43"/>
  <c r="BU41" i="43"/>
  <c r="BT41" i="43"/>
  <c r="BR41" i="43"/>
  <c r="BO41" i="43"/>
  <c r="BN41" i="43"/>
  <c r="BU38" i="43"/>
  <c r="BR38" i="43"/>
  <c r="BO38" i="43"/>
  <c r="BL38" i="43"/>
  <c r="BT37" i="43"/>
  <c r="BR37" i="43"/>
  <c r="BO37" i="43"/>
  <c r="BN37" i="43"/>
  <c r="BR36" i="43"/>
  <c r="BU34" i="43"/>
  <c r="BT34" i="43"/>
  <c r="BR34" i="43"/>
  <c r="BO34" i="43"/>
  <c r="BU33" i="43"/>
  <c r="BR33" i="43"/>
  <c r="BO33" i="43"/>
  <c r="BN33" i="43"/>
  <c r="BU32" i="43"/>
  <c r="BR32" i="43"/>
  <c r="BU30" i="43"/>
  <c r="BR30" i="43"/>
  <c r="BO30" i="43"/>
  <c r="BN30" i="43"/>
  <c r="BL30" i="43"/>
  <c r="BU29" i="43"/>
  <c r="BT29" i="43"/>
  <c r="BR29" i="43"/>
  <c r="BO29" i="43"/>
  <c r="BN29" i="43"/>
  <c r="BU26" i="43"/>
  <c r="BR26" i="43"/>
  <c r="BO26" i="43"/>
  <c r="BN26" i="43"/>
  <c r="BU25" i="43"/>
  <c r="BR25" i="43"/>
  <c r="BO25" i="43"/>
  <c r="BN25" i="43"/>
  <c r="BL25" i="43"/>
  <c r="BU24" i="43"/>
  <c r="BR24" i="43"/>
  <c r="BO24" i="43"/>
  <c r="BR23" i="43"/>
  <c r="BU21" i="43"/>
  <c r="BT21" i="43"/>
  <c r="BR21" i="43"/>
  <c r="BO21" i="43"/>
  <c r="BU20" i="43"/>
  <c r="BR20" i="43"/>
  <c r="BO20" i="43"/>
  <c r="BN20" i="43"/>
  <c r="BL20" i="43"/>
  <c r="BR19" i="43"/>
  <c r="BN19" i="43"/>
  <c r="BU17" i="43"/>
  <c r="BT17" i="43"/>
  <c r="BR17" i="43"/>
  <c r="BO17" i="43"/>
  <c r="BU16" i="43"/>
  <c r="BT16" i="43"/>
  <c r="BR16" i="43"/>
  <c r="BO16" i="43"/>
  <c r="BU15" i="43"/>
  <c r="BT15" i="43"/>
  <c r="BR15" i="43"/>
  <c r="BO15" i="43"/>
  <c r="BL15" i="43"/>
  <c r="BU12" i="44"/>
  <c r="BU13" i="44" s="1"/>
  <c r="BT12" i="44"/>
  <c r="BT13" i="44" s="1"/>
  <c r="BR12" i="44"/>
  <c r="BR13" i="44" s="1"/>
  <c r="BO12" i="44"/>
  <c r="BO13" i="44" s="1"/>
  <c r="BN12" i="44"/>
  <c r="BN13" i="44" s="1"/>
  <c r="BL12" i="44"/>
  <c r="BL13" i="44" s="1"/>
  <c r="BG12" i="43"/>
  <c r="BG13" i="43" s="1"/>
  <c r="BF12" i="43"/>
  <c r="BF13" i="43" s="1"/>
  <c r="AL12" i="43"/>
  <c r="AL13" i="43" s="1"/>
  <c r="BR19" i="44" l="1"/>
  <c r="AE12" i="43"/>
  <c r="AE13" i="43" s="1"/>
  <c r="W13" i="43"/>
  <c r="BS421" i="43"/>
  <c r="BS455" i="43"/>
  <c r="BL387" i="43"/>
  <c r="BL153" i="43"/>
  <c r="BL158" i="43" s="1"/>
  <c r="BL92" i="43"/>
  <c r="BL95" i="43" s="1"/>
  <c r="BL261" i="43"/>
  <c r="BS419" i="43"/>
  <c r="BS449" i="43"/>
  <c r="BM33" i="44"/>
  <c r="BM21" i="44"/>
  <c r="BM29" i="44"/>
  <c r="BM38" i="44"/>
  <c r="BR102" i="44"/>
  <c r="BM39" i="44"/>
  <c r="BM67" i="44"/>
  <c r="BM107" i="44"/>
  <c r="BS81" i="44"/>
  <c r="BS60" i="44"/>
  <c r="BS53" i="44"/>
  <c r="BS61" i="44"/>
  <c r="BS80" i="44"/>
  <c r="BM16" i="44"/>
  <c r="BM23" i="44"/>
  <c r="BM24" i="44"/>
  <c r="BM32" i="44"/>
  <c r="BM59" i="44"/>
  <c r="BM108" i="44"/>
  <c r="BM37" i="44"/>
  <c r="BM295" i="43"/>
  <c r="BM343" i="43"/>
  <c r="BS53" i="43"/>
  <c r="BM389" i="43"/>
  <c r="BP434" i="43"/>
  <c r="BQ305" i="43"/>
  <c r="BM404" i="43"/>
  <c r="BJ406" i="43"/>
  <c r="BS463" i="43"/>
  <c r="BQ339" i="43"/>
  <c r="BJ374" i="43"/>
  <c r="BP397" i="43"/>
  <c r="BJ440" i="43"/>
  <c r="BM366" i="43"/>
  <c r="BM192" i="43"/>
  <c r="BM361" i="43"/>
  <c r="BM376" i="43"/>
  <c r="BM377" i="43" s="1"/>
  <c r="BM419" i="43"/>
  <c r="BS24" i="43"/>
  <c r="BJ237" i="43"/>
  <c r="BM213" i="43"/>
  <c r="BR27" i="43"/>
  <c r="BM34" i="43"/>
  <c r="BM230" i="43"/>
  <c r="BM237" i="43"/>
  <c r="BM234" i="43"/>
  <c r="BJ256" i="43"/>
  <c r="BQ302" i="43"/>
  <c r="BJ216" i="43"/>
  <c r="BS25" i="43"/>
  <c r="BU59" i="43"/>
  <c r="BQ72" i="43"/>
  <c r="BM203" i="43"/>
  <c r="BM210" i="43"/>
  <c r="BQ219" i="43"/>
  <c r="BM224" i="43"/>
  <c r="BS411" i="43"/>
  <c r="BS453" i="43"/>
  <c r="BJ459" i="43"/>
  <c r="BM76" i="43"/>
  <c r="BM200" i="43"/>
  <c r="BM241" i="43"/>
  <c r="BM279" i="43"/>
  <c r="BM351" i="43"/>
  <c r="BJ446" i="43"/>
  <c r="BS156" i="43"/>
  <c r="BQ162" i="43"/>
  <c r="BQ275" i="43"/>
  <c r="BQ327" i="43"/>
  <c r="BS447" i="43"/>
  <c r="BU35" i="43"/>
  <c r="BS131" i="43"/>
  <c r="BS138" i="43"/>
  <c r="BM183" i="43"/>
  <c r="BM190" i="43"/>
  <c r="BJ254" i="43"/>
  <c r="BM260" i="43"/>
  <c r="BM355" i="43"/>
  <c r="BM38" i="43"/>
  <c r="BS54" i="43"/>
  <c r="BJ119" i="43"/>
  <c r="BS132" i="43"/>
  <c r="BS139" i="43"/>
  <c r="BM369" i="43"/>
  <c r="BS410" i="43"/>
  <c r="BM413" i="43"/>
  <c r="BM448" i="43"/>
  <c r="BS382" i="43"/>
  <c r="BM393" i="43"/>
  <c r="BS397" i="43"/>
  <c r="BM261" i="43"/>
  <c r="BM275" i="43"/>
  <c r="BM357" i="43"/>
  <c r="BJ404" i="43"/>
  <c r="BS37" i="43"/>
  <c r="BM198" i="43"/>
  <c r="BM205" i="43"/>
  <c r="BM225" i="43"/>
  <c r="BM231" i="43"/>
  <c r="BM243" i="43"/>
  <c r="BJ252" i="43"/>
  <c r="BJ266" i="43"/>
  <c r="BM283" i="43"/>
  <c r="BM291" i="43"/>
  <c r="BM296" i="43"/>
  <c r="BQ328" i="43"/>
  <c r="BQ335" i="43"/>
  <c r="BQ341" i="43"/>
  <c r="BM345" i="43"/>
  <c r="BS413" i="43"/>
  <c r="BS164" i="43"/>
  <c r="BJ228" i="43"/>
  <c r="BQ287" i="43"/>
  <c r="BM292" i="43"/>
  <c r="BJ293" i="43"/>
  <c r="BQ342" i="43"/>
  <c r="BM17" i="43"/>
  <c r="BS20" i="43"/>
  <c r="BS48" i="43"/>
  <c r="BM71" i="43"/>
  <c r="BJ82" i="43"/>
  <c r="BJ90" i="43"/>
  <c r="BJ98" i="43"/>
  <c r="BJ123" i="43"/>
  <c r="BS136" i="43"/>
  <c r="BS165" i="43"/>
  <c r="BM173" i="43"/>
  <c r="BM186" i="43"/>
  <c r="BS28" i="43"/>
  <c r="BM51" i="43"/>
  <c r="BJ66" i="43"/>
  <c r="BJ108" i="43"/>
  <c r="BJ124" i="43"/>
  <c r="BS142" i="43"/>
  <c r="BM187" i="43"/>
  <c r="BJ190" i="43"/>
  <c r="BM194" i="43"/>
  <c r="BJ204" i="43"/>
  <c r="BM223" i="43"/>
  <c r="BJ248" i="43"/>
  <c r="BM293" i="43"/>
  <c r="BM349" i="43"/>
  <c r="BS417" i="43"/>
  <c r="BR42" i="44"/>
  <c r="BR39" i="43"/>
  <c r="BO35" i="44"/>
  <c r="BM31" i="44"/>
  <c r="BQ90" i="44"/>
  <c r="BT96" i="44"/>
  <c r="BT98" i="44" s="1"/>
  <c r="BT110" i="44"/>
  <c r="BM20" i="44"/>
  <c r="BR49" i="44"/>
  <c r="BM45" i="44"/>
  <c r="BO28" i="44"/>
  <c r="BU35" i="44"/>
  <c r="BR88" i="44"/>
  <c r="BT128" i="44"/>
  <c r="BO19" i="44"/>
  <c r="BM15" i="44"/>
  <c r="BR28" i="44"/>
  <c r="BM22" i="44"/>
  <c r="BM34" i="44"/>
  <c r="BM47" i="44"/>
  <c r="BM54" i="44"/>
  <c r="BS65" i="44"/>
  <c r="BS72" i="44"/>
  <c r="BN121" i="44"/>
  <c r="BS127" i="44"/>
  <c r="BM15" i="43"/>
  <c r="BM21" i="43"/>
  <c r="BS30" i="43"/>
  <c r="BT138" i="43"/>
  <c r="BS383" i="43"/>
  <c r="BM388" i="43"/>
  <c r="BL253" i="43"/>
  <c r="BM303" i="43"/>
  <c r="BR35" i="43"/>
  <c r="BS34" i="43"/>
  <c r="BU50" i="43"/>
  <c r="BU52" i="43" s="1"/>
  <c r="BM216" i="43"/>
  <c r="BJ417" i="43"/>
  <c r="BM426" i="43"/>
  <c r="BT24" i="43"/>
  <c r="BS41" i="43"/>
  <c r="BM112" i="43"/>
  <c r="BR457" i="43"/>
  <c r="BM24" i="43"/>
  <c r="BJ94" i="43"/>
  <c r="BS137" i="43"/>
  <c r="BS151" i="43"/>
  <c r="BS160" i="43"/>
  <c r="BM167" i="43"/>
  <c r="BS173" i="43"/>
  <c r="BM184" i="43"/>
  <c r="BM218" i="43"/>
  <c r="BJ225" i="43"/>
  <c r="BQ272" i="43"/>
  <c r="BJ296" i="43"/>
  <c r="BM363" i="43"/>
  <c r="BS396" i="43"/>
  <c r="BM399" i="43"/>
  <c r="BM427" i="43"/>
  <c r="BQ449" i="43"/>
  <c r="BM452" i="43"/>
  <c r="BU28" i="44"/>
  <c r="BS57" i="44"/>
  <c r="BL64" i="44"/>
  <c r="BL70" i="44" s="1"/>
  <c r="BR89" i="44"/>
  <c r="BR92" i="44" s="1"/>
  <c r="BR93" i="44"/>
  <c r="BR98" i="44" s="1"/>
  <c r="BL103" i="44"/>
  <c r="BL104" i="44" s="1"/>
  <c r="BT43" i="44"/>
  <c r="BT49" i="44" s="1"/>
  <c r="BO50" i="44"/>
  <c r="BO56" i="44" s="1"/>
  <c r="BL57" i="44"/>
  <c r="BL63" i="44" s="1"/>
  <c r="BU57" i="44"/>
  <c r="BU63" i="44" s="1"/>
  <c r="BM62" i="44"/>
  <c r="BR71" i="44"/>
  <c r="BR77" i="44" s="1"/>
  <c r="BL78" i="44"/>
  <c r="BL84" i="44" s="1"/>
  <c r="BO84" i="44"/>
  <c r="BO85" i="44"/>
  <c r="BO88" i="44" s="1"/>
  <c r="BS95" i="44"/>
  <c r="BL99" i="44"/>
  <c r="BL102" i="44" s="1"/>
  <c r="BU105" i="44"/>
  <c r="BU110" i="44" s="1"/>
  <c r="BO113" i="44"/>
  <c r="BO121" i="44" s="1"/>
  <c r="BS125" i="44"/>
  <c r="BN85" i="44"/>
  <c r="BN88" i="44" s="1"/>
  <c r="BO36" i="44"/>
  <c r="BO42" i="44" s="1"/>
  <c r="BU43" i="44"/>
  <c r="BR50" i="44"/>
  <c r="BR56" i="44" s="1"/>
  <c r="BN57" i="44"/>
  <c r="BT57" i="44"/>
  <c r="BO64" i="44"/>
  <c r="BO70" i="44" s="1"/>
  <c r="BT65" i="44"/>
  <c r="BT71" i="44"/>
  <c r="BS82" i="44"/>
  <c r="BK89" i="44"/>
  <c r="BU89" i="44"/>
  <c r="BU92" i="44" s="1"/>
  <c r="BN99" i="44"/>
  <c r="BO103" i="44"/>
  <c r="BO104" i="44" s="1"/>
  <c r="BL105" i="44"/>
  <c r="BL110" i="44" s="1"/>
  <c r="BT111" i="44"/>
  <c r="BT112" i="44" s="1"/>
  <c r="BR113" i="44"/>
  <c r="BR121" i="44" s="1"/>
  <c r="BM118" i="44"/>
  <c r="BU122" i="44"/>
  <c r="BU128" i="44" s="1"/>
  <c r="BU99" i="44"/>
  <c r="BU102" i="44" s="1"/>
  <c r="BU14" i="44"/>
  <c r="BU19" i="44" s="1"/>
  <c r="BR33" i="44"/>
  <c r="BR35" i="44" s="1"/>
  <c r="BL43" i="44"/>
  <c r="BL49" i="44" s="1"/>
  <c r="BT50" i="44"/>
  <c r="BT53" i="44"/>
  <c r="BO57" i="44"/>
  <c r="BO63" i="44" s="1"/>
  <c r="BR70" i="44"/>
  <c r="BU71" i="44"/>
  <c r="BU77" i="44" s="1"/>
  <c r="BL89" i="44"/>
  <c r="BL92" i="44" s="1"/>
  <c r="BL93" i="44"/>
  <c r="BL98" i="44" s="1"/>
  <c r="BO99" i="44"/>
  <c r="BO102" i="44" s="1"/>
  <c r="BR103" i="44"/>
  <c r="BR104" i="44" s="1"/>
  <c r="BU111" i="44"/>
  <c r="BU112" i="44" s="1"/>
  <c r="BT113" i="44"/>
  <c r="BT121" i="44" s="1"/>
  <c r="BM114" i="44"/>
  <c r="BL122" i="44"/>
  <c r="BL128" i="44" s="1"/>
  <c r="BM125" i="44"/>
  <c r="BO71" i="44"/>
  <c r="BO77" i="44" s="1"/>
  <c r="BU50" i="44"/>
  <c r="BM60" i="44"/>
  <c r="BL71" i="44"/>
  <c r="BL77" i="44" s="1"/>
  <c r="BR78" i="44"/>
  <c r="BR84" i="44" s="1"/>
  <c r="BS79" i="44"/>
  <c r="BU85" i="44"/>
  <c r="BT103" i="44"/>
  <c r="BT104" i="44" s="1"/>
  <c r="BO105" i="44"/>
  <c r="BO110" i="44" s="1"/>
  <c r="BL111" i="44"/>
  <c r="BL112" i="44" s="1"/>
  <c r="BU113" i="44"/>
  <c r="BU121" i="44" s="1"/>
  <c r="BN122" i="44"/>
  <c r="BN128" i="44" s="1"/>
  <c r="BU78" i="44"/>
  <c r="BO111" i="44"/>
  <c r="BO112" i="44" s="1"/>
  <c r="BR122" i="44"/>
  <c r="BR128" i="44" s="1"/>
  <c r="BM25" i="44"/>
  <c r="BM30" i="44"/>
  <c r="BU36" i="44"/>
  <c r="BU42" i="44" s="1"/>
  <c r="BS40" i="44"/>
  <c r="BO43" i="44"/>
  <c r="BO49" i="44" s="1"/>
  <c r="BM44" i="44"/>
  <c r="BL50" i="44"/>
  <c r="BL56" i="44" s="1"/>
  <c r="BR57" i="44"/>
  <c r="BR63" i="44" s="1"/>
  <c r="BM58" i="44"/>
  <c r="BS59" i="44"/>
  <c r="BU64" i="44"/>
  <c r="BU70" i="44" s="1"/>
  <c r="BT67" i="44"/>
  <c r="BS73" i="44"/>
  <c r="BM75" i="44"/>
  <c r="BM79" i="44"/>
  <c r="BL85" i="44"/>
  <c r="BL88" i="44" s="1"/>
  <c r="BS86" i="44"/>
  <c r="BS87" i="44"/>
  <c r="BO89" i="44"/>
  <c r="BO92" i="44" s="1"/>
  <c r="BS91" i="44"/>
  <c r="BO93" i="44"/>
  <c r="BO98" i="44" s="1"/>
  <c r="BM96" i="44"/>
  <c r="BT99" i="44"/>
  <c r="BT102" i="44" s="1"/>
  <c r="BR105" i="44"/>
  <c r="BR110" i="44" s="1"/>
  <c r="BM106" i="44"/>
  <c r="BS107" i="44"/>
  <c r="BL113" i="44"/>
  <c r="BL121" i="44" s="1"/>
  <c r="BO122" i="44"/>
  <c r="BO128" i="44" s="1"/>
  <c r="BR22" i="43"/>
  <c r="BO64" i="43"/>
  <c r="BO67" i="43" s="1"/>
  <c r="BR88" i="43"/>
  <c r="BR91" i="43" s="1"/>
  <c r="BR107" i="43"/>
  <c r="BR110" i="43" s="1"/>
  <c r="BT111" i="43"/>
  <c r="BT114" i="43" s="1"/>
  <c r="BU122" i="43"/>
  <c r="BU126" i="43" s="1"/>
  <c r="BN127" i="43"/>
  <c r="BL134" i="43"/>
  <c r="BL140" i="43" s="1"/>
  <c r="BR147" i="43"/>
  <c r="BR152" i="43" s="1"/>
  <c r="BR153" i="43"/>
  <c r="BR158" i="43" s="1"/>
  <c r="BU14" i="43"/>
  <c r="BU18" i="43" s="1"/>
  <c r="BU23" i="43"/>
  <c r="BU27" i="43" s="1"/>
  <c r="BL28" i="43"/>
  <c r="BL31" i="43" s="1"/>
  <c r="BT30" i="43"/>
  <c r="BU36" i="43"/>
  <c r="BU37" i="43"/>
  <c r="BO40" i="43"/>
  <c r="BO42" i="43" s="1"/>
  <c r="BT47" i="43"/>
  <c r="BT49" i="43" s="1"/>
  <c r="BN53" i="43"/>
  <c r="BN55" i="43" s="1"/>
  <c r="BR55" i="43"/>
  <c r="BN56" i="43"/>
  <c r="BN59" i="43" s="1"/>
  <c r="BR64" i="43"/>
  <c r="BR67" i="43" s="1"/>
  <c r="BO68" i="43"/>
  <c r="BO70" i="43" s="1"/>
  <c r="BT71" i="43"/>
  <c r="BT75" i="43" s="1"/>
  <c r="BT76" i="43"/>
  <c r="BT79" i="43" s="1"/>
  <c r="BL80" i="43"/>
  <c r="BL83" i="43" s="1"/>
  <c r="BR84" i="43"/>
  <c r="BR87" i="43" s="1"/>
  <c r="BT88" i="43"/>
  <c r="BT91" i="43" s="1"/>
  <c r="BN92" i="43"/>
  <c r="BO96" i="43"/>
  <c r="BO99" i="43" s="1"/>
  <c r="BR100" i="43"/>
  <c r="BR103" i="43" s="1"/>
  <c r="BL104" i="43"/>
  <c r="BL106" i="43" s="1"/>
  <c r="BT107" i="43"/>
  <c r="BT110" i="43" s="1"/>
  <c r="BU111" i="43"/>
  <c r="BU114" i="43" s="1"/>
  <c r="BN115" i="43"/>
  <c r="BR118" i="43"/>
  <c r="BR121" i="43" s="1"/>
  <c r="BL122" i="43"/>
  <c r="BO127" i="43"/>
  <c r="BO133" i="43" s="1"/>
  <c r="BN134" i="43"/>
  <c r="BN140" i="43" s="1"/>
  <c r="BO141" i="43"/>
  <c r="BO146" i="43" s="1"/>
  <c r="BU146" i="43"/>
  <c r="BU159" i="43"/>
  <c r="BU163" i="43" s="1"/>
  <c r="BL164" i="43"/>
  <c r="BL169" i="43" s="1"/>
  <c r="BN170" i="43"/>
  <c r="BU175" i="43"/>
  <c r="BR176" i="43"/>
  <c r="BR181" i="43" s="1"/>
  <c r="BO189" i="43"/>
  <c r="BO195" i="43" s="1"/>
  <c r="BM191" i="43"/>
  <c r="BR227" i="43"/>
  <c r="BR232" i="43" s="1"/>
  <c r="BU285" i="43"/>
  <c r="BU289" i="43" s="1"/>
  <c r="BR300" i="43"/>
  <c r="BR306" i="43" s="1"/>
  <c r="BU324" i="43"/>
  <c r="BU325" i="43" s="1"/>
  <c r="BR338" i="43"/>
  <c r="BR346" i="43" s="1"/>
  <c r="BN378" i="43"/>
  <c r="BR416" i="43"/>
  <c r="BR422" i="43" s="1"/>
  <c r="BO458" i="43"/>
  <c r="BO460" i="43" s="1"/>
  <c r="BL461" i="43"/>
  <c r="BL464" i="43" s="1"/>
  <c r="BL19" i="43"/>
  <c r="BL22" i="43" s="1"/>
  <c r="BR76" i="43"/>
  <c r="BR79" i="43" s="1"/>
  <c r="BU80" i="43"/>
  <c r="BU83" i="43" s="1"/>
  <c r="BN96" i="43"/>
  <c r="BN99" i="43" s="1"/>
  <c r="BL309" i="43"/>
  <c r="BR326" i="43"/>
  <c r="BR329" i="43" s="1"/>
  <c r="BL14" i="43"/>
  <c r="BL18" i="43" s="1"/>
  <c r="BO19" i="43"/>
  <c r="BO22" i="43" s="1"/>
  <c r="BL23" i="43"/>
  <c r="BL27" i="43" s="1"/>
  <c r="BT25" i="43"/>
  <c r="BL36" i="43"/>
  <c r="BL39" i="43" s="1"/>
  <c r="BR40" i="43"/>
  <c r="BR42" i="43" s="1"/>
  <c r="BU47" i="43"/>
  <c r="BU49" i="43" s="1"/>
  <c r="BO53" i="43"/>
  <c r="BO55" i="43" s="1"/>
  <c r="BO56" i="43"/>
  <c r="BO59" i="43" s="1"/>
  <c r="BT64" i="43"/>
  <c r="BT67" i="43" s="1"/>
  <c r="BR68" i="43"/>
  <c r="BR70" i="43" s="1"/>
  <c r="BL71" i="43"/>
  <c r="BL75" i="43" s="1"/>
  <c r="BU71" i="43"/>
  <c r="BU75" i="43" s="1"/>
  <c r="BL76" i="43"/>
  <c r="BL79" i="43" s="1"/>
  <c r="BU76" i="43"/>
  <c r="BU79" i="43" s="1"/>
  <c r="BN80" i="43"/>
  <c r="BN83" i="43" s="1"/>
  <c r="BT84" i="43"/>
  <c r="BT87" i="43" s="1"/>
  <c r="BL88" i="43"/>
  <c r="BL91" i="43" s="1"/>
  <c r="BU88" i="43"/>
  <c r="BO92" i="43"/>
  <c r="BO95" i="43" s="1"/>
  <c r="BR96" i="43"/>
  <c r="BR99" i="43" s="1"/>
  <c r="BT100" i="43"/>
  <c r="BT103" i="43" s="1"/>
  <c r="BN104" i="43"/>
  <c r="BU107" i="43"/>
  <c r="BU110" i="43" s="1"/>
  <c r="BL111" i="43"/>
  <c r="BL114" i="43" s="1"/>
  <c r="BO115" i="43"/>
  <c r="BO117" i="43" s="1"/>
  <c r="BS116" i="43"/>
  <c r="BT118" i="43"/>
  <c r="BT121" i="43" s="1"/>
  <c r="BR127" i="43"/>
  <c r="BR133" i="43" s="1"/>
  <c r="BO134" i="43"/>
  <c r="BO140" i="43" s="1"/>
  <c r="BR141" i="43"/>
  <c r="BR146" i="43" s="1"/>
  <c r="BL159" i="43"/>
  <c r="BL163" i="43" s="1"/>
  <c r="BT159" i="43"/>
  <c r="BN164" i="43"/>
  <c r="BO170" i="43"/>
  <c r="BO175" i="43" s="1"/>
  <c r="BS174" i="43"/>
  <c r="BU182" i="43"/>
  <c r="BU188" i="43" s="1"/>
  <c r="BR189" i="43"/>
  <c r="BR195" i="43" s="1"/>
  <c r="BU202" i="43"/>
  <c r="BU207" i="43" s="1"/>
  <c r="BU208" i="43"/>
  <c r="BU214" i="43" s="1"/>
  <c r="BU215" i="43"/>
  <c r="BU220" i="43" s="1"/>
  <c r="BR314" i="43"/>
  <c r="BR317" i="43" s="1"/>
  <c r="BR334" i="43"/>
  <c r="BR337" i="43" s="1"/>
  <c r="BR364" i="43"/>
  <c r="BN372" i="43"/>
  <c r="BN375" i="43" s="1"/>
  <c r="BR391" i="43"/>
  <c r="BR394" i="43" s="1"/>
  <c r="BL395" i="43"/>
  <c r="BR43" i="43"/>
  <c r="BR46" i="43" s="1"/>
  <c r="BL53" i="43"/>
  <c r="BL55" i="43" s="1"/>
  <c r="BU104" i="43"/>
  <c r="BU106" i="43" s="1"/>
  <c r="BL170" i="43"/>
  <c r="BL175" i="43" s="1"/>
  <c r="BO196" i="43"/>
  <c r="BO201" i="43" s="1"/>
  <c r="BL399" i="43"/>
  <c r="BO28" i="43"/>
  <c r="BO31" i="43" s="1"/>
  <c r="BS29" i="43"/>
  <c r="BL32" i="43"/>
  <c r="BL35" i="43" s="1"/>
  <c r="BT36" i="43"/>
  <c r="BT40" i="43"/>
  <c r="BT42" i="43" s="1"/>
  <c r="BL43" i="43"/>
  <c r="BL46" i="43" s="1"/>
  <c r="BT43" i="43"/>
  <c r="BL47" i="43"/>
  <c r="BL49" i="43" s="1"/>
  <c r="BL50" i="43"/>
  <c r="BL52" i="43" s="1"/>
  <c r="BR56" i="43"/>
  <c r="BR59" i="43" s="1"/>
  <c r="BU60" i="43"/>
  <c r="BU63" i="43" s="1"/>
  <c r="BU64" i="43"/>
  <c r="BU67" i="43" s="1"/>
  <c r="BT68" i="43"/>
  <c r="BT70" i="43" s="1"/>
  <c r="BM69" i="43"/>
  <c r="BN71" i="43"/>
  <c r="BM74" i="43"/>
  <c r="BN76" i="43"/>
  <c r="BK84" i="43"/>
  <c r="BU84" i="43"/>
  <c r="BU87" i="43" s="1"/>
  <c r="BM86" i="43"/>
  <c r="BN88" i="43"/>
  <c r="BN91" i="43" s="1"/>
  <c r="BQ89" i="43"/>
  <c r="BT96" i="43"/>
  <c r="BT99" i="43" s="1"/>
  <c r="BM97" i="43"/>
  <c r="BU100" i="43"/>
  <c r="BU103" i="43" s="1"/>
  <c r="BO104" i="43"/>
  <c r="BO106" i="43" s="1"/>
  <c r="BL107" i="43"/>
  <c r="BL110" i="43" s="1"/>
  <c r="BM109" i="43"/>
  <c r="BN111" i="43"/>
  <c r="BU118" i="43"/>
  <c r="BU121" i="43" s="1"/>
  <c r="BO122" i="43"/>
  <c r="BO126" i="43" s="1"/>
  <c r="BT132" i="43"/>
  <c r="BR134" i="43"/>
  <c r="BR140" i="43" s="1"/>
  <c r="BT137" i="43"/>
  <c r="BL147" i="43"/>
  <c r="BL152" i="43" s="1"/>
  <c r="BT147" i="43"/>
  <c r="BS150" i="43"/>
  <c r="BU158" i="43"/>
  <c r="BT156" i="43"/>
  <c r="BO164" i="43"/>
  <c r="BO169" i="43" s="1"/>
  <c r="BR170" i="43"/>
  <c r="BR175" i="43" s="1"/>
  <c r="BR182" i="43"/>
  <c r="BR188" i="43" s="1"/>
  <c r="BK196" i="43"/>
  <c r="BU196" i="43"/>
  <c r="BU201" i="43" s="1"/>
  <c r="BL208" i="43"/>
  <c r="BR239" i="43"/>
  <c r="BR244" i="43" s="1"/>
  <c r="BN253" i="43"/>
  <c r="BM253" i="43"/>
  <c r="BU274" i="43"/>
  <c r="BU277" i="43" s="1"/>
  <c r="BU307" i="43"/>
  <c r="BU313" i="43" s="1"/>
  <c r="BR330" i="43"/>
  <c r="BR333" i="43" s="1"/>
  <c r="BR385" i="43"/>
  <c r="BR390" i="43" s="1"/>
  <c r="BT423" i="43"/>
  <c r="BN444" i="43"/>
  <c r="BU28" i="43"/>
  <c r="BU31" i="43" s="1"/>
  <c r="BN40" i="43"/>
  <c r="BN42" i="43" s="1"/>
  <c r="BR50" i="43"/>
  <c r="BR52" i="43" s="1"/>
  <c r="BL56" i="43"/>
  <c r="BL59" i="43" s="1"/>
  <c r="BR71" i="43"/>
  <c r="BR75" i="43" s="1"/>
  <c r="BO100" i="43"/>
  <c r="BU115" i="43"/>
  <c r="BU117" i="43" s="1"/>
  <c r="BU164" i="43"/>
  <c r="BU169" i="43" s="1"/>
  <c r="BO176" i="43"/>
  <c r="BO181" i="43" s="1"/>
  <c r="BL205" i="43"/>
  <c r="BU365" i="43"/>
  <c r="BU371" i="43" s="1"/>
  <c r="BR409" i="43"/>
  <c r="BR415" i="43" s="1"/>
  <c r="BU461" i="43"/>
  <c r="BU464" i="43" s="1"/>
  <c r="BO14" i="43"/>
  <c r="BO18" i="43" s="1"/>
  <c r="BO23" i="43"/>
  <c r="BO27" i="43" s="1"/>
  <c r="BR28" i="43"/>
  <c r="BR31" i="43" s="1"/>
  <c r="BN32" i="43"/>
  <c r="BO36" i="43"/>
  <c r="BO39" i="43" s="1"/>
  <c r="BU40" i="43"/>
  <c r="BU42" i="43" s="1"/>
  <c r="BN43" i="43"/>
  <c r="BN46" i="43" s="1"/>
  <c r="BU43" i="43"/>
  <c r="BU46" i="43" s="1"/>
  <c r="BR47" i="43"/>
  <c r="BR49" i="43" s="1"/>
  <c r="BN50" i="43"/>
  <c r="BT53" i="43"/>
  <c r="BT54" i="43"/>
  <c r="BL60" i="43"/>
  <c r="BL63" i="43" s="1"/>
  <c r="BR60" i="43"/>
  <c r="BR63" i="43" s="1"/>
  <c r="BL64" i="43"/>
  <c r="BL67" i="43" s="1"/>
  <c r="BM65" i="43"/>
  <c r="BU68" i="43"/>
  <c r="BU70" i="43" s="1"/>
  <c r="BO71" i="43"/>
  <c r="BO75" i="43" s="1"/>
  <c r="BJ73" i="43"/>
  <c r="BO76" i="43"/>
  <c r="BO79" i="43" s="1"/>
  <c r="BR80" i="43"/>
  <c r="BR83" i="43" s="1"/>
  <c r="BL84" i="43"/>
  <c r="BL87" i="43" s="1"/>
  <c r="BO88" i="43"/>
  <c r="BR95" i="43"/>
  <c r="BU96" i="43"/>
  <c r="BU99" i="43" s="1"/>
  <c r="BL100" i="43"/>
  <c r="BL103" i="43" s="1"/>
  <c r="BR104" i="43"/>
  <c r="BR106" i="43" s="1"/>
  <c r="BN107" i="43"/>
  <c r="BN110" i="43" s="1"/>
  <c r="BO111" i="43"/>
  <c r="BO114" i="43" s="1"/>
  <c r="BR115" i="43"/>
  <c r="BR117" i="43" s="1"/>
  <c r="BL118" i="43"/>
  <c r="BL121" i="43" s="1"/>
  <c r="BR122" i="43"/>
  <c r="BR126" i="43" s="1"/>
  <c r="BU127" i="43"/>
  <c r="BT134" i="43"/>
  <c r="BU147" i="43"/>
  <c r="BU152" i="43" s="1"/>
  <c r="BO159" i="43"/>
  <c r="BO163" i="43" s="1"/>
  <c r="BR164" i="43"/>
  <c r="BR169" i="43" s="1"/>
  <c r="BT165" i="43"/>
  <c r="BS168" i="43"/>
  <c r="BL176" i="43"/>
  <c r="BT176" i="43"/>
  <c r="BU189" i="43"/>
  <c r="BU195" i="43" s="1"/>
  <c r="BR264" i="43"/>
  <c r="BR267" i="43" s="1"/>
  <c r="BO353" i="43"/>
  <c r="BO402" i="43"/>
  <c r="BO408" i="43" s="1"/>
  <c r="BL432" i="43"/>
  <c r="BO60" i="43"/>
  <c r="BO63" i="43" s="1"/>
  <c r="BO84" i="43"/>
  <c r="BO87" i="43" s="1"/>
  <c r="BU92" i="43"/>
  <c r="BU95" i="43" s="1"/>
  <c r="BL115" i="43"/>
  <c r="BL117" i="43" s="1"/>
  <c r="BO118" i="43"/>
  <c r="BO121" i="43" s="1"/>
  <c r="BR14" i="43"/>
  <c r="BR18" i="43" s="1"/>
  <c r="BM16" i="43"/>
  <c r="BU19" i="43"/>
  <c r="BU22" i="43" s="1"/>
  <c r="BS21" i="43"/>
  <c r="BT28" i="43"/>
  <c r="BO32" i="43"/>
  <c r="BO35" i="43" s="1"/>
  <c r="BL40" i="43"/>
  <c r="BL42" i="43" s="1"/>
  <c r="BO43" i="43"/>
  <c r="BO46" i="43" s="1"/>
  <c r="BO47" i="43"/>
  <c r="BO49" i="43" s="1"/>
  <c r="BO50" i="43"/>
  <c r="BO52" i="43" s="1"/>
  <c r="BU53" i="43"/>
  <c r="BU55" i="43" s="1"/>
  <c r="BN60" i="43"/>
  <c r="BN63" i="43" s="1"/>
  <c r="BT60" i="43"/>
  <c r="BN64" i="43"/>
  <c r="BL68" i="43"/>
  <c r="BL70" i="43" s="1"/>
  <c r="BJ69" i="43"/>
  <c r="BP74" i="43"/>
  <c r="BJ78" i="43"/>
  <c r="BT80" i="43"/>
  <c r="BT83" i="43" s="1"/>
  <c r="BN84" i="43"/>
  <c r="BN87" i="43" s="1"/>
  <c r="BJ86" i="43"/>
  <c r="BT92" i="43"/>
  <c r="BT95" i="43" s="1"/>
  <c r="BL96" i="43"/>
  <c r="BL99" i="43" s="1"/>
  <c r="BJ102" i="43"/>
  <c r="BT104" i="43"/>
  <c r="BT106" i="43" s="1"/>
  <c r="BR111" i="43"/>
  <c r="BR114" i="43" s="1"/>
  <c r="BT115" i="43"/>
  <c r="BT117" i="43" s="1"/>
  <c r="BQ120" i="43"/>
  <c r="BT122" i="43"/>
  <c r="BM125" i="43"/>
  <c r="BL127" i="43"/>
  <c r="BL133" i="43" s="1"/>
  <c r="BT127" i="43"/>
  <c r="BS128" i="43"/>
  <c r="BL141" i="43"/>
  <c r="BL146" i="43" s="1"/>
  <c r="BO147" i="43"/>
  <c r="BO152" i="43" s="1"/>
  <c r="BO153" i="43"/>
  <c r="BO158" i="43" s="1"/>
  <c r="BR159" i="43"/>
  <c r="BR163" i="43" s="1"/>
  <c r="BT160" i="43"/>
  <c r="BM165" i="43"/>
  <c r="BN176" i="43"/>
  <c r="BU176" i="43"/>
  <c r="BU181" i="43" s="1"/>
  <c r="BM179" i="43"/>
  <c r="BJ180" i="43"/>
  <c r="BO182" i="43"/>
  <c r="BO188" i="43" s="1"/>
  <c r="BL189" i="43"/>
  <c r="BO202" i="43"/>
  <c r="BO207" i="43" s="1"/>
  <c r="BL204" i="43"/>
  <c r="BL217" i="43"/>
  <c r="BK290" i="43"/>
  <c r="BL320" i="43"/>
  <c r="BO347" i="43"/>
  <c r="BO352" i="43" s="1"/>
  <c r="BM382" i="43"/>
  <c r="BN382" i="43"/>
  <c r="BR437" i="43"/>
  <c r="BR443" i="43" s="1"/>
  <c r="BO451" i="43"/>
  <c r="BO457" i="43" s="1"/>
  <c r="BO215" i="43"/>
  <c r="BO220" i="43" s="1"/>
  <c r="BR221" i="43"/>
  <c r="BR226" i="43" s="1"/>
  <c r="BL239" i="43"/>
  <c r="BL245" i="43"/>
  <c r="BU245" i="43"/>
  <c r="BU250" i="43" s="1"/>
  <c r="BM247" i="43"/>
  <c r="BO260" i="43"/>
  <c r="BN268" i="43"/>
  <c r="BO285" i="43"/>
  <c r="BO289" i="43" s="1"/>
  <c r="BO290" i="43"/>
  <c r="BO297" i="43" s="1"/>
  <c r="BL314" i="43"/>
  <c r="BN318" i="43"/>
  <c r="BN323" i="43" s="1"/>
  <c r="BO324" i="43"/>
  <c r="BO325" i="43" s="1"/>
  <c r="BL326" i="43"/>
  <c r="BL330" i="43"/>
  <c r="BL333" i="43" s="1"/>
  <c r="BL334" i="43"/>
  <c r="BL337" i="43" s="1"/>
  <c r="BL338" i="43"/>
  <c r="BU347" i="43"/>
  <c r="BU352" i="43" s="1"/>
  <c r="BU353" i="43"/>
  <c r="BU359" i="43" s="1"/>
  <c r="BO365" i="43"/>
  <c r="BO371" i="43" s="1"/>
  <c r="BL376" i="43"/>
  <c r="BL377" i="43" s="1"/>
  <c r="BU376" i="43"/>
  <c r="BU377" i="43" s="1"/>
  <c r="BR395" i="43"/>
  <c r="BR401" i="43" s="1"/>
  <c r="BL416" i="43"/>
  <c r="BN423" i="43"/>
  <c r="BO430" i="43"/>
  <c r="BO436" i="43" s="1"/>
  <c r="BL437" i="43"/>
  <c r="BL443" i="43" s="1"/>
  <c r="BT444" i="43"/>
  <c r="BU451" i="43"/>
  <c r="BU457" i="43" s="1"/>
  <c r="BT453" i="43"/>
  <c r="BU458" i="43"/>
  <c r="BU460" i="43" s="1"/>
  <c r="BO461" i="43"/>
  <c r="BO464" i="43" s="1"/>
  <c r="BR215" i="43"/>
  <c r="BR220" i="43" s="1"/>
  <c r="BU233" i="43"/>
  <c r="BU238" i="43" s="1"/>
  <c r="BN239" i="43"/>
  <c r="BO251" i="43"/>
  <c r="BU258" i="43"/>
  <c r="BU259" i="43" s="1"/>
  <c r="BO268" i="43"/>
  <c r="BL269" i="43"/>
  <c r="BM271" i="43"/>
  <c r="BK278" i="43"/>
  <c r="BU278" i="43"/>
  <c r="BU284" i="43" s="1"/>
  <c r="BR285" i="43"/>
  <c r="BR289" i="43" s="1"/>
  <c r="BO298" i="43"/>
  <c r="BO299" i="43" s="1"/>
  <c r="BN300" i="43"/>
  <c r="BN306" i="43" s="1"/>
  <c r="BN314" i="43"/>
  <c r="BN317" i="43" s="1"/>
  <c r="BO318" i="43"/>
  <c r="BR324" i="43"/>
  <c r="BR325" i="43" s="1"/>
  <c r="BN326" i="43"/>
  <c r="BN329" i="43" s="1"/>
  <c r="BN330" i="43"/>
  <c r="BN333" i="43" s="1"/>
  <c r="BN334" i="43"/>
  <c r="BN337" i="43" s="1"/>
  <c r="BN338" i="43"/>
  <c r="BU372" i="43"/>
  <c r="BU375" i="43" s="1"/>
  <c r="BN376" i="43"/>
  <c r="BN377" i="43" s="1"/>
  <c r="BU378" i="43"/>
  <c r="BM379" i="43"/>
  <c r="BN385" i="43"/>
  <c r="BN391" i="43"/>
  <c r="BT395" i="43"/>
  <c r="BM400" i="43"/>
  <c r="BL402" i="43"/>
  <c r="BU402" i="43"/>
  <c r="BU408" i="43" s="1"/>
  <c r="BN409" i="43"/>
  <c r="BT410" i="43"/>
  <c r="BO423" i="43"/>
  <c r="BO429" i="43" s="1"/>
  <c r="BR461" i="43"/>
  <c r="BR464" i="43" s="1"/>
  <c r="BT463" i="43"/>
  <c r="BQ198" i="43"/>
  <c r="BM219" i="43"/>
  <c r="BU221" i="43"/>
  <c r="BU226" i="43" s="1"/>
  <c r="BO227" i="43"/>
  <c r="BO232" i="43" s="1"/>
  <c r="BJ234" i="43"/>
  <c r="BO239" i="43"/>
  <c r="BO244" i="43" s="1"/>
  <c r="BL242" i="43"/>
  <c r="BO245" i="43"/>
  <c r="BO250" i="43" s="1"/>
  <c r="BR251" i="43"/>
  <c r="BR257" i="43" s="1"/>
  <c r="BM256" i="43"/>
  <c r="BR260" i="43"/>
  <c r="BR263" i="43" s="1"/>
  <c r="BO264" i="43"/>
  <c r="BO267" i="43" s="1"/>
  <c r="BM287" i="43"/>
  <c r="BR290" i="43"/>
  <c r="BR297" i="43" s="1"/>
  <c r="BM294" i="43"/>
  <c r="BR298" i="43"/>
  <c r="BR299" i="43" s="1"/>
  <c r="BO314" i="43"/>
  <c r="BR318" i="43"/>
  <c r="BR323" i="43" s="1"/>
  <c r="BO326" i="43"/>
  <c r="BO329" i="43" s="1"/>
  <c r="BO330" i="43"/>
  <c r="BO333" i="43" s="1"/>
  <c r="BP332" i="43"/>
  <c r="BO334" i="43"/>
  <c r="BO337" i="43" s="1"/>
  <c r="BQ336" i="43"/>
  <c r="BO338" i="43"/>
  <c r="BO346" i="43" s="1"/>
  <c r="BM358" i="43"/>
  <c r="BM362" i="43"/>
  <c r="BM367" i="43"/>
  <c r="BM370" i="43"/>
  <c r="BO376" i="43"/>
  <c r="BO377" i="43" s="1"/>
  <c r="BL378" i="43"/>
  <c r="BM381" i="43"/>
  <c r="BO385" i="43"/>
  <c r="BS388" i="43"/>
  <c r="BO391" i="43"/>
  <c r="BO394" i="43" s="1"/>
  <c r="BJ403" i="43"/>
  <c r="BS407" i="43"/>
  <c r="BO409" i="43"/>
  <c r="BO416" i="43"/>
  <c r="BR423" i="43"/>
  <c r="BR429" i="43" s="1"/>
  <c r="BM425" i="43"/>
  <c r="BP426" i="43"/>
  <c r="BS426" i="43"/>
  <c r="BR430" i="43"/>
  <c r="BR436" i="43" s="1"/>
  <c r="BO437" i="43"/>
  <c r="BO443" i="43" s="1"/>
  <c r="BL444" i="43"/>
  <c r="BO444" i="43"/>
  <c r="BM456" i="43"/>
  <c r="BN458" i="43"/>
  <c r="BT461" i="43"/>
  <c r="BM462" i="43"/>
  <c r="BR196" i="43"/>
  <c r="BR201" i="43" s="1"/>
  <c r="BR202" i="43"/>
  <c r="BR207" i="43" s="1"/>
  <c r="BO233" i="43"/>
  <c r="BO238" i="43" s="1"/>
  <c r="BR245" i="43"/>
  <c r="BR250" i="43" s="1"/>
  <c r="BM248" i="43"/>
  <c r="BU251" i="43"/>
  <c r="BU257" i="43" s="1"/>
  <c r="BM254" i="43"/>
  <c r="BO258" i="43"/>
  <c r="BO259" i="43" s="1"/>
  <c r="BU260" i="43"/>
  <c r="BU263" i="43" s="1"/>
  <c r="BU268" i="43"/>
  <c r="BU273" i="43" s="1"/>
  <c r="BR274" i="43"/>
  <c r="BR277" i="43" s="1"/>
  <c r="BO278" i="43"/>
  <c r="BO284" i="43" s="1"/>
  <c r="BL290" i="43"/>
  <c r="BU290" i="43"/>
  <c r="BU297" i="43" s="1"/>
  <c r="BU298" i="43"/>
  <c r="BU299" i="43" s="1"/>
  <c r="BM302" i="43"/>
  <c r="BO307" i="43"/>
  <c r="BU318" i="43"/>
  <c r="BU323" i="43" s="1"/>
  <c r="BL324" i="43"/>
  <c r="BL325" i="43" s="1"/>
  <c r="BT330" i="43"/>
  <c r="BT333" i="43" s="1"/>
  <c r="BT334" i="43"/>
  <c r="BT337" i="43" s="1"/>
  <c r="BT338" i="43"/>
  <c r="BR347" i="43"/>
  <c r="BR352" i="43" s="1"/>
  <c r="BR353" i="43"/>
  <c r="BR359" i="43" s="1"/>
  <c r="BU360" i="43"/>
  <c r="BU364" i="43" s="1"/>
  <c r="BR365" i="43"/>
  <c r="BR371" i="43" s="1"/>
  <c r="BO372" i="43"/>
  <c r="BO375" i="43" s="1"/>
  <c r="BR376" i="43"/>
  <c r="BR377" i="43" s="1"/>
  <c r="BO378" i="43"/>
  <c r="BM387" i="43"/>
  <c r="BS389" i="43"/>
  <c r="BN395" i="43"/>
  <c r="BU423" i="43"/>
  <c r="BU429" i="43" s="1"/>
  <c r="BL430" i="43"/>
  <c r="BU430" i="43"/>
  <c r="BT437" i="43"/>
  <c r="BT443" i="43" s="1"/>
  <c r="BS441" i="43"/>
  <c r="BR458" i="43"/>
  <c r="BR460" i="43" s="1"/>
  <c r="BM199" i="43"/>
  <c r="BO208" i="43"/>
  <c r="BO214" i="43" s="1"/>
  <c r="BR208" i="43"/>
  <c r="BR214" i="43" s="1"/>
  <c r="BO221" i="43"/>
  <c r="BO226" i="43" s="1"/>
  <c r="BU227" i="43"/>
  <c r="BU232" i="43" s="1"/>
  <c r="BR233" i="43"/>
  <c r="BR238" i="43" s="1"/>
  <c r="BU239" i="43"/>
  <c r="BU244" i="43" s="1"/>
  <c r="BL251" i="43"/>
  <c r="BR258" i="43"/>
  <c r="BR259" i="43" s="1"/>
  <c r="BN260" i="43"/>
  <c r="BN263" i="43" s="1"/>
  <c r="BK264" i="43"/>
  <c r="BU264" i="43"/>
  <c r="BU267" i="43" s="1"/>
  <c r="BR268" i="43"/>
  <c r="BR273" i="43" s="1"/>
  <c r="BN274" i="43"/>
  <c r="BR278" i="43"/>
  <c r="BR284" i="43" s="1"/>
  <c r="BU300" i="43"/>
  <c r="BU306" i="43" s="1"/>
  <c r="BJ304" i="43"/>
  <c r="BL304" i="43"/>
  <c r="BN307" i="43"/>
  <c r="BN313" i="43" s="1"/>
  <c r="BR307" i="43"/>
  <c r="BR313" i="43" s="1"/>
  <c r="BU314" i="43"/>
  <c r="BU317" i="43" s="1"/>
  <c r="BL318" i="43"/>
  <c r="BN324" i="43"/>
  <c r="BN325" i="43" s="1"/>
  <c r="BU326" i="43"/>
  <c r="BU329" i="43" s="1"/>
  <c r="BU330" i="43"/>
  <c r="BU333" i="43" s="1"/>
  <c r="BU334" i="43"/>
  <c r="BU337" i="43" s="1"/>
  <c r="BK338" i="43"/>
  <c r="BU338" i="43"/>
  <c r="BU346" i="43" s="1"/>
  <c r="BO360" i="43"/>
  <c r="BO364" i="43" s="1"/>
  <c r="BR372" i="43"/>
  <c r="BR375" i="43" s="1"/>
  <c r="BR378" i="43"/>
  <c r="BR384" i="43" s="1"/>
  <c r="BK385" i="43"/>
  <c r="BU385" i="43"/>
  <c r="BU391" i="43"/>
  <c r="BU394" i="43" s="1"/>
  <c r="BR402" i="43"/>
  <c r="BR408" i="43" s="1"/>
  <c r="BU409" i="43"/>
  <c r="BU415" i="43" s="1"/>
  <c r="BU416" i="43"/>
  <c r="BU422" i="43" s="1"/>
  <c r="BP424" i="43"/>
  <c r="BS427" i="43"/>
  <c r="BU441" i="43"/>
  <c r="BR444" i="43"/>
  <c r="BR450" i="43" s="1"/>
  <c r="BT458" i="43"/>
  <c r="BT460" i="43" s="1"/>
  <c r="BQ54" i="44"/>
  <c r="BQ82" i="44"/>
  <c r="BK82" i="44"/>
  <c r="BQ86" i="44"/>
  <c r="BK86" i="44"/>
  <c r="BK108" i="44"/>
  <c r="BP87" i="44"/>
  <c r="BK87" i="44"/>
  <c r="BK95" i="44"/>
  <c r="BQ95" i="44"/>
  <c r="BK81" i="44"/>
  <c r="BQ81" i="44"/>
  <c r="BQ83" i="44"/>
  <c r="BK83" i="44"/>
  <c r="BK85" i="44"/>
  <c r="BQ100" i="44"/>
  <c r="BK100" i="44"/>
  <c r="BK107" i="44"/>
  <c r="BP107" i="44"/>
  <c r="BP91" i="44"/>
  <c r="BK91" i="44"/>
  <c r="BL16" i="44"/>
  <c r="BL39" i="44"/>
  <c r="BU81" i="44"/>
  <c r="BT85" i="44"/>
  <c r="BU86" i="44"/>
  <c r="BN93" i="44"/>
  <c r="BL22" i="44"/>
  <c r="BP48" i="44"/>
  <c r="BM53" i="44"/>
  <c r="BT60" i="44"/>
  <c r="BT61" i="44"/>
  <c r="BT62" i="44"/>
  <c r="BT64" i="44"/>
  <c r="BT72" i="44"/>
  <c r="BS76" i="44"/>
  <c r="BT80" i="44"/>
  <c r="BT89" i="44"/>
  <c r="BS90" i="44"/>
  <c r="BT91" i="44"/>
  <c r="BS106" i="44"/>
  <c r="BM117" i="44"/>
  <c r="BM120" i="44"/>
  <c r="BM123" i="44"/>
  <c r="BS124" i="44"/>
  <c r="BL15" i="44"/>
  <c r="BL18" i="44"/>
  <c r="BL25" i="44"/>
  <c r="BS41" i="44"/>
  <c r="BK48" i="44"/>
  <c r="BS55" i="44"/>
  <c r="BS58" i="44"/>
  <c r="BS66" i="44"/>
  <c r="BS68" i="44"/>
  <c r="BS69" i="44"/>
  <c r="BS74" i="44"/>
  <c r="BT78" i="44"/>
  <c r="BK90" i="44"/>
  <c r="BS100" i="44"/>
  <c r="BQ101" i="44"/>
  <c r="BS101" i="44"/>
  <c r="BJ105" i="44"/>
  <c r="BM115" i="44"/>
  <c r="BS116" i="44"/>
  <c r="BS126" i="44"/>
  <c r="BM127" i="44"/>
  <c r="BL21" i="44"/>
  <c r="BL24" i="44"/>
  <c r="BL31" i="44"/>
  <c r="BL34" i="44"/>
  <c r="BS44" i="44"/>
  <c r="BN47" i="44"/>
  <c r="BM51" i="44"/>
  <c r="BM52" i="44"/>
  <c r="BN58" i="44"/>
  <c r="BS75" i="44"/>
  <c r="BT83" i="44"/>
  <c r="BT87" i="44"/>
  <c r="BM124" i="44"/>
  <c r="BL27" i="44"/>
  <c r="BM48" i="44"/>
  <c r="BS54" i="44"/>
  <c r="BM55" i="44"/>
  <c r="BS94" i="44"/>
  <c r="BN96" i="44"/>
  <c r="BS109" i="44"/>
  <c r="BM116" i="44"/>
  <c r="BM126" i="44"/>
  <c r="BM17" i="44"/>
  <c r="BM27" i="44"/>
  <c r="BL33" i="44"/>
  <c r="BL40" i="44"/>
  <c r="BM46" i="44"/>
  <c r="BM61" i="44"/>
  <c r="BM65" i="44"/>
  <c r="BM73" i="44"/>
  <c r="BK94" i="44"/>
  <c r="BM109" i="44"/>
  <c r="BM119" i="44"/>
  <c r="BT45" i="43"/>
  <c r="BS45" i="43"/>
  <c r="BN105" i="43"/>
  <c r="BM105" i="43"/>
  <c r="BU134" i="43"/>
  <c r="BS17" i="43"/>
  <c r="BN21" i="43"/>
  <c r="BN22" i="43" s="1"/>
  <c r="BT33" i="43"/>
  <c r="BS33" i="43"/>
  <c r="BS58" i="43"/>
  <c r="BN68" i="43"/>
  <c r="BN70" i="43" s="1"/>
  <c r="BQ85" i="43"/>
  <c r="BN100" i="43"/>
  <c r="BN103" i="43" s="1"/>
  <c r="BU135" i="43"/>
  <c r="BS135" i="43"/>
  <c r="BT154" i="43"/>
  <c r="BS154" i="43"/>
  <c r="BL391" i="43"/>
  <c r="BM459" i="43"/>
  <c r="BN459" i="43"/>
  <c r="BT38" i="43"/>
  <c r="BS38" i="43"/>
  <c r="BT51" i="43"/>
  <c r="BS51" i="43"/>
  <c r="BT56" i="43"/>
  <c r="BN78" i="43"/>
  <c r="BM78" i="43"/>
  <c r="BU89" i="43"/>
  <c r="BS89" i="43"/>
  <c r="BT162" i="43"/>
  <c r="BS162" i="43"/>
  <c r="BL343" i="43"/>
  <c r="BS15" i="43"/>
  <c r="BT26" i="43"/>
  <c r="BS26" i="43"/>
  <c r="BT62" i="43"/>
  <c r="BS62" i="43"/>
  <c r="BN93" i="43"/>
  <c r="BM93" i="43"/>
  <c r="BO107" i="43"/>
  <c r="BO110" i="43" s="1"/>
  <c r="BN116" i="43"/>
  <c r="BM116" i="43"/>
  <c r="BT178" i="43"/>
  <c r="BS178" i="43"/>
  <c r="BO90" i="43"/>
  <c r="BM90" i="43"/>
  <c r="BN118" i="43"/>
  <c r="BN121" i="43" s="1"/>
  <c r="BM20" i="43"/>
  <c r="BT44" i="43"/>
  <c r="BS44" i="43"/>
  <c r="BT57" i="43"/>
  <c r="BS57" i="43"/>
  <c r="BN66" i="43"/>
  <c r="BM66" i="43"/>
  <c r="BN73" i="43"/>
  <c r="BM73" i="43"/>
  <c r="BO102" i="43"/>
  <c r="BM102" i="43"/>
  <c r="BN122" i="43"/>
  <c r="BT125" i="43"/>
  <c r="BS125" i="43"/>
  <c r="BU130" i="43"/>
  <c r="BS130" i="43"/>
  <c r="BT14" i="43"/>
  <c r="BT18" i="43" s="1"/>
  <c r="BT50" i="43"/>
  <c r="BS16" i="43"/>
  <c r="BT32" i="43"/>
  <c r="BJ65" i="43"/>
  <c r="BJ77" i="43"/>
  <c r="BO80" i="43"/>
  <c r="BO83" i="43" s="1"/>
  <c r="BN113" i="43"/>
  <c r="BM113" i="43"/>
  <c r="BO308" i="43"/>
  <c r="BT148" i="43"/>
  <c r="BS148" i="43"/>
  <c r="BT171" i="43"/>
  <c r="BS171" i="43"/>
  <c r="BL197" i="43"/>
  <c r="BN204" i="43"/>
  <c r="BM204" i="43"/>
  <c r="BN246" i="43"/>
  <c r="BM246" i="43"/>
  <c r="BN266" i="43"/>
  <c r="BM266" i="43"/>
  <c r="BJ280" i="43"/>
  <c r="BL280" i="43"/>
  <c r="BK421" i="43"/>
  <c r="BN15" i="43"/>
  <c r="BN16" i="43"/>
  <c r="BT19" i="43"/>
  <c r="BT20" i="43"/>
  <c r="BT23" i="43"/>
  <c r="BT136" i="43"/>
  <c r="BT161" i="43"/>
  <c r="BS161" i="43"/>
  <c r="BL186" i="43"/>
  <c r="BL194" i="43"/>
  <c r="BL198" i="43"/>
  <c r="BL224" i="43"/>
  <c r="BL265" i="43"/>
  <c r="BL274" i="43"/>
  <c r="BM85" i="43"/>
  <c r="BM89" i="43"/>
  <c r="BM98" i="43"/>
  <c r="BM120" i="43"/>
  <c r="BM124" i="43"/>
  <c r="BS129" i="43"/>
  <c r="BS144" i="43"/>
  <c r="BT157" i="43"/>
  <c r="BS157" i="43"/>
  <c r="BS167" i="43"/>
  <c r="BT172" i="43"/>
  <c r="BS172" i="43"/>
  <c r="BP203" i="43"/>
  <c r="BL203" i="43"/>
  <c r="BL227" i="43"/>
  <c r="BN251" i="43"/>
  <c r="BO255" i="43"/>
  <c r="BM255" i="43"/>
  <c r="BN265" i="43"/>
  <c r="BM265" i="43"/>
  <c r="BL353" i="43"/>
  <c r="BS61" i="43"/>
  <c r="BM77" i="43"/>
  <c r="BM82" i="43"/>
  <c r="BM101" i="43"/>
  <c r="BM108" i="43"/>
  <c r="BT139" i="43"/>
  <c r="BT142" i="43"/>
  <c r="BT153" i="43"/>
  <c r="BS155" i="43"/>
  <c r="BT177" i="43"/>
  <c r="BS177" i="43"/>
  <c r="BJ183" i="43"/>
  <c r="BM72" i="43"/>
  <c r="BM94" i="43"/>
  <c r="BM119" i="43"/>
  <c r="BM123" i="43"/>
  <c r="BT143" i="43"/>
  <c r="BS143" i="43"/>
  <c r="BS145" i="43"/>
  <c r="BS149" i="43"/>
  <c r="BT166" i="43"/>
  <c r="BS166" i="43"/>
  <c r="BL183" i="43"/>
  <c r="BJ184" i="43"/>
  <c r="BJ187" i="43"/>
  <c r="BL192" i="43"/>
  <c r="BJ200" i="43"/>
  <c r="BL200" i="43"/>
  <c r="BM222" i="43"/>
  <c r="BL235" i="43"/>
  <c r="BM249" i="43"/>
  <c r="BO262" i="43"/>
  <c r="BM262" i="43"/>
  <c r="BN270" i="43"/>
  <c r="BM270" i="43"/>
  <c r="BP283" i="43"/>
  <c r="BL283" i="43"/>
  <c r="BQ331" i="43"/>
  <c r="BQ340" i="43"/>
  <c r="BL215" i="43"/>
  <c r="BL218" i="43"/>
  <c r="BL221" i="43"/>
  <c r="BN252" i="43"/>
  <c r="BM252" i="43"/>
  <c r="BL296" i="43"/>
  <c r="BQ301" i="43"/>
  <c r="BL301" i="43"/>
  <c r="BL347" i="43"/>
  <c r="BL428" i="43"/>
  <c r="BN433" i="43"/>
  <c r="BM433" i="43"/>
  <c r="BL209" i="43"/>
  <c r="BL212" i="43"/>
  <c r="BM242" i="43"/>
  <c r="BL247" i="43"/>
  <c r="BN258" i="43"/>
  <c r="BN259" i="43" s="1"/>
  <c r="BL271" i="43"/>
  <c r="BL278" i="43"/>
  <c r="BL281" i="43"/>
  <c r="BL355" i="43"/>
  <c r="BM171" i="43"/>
  <c r="BM180" i="43"/>
  <c r="BM197" i="43"/>
  <c r="BL206" i="43"/>
  <c r="BM209" i="43"/>
  <c r="BM212" i="43"/>
  <c r="BM217" i="43"/>
  <c r="BL230" i="43"/>
  <c r="BL233" i="43"/>
  <c r="BM236" i="43"/>
  <c r="BJ262" i="43"/>
  <c r="BP281" i="43"/>
  <c r="BL298" i="43"/>
  <c r="BL299" i="43" s="1"/>
  <c r="BM304" i="43"/>
  <c r="BL362" i="43"/>
  <c r="BM185" i="43"/>
  <c r="BM193" i="43"/>
  <c r="BM206" i="43"/>
  <c r="BM211" i="43"/>
  <c r="BK239" i="43"/>
  <c r="BP246" i="43"/>
  <c r="BN264" i="43"/>
  <c r="BN269" i="43"/>
  <c r="BM269" i="43"/>
  <c r="BJ270" i="43"/>
  <c r="BM286" i="43"/>
  <c r="BL349" i="43"/>
  <c r="BM228" i="43"/>
  <c r="BM235" i="43"/>
  <c r="BM272" i="43"/>
  <c r="BM280" i="43"/>
  <c r="BM281" i="43"/>
  <c r="BJ295" i="43"/>
  <c r="BM301" i="43"/>
  <c r="BM319" i="43"/>
  <c r="BM322" i="43"/>
  <c r="BT405" i="43"/>
  <c r="BS405" i="43"/>
  <c r="BJ292" i="43"/>
  <c r="BL295" i="43"/>
  <c r="BP406" i="43"/>
  <c r="BL292" i="43"/>
  <c r="BL344" i="43"/>
  <c r="BL350" i="43"/>
  <c r="BL356" i="43"/>
  <c r="BN389" i="43"/>
  <c r="BM229" i="43"/>
  <c r="BL236" i="43"/>
  <c r="BM240" i="43"/>
  <c r="BL249" i="43"/>
  <c r="BL255" i="43"/>
  <c r="BM282" i="43"/>
  <c r="BQ286" i="43"/>
  <c r="BM344" i="43"/>
  <c r="BM348" i="43"/>
  <c r="BM350" i="43"/>
  <c r="BM354" i="43"/>
  <c r="BM356" i="43"/>
  <c r="BL360" i="43"/>
  <c r="BL381" i="43"/>
  <c r="BL385" i="43"/>
  <c r="BQ425" i="43"/>
  <c r="BJ425" i="43"/>
  <c r="BN439" i="43"/>
  <c r="BM439" i="43"/>
  <c r="BM380" i="43"/>
  <c r="BN381" i="43"/>
  <c r="BT411" i="43"/>
  <c r="BS414" i="43"/>
  <c r="BT417" i="43"/>
  <c r="BS420" i="43"/>
  <c r="BT426" i="43"/>
  <c r="BM445" i="43"/>
  <c r="BT451" i="43"/>
  <c r="BT455" i="43"/>
  <c r="BS462" i="43"/>
  <c r="BM463" i="43"/>
  <c r="BL374" i="43"/>
  <c r="BT382" i="43"/>
  <c r="BN388" i="43"/>
  <c r="BN393" i="43"/>
  <c r="BL403" i="43"/>
  <c r="BS434" i="43"/>
  <c r="BU444" i="43"/>
  <c r="BL448" i="43"/>
  <c r="BL363" i="43"/>
  <c r="BL366" i="43"/>
  <c r="BM374" i="43"/>
  <c r="BN387" i="43"/>
  <c r="BS392" i="43"/>
  <c r="BL397" i="43"/>
  <c r="BN400" i="43"/>
  <c r="BL405" i="43"/>
  <c r="BT407" i="43"/>
  <c r="BT413" i="43"/>
  <c r="BT419" i="43"/>
  <c r="BL424" i="43"/>
  <c r="BS435" i="43"/>
  <c r="BS446" i="43"/>
  <c r="BN448" i="43"/>
  <c r="BN461" i="43"/>
  <c r="BN464" i="43" s="1"/>
  <c r="BL372" i="43"/>
  <c r="BM373" i="43"/>
  <c r="BS386" i="43"/>
  <c r="BN399" i="43"/>
  <c r="BN425" i="43"/>
  <c r="BM438" i="43"/>
  <c r="BS440" i="43"/>
  <c r="BM449" i="43"/>
  <c r="BL365" i="43"/>
  <c r="BM368" i="43"/>
  <c r="BS398" i="43"/>
  <c r="BM407" i="43"/>
  <c r="BM432" i="43"/>
  <c r="BU437" i="43"/>
  <c r="BM442" i="43"/>
  <c r="BU447" i="43"/>
  <c r="BS452" i="43"/>
  <c r="BS456" i="43"/>
  <c r="BT34" i="44"/>
  <c r="BS34" i="44"/>
  <c r="BN50" i="44"/>
  <c r="BK55" i="44"/>
  <c r="BL14" i="44"/>
  <c r="BK15" i="44"/>
  <c r="BT15" i="44"/>
  <c r="BS15" i="44"/>
  <c r="BL17" i="44"/>
  <c r="BK21" i="44"/>
  <c r="BT21" i="44"/>
  <c r="BS21" i="44"/>
  <c r="BL23" i="44"/>
  <c r="BK27" i="44"/>
  <c r="BT27" i="44"/>
  <c r="BS27" i="44"/>
  <c r="BL29" i="44"/>
  <c r="BK33" i="44"/>
  <c r="BT33" i="44"/>
  <c r="BS33" i="44"/>
  <c r="BK39" i="44"/>
  <c r="BT39" i="44"/>
  <c r="BS39" i="44"/>
  <c r="BK46" i="44"/>
  <c r="BK22" i="44"/>
  <c r="BK34" i="44"/>
  <c r="BK47" i="44"/>
  <c r="BK20" i="44"/>
  <c r="BT20" i="44"/>
  <c r="BK26" i="44"/>
  <c r="BT26" i="44"/>
  <c r="BS26" i="44"/>
  <c r="BK32" i="44"/>
  <c r="BT32" i="44"/>
  <c r="BS32" i="44"/>
  <c r="BK38" i="44"/>
  <c r="BT38" i="44"/>
  <c r="BS38" i="44"/>
  <c r="BJ40" i="44"/>
  <c r="BQ40" i="44"/>
  <c r="BL41" i="44"/>
  <c r="BU47" i="44"/>
  <c r="BS47" i="44"/>
  <c r="BK72" i="44"/>
  <c r="BN76" i="44"/>
  <c r="BM76" i="44"/>
  <c r="BK16" i="44"/>
  <c r="BK25" i="44"/>
  <c r="BT25" i="44"/>
  <c r="BS25" i="44"/>
  <c r="BK31" i="44"/>
  <c r="BT31" i="44"/>
  <c r="BS31" i="44"/>
  <c r="BK37" i="44"/>
  <c r="BT37" i="44"/>
  <c r="BS37" i="44"/>
  <c r="BK45" i="44"/>
  <c r="BT16" i="44"/>
  <c r="BS16" i="44"/>
  <c r="BT22" i="44"/>
  <c r="BS22" i="44"/>
  <c r="BU52" i="44"/>
  <c r="BS52" i="44"/>
  <c r="BK18" i="44"/>
  <c r="BT18" i="44"/>
  <c r="BS18" i="44"/>
  <c r="BK24" i="44"/>
  <c r="BT24" i="44"/>
  <c r="BS24" i="44"/>
  <c r="BK30" i="44"/>
  <c r="BT30" i="44"/>
  <c r="BS30" i="44"/>
  <c r="BK36" i="44"/>
  <c r="BT36" i="44"/>
  <c r="BK44" i="44"/>
  <c r="BK51" i="44"/>
  <c r="BK66" i="44"/>
  <c r="BK78" i="44"/>
  <c r="BK14" i="44"/>
  <c r="BK17" i="44"/>
  <c r="BT17" i="44"/>
  <c r="BS17" i="44"/>
  <c r="BK23" i="44"/>
  <c r="BT23" i="44"/>
  <c r="BS23" i="44"/>
  <c r="BK29" i="44"/>
  <c r="BT29" i="44"/>
  <c r="BP40" i="44"/>
  <c r="BN45" i="44"/>
  <c r="BJ87" i="44"/>
  <c r="BN43" i="44"/>
  <c r="BK61" i="44"/>
  <c r="BK65" i="44"/>
  <c r="BN15" i="44"/>
  <c r="BN16" i="44"/>
  <c r="BN17" i="44"/>
  <c r="BN18" i="44"/>
  <c r="BN20" i="44"/>
  <c r="BN21" i="44"/>
  <c r="BN22" i="44"/>
  <c r="BN23" i="44"/>
  <c r="BN24" i="44"/>
  <c r="BN25" i="44"/>
  <c r="BN26" i="44"/>
  <c r="BN27" i="44"/>
  <c r="BN29" i="44"/>
  <c r="BN30" i="44"/>
  <c r="BN31" i="44"/>
  <c r="BN32" i="44"/>
  <c r="BN33" i="44"/>
  <c r="BN34" i="44"/>
  <c r="BN36" i="44"/>
  <c r="BN37" i="44"/>
  <c r="BN38" i="44"/>
  <c r="BN39" i="44"/>
  <c r="BU45" i="44"/>
  <c r="BS45" i="44"/>
  <c r="BQ52" i="44"/>
  <c r="BJ52" i="44"/>
  <c r="BP52" i="44"/>
  <c r="BK52" i="44"/>
  <c r="BK53" i="44"/>
  <c r="BK54" i="44"/>
  <c r="BK59" i="44"/>
  <c r="BK60" i="44"/>
  <c r="BN66" i="44"/>
  <c r="BM66" i="44"/>
  <c r="BK67" i="44"/>
  <c r="BK68" i="44"/>
  <c r="BN72" i="44"/>
  <c r="BM72" i="44"/>
  <c r="BK74" i="44"/>
  <c r="BN78" i="44"/>
  <c r="BK79" i="44"/>
  <c r="BK80" i="44"/>
  <c r="BQ91" i="44"/>
  <c r="BK93" i="44"/>
  <c r="BM40" i="44"/>
  <c r="BT40" i="44"/>
  <c r="BN54" i="44"/>
  <c r="BK73" i="44"/>
  <c r="BJ90" i="44"/>
  <c r="BP90" i="44"/>
  <c r="BK40" i="44"/>
  <c r="BM41" i="44"/>
  <c r="BN44" i="44"/>
  <c r="BS46" i="44"/>
  <c r="BS48" i="44"/>
  <c r="BN64" i="44"/>
  <c r="BN68" i="44"/>
  <c r="BM68" i="44"/>
  <c r="BN74" i="44"/>
  <c r="BM74" i="44"/>
  <c r="BK75" i="44"/>
  <c r="BK76" i="44"/>
  <c r="BN80" i="44"/>
  <c r="BM80" i="44"/>
  <c r="BJ83" i="44"/>
  <c r="BJ89" i="44"/>
  <c r="BK41" i="44"/>
  <c r="BU51" i="44"/>
  <c r="BS51" i="44"/>
  <c r="BK57" i="44"/>
  <c r="BN59" i="44"/>
  <c r="BK69" i="44"/>
  <c r="BJ82" i="44"/>
  <c r="BP82" i="44"/>
  <c r="BK58" i="44"/>
  <c r="BK62" i="44"/>
  <c r="BU103" i="44"/>
  <c r="BU104" i="44" s="1"/>
  <c r="BN61" i="44"/>
  <c r="BN65" i="44"/>
  <c r="BN67" i="44"/>
  <c r="BN69" i="44"/>
  <c r="BN71" i="44"/>
  <c r="BN73" i="44"/>
  <c r="BN75" i="44"/>
  <c r="BN79" i="44"/>
  <c r="BM81" i="44"/>
  <c r="BM82" i="44"/>
  <c r="BM83" i="44"/>
  <c r="BM86" i="44"/>
  <c r="BM87" i="44"/>
  <c r="BM90" i="44"/>
  <c r="BM91" i="44"/>
  <c r="BN91" i="44"/>
  <c r="BN92" i="44" s="1"/>
  <c r="BN94" i="44"/>
  <c r="BM94" i="44"/>
  <c r="BK96" i="44"/>
  <c r="BN100" i="44"/>
  <c r="BM100" i="44"/>
  <c r="BK97" i="44"/>
  <c r="BK109" i="44"/>
  <c r="BK122" i="44"/>
  <c r="BU97" i="44"/>
  <c r="BS97" i="44"/>
  <c r="BK106" i="44"/>
  <c r="BU93" i="44"/>
  <c r="BQ94" i="44"/>
  <c r="BJ94" i="44"/>
  <c r="BP94" i="44"/>
  <c r="BJ108" i="44"/>
  <c r="BQ108" i="44"/>
  <c r="BP108" i="44"/>
  <c r="BM95" i="44"/>
  <c r="BM101" i="44"/>
  <c r="BN105" i="44"/>
  <c r="BN108" i="44"/>
  <c r="BN111" i="44"/>
  <c r="BN112" i="44" s="1"/>
  <c r="BN106" i="44"/>
  <c r="BN109" i="44"/>
  <c r="BK114" i="44"/>
  <c r="BK118" i="44"/>
  <c r="BS108" i="44"/>
  <c r="BM97" i="44"/>
  <c r="BN107" i="44"/>
  <c r="BK119" i="44"/>
  <c r="BK115" i="44"/>
  <c r="BK125" i="44"/>
  <c r="BK126" i="44"/>
  <c r="BK127" i="44"/>
  <c r="BK124" i="44"/>
  <c r="BK117" i="44"/>
  <c r="BK120" i="44"/>
  <c r="BK123" i="44"/>
  <c r="BK113" i="44"/>
  <c r="BK116" i="44"/>
  <c r="BS114" i="44"/>
  <c r="BS115" i="44"/>
  <c r="BS117" i="44"/>
  <c r="BS118" i="44"/>
  <c r="BS119" i="44"/>
  <c r="BS120" i="44"/>
  <c r="BS123" i="44"/>
  <c r="BN23" i="43"/>
  <c r="BK29" i="43"/>
  <c r="BN17" i="43"/>
  <c r="BK20" i="43"/>
  <c r="BK34" i="43"/>
  <c r="BK58" i="43"/>
  <c r="BK101" i="43"/>
  <c r="BK15" i="43"/>
  <c r="BK21" i="43"/>
  <c r="BK33" i="43"/>
  <c r="BK45" i="43"/>
  <c r="BK51" i="43"/>
  <c r="BK57" i="43"/>
  <c r="BK62" i="43"/>
  <c r="BK104" i="43"/>
  <c r="BK125" i="43"/>
  <c r="BK16" i="43"/>
  <c r="BK26" i="43"/>
  <c r="BK38" i="43"/>
  <c r="BK44" i="43"/>
  <c r="BK97" i="43"/>
  <c r="BK109" i="43"/>
  <c r="BK112" i="43"/>
  <c r="BK115" i="43"/>
  <c r="BN14" i="43"/>
  <c r="BK17" i="43"/>
  <c r="BK25" i="43"/>
  <c r="BK37" i="43"/>
  <c r="BK61" i="43"/>
  <c r="BK41" i="43"/>
  <c r="BK24" i="43"/>
  <c r="BK30" i="43"/>
  <c r="BK36" i="43"/>
  <c r="BK48" i="43"/>
  <c r="BK54" i="43"/>
  <c r="BK93" i="43"/>
  <c r="BK105" i="43"/>
  <c r="BK113" i="43"/>
  <c r="BK116" i="43"/>
  <c r="BN24" i="43"/>
  <c r="BN28" i="43"/>
  <c r="BN31" i="43" s="1"/>
  <c r="BN34" i="43"/>
  <c r="BN36" i="43"/>
  <c r="BN38" i="43"/>
  <c r="BN47" i="43"/>
  <c r="BN49" i="43" s="1"/>
  <c r="BN51" i="43"/>
  <c r="BK171" i="43"/>
  <c r="BT187" i="43"/>
  <c r="BS187" i="43"/>
  <c r="BL243" i="43"/>
  <c r="BM25" i="43"/>
  <c r="BM26" i="43"/>
  <c r="BM29" i="43"/>
  <c r="BM30" i="43"/>
  <c r="BM33" i="43"/>
  <c r="BM37" i="43"/>
  <c r="BM41" i="43"/>
  <c r="BM44" i="43"/>
  <c r="BM45" i="43"/>
  <c r="BM48" i="43"/>
  <c r="BM54" i="43"/>
  <c r="BM57" i="43"/>
  <c r="BM58" i="43"/>
  <c r="BM61" i="43"/>
  <c r="BM62" i="43"/>
  <c r="BK65" i="43"/>
  <c r="BK69" i="43"/>
  <c r="BK73" i="43"/>
  <c r="BK77" i="43"/>
  <c r="BK82" i="43"/>
  <c r="BK86" i="43"/>
  <c r="BK119" i="43"/>
  <c r="BK123" i="43"/>
  <c r="BK132" i="43"/>
  <c r="BM145" i="43"/>
  <c r="BN145" i="43"/>
  <c r="BN147" i="43"/>
  <c r="BK199" i="43"/>
  <c r="BL231" i="43"/>
  <c r="BK89" i="43"/>
  <c r="BK177" i="43"/>
  <c r="BM447" i="43"/>
  <c r="BN447" i="43"/>
  <c r="BL222" i="43"/>
  <c r="BK90" i="43"/>
  <c r="BK94" i="43"/>
  <c r="BK98" i="43"/>
  <c r="BK102" i="43"/>
  <c r="BQ119" i="43"/>
  <c r="BP119" i="43"/>
  <c r="BP123" i="43"/>
  <c r="BK130" i="43"/>
  <c r="BM149" i="43"/>
  <c r="BN149" i="43"/>
  <c r="BM151" i="43"/>
  <c r="BN151" i="43"/>
  <c r="BK194" i="43"/>
  <c r="BL199" i="43"/>
  <c r="BK217" i="43"/>
  <c r="BT237" i="43"/>
  <c r="BS237" i="43"/>
  <c r="BK167" i="43"/>
  <c r="BL213" i="43"/>
  <c r="BT231" i="43"/>
  <c r="BS231" i="43"/>
  <c r="BJ240" i="43"/>
  <c r="BQ240" i="43"/>
  <c r="BP240" i="43"/>
  <c r="BK136" i="43"/>
  <c r="BN141" i="43"/>
  <c r="BM143" i="43"/>
  <c r="BN143" i="43"/>
  <c r="BT190" i="43"/>
  <c r="BS190" i="43"/>
  <c r="BJ210" i="43"/>
  <c r="BQ210" i="43"/>
  <c r="BP210" i="43"/>
  <c r="BQ102" i="43"/>
  <c r="BP102" i="43"/>
  <c r="BK108" i="43"/>
  <c r="BK128" i="43"/>
  <c r="BN153" i="43"/>
  <c r="BT213" i="43"/>
  <c r="BS213" i="43"/>
  <c r="BP124" i="43"/>
  <c r="BK173" i="43"/>
  <c r="BK138" i="43"/>
  <c r="BK165" i="43"/>
  <c r="BK66" i="43"/>
  <c r="BK72" i="43"/>
  <c r="BK74" i="43"/>
  <c r="BK78" i="43"/>
  <c r="BK80" i="43"/>
  <c r="BK85" i="43"/>
  <c r="BK120" i="43"/>
  <c r="BK124" i="43"/>
  <c r="BM155" i="43"/>
  <c r="BN155" i="43"/>
  <c r="BM157" i="43"/>
  <c r="BN157" i="43"/>
  <c r="BN159" i="43"/>
  <c r="BM161" i="43"/>
  <c r="BN161" i="43"/>
  <c r="BL179" i="43"/>
  <c r="BT193" i="43"/>
  <c r="BS193" i="43"/>
  <c r="BT222" i="43"/>
  <c r="BS222" i="43"/>
  <c r="BT234" i="43"/>
  <c r="BS234" i="43"/>
  <c r="BL125" i="43"/>
  <c r="BN125" i="43"/>
  <c r="BM128" i="43"/>
  <c r="BM130" i="43"/>
  <c r="BM132" i="43"/>
  <c r="BM136" i="43"/>
  <c r="BM138" i="43"/>
  <c r="BK142" i="43"/>
  <c r="BK144" i="43"/>
  <c r="BK148" i="43"/>
  <c r="BK150" i="43"/>
  <c r="BK154" i="43"/>
  <c r="BK156" i="43"/>
  <c r="BK160" i="43"/>
  <c r="BM177" i="43"/>
  <c r="BL182" i="43"/>
  <c r="BK185" i="43"/>
  <c r="BL193" i="43"/>
  <c r="BK197" i="43"/>
  <c r="BL202" i="43"/>
  <c r="BT216" i="43"/>
  <c r="BS216" i="43"/>
  <c r="BT225" i="43"/>
  <c r="BS225" i="43"/>
  <c r="BL234" i="43"/>
  <c r="BL237" i="43"/>
  <c r="BT275" i="43"/>
  <c r="BS275" i="43"/>
  <c r="BL288" i="43"/>
  <c r="BT296" i="43"/>
  <c r="BS296" i="43"/>
  <c r="BK129" i="43"/>
  <c r="BK131" i="43"/>
  <c r="BK135" i="43"/>
  <c r="BK137" i="43"/>
  <c r="BK139" i="43"/>
  <c r="BK166" i="43"/>
  <c r="BK168" i="43"/>
  <c r="BK172" i="43"/>
  <c r="BK174" i="43"/>
  <c r="BK178" i="43"/>
  <c r="BL185" i="43"/>
  <c r="BT196" i="43"/>
  <c r="BT198" i="43"/>
  <c r="BS198" i="43"/>
  <c r="BK211" i="43"/>
  <c r="BL216" i="43"/>
  <c r="BL225" i="43"/>
  <c r="BK229" i="43"/>
  <c r="BL285" i="43"/>
  <c r="BS65" i="43"/>
  <c r="BS66" i="43"/>
  <c r="BS69" i="43"/>
  <c r="BS72" i="43"/>
  <c r="BS73" i="43"/>
  <c r="BS74" i="43"/>
  <c r="BS77" i="43"/>
  <c r="BS78" i="43"/>
  <c r="BS82" i="43"/>
  <c r="BS85" i="43"/>
  <c r="BS86" i="43"/>
  <c r="BS90" i="43"/>
  <c r="BS93" i="43"/>
  <c r="BS94" i="43"/>
  <c r="BS97" i="43"/>
  <c r="BS98" i="43"/>
  <c r="BS101" i="43"/>
  <c r="BS102" i="43"/>
  <c r="BS105" i="43"/>
  <c r="BS108" i="43"/>
  <c r="BS109" i="43"/>
  <c r="BS112" i="43"/>
  <c r="BS113" i="43"/>
  <c r="BS119" i="43"/>
  <c r="BS120" i="43"/>
  <c r="BS123" i="43"/>
  <c r="BS124" i="43"/>
  <c r="BM142" i="43"/>
  <c r="BM144" i="43"/>
  <c r="BM148" i="43"/>
  <c r="BM150" i="43"/>
  <c r="BM154" i="43"/>
  <c r="BM156" i="43"/>
  <c r="BM160" i="43"/>
  <c r="BK191" i="43"/>
  <c r="BL196" i="43"/>
  <c r="BT210" i="43"/>
  <c r="BS210" i="43"/>
  <c r="BT219" i="43"/>
  <c r="BS219" i="43"/>
  <c r="BT228" i="43"/>
  <c r="BS228" i="43"/>
  <c r="BT272" i="43"/>
  <c r="BS272" i="43"/>
  <c r="BN128" i="43"/>
  <c r="BM129" i="43"/>
  <c r="BN130" i="43"/>
  <c r="BM131" i="43"/>
  <c r="BN132" i="43"/>
  <c r="BM135" i="43"/>
  <c r="BM137" i="43"/>
  <c r="BM139" i="43"/>
  <c r="BK143" i="43"/>
  <c r="BK145" i="43"/>
  <c r="BK149" i="43"/>
  <c r="BK151" i="43"/>
  <c r="BK155" i="43"/>
  <c r="BK157" i="43"/>
  <c r="BK161" i="43"/>
  <c r="BM162" i="43"/>
  <c r="BN165" i="43"/>
  <c r="BM166" i="43"/>
  <c r="BN167" i="43"/>
  <c r="BM168" i="43"/>
  <c r="BN171" i="43"/>
  <c r="BM172" i="43"/>
  <c r="BN173" i="43"/>
  <c r="BM174" i="43"/>
  <c r="BN177" i="43"/>
  <c r="BM178" i="43"/>
  <c r="BK179" i="43"/>
  <c r="BT184" i="43"/>
  <c r="BS184" i="43"/>
  <c r="BT204" i="43"/>
  <c r="BS204" i="43"/>
  <c r="BK205" i="43"/>
  <c r="BL210" i="43"/>
  <c r="BL219" i="43"/>
  <c r="BK223" i="43"/>
  <c r="BL228" i="43"/>
  <c r="BK235" i="43"/>
  <c r="BT243" i="43"/>
  <c r="BS243" i="43"/>
  <c r="BT179" i="43"/>
  <c r="BS179" i="43"/>
  <c r="BK180" i="43"/>
  <c r="BT182" i="43"/>
  <c r="BK183" i="43"/>
  <c r="BL184" i="43"/>
  <c r="BT185" i="43"/>
  <c r="BS185" i="43"/>
  <c r="BK186" i="43"/>
  <c r="BL187" i="43"/>
  <c r="BK189" i="43"/>
  <c r="BT199" i="43"/>
  <c r="BS199" i="43"/>
  <c r="BK200" i="43"/>
  <c r="BT202" i="43"/>
  <c r="BK203" i="43"/>
  <c r="BK241" i="43"/>
  <c r="BL246" i="43"/>
  <c r="BL248" i="43"/>
  <c r="BL252" i="43"/>
  <c r="BL254" i="43"/>
  <c r="BL256" i="43"/>
  <c r="BL258" i="43"/>
  <c r="BL259" i="43" s="1"/>
  <c r="BL260" i="43"/>
  <c r="BL262" i="43"/>
  <c r="BL264" i="43"/>
  <c r="BL266" i="43"/>
  <c r="BL268" i="43"/>
  <c r="BL270" i="43"/>
  <c r="BL272" i="43"/>
  <c r="BL275" i="43"/>
  <c r="BT278" i="43"/>
  <c r="BK162" i="43"/>
  <c r="BT191" i="43"/>
  <c r="BS191" i="43"/>
  <c r="BK192" i="43"/>
  <c r="BT194" i="43"/>
  <c r="BS194" i="43"/>
  <c r="BT205" i="43"/>
  <c r="BS205" i="43"/>
  <c r="BK206" i="43"/>
  <c r="BT208" i="43"/>
  <c r="BK209" i="43"/>
  <c r="BT211" i="43"/>
  <c r="BS211" i="43"/>
  <c r="BK212" i="43"/>
  <c r="BT217" i="43"/>
  <c r="BS217" i="43"/>
  <c r="BK218" i="43"/>
  <c r="BK221" i="43"/>
  <c r="BT223" i="43"/>
  <c r="BS223" i="43"/>
  <c r="BK224" i="43"/>
  <c r="BT229" i="43"/>
  <c r="BS229" i="43"/>
  <c r="BK230" i="43"/>
  <c r="BT235" i="43"/>
  <c r="BS235" i="43"/>
  <c r="BK236" i="43"/>
  <c r="BQ246" i="43"/>
  <c r="BP256" i="43"/>
  <c r="BJ275" i="43"/>
  <c r="BT281" i="43"/>
  <c r="BS281" i="43"/>
  <c r="BT180" i="43"/>
  <c r="BS180" i="43"/>
  <c r="BT183" i="43"/>
  <c r="BS183" i="43"/>
  <c r="BK184" i="43"/>
  <c r="BJ186" i="43"/>
  <c r="BQ186" i="43"/>
  <c r="BP186" i="43"/>
  <c r="BT186" i="43"/>
  <c r="BS186" i="43"/>
  <c r="BK187" i="43"/>
  <c r="BT189" i="43"/>
  <c r="BK190" i="43"/>
  <c r="BT197" i="43"/>
  <c r="BS197" i="43"/>
  <c r="BK198" i="43"/>
  <c r="BT200" i="43"/>
  <c r="BS200" i="43"/>
  <c r="BT203" i="43"/>
  <c r="BS203" i="43"/>
  <c r="BK204" i="43"/>
  <c r="BT240" i="43"/>
  <c r="BS240" i="43"/>
  <c r="BK291" i="43"/>
  <c r="BK303" i="43"/>
  <c r="BT192" i="43"/>
  <c r="BS192" i="43"/>
  <c r="BK193" i="43"/>
  <c r="BT206" i="43"/>
  <c r="BS206" i="43"/>
  <c r="BT209" i="43"/>
  <c r="BS209" i="43"/>
  <c r="BK210" i="43"/>
  <c r="BT212" i="43"/>
  <c r="BS212" i="43"/>
  <c r="BK213" i="43"/>
  <c r="BT215" i="43"/>
  <c r="BK216" i="43"/>
  <c r="BT218" i="43"/>
  <c r="BS218" i="43"/>
  <c r="BK219" i="43"/>
  <c r="BT221" i="43"/>
  <c r="BK222" i="43"/>
  <c r="BT224" i="43"/>
  <c r="BS224" i="43"/>
  <c r="BK225" i="43"/>
  <c r="BT227" i="43"/>
  <c r="BK228" i="43"/>
  <c r="BT230" i="43"/>
  <c r="BS230" i="43"/>
  <c r="BK231" i="43"/>
  <c r="BT233" i="43"/>
  <c r="BK234" i="43"/>
  <c r="BT236" i="43"/>
  <c r="BS236" i="43"/>
  <c r="BK237" i="43"/>
  <c r="BL240" i="43"/>
  <c r="BK276" i="43"/>
  <c r="BK288" i="43"/>
  <c r="BL303" i="43"/>
  <c r="BN179" i="43"/>
  <c r="BN180" i="43"/>
  <c r="BN182" i="43"/>
  <c r="BN183" i="43"/>
  <c r="BN184" i="43"/>
  <c r="BN185" i="43"/>
  <c r="BN186" i="43"/>
  <c r="BN187" i="43"/>
  <c r="BN189" i="43"/>
  <c r="BN190" i="43"/>
  <c r="BN192" i="43"/>
  <c r="BN193" i="43"/>
  <c r="BN194" i="43"/>
  <c r="BN196" i="43"/>
  <c r="BN198" i="43"/>
  <c r="BN199" i="43"/>
  <c r="BN200" i="43"/>
  <c r="BN202" i="43"/>
  <c r="BN203" i="43"/>
  <c r="BN205" i="43"/>
  <c r="BN206" i="43"/>
  <c r="BN208" i="43"/>
  <c r="BN209" i="43"/>
  <c r="BN210" i="43"/>
  <c r="BN211" i="43"/>
  <c r="BN212" i="43"/>
  <c r="BN213" i="43"/>
  <c r="BN215" i="43"/>
  <c r="BN216" i="43"/>
  <c r="BN217" i="43"/>
  <c r="BN218" i="43"/>
  <c r="BN219" i="43"/>
  <c r="BN221" i="43"/>
  <c r="BN222" i="43"/>
  <c r="BN223" i="43"/>
  <c r="BN224" i="43"/>
  <c r="BN225" i="43"/>
  <c r="BN227" i="43"/>
  <c r="BN228" i="43"/>
  <c r="BN229" i="43"/>
  <c r="BN230" i="43"/>
  <c r="BN231" i="43"/>
  <c r="BN233" i="43"/>
  <c r="BN234" i="43"/>
  <c r="BN235" i="43"/>
  <c r="BN236" i="43"/>
  <c r="BN237" i="43"/>
  <c r="BT246" i="43"/>
  <c r="BS246" i="43"/>
  <c r="BK247" i="43"/>
  <c r="BT248" i="43"/>
  <c r="BS248" i="43"/>
  <c r="BK249" i="43"/>
  <c r="BT252" i="43"/>
  <c r="BS252" i="43"/>
  <c r="BK253" i="43"/>
  <c r="BT254" i="43"/>
  <c r="BS254" i="43"/>
  <c r="BK255" i="43"/>
  <c r="BT256" i="43"/>
  <c r="BS256" i="43"/>
  <c r="BT258" i="43"/>
  <c r="BT259" i="43" s="1"/>
  <c r="BT260" i="43"/>
  <c r="BK261" i="43"/>
  <c r="BT262" i="43"/>
  <c r="BS262" i="43"/>
  <c r="BT264" i="43"/>
  <c r="BK265" i="43"/>
  <c r="BT266" i="43"/>
  <c r="BS266" i="43"/>
  <c r="BT268" i="43"/>
  <c r="BK269" i="43"/>
  <c r="BT270" i="43"/>
  <c r="BS270" i="43"/>
  <c r="BK271" i="43"/>
  <c r="BL276" i="43"/>
  <c r="BQ281" i="43"/>
  <c r="BL291" i="43"/>
  <c r="BK294" i="43"/>
  <c r="BT302" i="43"/>
  <c r="BS302" i="43"/>
  <c r="BK311" i="43"/>
  <c r="BT319" i="43"/>
  <c r="BS319" i="43"/>
  <c r="BT241" i="43"/>
  <c r="BS241" i="43"/>
  <c r="BK242" i="43"/>
  <c r="BK279" i="43"/>
  <c r="BT287" i="43"/>
  <c r="BS287" i="43"/>
  <c r="BL294" i="43"/>
  <c r="BT310" i="43"/>
  <c r="BS310" i="43"/>
  <c r="BL279" i="43"/>
  <c r="BK282" i="43"/>
  <c r="BJ287" i="43"/>
  <c r="BT290" i="43"/>
  <c r="BK300" i="43"/>
  <c r="BT239" i="43"/>
  <c r="BK240" i="43"/>
  <c r="BT242" i="43"/>
  <c r="BS242" i="43"/>
  <c r="BK243" i="43"/>
  <c r="BT245" i="43"/>
  <c r="BK246" i="43"/>
  <c r="BT247" i="43"/>
  <c r="BS247" i="43"/>
  <c r="BK248" i="43"/>
  <c r="BT249" i="43"/>
  <c r="BS249" i="43"/>
  <c r="BT251" i="43"/>
  <c r="BK252" i="43"/>
  <c r="BT253" i="43"/>
  <c r="BS253" i="43"/>
  <c r="BK254" i="43"/>
  <c r="BT255" i="43"/>
  <c r="BS255" i="43"/>
  <c r="BK256" i="43"/>
  <c r="BK258" i="43"/>
  <c r="BK259" i="43" s="1"/>
  <c r="BT261" i="43"/>
  <c r="BS261" i="43"/>
  <c r="BK262" i="43"/>
  <c r="BT265" i="43"/>
  <c r="BS265" i="43"/>
  <c r="BK266" i="43"/>
  <c r="BT269" i="43"/>
  <c r="BS269" i="43"/>
  <c r="BK270" i="43"/>
  <c r="BT271" i="43"/>
  <c r="BS271" i="43"/>
  <c r="BK272" i="43"/>
  <c r="BT274" i="43"/>
  <c r="BK275" i="43"/>
  <c r="BL282" i="43"/>
  <c r="BT293" i="43"/>
  <c r="BS293" i="43"/>
  <c r="BL300" i="43"/>
  <c r="BM315" i="43"/>
  <c r="BO315" i="43"/>
  <c r="BN240" i="43"/>
  <c r="BN241" i="43"/>
  <c r="BN242" i="43"/>
  <c r="BN243" i="43"/>
  <c r="BN245" i="43"/>
  <c r="BM276" i="43"/>
  <c r="BN276" i="43"/>
  <c r="BT276" i="43"/>
  <c r="BS276" i="43"/>
  <c r="BT279" i="43"/>
  <c r="BS279" i="43"/>
  <c r="BK280" i="43"/>
  <c r="BT282" i="43"/>
  <c r="BS282" i="43"/>
  <c r="BK283" i="43"/>
  <c r="BT285" i="43"/>
  <c r="BK286" i="43"/>
  <c r="BT288" i="43"/>
  <c r="BS288" i="43"/>
  <c r="BT291" i="43"/>
  <c r="BS291" i="43"/>
  <c r="BK292" i="43"/>
  <c r="BT294" i="43"/>
  <c r="BS294" i="43"/>
  <c r="BK295" i="43"/>
  <c r="BT300" i="43"/>
  <c r="BK301" i="43"/>
  <c r="BT303" i="43"/>
  <c r="BS303" i="43"/>
  <c r="BK304" i="43"/>
  <c r="BK308" i="43"/>
  <c r="BK319" i="43"/>
  <c r="BT360" i="43"/>
  <c r="BL361" i="43"/>
  <c r="BO272" i="43"/>
  <c r="BO274" i="43"/>
  <c r="BO275" i="43"/>
  <c r="BT307" i="43"/>
  <c r="BL310" i="43"/>
  <c r="BT316" i="43"/>
  <c r="BS316" i="43"/>
  <c r="BL319" i="43"/>
  <c r="BT322" i="43"/>
  <c r="BS322" i="43"/>
  <c r="BT280" i="43"/>
  <c r="BS280" i="43"/>
  <c r="BK281" i="43"/>
  <c r="BT283" i="43"/>
  <c r="BS283" i="43"/>
  <c r="BT286" i="43"/>
  <c r="BS286" i="43"/>
  <c r="BK287" i="43"/>
  <c r="BT292" i="43"/>
  <c r="BS292" i="43"/>
  <c r="BK293" i="43"/>
  <c r="BT295" i="43"/>
  <c r="BS295" i="43"/>
  <c r="BK296" i="43"/>
  <c r="BT298" i="43"/>
  <c r="BT299" i="43" s="1"/>
  <c r="BT301" i="43"/>
  <c r="BS301" i="43"/>
  <c r="BK302" i="43"/>
  <c r="BT304" i="43"/>
  <c r="BS304" i="43"/>
  <c r="BK305" i="43"/>
  <c r="BK322" i="43"/>
  <c r="BL305" i="43"/>
  <c r="BL307" i="43"/>
  <c r="BL316" i="43"/>
  <c r="BL322" i="43"/>
  <c r="BN278" i="43"/>
  <c r="BN279" i="43"/>
  <c r="BN280" i="43"/>
  <c r="BN281" i="43"/>
  <c r="BN282" i="43"/>
  <c r="BN283" i="43"/>
  <c r="BN285" i="43"/>
  <c r="BN286" i="43"/>
  <c r="BN287" i="43"/>
  <c r="BN288" i="43"/>
  <c r="BN290" i="43"/>
  <c r="BN291" i="43"/>
  <c r="BN292" i="43"/>
  <c r="BN293" i="43"/>
  <c r="BN294" i="43"/>
  <c r="BN295" i="43"/>
  <c r="BN296" i="43"/>
  <c r="BN298" i="43"/>
  <c r="BN299" i="43" s="1"/>
  <c r="BT305" i="43"/>
  <c r="BS305" i="43"/>
  <c r="BT308" i="43"/>
  <c r="BS308" i="43"/>
  <c r="BT311" i="43"/>
  <c r="BS311" i="43"/>
  <c r="BT314" i="43"/>
  <c r="BK320" i="43"/>
  <c r="BL327" i="43"/>
  <c r="BJ340" i="43"/>
  <c r="BL348" i="43"/>
  <c r="BL354" i="43"/>
  <c r="BT366" i="43"/>
  <c r="BS366" i="43"/>
  <c r="BL367" i="43"/>
  <c r="BO300" i="43"/>
  <c r="BO301" i="43"/>
  <c r="BO302" i="43"/>
  <c r="BO303" i="43"/>
  <c r="BO304" i="43"/>
  <c r="BK309" i="43"/>
  <c r="BK312" i="43"/>
  <c r="BK315" i="43"/>
  <c r="BT320" i="43"/>
  <c r="BS320" i="43"/>
  <c r="BK366" i="43"/>
  <c r="BT372" i="43"/>
  <c r="BT309" i="43"/>
  <c r="BS309" i="43"/>
  <c r="BT312" i="43"/>
  <c r="BS312" i="43"/>
  <c r="BT315" i="43"/>
  <c r="BS315" i="43"/>
  <c r="BK321" i="43"/>
  <c r="BK324" i="43"/>
  <c r="BK325" i="43" s="1"/>
  <c r="BK310" i="43"/>
  <c r="BK316" i="43"/>
  <c r="BT318" i="43"/>
  <c r="BO319" i="43"/>
  <c r="BT321" i="43"/>
  <c r="BS321" i="43"/>
  <c r="BO322" i="43"/>
  <c r="BT324" i="43"/>
  <c r="BT325" i="43" s="1"/>
  <c r="BT326" i="43"/>
  <c r="BT329" i="43" s="1"/>
  <c r="BL345" i="43"/>
  <c r="BL351" i="43"/>
  <c r="BL357" i="43"/>
  <c r="BM305" i="43"/>
  <c r="BM308" i="43"/>
  <c r="BM309" i="43"/>
  <c r="BM310" i="43"/>
  <c r="BM311" i="43"/>
  <c r="BM312" i="43"/>
  <c r="BM316" i="43"/>
  <c r="BM320" i="43"/>
  <c r="BM321" i="43"/>
  <c r="BM327" i="43"/>
  <c r="BM328" i="43"/>
  <c r="BM331" i="43"/>
  <c r="BM332" i="43"/>
  <c r="BM335" i="43"/>
  <c r="BM336" i="43"/>
  <c r="BM339" i="43"/>
  <c r="BM340" i="43"/>
  <c r="BM341" i="43"/>
  <c r="BM342" i="43"/>
  <c r="BK344" i="43"/>
  <c r="BT344" i="43"/>
  <c r="BS344" i="43"/>
  <c r="BK347" i="43"/>
  <c r="BT347" i="43"/>
  <c r="BK350" i="43"/>
  <c r="BT350" i="43"/>
  <c r="BS350" i="43"/>
  <c r="BT353" i="43"/>
  <c r="BK356" i="43"/>
  <c r="BT356" i="43"/>
  <c r="BS356" i="43"/>
  <c r="BT365" i="43"/>
  <c r="BJ392" i="43"/>
  <c r="BQ392" i="43"/>
  <c r="BP392" i="43"/>
  <c r="BK327" i="43"/>
  <c r="BK328" i="43"/>
  <c r="BK331" i="43"/>
  <c r="BK332" i="43"/>
  <c r="BK335" i="43"/>
  <c r="BK336" i="43"/>
  <c r="BK339" i="43"/>
  <c r="BK340" i="43"/>
  <c r="BK341" i="43"/>
  <c r="BK342" i="43"/>
  <c r="BK370" i="43"/>
  <c r="BT370" i="43"/>
  <c r="BS370" i="43"/>
  <c r="BK420" i="43"/>
  <c r="BK343" i="43"/>
  <c r="BT343" i="43"/>
  <c r="BS343" i="43"/>
  <c r="BK349" i="43"/>
  <c r="BT349" i="43"/>
  <c r="BS349" i="43"/>
  <c r="BK355" i="43"/>
  <c r="BT355" i="43"/>
  <c r="BS355" i="43"/>
  <c r="BK358" i="43"/>
  <c r="BT358" i="43"/>
  <c r="BS358" i="43"/>
  <c r="BK363" i="43"/>
  <c r="BT363" i="43"/>
  <c r="BS363" i="43"/>
  <c r="BK369" i="43"/>
  <c r="BT369" i="43"/>
  <c r="BS369" i="43"/>
  <c r="BK362" i="43"/>
  <c r="BT362" i="43"/>
  <c r="BS362" i="43"/>
  <c r="BK368" i="43"/>
  <c r="BT368" i="43"/>
  <c r="BS368" i="43"/>
  <c r="BT406" i="43"/>
  <c r="BS406" i="43"/>
  <c r="BS327" i="43"/>
  <c r="BS328" i="43"/>
  <c r="BS331" i="43"/>
  <c r="BS332" i="43"/>
  <c r="BS335" i="43"/>
  <c r="BS336" i="43"/>
  <c r="BS339" i="43"/>
  <c r="BS340" i="43"/>
  <c r="BS341" i="43"/>
  <c r="BS342" i="43"/>
  <c r="BK345" i="43"/>
  <c r="BT345" i="43"/>
  <c r="BS345" i="43"/>
  <c r="BK348" i="43"/>
  <c r="BT348" i="43"/>
  <c r="BS348" i="43"/>
  <c r="BK351" i="43"/>
  <c r="BT351" i="43"/>
  <c r="BS351" i="43"/>
  <c r="BK354" i="43"/>
  <c r="BT354" i="43"/>
  <c r="BS354" i="43"/>
  <c r="BK357" i="43"/>
  <c r="BT357" i="43"/>
  <c r="BS357" i="43"/>
  <c r="BK361" i="43"/>
  <c r="BT361" i="43"/>
  <c r="BS361" i="43"/>
  <c r="BK367" i="43"/>
  <c r="BT367" i="43"/>
  <c r="BS367" i="43"/>
  <c r="BL373" i="43"/>
  <c r="BP374" i="43"/>
  <c r="BT374" i="43"/>
  <c r="BS374" i="43"/>
  <c r="BK380" i="43"/>
  <c r="BM383" i="43"/>
  <c r="BT388" i="43"/>
  <c r="BL392" i="43"/>
  <c r="BT400" i="43"/>
  <c r="BN343" i="43"/>
  <c r="BN344" i="43"/>
  <c r="BN345" i="43"/>
  <c r="BN347" i="43"/>
  <c r="BN348" i="43"/>
  <c r="BN349" i="43"/>
  <c r="BN350" i="43"/>
  <c r="BN351" i="43"/>
  <c r="BN353" i="43"/>
  <c r="BN354" i="43"/>
  <c r="BN355" i="43"/>
  <c r="BN356" i="43"/>
  <c r="BN358" i="43"/>
  <c r="BN360" i="43"/>
  <c r="BN361" i="43"/>
  <c r="BN362" i="43"/>
  <c r="BN363" i="43"/>
  <c r="BN365" i="43"/>
  <c r="BN366" i="43"/>
  <c r="BN367" i="43"/>
  <c r="BN368" i="43"/>
  <c r="BN369" i="43"/>
  <c r="BN370" i="43"/>
  <c r="BT373" i="43"/>
  <c r="BS373" i="43"/>
  <c r="BO383" i="43"/>
  <c r="BK387" i="43"/>
  <c r="BO395" i="43"/>
  <c r="BO401" i="43" s="1"/>
  <c r="BK399" i="43"/>
  <c r="BN402" i="43"/>
  <c r="BL407" i="43"/>
  <c r="BO357" i="43"/>
  <c r="BT378" i="43"/>
  <c r="BK379" i="43"/>
  <c r="BJ386" i="43"/>
  <c r="BQ386" i="43"/>
  <c r="BP386" i="43"/>
  <c r="BJ398" i="43"/>
  <c r="BQ398" i="43"/>
  <c r="BP398" i="43"/>
  <c r="BT404" i="43"/>
  <c r="BS404" i="43"/>
  <c r="BK405" i="43"/>
  <c r="BK374" i="43"/>
  <c r="BL386" i="43"/>
  <c r="BL398" i="43"/>
  <c r="BK373" i="43"/>
  <c r="BT376" i="43"/>
  <c r="BT377" i="43" s="1"/>
  <c r="BK381" i="43"/>
  <c r="BO389" i="43"/>
  <c r="BK393" i="43"/>
  <c r="BN396" i="43"/>
  <c r="BM396" i="43"/>
  <c r="BL412" i="43"/>
  <c r="BS381" i="43"/>
  <c r="BK382" i="43"/>
  <c r="BS387" i="43"/>
  <c r="BK388" i="43"/>
  <c r="BS393" i="43"/>
  <c r="BS399" i="43"/>
  <c r="BK400" i="43"/>
  <c r="BM410" i="43"/>
  <c r="BN410" i="43"/>
  <c r="BK411" i="43"/>
  <c r="BK414" i="43"/>
  <c r="BK383" i="43"/>
  <c r="BU383" i="43"/>
  <c r="BK389" i="43"/>
  <c r="BU389" i="43"/>
  <c r="BU395" i="43"/>
  <c r="BU401" i="43" s="1"/>
  <c r="BT396" i="43"/>
  <c r="BT402" i="43"/>
  <c r="BM405" i="43"/>
  <c r="BN405" i="43"/>
  <c r="BN416" i="43"/>
  <c r="BT385" i="43"/>
  <c r="BT391" i="43"/>
  <c r="BT394" i="43" s="1"/>
  <c r="BK396" i="43"/>
  <c r="BM397" i="43"/>
  <c r="BT397" i="43"/>
  <c r="BM403" i="43"/>
  <c r="BQ406" i="43"/>
  <c r="BS438" i="43"/>
  <c r="BU438" i="43"/>
  <c r="BS379" i="43"/>
  <c r="BS380" i="43"/>
  <c r="BM386" i="43"/>
  <c r="BM392" i="43"/>
  <c r="BK397" i="43"/>
  <c r="BM398" i="43"/>
  <c r="BK403" i="43"/>
  <c r="BK404" i="43"/>
  <c r="BK406" i="43"/>
  <c r="BL409" i="43"/>
  <c r="BT409" i="43"/>
  <c r="BO411" i="43"/>
  <c r="BT418" i="43"/>
  <c r="BS418" i="43"/>
  <c r="BL421" i="43"/>
  <c r="BN430" i="43"/>
  <c r="BK386" i="43"/>
  <c r="BK392" i="43"/>
  <c r="BK398" i="43"/>
  <c r="BS403" i="43"/>
  <c r="BN404" i="43"/>
  <c r="BM406" i="43"/>
  <c r="BT412" i="43"/>
  <c r="BS412" i="43"/>
  <c r="BO417" i="43"/>
  <c r="BL423" i="43"/>
  <c r="BM421" i="43"/>
  <c r="BT421" i="43"/>
  <c r="BS424" i="43"/>
  <c r="BL425" i="43"/>
  <c r="BM414" i="43"/>
  <c r="BM420" i="43"/>
  <c r="BP425" i="43"/>
  <c r="BT427" i="43"/>
  <c r="BT432" i="43"/>
  <c r="BS432" i="43"/>
  <c r="BK428" i="43"/>
  <c r="BK431" i="43"/>
  <c r="BT454" i="43"/>
  <c r="BS454" i="43"/>
  <c r="BM412" i="43"/>
  <c r="BK412" i="43"/>
  <c r="BN414" i="43"/>
  <c r="BM418" i="43"/>
  <c r="BK418" i="43"/>
  <c r="BN420" i="43"/>
  <c r="BM424" i="43"/>
  <c r="BS425" i="43"/>
  <c r="BT430" i="43"/>
  <c r="BM411" i="43"/>
  <c r="BN413" i="43"/>
  <c r="BM417" i="43"/>
  <c r="BK417" i="43"/>
  <c r="BN419" i="43"/>
  <c r="BN431" i="43"/>
  <c r="BM431" i="43"/>
  <c r="BK433" i="43"/>
  <c r="BK425" i="43"/>
  <c r="BM428" i="43"/>
  <c r="BS428" i="43"/>
  <c r="BT431" i="43"/>
  <c r="BS431" i="43"/>
  <c r="BK432" i="43"/>
  <c r="BU439" i="43"/>
  <c r="BS439" i="43"/>
  <c r="BM441" i="43"/>
  <c r="BK455" i="43"/>
  <c r="BL433" i="43"/>
  <c r="BM440" i="43"/>
  <c r="BN440" i="43"/>
  <c r="BU445" i="43"/>
  <c r="BS445" i="43"/>
  <c r="BN451" i="43"/>
  <c r="BK424" i="43"/>
  <c r="BK426" i="43"/>
  <c r="BK427" i="43"/>
  <c r="BU433" i="43"/>
  <c r="BS433" i="43"/>
  <c r="BM435" i="43"/>
  <c r="BM434" i="43"/>
  <c r="BN434" i="43"/>
  <c r="BN437" i="43"/>
  <c r="BU442" i="43"/>
  <c r="BS442" i="43"/>
  <c r="BM446" i="43"/>
  <c r="BN446" i="43"/>
  <c r="BK439" i="43"/>
  <c r="BK442" i="43"/>
  <c r="BK445" i="43"/>
  <c r="BQ446" i="43"/>
  <c r="BK448" i="43"/>
  <c r="BT449" i="43"/>
  <c r="BM453" i="43"/>
  <c r="BN453" i="43"/>
  <c r="BK435" i="43"/>
  <c r="BK438" i="43"/>
  <c r="BK441" i="43"/>
  <c r="BK447" i="43"/>
  <c r="BS448" i="43"/>
  <c r="BK452" i="43"/>
  <c r="BM454" i="43"/>
  <c r="BM455" i="43"/>
  <c r="BN455" i="43"/>
  <c r="BK456" i="43"/>
  <c r="BL451" i="43"/>
  <c r="BL457" i="43" s="1"/>
  <c r="BK434" i="43"/>
  <c r="BQ435" i="43"/>
  <c r="BK440" i="43"/>
  <c r="BK446" i="43"/>
  <c r="BT448" i="43"/>
  <c r="BO449" i="43"/>
  <c r="BK453" i="43"/>
  <c r="BK454" i="43"/>
  <c r="BK459" i="43"/>
  <c r="BK449" i="43"/>
  <c r="BK462" i="43"/>
  <c r="BK463" i="43"/>
  <c r="BS459" i="43"/>
  <c r="BL459" i="43"/>
  <c r="BK12" i="44"/>
  <c r="BK13" i="44" s="1"/>
  <c r="BN250" i="43" l="1"/>
  <c r="BJ434" i="43"/>
  <c r="BJ246" i="43"/>
  <c r="BJ305" i="43"/>
  <c r="BQ283" i="43"/>
  <c r="BK391" i="43"/>
  <c r="BK394" i="43" s="1"/>
  <c r="BJ283" i="43"/>
  <c r="BK318" i="43"/>
  <c r="BK323" i="43" s="1"/>
  <c r="BP234" i="43"/>
  <c r="BP305" i="43"/>
  <c r="BP459" i="43"/>
  <c r="BQ404" i="43"/>
  <c r="BK107" i="43"/>
  <c r="BK110" i="43" s="1"/>
  <c r="BQ459" i="43"/>
  <c r="BK118" i="43"/>
  <c r="BK121" i="43" s="1"/>
  <c r="BL458" i="43"/>
  <c r="BL460" i="43" s="1"/>
  <c r="BJ339" i="43"/>
  <c r="BK64" i="43"/>
  <c r="BK67" i="43" s="1"/>
  <c r="BQ434" i="43"/>
  <c r="BP339" i="43"/>
  <c r="BQ374" i="43"/>
  <c r="BP340" i="43"/>
  <c r="BP216" i="43"/>
  <c r="BP237" i="43"/>
  <c r="BP190" i="43"/>
  <c r="BP66" i="43"/>
  <c r="BJ328" i="43"/>
  <c r="BK147" i="43"/>
  <c r="BK152" i="43" s="1"/>
  <c r="BQ216" i="43"/>
  <c r="BQ237" i="43"/>
  <c r="BQ190" i="43"/>
  <c r="BQ66" i="43"/>
  <c r="BP69" i="43"/>
  <c r="BK372" i="43"/>
  <c r="BK375" i="43" s="1"/>
  <c r="BP328" i="43"/>
  <c r="BP90" i="43"/>
  <c r="BP228" i="43"/>
  <c r="BQ69" i="43"/>
  <c r="BJ342" i="43"/>
  <c r="BP275" i="43"/>
  <c r="BP225" i="43"/>
  <c r="BQ90" i="43"/>
  <c r="BQ228" i="43"/>
  <c r="BP342" i="43"/>
  <c r="BQ203" i="43"/>
  <c r="BQ234" i="43"/>
  <c r="BP86" i="43"/>
  <c r="BK314" i="43"/>
  <c r="BK317" i="43" s="1"/>
  <c r="BK285" i="43"/>
  <c r="BK289" i="43" s="1"/>
  <c r="BQ86" i="43"/>
  <c r="BP85" i="43"/>
  <c r="BJ314" i="43"/>
  <c r="BJ85" i="43"/>
  <c r="BK208" i="43"/>
  <c r="BK214" i="43" s="1"/>
  <c r="BM35" i="44"/>
  <c r="BU98" i="44"/>
  <c r="BP81" i="44"/>
  <c r="BJ48" i="44"/>
  <c r="BI91" i="44"/>
  <c r="BP105" i="44"/>
  <c r="BQ48" i="44"/>
  <c r="BQ87" i="44"/>
  <c r="BT19" i="44"/>
  <c r="BU56" i="44"/>
  <c r="BT35" i="44"/>
  <c r="BK99" i="44"/>
  <c r="BK102" i="44" s="1"/>
  <c r="BK103" i="44"/>
  <c r="BK104" i="44" s="1"/>
  <c r="BK50" i="44"/>
  <c r="BK56" i="44" s="1"/>
  <c r="BK71" i="44"/>
  <c r="BK77" i="44" s="1"/>
  <c r="BM28" i="44"/>
  <c r="BJ101" i="44"/>
  <c r="BJ81" i="44"/>
  <c r="BP101" i="44"/>
  <c r="BQ107" i="44"/>
  <c r="BJ54" i="44"/>
  <c r="BL35" i="44"/>
  <c r="BJ107" i="44"/>
  <c r="BP54" i="44"/>
  <c r="BI54" i="44"/>
  <c r="BK88" i="44"/>
  <c r="BP83" i="44"/>
  <c r="BQ426" i="43"/>
  <c r="BJ272" i="43"/>
  <c r="BQ397" i="43"/>
  <c r="BK330" i="43"/>
  <c r="BK333" i="43" s="1"/>
  <c r="BJ397" i="43"/>
  <c r="BK111" i="43"/>
  <c r="BK114" i="43" s="1"/>
  <c r="BQ256" i="43"/>
  <c r="BQ225" i="43"/>
  <c r="BQ124" i="43"/>
  <c r="BP280" i="43"/>
  <c r="BP266" i="43"/>
  <c r="BP254" i="43"/>
  <c r="BP200" i="43"/>
  <c r="BQ280" i="43"/>
  <c r="BQ266" i="43"/>
  <c r="BQ254" i="43"/>
  <c r="BQ200" i="43"/>
  <c r="BP94" i="43"/>
  <c r="BP440" i="43"/>
  <c r="BQ440" i="43"/>
  <c r="BQ94" i="43"/>
  <c r="BT35" i="43"/>
  <c r="BI82" i="44"/>
  <c r="BP293" i="43"/>
  <c r="BJ286" i="43"/>
  <c r="BJ302" i="43"/>
  <c r="BQ293" i="43"/>
  <c r="BP187" i="43"/>
  <c r="BK19" i="43"/>
  <c r="BK22" i="43" s="1"/>
  <c r="BP162" i="43"/>
  <c r="BK170" i="43"/>
  <c r="BK175" i="43" s="1"/>
  <c r="BQ187" i="43"/>
  <c r="BP78" i="43"/>
  <c r="BJ19" i="43"/>
  <c r="BK32" i="43"/>
  <c r="BK35" i="43" s="1"/>
  <c r="BK53" i="43"/>
  <c r="BK55" i="43" s="1"/>
  <c r="BJ162" i="43"/>
  <c r="BJ170" i="43"/>
  <c r="BQ78" i="43"/>
  <c r="BK40" i="43"/>
  <c r="BK42" i="43" s="1"/>
  <c r="BK334" i="43"/>
  <c r="BK337" i="43" s="1"/>
  <c r="BP302" i="43"/>
  <c r="BP72" i="43"/>
  <c r="BJ72" i="43"/>
  <c r="BQ239" i="43"/>
  <c r="BK43" i="43"/>
  <c r="BK46" i="43" s="1"/>
  <c r="BT169" i="43"/>
  <c r="BJ395" i="43"/>
  <c r="BK376" i="43"/>
  <c r="BK377" i="43" s="1"/>
  <c r="BK47" i="43"/>
  <c r="BK49" i="43" s="1"/>
  <c r="BK14" i="43"/>
  <c r="BK18" i="43" s="1"/>
  <c r="BQ424" i="43"/>
  <c r="BK378" i="43"/>
  <c r="BK384" i="43" s="1"/>
  <c r="BJ327" i="43"/>
  <c r="BJ301" i="43"/>
  <c r="BK23" i="43"/>
  <c r="BK27" i="43" s="1"/>
  <c r="BJ14" i="43"/>
  <c r="BT384" i="43"/>
  <c r="BK260" i="43"/>
  <c r="BK263" i="43" s="1"/>
  <c r="BP286" i="43"/>
  <c r="BK153" i="43"/>
  <c r="BK158" i="43" s="1"/>
  <c r="BK96" i="43"/>
  <c r="BK99" i="43" s="1"/>
  <c r="BK458" i="43"/>
  <c r="BK460" i="43" s="1"/>
  <c r="BK307" i="43"/>
  <c r="BK313" i="43" s="1"/>
  <c r="BJ153" i="43"/>
  <c r="BJ219" i="43"/>
  <c r="BL313" i="43"/>
  <c r="BK268" i="43"/>
  <c r="BK273" i="43" s="1"/>
  <c r="BP327" i="43"/>
  <c r="BP270" i="43"/>
  <c r="BP252" i="43"/>
  <c r="BP77" i="43"/>
  <c r="BJ239" i="43"/>
  <c r="BJ335" i="43"/>
  <c r="BI266" i="43"/>
  <c r="BQ270" i="43"/>
  <c r="BQ252" i="43"/>
  <c r="BK100" i="43"/>
  <c r="BK103" i="43" s="1"/>
  <c r="BQ77" i="43"/>
  <c r="BJ449" i="43"/>
  <c r="BQ268" i="43"/>
  <c r="BT31" i="43"/>
  <c r="BS55" i="43"/>
  <c r="BP446" i="43"/>
  <c r="BK430" i="43"/>
  <c r="BK436" i="43" s="1"/>
  <c r="BP403" i="43"/>
  <c r="BK326" i="43"/>
  <c r="BK329" i="43" s="1"/>
  <c r="BJ336" i="43"/>
  <c r="BP335" i="43"/>
  <c r="BP295" i="43"/>
  <c r="BP292" i="43"/>
  <c r="BP449" i="43"/>
  <c r="BK402" i="43"/>
  <c r="BK408" i="43" s="1"/>
  <c r="BQ403" i="43"/>
  <c r="BP336" i="43"/>
  <c r="BP272" i="43"/>
  <c r="BQ295" i="43"/>
  <c r="BQ292" i="43"/>
  <c r="BP98" i="43"/>
  <c r="BP219" i="43"/>
  <c r="BN267" i="43"/>
  <c r="BK227" i="43"/>
  <c r="BK232" i="43" s="1"/>
  <c r="BJ120" i="43"/>
  <c r="BQ98" i="43"/>
  <c r="BT323" i="43"/>
  <c r="BQ332" i="43"/>
  <c r="BK251" i="43"/>
  <c r="BK257" i="43" s="1"/>
  <c r="BK215" i="43"/>
  <c r="BK220" i="43" s="1"/>
  <c r="BN146" i="43"/>
  <c r="BP417" i="43"/>
  <c r="BQ417" i="43"/>
  <c r="BP404" i="43"/>
  <c r="BJ332" i="43"/>
  <c r="BK274" i="43"/>
  <c r="BK277" i="43" s="1"/>
  <c r="BT238" i="43"/>
  <c r="BJ215" i="43"/>
  <c r="BP262" i="43"/>
  <c r="BP248" i="43"/>
  <c r="BK159" i="43"/>
  <c r="BK163" i="43" s="1"/>
  <c r="BP82" i="43"/>
  <c r="BK451" i="43"/>
  <c r="BK457" i="43" s="1"/>
  <c r="BK444" i="43"/>
  <c r="BK450" i="43" s="1"/>
  <c r="BJ426" i="43"/>
  <c r="BQ262" i="43"/>
  <c r="BQ248" i="43"/>
  <c r="BK76" i="43"/>
  <c r="BK79" i="43" s="1"/>
  <c r="BQ82" i="43"/>
  <c r="BK297" i="43"/>
  <c r="BK245" i="43"/>
  <c r="BK250" i="43" s="1"/>
  <c r="BK202" i="43"/>
  <c r="BK207" i="43" s="1"/>
  <c r="BP296" i="43"/>
  <c r="BL289" i="43"/>
  <c r="BK127" i="43"/>
  <c r="BK133" i="43" s="1"/>
  <c r="BQ123" i="43"/>
  <c r="BT175" i="43"/>
  <c r="BJ341" i="43"/>
  <c r="BP180" i="43"/>
  <c r="BQ296" i="43"/>
  <c r="BN163" i="43"/>
  <c r="BP108" i="43"/>
  <c r="BK92" i="43"/>
  <c r="BK95" i="43" s="1"/>
  <c r="BK39" i="43"/>
  <c r="BJ141" i="43"/>
  <c r="BT22" i="43"/>
  <c r="BP341" i="43"/>
  <c r="BQ180" i="43"/>
  <c r="BQ108" i="43"/>
  <c r="BP204" i="43"/>
  <c r="BQ189" i="43"/>
  <c r="BP287" i="43"/>
  <c r="BK141" i="43"/>
  <c r="BK146" i="43" s="1"/>
  <c r="BJ89" i="43"/>
  <c r="BQ204" i="43"/>
  <c r="BP120" i="43"/>
  <c r="BP89" i="43"/>
  <c r="BT220" i="43"/>
  <c r="BT146" i="43"/>
  <c r="BU140" i="43"/>
  <c r="BK121" i="44"/>
  <c r="BI81" i="44"/>
  <c r="BN19" i="44"/>
  <c r="BT70" i="44"/>
  <c r="BT88" i="44"/>
  <c r="BT42" i="44"/>
  <c r="BI40" i="44"/>
  <c r="BN49" i="44"/>
  <c r="BK35" i="44"/>
  <c r="BL42" i="44"/>
  <c r="BT77" i="44"/>
  <c r="BK122" i="43"/>
  <c r="BK126" i="43" s="1"/>
  <c r="BK83" i="43"/>
  <c r="BT401" i="43"/>
  <c r="BN346" i="43"/>
  <c r="BL401" i="43"/>
  <c r="BN207" i="43"/>
  <c r="BT214" i="43"/>
  <c r="BI203" i="43"/>
  <c r="BJ198" i="43"/>
  <c r="BT408" i="43"/>
  <c r="BP301" i="43"/>
  <c r="BP73" i="43"/>
  <c r="BJ424" i="43"/>
  <c r="BT415" i="43"/>
  <c r="BK284" i="43"/>
  <c r="BK298" i="43"/>
  <c r="BK299" i="43" s="1"/>
  <c r="BQ73" i="43"/>
  <c r="BK50" i="43"/>
  <c r="BK52" i="43" s="1"/>
  <c r="BT422" i="43"/>
  <c r="BK117" i="43"/>
  <c r="BK353" i="43"/>
  <c r="BK359" i="43" s="1"/>
  <c r="BK360" i="43"/>
  <c r="BK364" i="43" s="1"/>
  <c r="BI240" i="43"/>
  <c r="BN201" i="43"/>
  <c r="BK233" i="43"/>
  <c r="BK238" i="43" s="1"/>
  <c r="BP198" i="43"/>
  <c r="BK68" i="43"/>
  <c r="BK70" i="43" s="1"/>
  <c r="BQ74" i="43"/>
  <c r="BN39" i="43"/>
  <c r="BL220" i="43"/>
  <c r="BT27" i="43"/>
  <c r="BN181" i="43"/>
  <c r="BN117" i="43"/>
  <c r="BI398" i="43"/>
  <c r="BT390" i="43"/>
  <c r="BK395" i="43"/>
  <c r="BK401" i="43" s="1"/>
  <c r="BO277" i="43"/>
  <c r="BL207" i="43"/>
  <c r="BP184" i="43"/>
  <c r="BK56" i="43"/>
  <c r="BK59" i="43" s="1"/>
  <c r="BO273" i="43"/>
  <c r="BN106" i="43"/>
  <c r="BM111" i="44"/>
  <c r="BM112" i="44" s="1"/>
  <c r="BS85" i="44"/>
  <c r="BS88" i="44" s="1"/>
  <c r="BM85" i="44"/>
  <c r="BM88" i="44" s="1"/>
  <c r="BS103" i="44"/>
  <c r="BS104" i="44" s="1"/>
  <c r="BJ91" i="44"/>
  <c r="BJ92" i="44" s="1"/>
  <c r="BK19" i="44"/>
  <c r="BS14" i="44"/>
  <c r="BS19" i="44" s="1"/>
  <c r="BL19" i="44"/>
  <c r="BM36" i="44"/>
  <c r="BM42" i="44" s="1"/>
  <c r="BM113" i="44"/>
  <c r="BM121" i="44" s="1"/>
  <c r="BT92" i="44"/>
  <c r="BM12" i="44"/>
  <c r="BM13" i="44" s="1"/>
  <c r="BN63" i="44"/>
  <c r="BM103" i="44"/>
  <c r="BM104" i="44" s="1"/>
  <c r="BP100" i="44"/>
  <c r="BN77" i="44"/>
  <c r="BS43" i="44"/>
  <c r="BS49" i="44" s="1"/>
  <c r="BN42" i="44"/>
  <c r="BN35" i="44"/>
  <c r="BS29" i="44"/>
  <c r="BS35" i="44" s="1"/>
  <c r="BK84" i="44"/>
  <c r="BK28" i="44"/>
  <c r="BM122" i="44"/>
  <c r="BM128" i="44" s="1"/>
  <c r="BM14" i="44"/>
  <c r="BM19" i="44" s="1"/>
  <c r="BK111" i="44"/>
  <c r="BK112" i="44" s="1"/>
  <c r="BS78" i="44"/>
  <c r="BS84" i="44" s="1"/>
  <c r="BU84" i="44"/>
  <c r="BS64" i="44"/>
  <c r="BS70" i="44" s="1"/>
  <c r="BM105" i="44"/>
  <c r="BM110" i="44" s="1"/>
  <c r="BM93" i="44"/>
  <c r="BM98" i="44" s="1"/>
  <c r="BS122" i="44"/>
  <c r="BS128" i="44" s="1"/>
  <c r="BS99" i="44"/>
  <c r="BS102" i="44" s="1"/>
  <c r="BS105" i="44"/>
  <c r="BS110" i="44" s="1"/>
  <c r="BJ100" i="44"/>
  <c r="BM64" i="44"/>
  <c r="BM70" i="44" s="1"/>
  <c r="BM78" i="44"/>
  <c r="BM84" i="44" s="1"/>
  <c r="BK42" i="44"/>
  <c r="BM99" i="44"/>
  <c r="BM102" i="44" s="1"/>
  <c r="BS12" i="44"/>
  <c r="BS13" i="44" s="1"/>
  <c r="BU88" i="44"/>
  <c r="BS71" i="44"/>
  <c r="BS77" i="44" s="1"/>
  <c r="BN102" i="44"/>
  <c r="BK92" i="44"/>
  <c r="BK105" i="44"/>
  <c r="BK110" i="44" s="1"/>
  <c r="BS89" i="44"/>
  <c r="BS92" i="44" s="1"/>
  <c r="BP89" i="44"/>
  <c r="BP92" i="44" s="1"/>
  <c r="BS113" i="44"/>
  <c r="BS121" i="44" s="1"/>
  <c r="BQ105" i="44"/>
  <c r="BM89" i="44"/>
  <c r="BM92" i="44" s="1"/>
  <c r="BK63" i="44"/>
  <c r="BN70" i="44"/>
  <c r="BK98" i="44"/>
  <c r="BN84" i="44"/>
  <c r="BN28" i="44"/>
  <c r="BS20" i="44"/>
  <c r="BS28" i="44" s="1"/>
  <c r="BN56" i="44"/>
  <c r="BT84" i="44"/>
  <c r="BN98" i="44"/>
  <c r="BK64" i="44"/>
  <c r="BK70" i="44" s="1"/>
  <c r="BM57" i="44"/>
  <c r="BM63" i="44" s="1"/>
  <c r="BT63" i="44"/>
  <c r="BU49" i="44"/>
  <c r="BS63" i="44"/>
  <c r="BS111" i="44"/>
  <c r="BS112" i="44" s="1"/>
  <c r="BN110" i="44"/>
  <c r="BS93" i="44"/>
  <c r="BS98" i="44" s="1"/>
  <c r="BK128" i="44"/>
  <c r="BM43" i="44"/>
  <c r="BM49" i="44" s="1"/>
  <c r="BS36" i="44"/>
  <c r="BS42" i="44" s="1"/>
  <c r="BT28" i="44"/>
  <c r="BM50" i="44"/>
  <c r="BM56" i="44" s="1"/>
  <c r="BL28" i="44"/>
  <c r="BS50" i="44"/>
  <c r="BS56" i="44" s="1"/>
  <c r="BK43" i="44"/>
  <c r="BK49" i="44" s="1"/>
  <c r="BM71" i="44"/>
  <c r="BM77" i="44" s="1"/>
  <c r="BT56" i="44"/>
  <c r="BM458" i="43"/>
  <c r="BM460" i="43" s="1"/>
  <c r="BM409" i="43"/>
  <c r="BM415" i="43" s="1"/>
  <c r="BS334" i="43"/>
  <c r="BS337" i="43" s="1"/>
  <c r="BS314" i="43"/>
  <c r="BS317" i="43" s="1"/>
  <c r="BS245" i="43"/>
  <c r="BS250" i="43" s="1"/>
  <c r="BK306" i="43"/>
  <c r="BS182" i="43"/>
  <c r="BS188" i="43" s="1"/>
  <c r="BM134" i="43"/>
  <c r="BM140" i="43" s="1"/>
  <c r="BM153" i="43"/>
  <c r="BM158" i="43" s="1"/>
  <c r="BM221" i="43"/>
  <c r="BM226" i="43" s="1"/>
  <c r="BM353" i="43"/>
  <c r="BM359" i="43" s="1"/>
  <c r="BN244" i="43"/>
  <c r="BM47" i="43"/>
  <c r="BM49" i="43" s="1"/>
  <c r="BL214" i="43"/>
  <c r="BM92" i="43"/>
  <c r="BM95" i="43" s="1"/>
  <c r="BS47" i="43"/>
  <c r="BS49" i="43" s="1"/>
  <c r="BM278" i="43"/>
  <c r="BM284" i="43" s="1"/>
  <c r="BM444" i="43"/>
  <c r="BM450" i="43" s="1"/>
  <c r="BN436" i="43"/>
  <c r="BM385" i="43"/>
  <c r="BM390" i="43" s="1"/>
  <c r="BN408" i="43"/>
  <c r="BN352" i="43"/>
  <c r="BT352" i="43"/>
  <c r="BS326" i="43"/>
  <c r="BS329" i="43" s="1"/>
  <c r="BT317" i="43"/>
  <c r="BN289" i="43"/>
  <c r="BN284" i="43"/>
  <c r="BS298" i="43"/>
  <c r="BS299" i="43" s="1"/>
  <c r="BI281" i="43"/>
  <c r="BT313" i="43"/>
  <c r="BS360" i="43"/>
  <c r="BS364" i="43" s="1"/>
  <c r="BI301" i="43"/>
  <c r="BS285" i="43"/>
  <c r="BS289" i="43" s="1"/>
  <c r="BS274" i="43"/>
  <c r="BS277" i="43" s="1"/>
  <c r="BK267" i="43"/>
  <c r="BT250" i="43"/>
  <c r="BS290" i="43"/>
  <c r="BS297" i="43" s="1"/>
  <c r="BJ281" i="43"/>
  <c r="BS268" i="43"/>
  <c r="BS273" i="43" s="1"/>
  <c r="BS264" i="43"/>
  <c r="BS267" i="43" s="1"/>
  <c r="BS260" i="43"/>
  <c r="BS263" i="43" s="1"/>
  <c r="BI228" i="43"/>
  <c r="BS221" i="43"/>
  <c r="BS226" i="43" s="1"/>
  <c r="BT195" i="43"/>
  <c r="BL263" i="43"/>
  <c r="BT188" i="43"/>
  <c r="BM170" i="43"/>
  <c r="BM175" i="43" s="1"/>
  <c r="BS122" i="43"/>
  <c r="BS126" i="43" s="1"/>
  <c r="BS76" i="43"/>
  <c r="BS79" i="43" s="1"/>
  <c r="BS68" i="43"/>
  <c r="BS70" i="43" s="1"/>
  <c r="BT201" i="43"/>
  <c r="BJ203" i="43"/>
  <c r="BM53" i="43"/>
  <c r="BM55" i="43" s="1"/>
  <c r="BK88" i="43"/>
  <c r="BK91" i="43" s="1"/>
  <c r="BK28" i="43"/>
  <c r="BK31" i="43" s="1"/>
  <c r="BS437" i="43"/>
  <c r="BS443" i="43" s="1"/>
  <c r="BL364" i="43"/>
  <c r="BM274" i="43"/>
  <c r="BM277" i="43" s="1"/>
  <c r="BM268" i="43"/>
  <c r="BM273" i="43" s="1"/>
  <c r="BM84" i="43"/>
  <c r="BM87" i="43" s="1"/>
  <c r="BM111" i="43"/>
  <c r="BM114" i="43" s="1"/>
  <c r="BM251" i="43"/>
  <c r="BM257" i="43" s="1"/>
  <c r="BS32" i="43"/>
  <c r="BS35" i="43" s="1"/>
  <c r="BN126" i="43"/>
  <c r="BM118" i="43"/>
  <c r="BM121" i="43" s="1"/>
  <c r="BM365" i="43"/>
  <c r="BM371" i="43" s="1"/>
  <c r="BM285" i="43"/>
  <c r="BM289" i="43" s="1"/>
  <c r="BL436" i="43"/>
  <c r="BS385" i="43"/>
  <c r="BS390" i="43" s="1"/>
  <c r="BM360" i="43"/>
  <c r="BM364" i="43" s="1"/>
  <c r="BL297" i="43"/>
  <c r="BL450" i="43"/>
  <c r="BO422" i="43"/>
  <c r="BS395" i="43"/>
  <c r="BS401" i="43" s="1"/>
  <c r="BU384" i="43"/>
  <c r="BO257" i="43"/>
  <c r="BO263" i="43"/>
  <c r="BL250" i="43"/>
  <c r="BS141" i="43"/>
  <c r="BS146" i="43" s="1"/>
  <c r="BT126" i="43"/>
  <c r="BN67" i="43"/>
  <c r="BM263" i="43"/>
  <c r="BT181" i="43"/>
  <c r="BT140" i="43"/>
  <c r="BO91" i="43"/>
  <c r="BT55" i="43"/>
  <c r="BO103" i="43"/>
  <c r="BN75" i="43"/>
  <c r="BM28" i="43"/>
  <c r="BM31" i="43" s="1"/>
  <c r="BN384" i="43"/>
  <c r="BU39" i="43"/>
  <c r="BM395" i="43"/>
  <c r="BM401" i="43" s="1"/>
  <c r="BM208" i="43"/>
  <c r="BM214" i="43" s="1"/>
  <c r="BS104" i="43"/>
  <c r="BS106" i="43" s="1"/>
  <c r="BS444" i="43"/>
  <c r="BS450" i="43" s="1"/>
  <c r="BM227" i="43"/>
  <c r="BM232" i="43" s="1"/>
  <c r="BK437" i="43"/>
  <c r="BK443" i="43" s="1"/>
  <c r="BN457" i="43"/>
  <c r="BM430" i="43"/>
  <c r="BM436" i="43" s="1"/>
  <c r="BM372" i="43"/>
  <c r="BM375" i="43" s="1"/>
  <c r="BN359" i="43"/>
  <c r="BI340" i="43"/>
  <c r="BK365" i="43"/>
  <c r="BK371" i="43" s="1"/>
  <c r="BS353" i="43"/>
  <c r="BS359" i="43" s="1"/>
  <c r="BM338" i="43"/>
  <c r="BM346" i="43" s="1"/>
  <c r="BM330" i="43"/>
  <c r="BM333" i="43" s="1"/>
  <c r="BT364" i="43"/>
  <c r="BT289" i="43"/>
  <c r="BP304" i="43"/>
  <c r="BT277" i="43"/>
  <c r="BS251" i="43"/>
  <c r="BS257" i="43" s="1"/>
  <c r="BT297" i="43"/>
  <c r="BT273" i="43"/>
  <c r="BT267" i="43"/>
  <c r="BT263" i="43"/>
  <c r="BN220" i="43"/>
  <c r="BN214" i="43"/>
  <c r="BT226" i="43"/>
  <c r="BS202" i="43"/>
  <c r="BS207" i="43" s="1"/>
  <c r="BM176" i="43"/>
  <c r="BM181" i="43" s="1"/>
  <c r="BS111" i="43"/>
  <c r="BS114" i="43" s="1"/>
  <c r="BS84" i="43"/>
  <c r="BS87" i="43" s="1"/>
  <c r="BM159" i="43"/>
  <c r="BM163" i="43" s="1"/>
  <c r="BJ74" i="43"/>
  <c r="BN152" i="43"/>
  <c r="BM60" i="43"/>
  <c r="BM63" i="43" s="1"/>
  <c r="BM50" i="43"/>
  <c r="BM52" i="43" s="1"/>
  <c r="BM40" i="43"/>
  <c r="BM42" i="43" s="1"/>
  <c r="BK134" i="43"/>
  <c r="BK140" i="43" s="1"/>
  <c r="BL375" i="43"/>
  <c r="BM202" i="43"/>
  <c r="BM207" i="43" s="1"/>
  <c r="BL352" i="43"/>
  <c r="BL359" i="43"/>
  <c r="BN257" i="43"/>
  <c r="BM80" i="43"/>
  <c r="BM83" i="43" s="1"/>
  <c r="BM68" i="43"/>
  <c r="BM70" i="43" s="1"/>
  <c r="BM461" i="43"/>
  <c r="BM464" i="43" s="1"/>
  <c r="BK416" i="43"/>
  <c r="BK422" i="43" s="1"/>
  <c r="BN401" i="43"/>
  <c r="BT346" i="43"/>
  <c r="BO313" i="43"/>
  <c r="BN460" i="43"/>
  <c r="BO390" i="43"/>
  <c r="BM347" i="43"/>
  <c r="BM352" i="43" s="1"/>
  <c r="BL408" i="43"/>
  <c r="BN394" i="43"/>
  <c r="BL422" i="43"/>
  <c r="BM298" i="43"/>
  <c r="BM299" i="43" s="1"/>
  <c r="BL244" i="43"/>
  <c r="BT133" i="43"/>
  <c r="BM75" i="43"/>
  <c r="BT63" i="43"/>
  <c r="BN450" i="43"/>
  <c r="BS127" i="43"/>
  <c r="BS133" i="43" s="1"/>
  <c r="BT39" i="43"/>
  <c r="BS176" i="43"/>
  <c r="BS181" i="43" s="1"/>
  <c r="BN169" i="43"/>
  <c r="BU91" i="43"/>
  <c r="BS23" i="43"/>
  <c r="BS27" i="43" s="1"/>
  <c r="BN175" i="43"/>
  <c r="BL126" i="43"/>
  <c r="BN95" i="43"/>
  <c r="BS43" i="43"/>
  <c r="BS46" i="43" s="1"/>
  <c r="BN133" i="43"/>
  <c r="BS169" i="43"/>
  <c r="BM122" i="43"/>
  <c r="BM126" i="43" s="1"/>
  <c r="BM300" i="43"/>
  <c r="BM306" i="43" s="1"/>
  <c r="BM451" i="43"/>
  <c r="BM457" i="43" s="1"/>
  <c r="BL429" i="43"/>
  <c r="BS376" i="43"/>
  <c r="BS377" i="43" s="1"/>
  <c r="BN364" i="43"/>
  <c r="BS338" i="43"/>
  <c r="BS346" i="43" s="1"/>
  <c r="BS330" i="43"/>
  <c r="BS333" i="43" s="1"/>
  <c r="BT359" i="43"/>
  <c r="BM318" i="43"/>
  <c r="BM323" i="43" s="1"/>
  <c r="BS324" i="43"/>
  <c r="BS325" i="43" s="1"/>
  <c r="BS318" i="43"/>
  <c r="BS323" i="43" s="1"/>
  <c r="BS372" i="43"/>
  <c r="BS375" i="43" s="1"/>
  <c r="BO306" i="43"/>
  <c r="BN297" i="43"/>
  <c r="BS300" i="43"/>
  <c r="BS306" i="43" s="1"/>
  <c r="BQ304" i="43"/>
  <c r="BT257" i="43"/>
  <c r="BS258" i="43"/>
  <c r="BS259" i="43" s="1"/>
  <c r="BN226" i="43"/>
  <c r="BN195" i="43"/>
  <c r="BN188" i="43"/>
  <c r="BS227" i="43"/>
  <c r="BS232" i="43" s="1"/>
  <c r="BS278" i="43"/>
  <c r="BS284" i="43" s="1"/>
  <c r="BL267" i="43"/>
  <c r="BT207" i="43"/>
  <c r="BK195" i="43"/>
  <c r="BS100" i="43"/>
  <c r="BS103" i="43" s="1"/>
  <c r="BS92" i="43"/>
  <c r="BS95" i="43" s="1"/>
  <c r="BK176" i="43"/>
  <c r="BK181" i="43" s="1"/>
  <c r="BK164" i="43"/>
  <c r="BK169" i="43" s="1"/>
  <c r="BL188" i="43"/>
  <c r="BM147" i="43"/>
  <c r="BM152" i="43" s="1"/>
  <c r="BK87" i="43"/>
  <c r="BK60" i="43"/>
  <c r="BK63" i="43" s="1"/>
  <c r="BU450" i="43"/>
  <c r="BL390" i="43"/>
  <c r="BM290" i="43"/>
  <c r="BM297" i="43" s="1"/>
  <c r="BM196" i="43"/>
  <c r="BM201" i="43" s="1"/>
  <c r="BL284" i="43"/>
  <c r="BS153" i="43"/>
  <c r="BS158" i="43" s="1"/>
  <c r="BL232" i="43"/>
  <c r="BS56" i="43"/>
  <c r="BS59" i="43" s="1"/>
  <c r="BU390" i="43"/>
  <c r="BL323" i="43"/>
  <c r="BM215" i="43"/>
  <c r="BM220" i="43" s="1"/>
  <c r="BO384" i="43"/>
  <c r="BO415" i="43"/>
  <c r="BM245" i="43"/>
  <c r="BM250" i="43" s="1"/>
  <c r="BL195" i="43"/>
  <c r="BM88" i="43"/>
  <c r="BM91" i="43" s="1"/>
  <c r="BK423" i="43"/>
  <c r="BK429" i="43" s="1"/>
  <c r="BO359" i="43"/>
  <c r="BL181" i="43"/>
  <c r="BU133" i="43"/>
  <c r="BN52" i="43"/>
  <c r="BM115" i="43"/>
  <c r="BM117" i="43" s="1"/>
  <c r="BT46" i="43"/>
  <c r="BM36" i="43"/>
  <c r="BM39" i="43" s="1"/>
  <c r="BT163" i="43"/>
  <c r="BM402" i="43"/>
  <c r="BM408" i="43" s="1"/>
  <c r="BS347" i="43"/>
  <c r="BS352" i="43" s="1"/>
  <c r="BM324" i="43"/>
  <c r="BM325" i="43" s="1"/>
  <c r="BS307" i="43"/>
  <c r="BS313" i="43" s="1"/>
  <c r="BS189" i="43"/>
  <c r="BS195" i="43" s="1"/>
  <c r="BM164" i="43"/>
  <c r="BM169" i="43" s="1"/>
  <c r="BS96" i="43"/>
  <c r="BS99" i="43" s="1"/>
  <c r="BS196" i="43"/>
  <c r="BS201" i="43" s="1"/>
  <c r="BP239" i="43"/>
  <c r="BM43" i="43"/>
  <c r="BM46" i="43" s="1"/>
  <c r="BS391" i="43"/>
  <c r="BS394" i="43" s="1"/>
  <c r="BM378" i="43"/>
  <c r="BM384" i="43" s="1"/>
  <c r="BM264" i="43"/>
  <c r="BM267" i="43" s="1"/>
  <c r="BS14" i="43"/>
  <c r="BS18" i="43" s="1"/>
  <c r="BM19" i="43"/>
  <c r="BM22" i="43" s="1"/>
  <c r="BN443" i="43"/>
  <c r="BN422" i="43"/>
  <c r="BS365" i="43"/>
  <c r="BS371" i="43" s="1"/>
  <c r="BK352" i="43"/>
  <c r="BT375" i="43"/>
  <c r="BT306" i="43"/>
  <c r="BI256" i="43"/>
  <c r="BS239" i="43"/>
  <c r="BS244" i="43" s="1"/>
  <c r="BN232" i="43"/>
  <c r="BT232" i="43"/>
  <c r="BK201" i="43"/>
  <c r="BK226" i="43"/>
  <c r="BT284" i="43"/>
  <c r="BM127" i="43"/>
  <c r="BM133" i="43" s="1"/>
  <c r="BL201" i="43"/>
  <c r="BS118" i="43"/>
  <c r="BS121" i="43" s="1"/>
  <c r="BS80" i="43"/>
  <c r="BS83" i="43" s="1"/>
  <c r="BK182" i="43"/>
  <c r="BK188" i="43" s="1"/>
  <c r="BM141" i="43"/>
  <c r="BM146" i="43" s="1"/>
  <c r="BK106" i="43"/>
  <c r="BM23" i="43"/>
  <c r="BM27" i="43" s="1"/>
  <c r="BL371" i="43"/>
  <c r="BS423" i="43"/>
  <c r="BS429" i="43" s="1"/>
  <c r="BM233" i="43"/>
  <c r="BM238" i="43" s="1"/>
  <c r="BK244" i="43"/>
  <c r="BL238" i="43"/>
  <c r="BK409" i="43"/>
  <c r="BK415" i="43" s="1"/>
  <c r="BL226" i="43"/>
  <c r="BT158" i="43"/>
  <c r="BM96" i="43"/>
  <c r="BM99" i="43" s="1"/>
  <c r="BM14" i="43"/>
  <c r="BM18" i="43" s="1"/>
  <c r="BS50" i="43"/>
  <c r="BS52" i="43" s="1"/>
  <c r="BT59" i="43"/>
  <c r="BS134" i="43"/>
  <c r="BS140" i="43" s="1"/>
  <c r="BL257" i="43"/>
  <c r="BT464" i="43"/>
  <c r="BJ435" i="43"/>
  <c r="BP435" i="43"/>
  <c r="BL384" i="43"/>
  <c r="BO317" i="43"/>
  <c r="BN415" i="43"/>
  <c r="BN390" i="43"/>
  <c r="BO323" i="43"/>
  <c r="BN273" i="43"/>
  <c r="BM189" i="43"/>
  <c r="BM195" i="43" s="1"/>
  <c r="BS64" i="43"/>
  <c r="BS67" i="43" s="1"/>
  <c r="BT429" i="43"/>
  <c r="BN79" i="43"/>
  <c r="BS60" i="43"/>
  <c r="BS63" i="43" s="1"/>
  <c r="BS36" i="43"/>
  <c r="BS39" i="43" s="1"/>
  <c r="BS31" i="43"/>
  <c r="BS451" i="43"/>
  <c r="BS457" i="43" s="1"/>
  <c r="BK461" i="43"/>
  <c r="BK464" i="43" s="1"/>
  <c r="BS458" i="43"/>
  <c r="BS460" i="43" s="1"/>
  <c r="BS430" i="43"/>
  <c r="BS436" i="43" s="1"/>
  <c r="BS409" i="43"/>
  <c r="BS415" i="43" s="1"/>
  <c r="BM391" i="43"/>
  <c r="BM394" i="43" s="1"/>
  <c r="BS461" i="43"/>
  <c r="BS464" i="43" s="1"/>
  <c r="BM437" i="43"/>
  <c r="BM443" i="43" s="1"/>
  <c r="BT436" i="43"/>
  <c r="BM423" i="43"/>
  <c r="BM429" i="43" s="1"/>
  <c r="BL415" i="43"/>
  <c r="BK390" i="43"/>
  <c r="BM416" i="43"/>
  <c r="BM422" i="43" s="1"/>
  <c r="BS378" i="43"/>
  <c r="BS384" i="43" s="1"/>
  <c r="BN371" i="43"/>
  <c r="BK346" i="43"/>
  <c r="BT371" i="43"/>
  <c r="BM334" i="43"/>
  <c r="BM337" i="43" s="1"/>
  <c r="BM326" i="43"/>
  <c r="BM329" i="43" s="1"/>
  <c r="BM314" i="43"/>
  <c r="BM317" i="43" s="1"/>
  <c r="BM307" i="43"/>
  <c r="BM313" i="43" s="1"/>
  <c r="BL306" i="43"/>
  <c r="BT244" i="43"/>
  <c r="BM239" i="43"/>
  <c r="BM244" i="43" s="1"/>
  <c r="BN238" i="43"/>
  <c r="BS233" i="43"/>
  <c r="BS238" i="43" s="1"/>
  <c r="BS215" i="43"/>
  <c r="BS220" i="43" s="1"/>
  <c r="BS208" i="43"/>
  <c r="BS214" i="43" s="1"/>
  <c r="BL273" i="43"/>
  <c r="BS115" i="43"/>
  <c r="BS117" i="43" s="1"/>
  <c r="BS107" i="43"/>
  <c r="BS110" i="43" s="1"/>
  <c r="BS88" i="43"/>
  <c r="BS91" i="43" s="1"/>
  <c r="BS71" i="43"/>
  <c r="BS75" i="43" s="1"/>
  <c r="BN158" i="43"/>
  <c r="BP65" i="43"/>
  <c r="BK71" i="43"/>
  <c r="BK75" i="43" s="1"/>
  <c r="BM64" i="43"/>
  <c r="BM67" i="43" s="1"/>
  <c r="BM56" i="43"/>
  <c r="BM59" i="43" s="1"/>
  <c r="BM32" i="43"/>
  <c r="BM35" i="43" s="1"/>
  <c r="BN18" i="43"/>
  <c r="BN27" i="43"/>
  <c r="BU443" i="43"/>
  <c r="BT457" i="43"/>
  <c r="BM258" i="43"/>
  <c r="BM259" i="43" s="1"/>
  <c r="BM104" i="43"/>
  <c r="BM106" i="43" s="1"/>
  <c r="BM182" i="43"/>
  <c r="BM188" i="43" s="1"/>
  <c r="BS159" i="43"/>
  <c r="BS163" i="43" s="1"/>
  <c r="BL277" i="43"/>
  <c r="BT52" i="43"/>
  <c r="BM107" i="43"/>
  <c r="BM110" i="43" s="1"/>
  <c r="BL394" i="43"/>
  <c r="BM100" i="43"/>
  <c r="BM103" i="43" s="1"/>
  <c r="BS40" i="43"/>
  <c r="BS42" i="43" s="1"/>
  <c r="BN277" i="43"/>
  <c r="BU436" i="43"/>
  <c r="BS416" i="43"/>
  <c r="BS422" i="43" s="1"/>
  <c r="BO450" i="43"/>
  <c r="BT450" i="43"/>
  <c r="BN429" i="43"/>
  <c r="BS402" i="43"/>
  <c r="BS408" i="43" s="1"/>
  <c r="BL346" i="43"/>
  <c r="BL329" i="43"/>
  <c r="BL317" i="43"/>
  <c r="BM79" i="43"/>
  <c r="BS170" i="43"/>
  <c r="BS175" i="43" s="1"/>
  <c r="BN35" i="43"/>
  <c r="BS19" i="43"/>
  <c r="BS22" i="43" s="1"/>
  <c r="BT152" i="43"/>
  <c r="BN114" i="43"/>
  <c r="BS147" i="43"/>
  <c r="BS152" i="43" s="1"/>
  <c r="BJ95" i="44"/>
  <c r="BP86" i="44"/>
  <c r="BP95" i="44"/>
  <c r="BJ86" i="44"/>
  <c r="BJ99" i="44"/>
  <c r="BI406" i="43"/>
  <c r="BQ65" i="43"/>
  <c r="BQ184" i="43"/>
  <c r="BI283" i="43"/>
  <c r="BI425" i="43"/>
  <c r="BJ331" i="43"/>
  <c r="BI246" i="43"/>
  <c r="BP183" i="43"/>
  <c r="BP331" i="43"/>
  <c r="BQ183" i="43"/>
  <c r="BI186" i="43"/>
  <c r="BJ29" i="44"/>
  <c r="BJ78" i="44"/>
  <c r="BJ18" i="44"/>
  <c r="BQ18" i="44"/>
  <c r="BP18" i="44"/>
  <c r="BJ25" i="44"/>
  <c r="BQ25" i="44"/>
  <c r="BP25" i="44"/>
  <c r="BJ113" i="44"/>
  <c r="BQ120" i="44"/>
  <c r="BP120" i="44"/>
  <c r="BJ120" i="44"/>
  <c r="BQ124" i="44"/>
  <c r="BP124" i="44"/>
  <c r="BJ124" i="44"/>
  <c r="BQ126" i="44"/>
  <c r="BP126" i="44"/>
  <c r="BJ126" i="44"/>
  <c r="BQ115" i="44"/>
  <c r="BP115" i="44"/>
  <c r="BJ115" i="44"/>
  <c r="BQ114" i="44"/>
  <c r="BP114" i="44"/>
  <c r="BJ114" i="44"/>
  <c r="BI94" i="44"/>
  <c r="BI107" i="44"/>
  <c r="BP76" i="44"/>
  <c r="BJ76" i="44"/>
  <c r="BQ76" i="44"/>
  <c r="BJ93" i="44"/>
  <c r="BJ61" i="44"/>
  <c r="BQ61" i="44"/>
  <c r="BP61" i="44"/>
  <c r="BJ71" i="44"/>
  <c r="BQ51" i="44"/>
  <c r="BP51" i="44"/>
  <c r="BJ51" i="44"/>
  <c r="BJ30" i="44"/>
  <c r="BQ30" i="44"/>
  <c r="BP30" i="44"/>
  <c r="BJ31" i="44"/>
  <c r="BQ31" i="44"/>
  <c r="BP31" i="44"/>
  <c r="BJ20" i="44"/>
  <c r="BJ79" i="44"/>
  <c r="BQ79" i="44"/>
  <c r="BP79" i="44"/>
  <c r="BP68" i="44"/>
  <c r="BJ68" i="44"/>
  <c r="BQ68" i="44"/>
  <c r="BP66" i="44"/>
  <c r="BJ66" i="44"/>
  <c r="BQ66" i="44"/>
  <c r="BQ45" i="44"/>
  <c r="BP45" i="44"/>
  <c r="BJ45" i="44"/>
  <c r="BQ47" i="44"/>
  <c r="BJ47" i="44"/>
  <c r="BP47" i="44"/>
  <c r="BP62" i="44"/>
  <c r="BJ62" i="44"/>
  <c r="BQ62" i="44"/>
  <c r="BJ67" i="44"/>
  <c r="BQ67" i="44"/>
  <c r="BP67" i="44"/>
  <c r="BJ14" i="44"/>
  <c r="BQ119" i="44"/>
  <c r="BP119" i="44"/>
  <c r="BJ119" i="44"/>
  <c r="BJ106" i="44"/>
  <c r="BQ106" i="44"/>
  <c r="BP106" i="44"/>
  <c r="BQ96" i="44"/>
  <c r="BJ96" i="44"/>
  <c r="BP96" i="44"/>
  <c r="BJ75" i="44"/>
  <c r="BQ75" i="44"/>
  <c r="BP75" i="44"/>
  <c r="BP60" i="44"/>
  <c r="BJ60" i="44"/>
  <c r="BQ60" i="44"/>
  <c r="BQ44" i="44"/>
  <c r="BJ44" i="44"/>
  <c r="BP44" i="44"/>
  <c r="BJ36" i="44"/>
  <c r="BJ37" i="44"/>
  <c r="BQ37" i="44"/>
  <c r="BP37" i="44"/>
  <c r="BJ26" i="44"/>
  <c r="BQ26" i="44"/>
  <c r="BP26" i="44"/>
  <c r="BQ46" i="44"/>
  <c r="BJ46" i="44"/>
  <c r="BP46" i="44"/>
  <c r="BQ55" i="44"/>
  <c r="BJ55" i="44"/>
  <c r="BP55" i="44"/>
  <c r="BJ109" i="44"/>
  <c r="BQ109" i="44"/>
  <c r="BP109" i="44"/>
  <c r="BQ59" i="44"/>
  <c r="BJ59" i="44"/>
  <c r="BP59" i="44"/>
  <c r="BJ65" i="44"/>
  <c r="BQ65" i="44"/>
  <c r="BP65" i="44"/>
  <c r="BP72" i="44"/>
  <c r="BJ72" i="44"/>
  <c r="BQ72" i="44"/>
  <c r="BJ41" i="44"/>
  <c r="BQ41" i="44"/>
  <c r="BP41" i="44"/>
  <c r="BJ103" i="44"/>
  <c r="BJ104" i="44" s="1"/>
  <c r="BJ122" i="44"/>
  <c r="BQ97" i="44"/>
  <c r="BJ97" i="44"/>
  <c r="BP97" i="44"/>
  <c r="BQ58" i="44"/>
  <c r="BJ58" i="44"/>
  <c r="BP58" i="44"/>
  <c r="BQ53" i="44"/>
  <c r="BJ53" i="44"/>
  <c r="BP53" i="44"/>
  <c r="BJ17" i="44"/>
  <c r="BQ17" i="44"/>
  <c r="BP17" i="44"/>
  <c r="BJ32" i="44"/>
  <c r="BQ32" i="44"/>
  <c r="BP32" i="44"/>
  <c r="BJ39" i="44"/>
  <c r="BQ39" i="44"/>
  <c r="BP39" i="44"/>
  <c r="BJ33" i="44"/>
  <c r="BQ33" i="44"/>
  <c r="BP33" i="44"/>
  <c r="BJ27" i="44"/>
  <c r="BQ27" i="44"/>
  <c r="BP27" i="44"/>
  <c r="BJ21" i="44"/>
  <c r="BQ21" i="44"/>
  <c r="BP21" i="44"/>
  <c r="BJ15" i="44"/>
  <c r="BQ15" i="44"/>
  <c r="BP15" i="44"/>
  <c r="BJ64" i="44"/>
  <c r="BI52" i="44"/>
  <c r="BI90" i="44"/>
  <c r="BP74" i="44"/>
  <c r="BJ74" i="44"/>
  <c r="BQ74" i="44"/>
  <c r="BJ24" i="44"/>
  <c r="BQ24" i="44"/>
  <c r="BP24" i="44"/>
  <c r="BQ116" i="44"/>
  <c r="BP116" i="44"/>
  <c r="BJ116" i="44"/>
  <c r="BQ123" i="44"/>
  <c r="BP123" i="44"/>
  <c r="BJ123" i="44"/>
  <c r="BQ117" i="44"/>
  <c r="BP117" i="44"/>
  <c r="BJ117" i="44"/>
  <c r="BQ127" i="44"/>
  <c r="BP127" i="44"/>
  <c r="BJ127" i="44"/>
  <c r="BQ125" i="44"/>
  <c r="BP125" i="44"/>
  <c r="BJ125" i="44"/>
  <c r="BQ118" i="44"/>
  <c r="BP118" i="44"/>
  <c r="BJ118" i="44"/>
  <c r="BI108" i="44"/>
  <c r="BJ69" i="44"/>
  <c r="BQ69" i="44"/>
  <c r="BP69" i="44"/>
  <c r="BJ57" i="44"/>
  <c r="BJ73" i="44"/>
  <c r="BQ73" i="44"/>
  <c r="BP73" i="44"/>
  <c r="BJ80" i="44"/>
  <c r="BP80" i="44"/>
  <c r="BQ80" i="44"/>
  <c r="BJ23" i="44"/>
  <c r="BQ23" i="44"/>
  <c r="BP23" i="44"/>
  <c r="BJ16" i="44"/>
  <c r="BQ16" i="44"/>
  <c r="BP16" i="44"/>
  <c r="BJ38" i="44"/>
  <c r="BQ38" i="44"/>
  <c r="BP38" i="44"/>
  <c r="BJ34" i="44"/>
  <c r="BQ34" i="44"/>
  <c r="BP34" i="44"/>
  <c r="BJ22" i="44"/>
  <c r="BQ22" i="44"/>
  <c r="BP22" i="44"/>
  <c r="BP29" i="43"/>
  <c r="BQ29" i="43"/>
  <c r="BJ29" i="43"/>
  <c r="BQ428" i="43"/>
  <c r="BP428" i="43"/>
  <c r="BJ428" i="43"/>
  <c r="BP309" i="43"/>
  <c r="BJ309" i="43"/>
  <c r="BQ309" i="43"/>
  <c r="BP322" i="43"/>
  <c r="BJ322" i="43"/>
  <c r="BQ322" i="43"/>
  <c r="BJ251" i="43"/>
  <c r="BJ221" i="43"/>
  <c r="BJ131" i="43"/>
  <c r="BQ131" i="43"/>
  <c r="BP131" i="43"/>
  <c r="BJ128" i="43"/>
  <c r="BQ128" i="43"/>
  <c r="BP128" i="43"/>
  <c r="BQ93" i="43"/>
  <c r="BP93" i="43"/>
  <c r="BJ93" i="43"/>
  <c r="BQ30" i="43"/>
  <c r="BJ30" i="43"/>
  <c r="BP30" i="43"/>
  <c r="BJ418" i="43"/>
  <c r="BQ418" i="43"/>
  <c r="BP418" i="43"/>
  <c r="BJ345" i="43"/>
  <c r="BQ345" i="43"/>
  <c r="BP345" i="43"/>
  <c r="BJ159" i="43"/>
  <c r="BJ143" i="43"/>
  <c r="BQ143" i="43"/>
  <c r="BP143" i="43"/>
  <c r="BJ104" i="43"/>
  <c r="BJ447" i="43"/>
  <c r="BQ447" i="43"/>
  <c r="BP447" i="43"/>
  <c r="BJ441" i="43"/>
  <c r="BQ441" i="43"/>
  <c r="BP441" i="43"/>
  <c r="BQ427" i="43"/>
  <c r="BP427" i="43"/>
  <c r="BJ427" i="43"/>
  <c r="BQ432" i="43"/>
  <c r="BP432" i="43"/>
  <c r="BJ432" i="43"/>
  <c r="BJ433" i="43"/>
  <c r="BQ433" i="43"/>
  <c r="BP433" i="43"/>
  <c r="BI417" i="43"/>
  <c r="BI392" i="43"/>
  <c r="BJ388" i="43"/>
  <c r="BQ388" i="43"/>
  <c r="BP388" i="43"/>
  <c r="BJ414" i="43"/>
  <c r="BQ414" i="43"/>
  <c r="BP414" i="43"/>
  <c r="BQ379" i="43"/>
  <c r="BP379" i="43"/>
  <c r="BJ379" i="43"/>
  <c r="BJ399" i="43"/>
  <c r="BQ399" i="43"/>
  <c r="BP399" i="43"/>
  <c r="BQ380" i="43"/>
  <c r="BP380" i="43"/>
  <c r="BJ380" i="43"/>
  <c r="BJ348" i="43"/>
  <c r="BQ348" i="43"/>
  <c r="BP348" i="43"/>
  <c r="BJ358" i="43"/>
  <c r="BQ358" i="43"/>
  <c r="BP358" i="43"/>
  <c r="BJ370" i="43"/>
  <c r="BQ370" i="43"/>
  <c r="BP370" i="43"/>
  <c r="BJ356" i="43"/>
  <c r="BQ356" i="43"/>
  <c r="BP356" i="43"/>
  <c r="BJ324" i="43"/>
  <c r="BJ325" i="43" s="1"/>
  <c r="BJ318" i="43"/>
  <c r="BP320" i="43"/>
  <c r="BJ320" i="43"/>
  <c r="BQ320" i="43"/>
  <c r="BP308" i="43"/>
  <c r="BJ308" i="43"/>
  <c r="BQ308" i="43"/>
  <c r="BJ300" i="43"/>
  <c r="BJ271" i="43"/>
  <c r="BQ271" i="43"/>
  <c r="BP271" i="43"/>
  <c r="BJ247" i="43"/>
  <c r="BQ247" i="43"/>
  <c r="BP247" i="43"/>
  <c r="BP311" i="43"/>
  <c r="BJ311" i="43"/>
  <c r="BQ311" i="43"/>
  <c r="BJ288" i="43"/>
  <c r="BQ288" i="43"/>
  <c r="BP288" i="43"/>
  <c r="BJ227" i="43"/>
  <c r="BJ209" i="43"/>
  <c r="BQ209" i="43"/>
  <c r="BP209" i="43"/>
  <c r="BJ205" i="43"/>
  <c r="BQ205" i="43"/>
  <c r="BP205" i="43"/>
  <c r="BJ191" i="43"/>
  <c r="BQ191" i="43"/>
  <c r="BP191" i="43"/>
  <c r="BJ229" i="43"/>
  <c r="BQ229" i="43"/>
  <c r="BP229" i="43"/>
  <c r="BJ176" i="43"/>
  <c r="BJ172" i="43"/>
  <c r="BQ172" i="43"/>
  <c r="BP172" i="43"/>
  <c r="BJ168" i="43"/>
  <c r="BQ168" i="43"/>
  <c r="BP168" i="43"/>
  <c r="BJ160" i="43"/>
  <c r="BP160" i="43"/>
  <c r="BQ160" i="43"/>
  <c r="BJ156" i="43"/>
  <c r="BP156" i="43"/>
  <c r="BQ156" i="43"/>
  <c r="BJ148" i="43"/>
  <c r="BQ148" i="43"/>
  <c r="BP148" i="43"/>
  <c r="BJ144" i="43"/>
  <c r="BQ144" i="43"/>
  <c r="BP144" i="43"/>
  <c r="BI124" i="43"/>
  <c r="BJ165" i="43"/>
  <c r="BQ165" i="43"/>
  <c r="BP165" i="43"/>
  <c r="BJ194" i="43"/>
  <c r="BQ194" i="43"/>
  <c r="BP194" i="43"/>
  <c r="BJ177" i="43"/>
  <c r="BQ177" i="43"/>
  <c r="BP177" i="43"/>
  <c r="BJ199" i="43"/>
  <c r="BQ199" i="43"/>
  <c r="BP199" i="43"/>
  <c r="BQ15" i="43"/>
  <c r="BJ15" i="43"/>
  <c r="BP15" i="43"/>
  <c r="BJ423" i="43"/>
  <c r="BQ431" i="43"/>
  <c r="BP431" i="43"/>
  <c r="BJ431" i="43"/>
  <c r="BJ419" i="43"/>
  <c r="BQ419" i="43"/>
  <c r="BP419" i="43"/>
  <c r="BJ389" i="43"/>
  <c r="BQ389" i="43"/>
  <c r="BP389" i="43"/>
  <c r="BJ361" i="43"/>
  <c r="BQ361" i="43"/>
  <c r="BP361" i="43"/>
  <c r="BJ350" i="43"/>
  <c r="BQ350" i="43"/>
  <c r="BP350" i="43"/>
  <c r="BJ285" i="43"/>
  <c r="BJ139" i="43"/>
  <c r="BQ139" i="43"/>
  <c r="BP139" i="43"/>
  <c r="BP54" i="43"/>
  <c r="BQ54" i="43"/>
  <c r="BJ54" i="43"/>
  <c r="BJ64" i="43"/>
  <c r="BJ67" i="43" s="1"/>
  <c r="BJ439" i="43"/>
  <c r="BQ439" i="43"/>
  <c r="BP439" i="43"/>
  <c r="BJ421" i="43"/>
  <c r="BP421" i="43"/>
  <c r="BQ421" i="43"/>
  <c r="BJ382" i="43"/>
  <c r="BQ382" i="43"/>
  <c r="BP382" i="43"/>
  <c r="BJ367" i="43"/>
  <c r="BQ367" i="43"/>
  <c r="BP367" i="43"/>
  <c r="BJ360" i="43"/>
  <c r="BJ224" i="43"/>
  <c r="BQ224" i="43"/>
  <c r="BP224" i="43"/>
  <c r="BJ155" i="43"/>
  <c r="BQ155" i="43"/>
  <c r="BP155" i="43"/>
  <c r="BJ243" i="43"/>
  <c r="BQ243" i="43"/>
  <c r="BP243" i="43"/>
  <c r="BJ88" i="43"/>
  <c r="BQ16" i="43"/>
  <c r="BJ16" i="43"/>
  <c r="BP16" i="43"/>
  <c r="BQ51" i="43"/>
  <c r="BP51" i="43"/>
  <c r="BJ51" i="43"/>
  <c r="BQ463" i="43"/>
  <c r="BP463" i="43"/>
  <c r="BJ463" i="43"/>
  <c r="BI434" i="43"/>
  <c r="BQ456" i="43"/>
  <c r="BP456" i="43"/>
  <c r="BJ456" i="43"/>
  <c r="BQ452" i="43"/>
  <c r="BP452" i="43"/>
  <c r="BJ452" i="43"/>
  <c r="BJ412" i="43"/>
  <c r="BQ412" i="43"/>
  <c r="BP412" i="43"/>
  <c r="BJ393" i="43"/>
  <c r="BQ393" i="43"/>
  <c r="BP393" i="43"/>
  <c r="BJ405" i="43"/>
  <c r="BP405" i="43"/>
  <c r="BQ405" i="43"/>
  <c r="BJ351" i="43"/>
  <c r="BQ351" i="43"/>
  <c r="BP351" i="43"/>
  <c r="BJ362" i="43"/>
  <c r="BQ362" i="43"/>
  <c r="BP362" i="43"/>
  <c r="BJ363" i="43"/>
  <c r="BQ363" i="43"/>
  <c r="BP363" i="43"/>
  <c r="BJ343" i="43"/>
  <c r="BQ343" i="43"/>
  <c r="BP343" i="43"/>
  <c r="BP312" i="43"/>
  <c r="BJ312" i="43"/>
  <c r="BQ312" i="43"/>
  <c r="BJ282" i="43"/>
  <c r="BQ282" i="43"/>
  <c r="BP282" i="43"/>
  <c r="BJ269" i="43"/>
  <c r="BQ269" i="43"/>
  <c r="BP269" i="43"/>
  <c r="BJ230" i="43"/>
  <c r="BQ230" i="43"/>
  <c r="BP230" i="43"/>
  <c r="BI225" i="43"/>
  <c r="BJ212" i="43"/>
  <c r="BQ212" i="43"/>
  <c r="BP212" i="43"/>
  <c r="BJ291" i="43"/>
  <c r="BQ291" i="43"/>
  <c r="BP291" i="43"/>
  <c r="BJ193" i="43"/>
  <c r="BQ193" i="43"/>
  <c r="BP193" i="43"/>
  <c r="BJ137" i="43"/>
  <c r="BQ137" i="43"/>
  <c r="BP137" i="43"/>
  <c r="BJ129" i="43"/>
  <c r="BQ129" i="43"/>
  <c r="BP129" i="43"/>
  <c r="BJ185" i="43"/>
  <c r="BQ185" i="43"/>
  <c r="BP185" i="43"/>
  <c r="BJ167" i="43"/>
  <c r="BQ167" i="43"/>
  <c r="BP167" i="43"/>
  <c r="BJ217" i="43"/>
  <c r="BQ217" i="43"/>
  <c r="BP217" i="43"/>
  <c r="BI119" i="43"/>
  <c r="BQ113" i="43"/>
  <c r="BP113" i="43"/>
  <c r="BJ113" i="43"/>
  <c r="BQ105" i="43"/>
  <c r="BP105" i="43"/>
  <c r="BJ105" i="43"/>
  <c r="BJ48" i="43"/>
  <c r="BQ48" i="43"/>
  <c r="BP48" i="43"/>
  <c r="BQ24" i="43"/>
  <c r="BP24" i="43"/>
  <c r="BJ24" i="43"/>
  <c r="BQ61" i="43"/>
  <c r="BJ61" i="43"/>
  <c r="BP61" i="43"/>
  <c r="BQ37" i="43"/>
  <c r="BP37" i="43"/>
  <c r="BJ37" i="43"/>
  <c r="BQ25" i="43"/>
  <c r="BP25" i="43"/>
  <c r="BJ25" i="43"/>
  <c r="BQ17" i="43"/>
  <c r="BJ17" i="43"/>
  <c r="BP17" i="43"/>
  <c r="BJ125" i="43"/>
  <c r="BQ125" i="43"/>
  <c r="BP125" i="43"/>
  <c r="BJ241" i="43"/>
  <c r="BQ241" i="43"/>
  <c r="BP241" i="43"/>
  <c r="BJ179" i="43"/>
  <c r="BQ179" i="43"/>
  <c r="BP179" i="43"/>
  <c r="BJ135" i="43"/>
  <c r="BQ135" i="43"/>
  <c r="BP135" i="43"/>
  <c r="BQ116" i="43"/>
  <c r="BP116" i="43"/>
  <c r="BJ116" i="43"/>
  <c r="BP41" i="43"/>
  <c r="BJ41" i="43"/>
  <c r="BQ41" i="43"/>
  <c r="BJ445" i="43"/>
  <c r="BQ445" i="43"/>
  <c r="BP445" i="43"/>
  <c r="BP448" i="43"/>
  <c r="BJ448" i="43"/>
  <c r="BQ448" i="43"/>
  <c r="BJ407" i="43"/>
  <c r="BP407" i="43"/>
  <c r="BQ407" i="43"/>
  <c r="BQ373" i="43"/>
  <c r="BP373" i="43"/>
  <c r="BJ373" i="43"/>
  <c r="BJ355" i="43"/>
  <c r="BQ355" i="43"/>
  <c r="BP355" i="43"/>
  <c r="BJ366" i="43"/>
  <c r="BQ366" i="43"/>
  <c r="BP366" i="43"/>
  <c r="BJ249" i="43"/>
  <c r="BQ249" i="43"/>
  <c r="BP249" i="43"/>
  <c r="BJ279" i="43"/>
  <c r="BQ279" i="43"/>
  <c r="BP279" i="43"/>
  <c r="BJ206" i="43"/>
  <c r="BQ206" i="43"/>
  <c r="BP206" i="43"/>
  <c r="BJ147" i="43"/>
  <c r="BJ115" i="43"/>
  <c r="BQ26" i="43"/>
  <c r="BJ26" i="43"/>
  <c r="BP26" i="43"/>
  <c r="BQ454" i="43"/>
  <c r="BP454" i="43"/>
  <c r="BJ454" i="43"/>
  <c r="BJ442" i="43"/>
  <c r="BQ442" i="43"/>
  <c r="BP442" i="43"/>
  <c r="BJ383" i="43"/>
  <c r="BQ383" i="43"/>
  <c r="BP383" i="43"/>
  <c r="BJ400" i="43"/>
  <c r="BQ400" i="43"/>
  <c r="BP400" i="43"/>
  <c r="BJ354" i="43"/>
  <c r="BQ354" i="43"/>
  <c r="BP354" i="43"/>
  <c r="BJ368" i="43"/>
  <c r="BQ368" i="43"/>
  <c r="BP368" i="43"/>
  <c r="BJ369" i="43"/>
  <c r="BQ369" i="43"/>
  <c r="BP369" i="43"/>
  <c r="BJ365" i="43"/>
  <c r="BJ344" i="43"/>
  <c r="BQ344" i="43"/>
  <c r="BP344" i="43"/>
  <c r="BP316" i="43"/>
  <c r="BJ316" i="43"/>
  <c r="BQ316" i="43"/>
  <c r="BP310" i="43"/>
  <c r="BJ310" i="43"/>
  <c r="BQ310" i="43"/>
  <c r="BJ255" i="43"/>
  <c r="BQ255" i="43"/>
  <c r="BP255" i="43"/>
  <c r="BI210" i="43"/>
  <c r="BJ223" i="43"/>
  <c r="BQ223" i="43"/>
  <c r="BP223" i="43"/>
  <c r="BJ161" i="43"/>
  <c r="BQ161" i="43"/>
  <c r="BP161" i="43"/>
  <c r="BJ157" i="43"/>
  <c r="BQ157" i="43"/>
  <c r="BP157" i="43"/>
  <c r="BJ149" i="43"/>
  <c r="BQ149" i="43"/>
  <c r="BP149" i="43"/>
  <c r="BJ145" i="43"/>
  <c r="BQ145" i="43"/>
  <c r="BP145" i="43"/>
  <c r="BJ136" i="43"/>
  <c r="BQ136" i="43"/>
  <c r="BP136" i="43"/>
  <c r="BJ213" i="43"/>
  <c r="BQ213" i="43"/>
  <c r="BP213" i="43"/>
  <c r="BJ130" i="43"/>
  <c r="BQ130" i="43"/>
  <c r="BP130" i="43"/>
  <c r="BI102" i="43"/>
  <c r="BI90" i="43"/>
  <c r="BJ222" i="43"/>
  <c r="BQ222" i="43"/>
  <c r="BP222" i="43"/>
  <c r="BQ112" i="43"/>
  <c r="BP112" i="43"/>
  <c r="BJ112" i="43"/>
  <c r="BQ97" i="43"/>
  <c r="BP97" i="43"/>
  <c r="BJ97" i="43"/>
  <c r="BP44" i="43"/>
  <c r="BJ44" i="43"/>
  <c r="BQ44" i="43"/>
  <c r="BJ32" i="43"/>
  <c r="BJ57" i="43"/>
  <c r="BQ57" i="43"/>
  <c r="BP57" i="43"/>
  <c r="BQ45" i="43"/>
  <c r="BP45" i="43"/>
  <c r="BJ45" i="43"/>
  <c r="BQ33" i="43"/>
  <c r="BJ33" i="43"/>
  <c r="BP33" i="43"/>
  <c r="BQ21" i="43"/>
  <c r="BJ21" i="43"/>
  <c r="BP21" i="43"/>
  <c r="BQ462" i="43"/>
  <c r="BP462" i="43"/>
  <c r="BJ462" i="43"/>
  <c r="BP315" i="43"/>
  <c r="BJ315" i="43"/>
  <c r="BQ315" i="43"/>
  <c r="BJ303" i="43"/>
  <c r="BQ303" i="43"/>
  <c r="BP303" i="43"/>
  <c r="BJ211" i="43"/>
  <c r="BQ211" i="43"/>
  <c r="BP211" i="43"/>
  <c r="BJ43" i="43"/>
  <c r="BJ410" i="43"/>
  <c r="BQ410" i="43"/>
  <c r="BP410" i="43"/>
  <c r="BP396" i="43"/>
  <c r="BQ396" i="43"/>
  <c r="BJ396" i="43"/>
  <c r="BJ381" i="43"/>
  <c r="BQ381" i="43"/>
  <c r="BP381" i="43"/>
  <c r="BJ261" i="43"/>
  <c r="BQ261" i="43"/>
  <c r="BP261" i="43"/>
  <c r="BJ151" i="43"/>
  <c r="BQ151" i="43"/>
  <c r="BP151" i="43"/>
  <c r="BJ197" i="43"/>
  <c r="BQ197" i="43"/>
  <c r="BP197" i="43"/>
  <c r="BQ109" i="43"/>
  <c r="BP109" i="43"/>
  <c r="BJ109" i="43"/>
  <c r="BP38" i="43"/>
  <c r="BJ38" i="43"/>
  <c r="BQ38" i="43"/>
  <c r="BQ62" i="43"/>
  <c r="BJ62" i="43"/>
  <c r="BP62" i="43"/>
  <c r="BJ438" i="43"/>
  <c r="BQ438" i="43"/>
  <c r="BP438" i="43"/>
  <c r="BQ455" i="43"/>
  <c r="BJ455" i="43"/>
  <c r="BP455" i="43"/>
  <c r="BQ453" i="43"/>
  <c r="BJ453" i="43"/>
  <c r="BP453" i="43"/>
  <c r="BJ413" i="43"/>
  <c r="BQ413" i="43"/>
  <c r="BP413" i="43"/>
  <c r="BI386" i="43"/>
  <c r="BJ411" i="43"/>
  <c r="BQ411" i="43"/>
  <c r="BP411" i="43"/>
  <c r="BJ387" i="43"/>
  <c r="BQ387" i="43"/>
  <c r="BP387" i="43"/>
  <c r="BJ357" i="43"/>
  <c r="BQ357" i="43"/>
  <c r="BP357" i="43"/>
  <c r="BJ349" i="43"/>
  <c r="BQ349" i="43"/>
  <c r="BP349" i="43"/>
  <c r="BJ420" i="43"/>
  <c r="BQ420" i="43"/>
  <c r="BP420" i="43"/>
  <c r="BI339" i="43"/>
  <c r="BJ347" i="43"/>
  <c r="BP321" i="43"/>
  <c r="BJ321" i="43"/>
  <c r="BQ321" i="43"/>
  <c r="BI305" i="43"/>
  <c r="BP319" i="43"/>
  <c r="BJ319" i="43"/>
  <c r="BQ319" i="43"/>
  <c r="BI275" i="43"/>
  <c r="BJ242" i="43"/>
  <c r="BQ242" i="43"/>
  <c r="BP242" i="43"/>
  <c r="BJ265" i="43"/>
  <c r="BQ265" i="43"/>
  <c r="BP265" i="43"/>
  <c r="BJ253" i="43"/>
  <c r="BQ253" i="43"/>
  <c r="BP253" i="43"/>
  <c r="BJ294" i="43"/>
  <c r="BQ294" i="43"/>
  <c r="BP294" i="43"/>
  <c r="BJ276" i="43"/>
  <c r="BQ276" i="43"/>
  <c r="BP276" i="43"/>
  <c r="BJ236" i="43"/>
  <c r="BQ236" i="43"/>
  <c r="BP236" i="43"/>
  <c r="BJ218" i="43"/>
  <c r="BQ218" i="43"/>
  <c r="BP218" i="43"/>
  <c r="BJ192" i="43"/>
  <c r="BQ192" i="43"/>
  <c r="BP192" i="43"/>
  <c r="BJ235" i="43"/>
  <c r="BQ235" i="43"/>
  <c r="BP235" i="43"/>
  <c r="BJ178" i="43"/>
  <c r="BQ178" i="43"/>
  <c r="BP178" i="43"/>
  <c r="BJ174" i="43"/>
  <c r="BQ174" i="43"/>
  <c r="BP174" i="43"/>
  <c r="BJ166" i="43"/>
  <c r="BQ166" i="43"/>
  <c r="BP166" i="43"/>
  <c r="BJ154" i="43"/>
  <c r="BP154" i="43"/>
  <c r="BQ154" i="43"/>
  <c r="BJ150" i="43"/>
  <c r="BQ150" i="43"/>
  <c r="BP150" i="43"/>
  <c r="BJ142" i="43"/>
  <c r="BP142" i="43"/>
  <c r="BQ142" i="43"/>
  <c r="BJ138" i="43"/>
  <c r="BQ138" i="43"/>
  <c r="BP138" i="43"/>
  <c r="BJ173" i="43"/>
  <c r="BQ173" i="43"/>
  <c r="BP173" i="43"/>
  <c r="BJ231" i="43"/>
  <c r="BQ231" i="43"/>
  <c r="BP231" i="43"/>
  <c r="BJ208" i="43"/>
  <c r="BJ132" i="43"/>
  <c r="BQ132" i="43"/>
  <c r="BP132" i="43"/>
  <c r="BI86" i="43"/>
  <c r="BJ171" i="43"/>
  <c r="BQ171" i="43"/>
  <c r="BP171" i="43"/>
  <c r="BQ101" i="43"/>
  <c r="BP101" i="43"/>
  <c r="BJ101" i="43"/>
  <c r="BP58" i="43"/>
  <c r="BQ58" i="43"/>
  <c r="BJ58" i="43"/>
  <c r="BQ34" i="43"/>
  <c r="BP34" i="43"/>
  <c r="BJ34" i="43"/>
  <c r="BQ20" i="43"/>
  <c r="BJ20" i="43"/>
  <c r="BP20" i="43"/>
  <c r="BJ12" i="44"/>
  <c r="BJ13" i="44" s="1"/>
  <c r="BQ176" i="43" l="1"/>
  <c r="BQ181" i="43" s="1"/>
  <c r="BI336" i="43"/>
  <c r="BI72" i="43"/>
  <c r="BP32" i="43"/>
  <c r="BP35" i="43" s="1"/>
  <c r="BJ202" i="43"/>
  <c r="BQ14" i="43"/>
  <c r="BQ18" i="43" s="1"/>
  <c r="BJ50" i="43"/>
  <c r="BJ52" i="43" s="1"/>
  <c r="BQ32" i="43"/>
  <c r="BQ35" i="43" s="1"/>
  <c r="BJ36" i="43"/>
  <c r="BJ39" i="43" s="1"/>
  <c r="BJ23" i="43"/>
  <c r="BJ27" i="43" s="1"/>
  <c r="BI397" i="43"/>
  <c r="BI85" i="43"/>
  <c r="BI216" i="43"/>
  <c r="BI459" i="43"/>
  <c r="BI69" i="43"/>
  <c r="BI328" i="43"/>
  <c r="BJ391" i="43"/>
  <c r="BJ394" i="43" s="1"/>
  <c r="BI234" i="43"/>
  <c r="BI374" i="43"/>
  <c r="BI66" i="43"/>
  <c r="BI426" i="43"/>
  <c r="BI342" i="43"/>
  <c r="BI237" i="43"/>
  <c r="BI190" i="43"/>
  <c r="BJ53" i="43"/>
  <c r="BJ55" i="43" s="1"/>
  <c r="BI296" i="43"/>
  <c r="BJ444" i="43"/>
  <c r="BJ450" i="43" s="1"/>
  <c r="BI101" i="44"/>
  <c r="BI48" i="44"/>
  <c r="BI87" i="44"/>
  <c r="BI45" i="44"/>
  <c r="BI95" i="44"/>
  <c r="BJ50" i="44"/>
  <c r="BJ56" i="44" s="1"/>
  <c r="BQ50" i="44"/>
  <c r="BQ56" i="44" s="1"/>
  <c r="BI83" i="44"/>
  <c r="BJ85" i="44"/>
  <c r="BJ88" i="44" s="1"/>
  <c r="BP85" i="44"/>
  <c r="BP88" i="44" s="1"/>
  <c r="BI44" i="44"/>
  <c r="BI65" i="44"/>
  <c r="BI119" i="44"/>
  <c r="BI77" i="43"/>
  <c r="BQ274" i="43"/>
  <c r="BQ277" i="43" s="1"/>
  <c r="BI254" i="43"/>
  <c r="BI293" i="43"/>
  <c r="BI200" i="43"/>
  <c r="BP409" i="43"/>
  <c r="BP415" i="43" s="1"/>
  <c r="BQ53" i="43"/>
  <c r="BQ55" i="43" s="1"/>
  <c r="BI248" i="43"/>
  <c r="BI123" i="43"/>
  <c r="BI94" i="43"/>
  <c r="BJ268" i="43"/>
  <c r="BJ273" i="43" s="1"/>
  <c r="BJ378" i="43"/>
  <c r="BJ384" i="43" s="1"/>
  <c r="BI286" i="43"/>
  <c r="BJ409" i="43"/>
  <c r="BJ415" i="43" s="1"/>
  <c r="BJ40" i="43"/>
  <c r="BJ42" i="43" s="1"/>
  <c r="BJ91" i="43"/>
  <c r="BI162" i="43"/>
  <c r="BI280" i="43"/>
  <c r="BJ402" i="43"/>
  <c r="BJ408" i="43" s="1"/>
  <c r="BI440" i="43"/>
  <c r="BI424" i="43"/>
  <c r="BJ102" i="44"/>
  <c r="BJ458" i="43"/>
  <c r="BJ460" i="43" s="1"/>
  <c r="BI327" i="43"/>
  <c r="BP458" i="43"/>
  <c r="BP460" i="43" s="1"/>
  <c r="BI184" i="43"/>
  <c r="BI78" i="43"/>
  <c r="BQ458" i="43"/>
  <c r="BQ460" i="43" s="1"/>
  <c r="BQ127" i="43"/>
  <c r="BQ133" i="43" s="1"/>
  <c r="BQ430" i="43"/>
  <c r="BQ436" i="43" s="1"/>
  <c r="BJ416" i="43"/>
  <c r="BJ422" i="43" s="1"/>
  <c r="BI252" i="43"/>
  <c r="BJ47" i="43"/>
  <c r="BJ49" i="43" s="1"/>
  <c r="BP395" i="43"/>
  <c r="BP401" i="43" s="1"/>
  <c r="BI332" i="43"/>
  <c r="BI302" i="43"/>
  <c r="BI187" i="43"/>
  <c r="BQ170" i="43"/>
  <c r="BQ175" i="43" s="1"/>
  <c r="BJ164" i="43"/>
  <c r="BJ169" i="43" s="1"/>
  <c r="BQ395" i="43"/>
  <c r="BQ401" i="43" s="1"/>
  <c r="BP47" i="43"/>
  <c r="BP49" i="43" s="1"/>
  <c r="BI270" i="43"/>
  <c r="BI183" i="43"/>
  <c r="BJ326" i="43"/>
  <c r="BJ329" i="43" s="1"/>
  <c r="BJ127" i="43"/>
  <c r="BJ133" i="43" s="1"/>
  <c r="BP134" i="43"/>
  <c r="BP140" i="43" s="1"/>
  <c r="BI446" i="43"/>
  <c r="BI322" i="43"/>
  <c r="BI120" i="43"/>
  <c r="BJ134" i="43"/>
  <c r="BJ140" i="43" s="1"/>
  <c r="BQ245" i="43"/>
  <c r="BQ250" i="43" s="1"/>
  <c r="BP444" i="43"/>
  <c r="BP450" i="43" s="1"/>
  <c r="BJ430" i="43"/>
  <c r="BJ436" i="43" s="1"/>
  <c r="BI331" i="43"/>
  <c r="BI335" i="43"/>
  <c r="BJ245" i="43"/>
  <c r="BJ250" i="43" s="1"/>
  <c r="BQ444" i="43"/>
  <c r="BQ450" i="43" s="1"/>
  <c r="BJ56" i="43"/>
  <c r="BJ59" i="43" s="1"/>
  <c r="BI272" i="43"/>
  <c r="BI403" i="43"/>
  <c r="BI219" i="43"/>
  <c r="BJ111" i="43"/>
  <c r="BJ114" i="43" s="1"/>
  <c r="BJ182" i="43"/>
  <c r="BJ188" i="43" s="1"/>
  <c r="BI441" i="43"/>
  <c r="BJ372" i="43"/>
  <c r="BJ375" i="43" s="1"/>
  <c r="BI262" i="43"/>
  <c r="BI449" i="43"/>
  <c r="BP215" i="43"/>
  <c r="BP220" i="43" s="1"/>
  <c r="BJ274" i="43"/>
  <c r="BJ277" i="43" s="1"/>
  <c r="BI89" i="43"/>
  <c r="BI368" i="43"/>
  <c r="BQ215" i="43"/>
  <c r="BQ220" i="43" s="1"/>
  <c r="BI98" i="43"/>
  <c r="BI295" i="43"/>
  <c r="BJ107" i="43"/>
  <c r="BJ110" i="43" s="1"/>
  <c r="BP202" i="43"/>
  <c r="BP207" i="43" s="1"/>
  <c r="BI404" i="43"/>
  <c r="BJ60" i="43"/>
  <c r="BJ63" i="43" s="1"/>
  <c r="BP164" i="43"/>
  <c r="BP169" i="43" s="1"/>
  <c r="BP107" i="43"/>
  <c r="BP110" i="43" s="1"/>
  <c r="BI292" i="43"/>
  <c r="BI26" i="43"/>
  <c r="BP60" i="43"/>
  <c r="BP63" i="43" s="1"/>
  <c r="BP274" i="43"/>
  <c r="BP277" i="43" s="1"/>
  <c r="BQ164" i="43"/>
  <c r="BQ169" i="43" s="1"/>
  <c r="BQ107" i="43"/>
  <c r="BQ110" i="43" s="1"/>
  <c r="BI204" i="43"/>
  <c r="BJ376" i="43"/>
  <c r="BJ377" i="43" s="1"/>
  <c r="BJ214" i="43"/>
  <c r="BI287" i="43"/>
  <c r="BI428" i="43"/>
  <c r="BI73" i="43"/>
  <c r="BI82" i="43"/>
  <c r="BI108" i="43"/>
  <c r="BI341" i="43"/>
  <c r="BQ451" i="43"/>
  <c r="BQ457" i="43" s="1"/>
  <c r="BP451" i="43"/>
  <c r="BP457" i="43" s="1"/>
  <c r="BJ451" i="43"/>
  <c r="BJ457" i="43" s="1"/>
  <c r="BI25" i="43"/>
  <c r="BJ364" i="43"/>
  <c r="BJ68" i="43"/>
  <c r="BJ70" i="43" s="1"/>
  <c r="BI288" i="43"/>
  <c r="BP376" i="43"/>
  <c r="BP377" i="43" s="1"/>
  <c r="BI268" i="43"/>
  <c r="BI74" i="43"/>
  <c r="BQ376" i="43"/>
  <c r="BQ377" i="43" s="1"/>
  <c r="BJ353" i="43"/>
  <c r="BJ359" i="43" s="1"/>
  <c r="BI180" i="43"/>
  <c r="BI391" i="43"/>
  <c r="BJ189" i="43"/>
  <c r="BJ195" i="43" s="1"/>
  <c r="BP189" i="43"/>
  <c r="BP195" i="43" s="1"/>
  <c r="BP141" i="43"/>
  <c r="BP146" i="43" s="1"/>
  <c r="BQ141" i="43"/>
  <c r="BQ146" i="43" s="1"/>
  <c r="BI217" i="43"/>
  <c r="BI239" i="43"/>
  <c r="BJ117" i="43"/>
  <c r="BJ110" i="44"/>
  <c r="BJ28" i="44"/>
  <c r="BJ128" i="44"/>
  <c r="BJ233" i="43"/>
  <c r="BJ238" i="43" s="1"/>
  <c r="BJ207" i="43"/>
  <c r="BJ18" i="43"/>
  <c r="BI20" i="43"/>
  <c r="BQ307" i="43"/>
  <c r="BQ313" i="43" s="1"/>
  <c r="BJ334" i="43"/>
  <c r="BJ337" i="43" s="1"/>
  <c r="BI463" i="43"/>
  <c r="BJ28" i="43"/>
  <c r="BJ31" i="43" s="1"/>
  <c r="BJ307" i="43"/>
  <c r="BJ313" i="43" s="1"/>
  <c r="BI198" i="43"/>
  <c r="BI319" i="43"/>
  <c r="BI65" i="43"/>
  <c r="BI223" i="43"/>
  <c r="BI439" i="43"/>
  <c r="BJ35" i="43"/>
  <c r="BJ244" i="43"/>
  <c r="BJ317" i="43"/>
  <c r="BP28" i="43"/>
  <c r="BP31" i="43" s="1"/>
  <c r="BP244" i="43"/>
  <c r="BQ182" i="43"/>
  <c r="BQ188" i="43" s="1"/>
  <c r="BJ46" i="43"/>
  <c r="BI142" i="43"/>
  <c r="BQ28" i="43"/>
  <c r="BQ31" i="43" s="1"/>
  <c r="BI435" i="43"/>
  <c r="BJ298" i="43"/>
  <c r="BJ299" i="43" s="1"/>
  <c r="BQ103" i="44"/>
  <c r="BQ104" i="44" s="1"/>
  <c r="BQ14" i="44"/>
  <c r="BQ19" i="44" s="1"/>
  <c r="BP113" i="44"/>
  <c r="BP121" i="44" s="1"/>
  <c r="BP29" i="44"/>
  <c r="BP35" i="44" s="1"/>
  <c r="BQ99" i="44"/>
  <c r="BQ102" i="44" s="1"/>
  <c r="BI59" i="44"/>
  <c r="BP122" i="44"/>
  <c r="BP128" i="44" s="1"/>
  <c r="BI115" i="44"/>
  <c r="BP14" i="44"/>
  <c r="BP19" i="44" s="1"/>
  <c r="BP20" i="44"/>
  <c r="BP28" i="44" s="1"/>
  <c r="BP71" i="44"/>
  <c r="BP77" i="44" s="1"/>
  <c r="BQ113" i="44"/>
  <c r="BQ121" i="44" s="1"/>
  <c r="BQ29" i="44"/>
  <c r="BQ35" i="44" s="1"/>
  <c r="BP110" i="44"/>
  <c r="BQ89" i="44"/>
  <c r="BQ92" i="44" s="1"/>
  <c r="BJ43" i="44"/>
  <c r="BJ49" i="44" s="1"/>
  <c r="BQ122" i="44"/>
  <c r="BQ128" i="44" s="1"/>
  <c r="BI76" i="44"/>
  <c r="BP36" i="44"/>
  <c r="BP42" i="44" s="1"/>
  <c r="BQ20" i="44"/>
  <c r="BQ28" i="44" s="1"/>
  <c r="BQ71" i="44"/>
  <c r="BQ77" i="44" s="1"/>
  <c r="BJ35" i="44"/>
  <c r="BI86" i="44"/>
  <c r="BQ85" i="44"/>
  <c r="BQ88" i="44" s="1"/>
  <c r="BI27" i="44"/>
  <c r="BJ70" i="44"/>
  <c r="BQ36" i="44"/>
  <c r="BQ42" i="44" s="1"/>
  <c r="BP50" i="44"/>
  <c r="BP56" i="44" s="1"/>
  <c r="BJ77" i="44"/>
  <c r="BP93" i="44"/>
  <c r="BP98" i="44" s="1"/>
  <c r="BQ78" i="44"/>
  <c r="BQ84" i="44" s="1"/>
  <c r="BJ111" i="44"/>
  <c r="BJ112" i="44" s="1"/>
  <c r="BQ57" i="44"/>
  <c r="BQ63" i="44" s="1"/>
  <c r="BQ64" i="44"/>
  <c r="BQ70" i="44" s="1"/>
  <c r="BP12" i="44"/>
  <c r="BP13" i="44" s="1"/>
  <c r="BI39" i="44"/>
  <c r="BJ63" i="44"/>
  <c r="BP64" i="44"/>
  <c r="BP70" i="44" s="1"/>
  <c r="BP103" i="44"/>
  <c r="BP104" i="44" s="1"/>
  <c r="BJ42" i="44"/>
  <c r="BJ98" i="44"/>
  <c r="BJ84" i="44"/>
  <c r="BI15" i="44"/>
  <c r="BQ12" i="44"/>
  <c r="BQ13" i="44" s="1"/>
  <c r="BP57" i="44"/>
  <c r="BP63" i="44" s="1"/>
  <c r="BJ19" i="44"/>
  <c r="BQ93" i="44"/>
  <c r="BQ98" i="44" s="1"/>
  <c r="BJ121" i="44"/>
  <c r="BI100" i="44"/>
  <c r="BP78" i="44"/>
  <c r="BP84" i="44" s="1"/>
  <c r="BP99" i="44"/>
  <c r="BP102" i="44" s="1"/>
  <c r="BQ110" i="44"/>
  <c r="BQ423" i="43"/>
  <c r="BQ429" i="43" s="1"/>
  <c r="BQ300" i="43"/>
  <c r="BQ306" i="43" s="1"/>
  <c r="BQ104" i="43"/>
  <c r="BQ106" i="43" s="1"/>
  <c r="BP23" i="43"/>
  <c r="BP27" i="43" s="1"/>
  <c r="BJ257" i="43"/>
  <c r="BQ334" i="43"/>
  <c r="BQ337" i="43" s="1"/>
  <c r="BJ278" i="43"/>
  <c r="BJ284" i="43" s="1"/>
  <c r="BJ330" i="43"/>
  <c r="BJ333" i="43" s="1"/>
  <c r="BJ146" i="43"/>
  <c r="BI109" i="43"/>
  <c r="BP208" i="43"/>
  <c r="BP214" i="43" s="1"/>
  <c r="BQ43" i="43"/>
  <c r="BQ46" i="43" s="1"/>
  <c r="BJ158" i="43"/>
  <c r="BI291" i="43"/>
  <c r="BP233" i="43"/>
  <c r="BP238" i="43" s="1"/>
  <c r="BI282" i="43"/>
  <c r="BI351" i="43"/>
  <c r="BP115" i="43"/>
  <c r="BP117" i="43" s="1"/>
  <c r="BP147" i="43"/>
  <c r="BP152" i="43" s="1"/>
  <c r="BI148" i="43"/>
  <c r="BQ36" i="43"/>
  <c r="BQ39" i="43" s="1"/>
  <c r="BI229" i="43"/>
  <c r="BP314" i="43"/>
  <c r="BP317" i="43" s="1"/>
  <c r="BI370" i="43"/>
  <c r="BP88" i="43"/>
  <c r="BP91" i="43" s="1"/>
  <c r="BJ429" i="43"/>
  <c r="BP227" i="43"/>
  <c r="BP232" i="43" s="1"/>
  <c r="BJ306" i="43"/>
  <c r="BQ324" i="43"/>
  <c r="BQ325" i="43" s="1"/>
  <c r="BI438" i="43"/>
  <c r="BQ23" i="43"/>
  <c r="BQ27" i="43" s="1"/>
  <c r="BP221" i="43"/>
  <c r="BP226" i="43" s="1"/>
  <c r="BJ80" i="43"/>
  <c r="BJ83" i="43" s="1"/>
  <c r="BP268" i="43"/>
  <c r="BP273" i="43" s="1"/>
  <c r="BQ273" i="43"/>
  <c r="BJ461" i="43"/>
  <c r="BJ464" i="43" s="1"/>
  <c r="BJ122" i="43"/>
  <c r="BJ126" i="43" s="1"/>
  <c r="BJ76" i="43"/>
  <c r="BJ79" i="43" s="1"/>
  <c r="BJ84" i="43"/>
  <c r="BJ87" i="43" s="1"/>
  <c r="BJ290" i="43"/>
  <c r="BJ297" i="43" s="1"/>
  <c r="BQ244" i="43"/>
  <c r="BQ391" i="43"/>
  <c r="BQ394" i="43" s="1"/>
  <c r="BP416" i="43"/>
  <c r="BP422" i="43" s="1"/>
  <c r="BQ88" i="43"/>
  <c r="BQ91" i="43" s="1"/>
  <c r="BQ64" i="43"/>
  <c r="BQ67" i="43" s="1"/>
  <c r="BQ40" i="43"/>
  <c r="BQ42" i="43" s="1"/>
  <c r="BP176" i="43"/>
  <c r="BP181" i="43" s="1"/>
  <c r="BQ227" i="43"/>
  <c r="BQ232" i="43" s="1"/>
  <c r="BP50" i="43"/>
  <c r="BP52" i="43" s="1"/>
  <c r="BQ221" i="43"/>
  <c r="BQ226" i="43" s="1"/>
  <c r="BI304" i="43"/>
  <c r="BI137" i="43"/>
  <c r="BJ385" i="43"/>
  <c r="BJ390" i="43" s="1"/>
  <c r="BJ96" i="43"/>
  <c r="BJ99" i="43" s="1"/>
  <c r="BJ260" i="43"/>
  <c r="BJ263" i="43" s="1"/>
  <c r="BJ437" i="43"/>
  <c r="BJ443" i="43" s="1"/>
  <c r="BJ71" i="43"/>
  <c r="BJ75" i="43" s="1"/>
  <c r="BQ153" i="43"/>
  <c r="BQ158" i="43" s="1"/>
  <c r="BP318" i="43"/>
  <c r="BP323" i="43" s="1"/>
  <c r="BQ147" i="43"/>
  <c r="BQ152" i="43" s="1"/>
  <c r="BP285" i="43"/>
  <c r="BP289" i="43" s="1"/>
  <c r="BP365" i="43"/>
  <c r="BP371" i="43" s="1"/>
  <c r="BJ152" i="43"/>
  <c r="BP19" i="43"/>
  <c r="BP22" i="43" s="1"/>
  <c r="BI194" i="43"/>
  <c r="BQ416" i="43"/>
  <c r="BQ422" i="43" s="1"/>
  <c r="BP360" i="43"/>
  <c r="BP364" i="43" s="1"/>
  <c r="BP64" i="43"/>
  <c r="BP67" i="43" s="1"/>
  <c r="BQ285" i="43"/>
  <c r="BQ289" i="43" s="1"/>
  <c r="BJ232" i="43"/>
  <c r="BP324" i="43"/>
  <c r="BP325" i="43" s="1"/>
  <c r="BI355" i="43"/>
  <c r="BQ50" i="43"/>
  <c r="BQ52" i="43" s="1"/>
  <c r="BP159" i="43"/>
  <c r="BP163" i="43" s="1"/>
  <c r="BJ226" i="43"/>
  <c r="BI168" i="43"/>
  <c r="BJ118" i="43"/>
  <c r="BJ121" i="43" s="1"/>
  <c r="BP391" i="43"/>
  <c r="BP394" i="43" s="1"/>
  <c r="BJ175" i="43"/>
  <c r="BQ233" i="43"/>
  <c r="BQ238" i="43" s="1"/>
  <c r="BP36" i="43"/>
  <c r="BP39" i="43" s="1"/>
  <c r="BI241" i="43"/>
  <c r="BP127" i="43"/>
  <c r="BP133" i="43" s="1"/>
  <c r="BP170" i="43"/>
  <c r="BP175" i="43" s="1"/>
  <c r="BQ347" i="43"/>
  <c r="BQ352" i="43" s="1"/>
  <c r="BI379" i="43"/>
  <c r="BQ365" i="43"/>
  <c r="BQ371" i="43" s="1"/>
  <c r="BQ402" i="43"/>
  <c r="BQ408" i="43" s="1"/>
  <c r="BI456" i="43"/>
  <c r="BQ19" i="43"/>
  <c r="BQ22" i="43" s="1"/>
  <c r="BP378" i="43"/>
  <c r="BP384" i="43" s="1"/>
  <c r="BQ360" i="43"/>
  <c r="BQ364" i="43" s="1"/>
  <c r="BJ289" i="43"/>
  <c r="BP111" i="43"/>
  <c r="BP114" i="43" s="1"/>
  <c r="BJ181" i="43"/>
  <c r="BQ318" i="43"/>
  <c r="BQ323" i="43" s="1"/>
  <c r="BJ106" i="43"/>
  <c r="BI113" i="43"/>
  <c r="BQ159" i="43"/>
  <c r="BQ163" i="43" s="1"/>
  <c r="BP53" i="43"/>
  <c r="BP55" i="43" s="1"/>
  <c r="BP251" i="43"/>
  <c r="BP257" i="43" s="1"/>
  <c r="BI15" i="43"/>
  <c r="BJ338" i="43"/>
  <c r="BJ346" i="43" s="1"/>
  <c r="BJ92" i="43"/>
  <c r="BJ95" i="43" s="1"/>
  <c r="BJ100" i="43"/>
  <c r="BJ103" i="43" s="1"/>
  <c r="BQ208" i="43"/>
  <c r="BQ214" i="43" s="1"/>
  <c r="BP326" i="43"/>
  <c r="BP329" i="43" s="1"/>
  <c r="BP43" i="43"/>
  <c r="BP46" i="43" s="1"/>
  <c r="BQ115" i="43"/>
  <c r="BQ117" i="43" s="1"/>
  <c r="BQ60" i="43"/>
  <c r="BQ63" i="43" s="1"/>
  <c r="BQ409" i="43"/>
  <c r="BQ415" i="43" s="1"/>
  <c r="BI151" i="43"/>
  <c r="BP347" i="43"/>
  <c r="BP352" i="43" s="1"/>
  <c r="BI51" i="43"/>
  <c r="BJ352" i="43"/>
  <c r="BP153" i="43"/>
  <c r="BP158" i="43" s="1"/>
  <c r="BJ220" i="43"/>
  <c r="BJ371" i="43"/>
  <c r="BQ202" i="43"/>
  <c r="BQ207" i="43" s="1"/>
  <c r="BP14" i="43"/>
  <c r="BP18" i="43" s="1"/>
  <c r="BJ22" i="43"/>
  <c r="BQ378" i="43"/>
  <c r="BQ384" i="43" s="1"/>
  <c r="BP245" i="43"/>
  <c r="BP250" i="43" s="1"/>
  <c r="BP423" i="43"/>
  <c r="BP429" i="43" s="1"/>
  <c r="BQ111" i="43"/>
  <c r="BQ114" i="43" s="1"/>
  <c r="BP300" i="43"/>
  <c r="BP306" i="43" s="1"/>
  <c r="BJ323" i="43"/>
  <c r="BQ372" i="43"/>
  <c r="BQ375" i="43" s="1"/>
  <c r="BJ401" i="43"/>
  <c r="BP104" i="43"/>
  <c r="BP106" i="43" s="1"/>
  <c r="BJ163" i="43"/>
  <c r="BQ251" i="43"/>
  <c r="BQ257" i="43" s="1"/>
  <c r="BJ196" i="43"/>
  <c r="BJ201" i="43" s="1"/>
  <c r="BJ258" i="43"/>
  <c r="BJ259" i="43" s="1"/>
  <c r="BJ264" i="43"/>
  <c r="BJ267" i="43" s="1"/>
  <c r="BQ195" i="43"/>
  <c r="BI21" i="44"/>
  <c r="BI68" i="44"/>
  <c r="BI26" i="44"/>
  <c r="BI73" i="44"/>
  <c r="BI31" i="44"/>
  <c r="BI46" i="44"/>
  <c r="BI38" i="44"/>
  <c r="BI192" i="43"/>
  <c r="BI303" i="43"/>
  <c r="BI177" i="43"/>
  <c r="BI30" i="43"/>
  <c r="BI139" i="43"/>
  <c r="BI206" i="43"/>
  <c r="BI249" i="43"/>
  <c r="BI419" i="43"/>
  <c r="BI34" i="43"/>
  <c r="BI191" i="43"/>
  <c r="BI193" i="43"/>
  <c r="BI432" i="43"/>
  <c r="BI445" i="43"/>
  <c r="BI155" i="43"/>
  <c r="BI454" i="43"/>
  <c r="BI29" i="43"/>
  <c r="BI255" i="43"/>
  <c r="BI452" i="43"/>
  <c r="BI24" i="43"/>
  <c r="BI344" i="43"/>
  <c r="BI128" i="43"/>
  <c r="BI129" i="43"/>
  <c r="BI410" i="43"/>
  <c r="BI57" i="43"/>
  <c r="BI136" i="43"/>
  <c r="BI381" i="43"/>
  <c r="BI160" i="43"/>
  <c r="BI393" i="43"/>
  <c r="BI369" i="43"/>
  <c r="BI309" i="43"/>
  <c r="BI363" i="43"/>
  <c r="BI407" i="43"/>
  <c r="BI308" i="43"/>
  <c r="BI433" i="43"/>
  <c r="BI48" i="43"/>
  <c r="BI211" i="43"/>
  <c r="BI242" i="43"/>
  <c r="BI396" i="43"/>
  <c r="BI320" i="43"/>
  <c r="BI58" i="44"/>
  <c r="BI33" i="44"/>
  <c r="BI17" i="44"/>
  <c r="BI16" i="44"/>
  <c r="BI22" i="44"/>
  <c r="BI53" i="44"/>
  <c r="BI117" i="44"/>
  <c r="BI23" i="44"/>
  <c r="BI25" i="44"/>
  <c r="BI96" i="44"/>
  <c r="BI61" i="44"/>
  <c r="BI75" i="44"/>
  <c r="BI41" i="44"/>
  <c r="BI123" i="44"/>
  <c r="BI126" i="44"/>
  <c r="BI109" i="44"/>
  <c r="BI62" i="44"/>
  <c r="BI32" i="44"/>
  <c r="BI69" i="44"/>
  <c r="BI114" i="44"/>
  <c r="BI30" i="44"/>
  <c r="BI116" i="44"/>
  <c r="BI120" i="44"/>
  <c r="BI67" i="44"/>
  <c r="BI34" i="44"/>
  <c r="BI97" i="44"/>
  <c r="BI37" i="44"/>
  <c r="BI106" i="44"/>
  <c r="BI125" i="44"/>
  <c r="BI60" i="44"/>
  <c r="BI72" i="44"/>
  <c r="BI79" i="44"/>
  <c r="BI66" i="44"/>
  <c r="BI55" i="44"/>
  <c r="BI80" i="44"/>
  <c r="BI74" i="44"/>
  <c r="BI118" i="44"/>
  <c r="BI127" i="44"/>
  <c r="BI18" i="44"/>
  <c r="BI24" i="44"/>
  <c r="BI47" i="44"/>
  <c r="BI51" i="44"/>
  <c r="BI124" i="44"/>
  <c r="BI362" i="43"/>
  <c r="BI105" i="43"/>
  <c r="BI62" i="43"/>
  <c r="BI143" i="43"/>
  <c r="BI427" i="43"/>
  <c r="BI54" i="43"/>
  <c r="BI185" i="43"/>
  <c r="BI315" i="43"/>
  <c r="BI431" i="43"/>
  <c r="BI150" i="43"/>
  <c r="BI178" i="43"/>
  <c r="BI358" i="43"/>
  <c r="BI382" i="43"/>
  <c r="BI312" i="43"/>
  <c r="BI349" i="43"/>
  <c r="BI125" i="43"/>
  <c r="BI112" i="43"/>
  <c r="BI130" i="43"/>
  <c r="BI149" i="43"/>
  <c r="BI212" i="43"/>
  <c r="BI253" i="43"/>
  <c r="BI310" i="43"/>
  <c r="BI367" i="43"/>
  <c r="BI421" i="43"/>
  <c r="BI209" i="43"/>
  <c r="BI447" i="43"/>
  <c r="BI455" i="43"/>
  <c r="BI231" i="43"/>
  <c r="BI172" i="43"/>
  <c r="BI387" i="43"/>
  <c r="BI224" i="43"/>
  <c r="BI413" i="43"/>
  <c r="BI373" i="43"/>
  <c r="BI58" i="43"/>
  <c r="BI132" i="43"/>
  <c r="BI154" i="43"/>
  <c r="BI356" i="43"/>
  <c r="BI348" i="43"/>
  <c r="BI400" i="43"/>
  <c r="BI243" i="43"/>
  <c r="BI21" i="43"/>
  <c r="BI222" i="43"/>
  <c r="BI316" i="43"/>
  <c r="BI167" i="43"/>
  <c r="BI357" i="43"/>
  <c r="BI418" i="43"/>
  <c r="BI179" i="43"/>
  <c r="BI38" i="43"/>
  <c r="BI218" i="43"/>
  <c r="BI321" i="43"/>
  <c r="BI145" i="43"/>
  <c r="BI388" i="43"/>
  <c r="BI41" i="43"/>
  <c r="BI116" i="43"/>
  <c r="BI131" i="43"/>
  <c r="BI420" i="43"/>
  <c r="BI350" i="43"/>
  <c r="BI269" i="43"/>
  <c r="BI101" i="43"/>
  <c r="BI171" i="43"/>
  <c r="BI199" i="43"/>
  <c r="BI173" i="43"/>
  <c r="BI399" i="43"/>
  <c r="BI411" i="43"/>
  <c r="BI33" i="43"/>
  <c r="BI157" i="43"/>
  <c r="BI230" i="43"/>
  <c r="BI265" i="43"/>
  <c r="BI279" i="43"/>
  <c r="BI366" i="43"/>
  <c r="BI345" i="43"/>
  <c r="BI442" i="43"/>
  <c r="BI17" i="43"/>
  <c r="BI361" i="43"/>
  <c r="BI276" i="43"/>
  <c r="BI380" i="43"/>
  <c r="BI412" i="43"/>
  <c r="BI405" i="43"/>
  <c r="BI354" i="43"/>
  <c r="BI174" i="43"/>
  <c r="BI97" i="43"/>
  <c r="BI247" i="43"/>
  <c r="BI453" i="43"/>
  <c r="BI16" i="43"/>
  <c r="BI93" i="43"/>
  <c r="BI213" i="43"/>
  <c r="BI156" i="43"/>
  <c r="BI383" i="43"/>
  <c r="BI135" i="43"/>
  <c r="BI261" i="43"/>
  <c r="BI343" i="43"/>
  <c r="BI462" i="43"/>
  <c r="BI165" i="43"/>
  <c r="BI236" i="43"/>
  <c r="BI311" i="43"/>
  <c r="BI138" i="43"/>
  <c r="BI166" i="43"/>
  <c r="BI205" i="43"/>
  <c r="BI37" i="43"/>
  <c r="BI294" i="43"/>
  <c r="BI45" i="43"/>
  <c r="BI44" i="43"/>
  <c r="BI197" i="43"/>
  <c r="BI161" i="43"/>
  <c r="BI271" i="43"/>
  <c r="BI389" i="43"/>
  <c r="BI448" i="43"/>
  <c r="BI61" i="43"/>
  <c r="BI414" i="43"/>
  <c r="BI144" i="43"/>
  <c r="BI235" i="43"/>
  <c r="BQ314" i="43" l="1"/>
  <c r="BQ317" i="43" s="1"/>
  <c r="BQ326" i="43"/>
  <c r="BQ329" i="43" s="1"/>
  <c r="BQ47" i="43"/>
  <c r="BQ49" i="43" s="1"/>
  <c r="BP372" i="43"/>
  <c r="BP375" i="43" s="1"/>
  <c r="BI47" i="43"/>
  <c r="BI49" i="43" s="1"/>
  <c r="BP40" i="43"/>
  <c r="BP42" i="43" s="1"/>
  <c r="BP182" i="43"/>
  <c r="BP188" i="43" s="1"/>
  <c r="BP430" i="43"/>
  <c r="BP436" i="43" s="1"/>
  <c r="BP56" i="43"/>
  <c r="BP59" i="43" s="1"/>
  <c r="BI50" i="44"/>
  <c r="BI56" i="44" s="1"/>
  <c r="BI103" i="44"/>
  <c r="BI104" i="44" s="1"/>
  <c r="BI111" i="43"/>
  <c r="BI114" i="43" s="1"/>
  <c r="BI378" i="43"/>
  <c r="BI402" i="43"/>
  <c r="BI408" i="43" s="1"/>
  <c r="BP402" i="43"/>
  <c r="BP408" i="43" s="1"/>
  <c r="BQ56" i="43"/>
  <c r="BQ59" i="43" s="1"/>
  <c r="BQ134" i="43"/>
  <c r="BQ140" i="43" s="1"/>
  <c r="BI245" i="43"/>
  <c r="BI250" i="43" s="1"/>
  <c r="BI444" i="43"/>
  <c r="BI450" i="43" s="1"/>
  <c r="BP307" i="43"/>
  <c r="BP313" i="43" s="1"/>
  <c r="BI326" i="43"/>
  <c r="BI329" i="43" s="1"/>
  <c r="BI395" i="43"/>
  <c r="BI401" i="43" s="1"/>
  <c r="BI182" i="43"/>
  <c r="BI188" i="43" s="1"/>
  <c r="BQ353" i="43"/>
  <c r="BQ359" i="43" s="1"/>
  <c r="BI56" i="43"/>
  <c r="BI59" i="43" s="1"/>
  <c r="BI189" i="43"/>
  <c r="BI195" i="43" s="1"/>
  <c r="BP353" i="43"/>
  <c r="BP359" i="43" s="1"/>
  <c r="BI141" i="43"/>
  <c r="BI146" i="43" s="1"/>
  <c r="BI107" i="43"/>
  <c r="BI110" i="43" s="1"/>
  <c r="BI60" i="43"/>
  <c r="BI63" i="43" s="1"/>
  <c r="BI365" i="43"/>
  <c r="BI371" i="43" s="1"/>
  <c r="BI330" i="43"/>
  <c r="BI333" i="43" s="1"/>
  <c r="BP68" i="43"/>
  <c r="BP70" i="43" s="1"/>
  <c r="BQ68" i="43"/>
  <c r="BQ70" i="43" s="1"/>
  <c r="BI451" i="43"/>
  <c r="BI457" i="43" s="1"/>
  <c r="BI385" i="43"/>
  <c r="BI390" i="43" s="1"/>
  <c r="BI384" i="43"/>
  <c r="BI118" i="43"/>
  <c r="BI121" i="43" s="1"/>
  <c r="BQ298" i="43"/>
  <c r="BQ299" i="43" s="1"/>
  <c r="BI28" i="43"/>
  <c r="BI31" i="43" s="1"/>
  <c r="BP298" i="43"/>
  <c r="BP299" i="43" s="1"/>
  <c r="BP334" i="43"/>
  <c r="BP337" i="43" s="1"/>
  <c r="BI113" i="44"/>
  <c r="BI121" i="44" s="1"/>
  <c r="BI36" i="44"/>
  <c r="BI42" i="44" s="1"/>
  <c r="BI105" i="44"/>
  <c r="BI110" i="44" s="1"/>
  <c r="BI89" i="44"/>
  <c r="BI92" i="44" s="1"/>
  <c r="BP111" i="44"/>
  <c r="BP112" i="44" s="1"/>
  <c r="BI85" i="44"/>
  <c r="BI88" i="44" s="1"/>
  <c r="BI71" i="44"/>
  <c r="BI77" i="44" s="1"/>
  <c r="BI99" i="44"/>
  <c r="BI102" i="44" s="1"/>
  <c r="BQ111" i="44"/>
  <c r="BQ112" i="44" s="1"/>
  <c r="BQ43" i="44"/>
  <c r="BQ49" i="44" s="1"/>
  <c r="BI122" i="44"/>
  <c r="BI128" i="44" s="1"/>
  <c r="BI14" i="44"/>
  <c r="BI19" i="44" s="1"/>
  <c r="BP43" i="44"/>
  <c r="BP49" i="44" s="1"/>
  <c r="BI78" i="44"/>
  <c r="BI84" i="44" s="1"/>
  <c r="BI29" i="44"/>
  <c r="BI35" i="44" s="1"/>
  <c r="BI20" i="44"/>
  <c r="BI28" i="44" s="1"/>
  <c r="BI12" i="44"/>
  <c r="BI13" i="44" s="1"/>
  <c r="BI93" i="44"/>
  <c r="BI98" i="44" s="1"/>
  <c r="BI57" i="44"/>
  <c r="BI63" i="44" s="1"/>
  <c r="BI64" i="44"/>
  <c r="BI70" i="44" s="1"/>
  <c r="BQ196" i="43"/>
  <c r="BQ201" i="43" s="1"/>
  <c r="BI50" i="43"/>
  <c r="BI52" i="43" s="1"/>
  <c r="BI64" i="43"/>
  <c r="BI67" i="43" s="1"/>
  <c r="BQ100" i="43"/>
  <c r="BQ103" i="43" s="1"/>
  <c r="BP92" i="43"/>
  <c r="BP95" i="43" s="1"/>
  <c r="BQ338" i="43"/>
  <c r="BQ346" i="43" s="1"/>
  <c r="BI88" i="43"/>
  <c r="BI91" i="43" s="1"/>
  <c r="BQ84" i="43"/>
  <c r="BQ87" i="43" s="1"/>
  <c r="BI104" i="43"/>
  <c r="BI106" i="43" s="1"/>
  <c r="BI233" i="43"/>
  <c r="BI238" i="43" s="1"/>
  <c r="BI251" i="43"/>
  <c r="BI257" i="43" s="1"/>
  <c r="BI36" i="43"/>
  <c r="BI39" i="43" s="1"/>
  <c r="BQ258" i="43"/>
  <c r="BQ259" i="43" s="1"/>
  <c r="BP100" i="43"/>
  <c r="BP103" i="43" s="1"/>
  <c r="BQ92" i="43"/>
  <c r="BQ95" i="43" s="1"/>
  <c r="BI227" i="43"/>
  <c r="BI232" i="43" s="1"/>
  <c r="BP437" i="43"/>
  <c r="BP443" i="43" s="1"/>
  <c r="BP385" i="43"/>
  <c r="BP390" i="43" s="1"/>
  <c r="BP84" i="43"/>
  <c r="BP87" i="43" s="1"/>
  <c r="BQ330" i="43"/>
  <c r="BQ333" i="43" s="1"/>
  <c r="BI273" i="43"/>
  <c r="BP196" i="43"/>
  <c r="BP201" i="43" s="1"/>
  <c r="BI300" i="43"/>
  <c r="BI306" i="43" s="1"/>
  <c r="BI202" i="43"/>
  <c r="BI207" i="43" s="1"/>
  <c r="BI360" i="43"/>
  <c r="BI364" i="43" s="1"/>
  <c r="BI314" i="43"/>
  <c r="BI317" i="43" s="1"/>
  <c r="BI19" i="43"/>
  <c r="BI22" i="43" s="1"/>
  <c r="BP264" i="43"/>
  <c r="BP267" i="43" s="1"/>
  <c r="BP258" i="43"/>
  <c r="BP259" i="43" s="1"/>
  <c r="BP338" i="43"/>
  <c r="BP346" i="43" s="1"/>
  <c r="BI14" i="43"/>
  <c r="BI18" i="43" s="1"/>
  <c r="BI394" i="43"/>
  <c r="BP71" i="43"/>
  <c r="BP75" i="43" s="1"/>
  <c r="BP260" i="43"/>
  <c r="BP263" i="43" s="1"/>
  <c r="BP96" i="43"/>
  <c r="BP99" i="43" s="1"/>
  <c r="BP290" i="43"/>
  <c r="BP297" i="43" s="1"/>
  <c r="BQ461" i="43"/>
  <c r="BQ464" i="43" s="1"/>
  <c r="BI23" i="43"/>
  <c r="BI27" i="43" s="1"/>
  <c r="BI147" i="43"/>
  <c r="BI152" i="43" s="1"/>
  <c r="BI372" i="43"/>
  <c r="BI375" i="43" s="1"/>
  <c r="BI159" i="43"/>
  <c r="BI163" i="43" s="1"/>
  <c r="BI53" i="43"/>
  <c r="BI55" i="43" s="1"/>
  <c r="BI318" i="43"/>
  <c r="BI323" i="43" s="1"/>
  <c r="BI409" i="43"/>
  <c r="BI415" i="43" s="1"/>
  <c r="BI208" i="43"/>
  <c r="BI214" i="43" s="1"/>
  <c r="BI430" i="43"/>
  <c r="BI436" i="43" s="1"/>
  <c r="BP118" i="43"/>
  <c r="BP121" i="43" s="1"/>
  <c r="BQ71" i="43"/>
  <c r="BQ75" i="43" s="1"/>
  <c r="BQ437" i="43"/>
  <c r="BQ443" i="43" s="1"/>
  <c r="BQ260" i="43"/>
  <c r="BQ263" i="43" s="1"/>
  <c r="BQ96" i="43"/>
  <c r="BQ99" i="43" s="1"/>
  <c r="BI324" i="43"/>
  <c r="BI325" i="43" s="1"/>
  <c r="BQ290" i="43"/>
  <c r="BQ297" i="43" s="1"/>
  <c r="BP122" i="43"/>
  <c r="BP126" i="43" s="1"/>
  <c r="BP461" i="43"/>
  <c r="BP464" i="43" s="1"/>
  <c r="BI170" i="43"/>
  <c r="BI175" i="43" s="1"/>
  <c r="BI423" i="43"/>
  <c r="BI429" i="43" s="1"/>
  <c r="BI285" i="43"/>
  <c r="BI289" i="43" s="1"/>
  <c r="BI127" i="43"/>
  <c r="BI133" i="43" s="1"/>
  <c r="BI416" i="43"/>
  <c r="BI422" i="43" s="1"/>
  <c r="BI43" i="43"/>
  <c r="BI46" i="43" s="1"/>
  <c r="BI347" i="43"/>
  <c r="BI352" i="43" s="1"/>
  <c r="BI32" i="43"/>
  <c r="BI35" i="43" s="1"/>
  <c r="BI40" i="43"/>
  <c r="BI42" i="43" s="1"/>
  <c r="BI221" i="43"/>
  <c r="BI226" i="43" s="1"/>
  <c r="BI115" i="43"/>
  <c r="BI117" i="43" s="1"/>
  <c r="BQ264" i="43"/>
  <c r="BQ267" i="43" s="1"/>
  <c r="BP80" i="43"/>
  <c r="BP83" i="43" s="1"/>
  <c r="BI153" i="43"/>
  <c r="BI158" i="43" s="1"/>
  <c r="BI176" i="43"/>
  <c r="BI181" i="43" s="1"/>
  <c r="BQ118" i="43"/>
  <c r="BQ121" i="43" s="1"/>
  <c r="BI244" i="43"/>
  <c r="BQ385" i="43"/>
  <c r="BQ390" i="43" s="1"/>
  <c r="BP76" i="43"/>
  <c r="BP79" i="43" s="1"/>
  <c r="BQ122" i="43"/>
  <c r="BQ126" i="43" s="1"/>
  <c r="BP278" i="43"/>
  <c r="BP284" i="43" s="1"/>
  <c r="BQ76" i="43"/>
  <c r="BQ79" i="43" s="1"/>
  <c r="BQ80" i="43"/>
  <c r="BQ83" i="43" s="1"/>
  <c r="BP330" i="43"/>
  <c r="BP333" i="43" s="1"/>
  <c r="BQ278" i="43"/>
  <c r="BQ284" i="43" s="1"/>
  <c r="BV133" i="44"/>
  <c r="BW133" i="44"/>
  <c r="BX133" i="44"/>
  <c r="BY133" i="44"/>
  <c r="BZ133" i="44"/>
  <c r="CA133" i="44"/>
  <c r="BV134" i="44"/>
  <c r="BW134" i="44"/>
  <c r="BX134" i="44"/>
  <c r="BY134" i="44"/>
  <c r="BZ134" i="44"/>
  <c r="CA134" i="44"/>
  <c r="BV135" i="44"/>
  <c r="BW135" i="44"/>
  <c r="BX135" i="44"/>
  <c r="BY135" i="44"/>
  <c r="BZ135" i="44"/>
  <c r="CA135" i="44"/>
  <c r="BV136" i="44"/>
  <c r="BW136" i="44"/>
  <c r="BX136" i="44"/>
  <c r="BY136" i="44"/>
  <c r="BZ136" i="44"/>
  <c r="CA136" i="44"/>
  <c r="BV137" i="44"/>
  <c r="BW137" i="44"/>
  <c r="BX137" i="44"/>
  <c r="BY137" i="44"/>
  <c r="BZ137" i="44"/>
  <c r="CA137" i="44"/>
  <c r="BV138" i="44"/>
  <c r="BW138" i="44"/>
  <c r="BX138" i="44"/>
  <c r="BY138" i="44"/>
  <c r="BZ138" i="44"/>
  <c r="CA138" i="44"/>
  <c r="BV139" i="44"/>
  <c r="BW139" i="44"/>
  <c r="BX139" i="44"/>
  <c r="BY139" i="44"/>
  <c r="BZ139" i="44"/>
  <c r="CA139" i="44"/>
  <c r="BV140" i="44"/>
  <c r="BW140" i="44"/>
  <c r="BX140" i="44"/>
  <c r="BY140" i="44"/>
  <c r="BZ140" i="44"/>
  <c r="CA140" i="44"/>
  <c r="BV141" i="44"/>
  <c r="BW141" i="44"/>
  <c r="BX141" i="44"/>
  <c r="BY141" i="44"/>
  <c r="BZ141" i="44"/>
  <c r="CA141" i="44"/>
  <c r="BV142" i="44"/>
  <c r="BW142" i="44"/>
  <c r="BX142" i="44"/>
  <c r="BY142" i="44"/>
  <c r="BZ142" i="44"/>
  <c r="CA142" i="44"/>
  <c r="BV469" i="43"/>
  <c r="BW469" i="43"/>
  <c r="BX469" i="43"/>
  <c r="BQ27" i="47" s="1"/>
  <c r="BY469" i="43"/>
  <c r="BR27" i="47" s="1"/>
  <c r="BZ469" i="43"/>
  <c r="BS27" i="47" s="1"/>
  <c r="CA469" i="43"/>
  <c r="BT27" i="47" s="1"/>
  <c r="BV470" i="43"/>
  <c r="BO28" i="47" s="1"/>
  <c r="BW470" i="43"/>
  <c r="BP28" i="47" s="1"/>
  <c r="BX470" i="43"/>
  <c r="BY470" i="43"/>
  <c r="BZ470" i="43"/>
  <c r="BS28" i="47" s="1"/>
  <c r="CA470" i="43"/>
  <c r="BT28" i="47" s="1"/>
  <c r="BV471" i="43"/>
  <c r="BO29" i="47" s="1"/>
  <c r="BW471" i="43"/>
  <c r="BP29" i="47" s="1"/>
  <c r="BX471" i="43"/>
  <c r="BQ29" i="47" s="1"/>
  <c r="BY471" i="43"/>
  <c r="BR29" i="47" s="1"/>
  <c r="BZ471" i="43"/>
  <c r="CA471" i="43"/>
  <c r="BV472" i="43"/>
  <c r="BO30" i="47" s="1"/>
  <c r="BW472" i="43"/>
  <c r="BP30" i="47" s="1"/>
  <c r="BX472" i="43"/>
  <c r="BQ30" i="47" s="1"/>
  <c r="BY472" i="43"/>
  <c r="BR30" i="47" s="1"/>
  <c r="BZ472" i="43"/>
  <c r="BS30" i="47" s="1"/>
  <c r="CA472" i="43"/>
  <c r="BT30" i="47" s="1"/>
  <c r="BV473" i="43"/>
  <c r="BW473" i="43"/>
  <c r="BX473" i="43"/>
  <c r="BQ31" i="47" s="1"/>
  <c r="BY473" i="43"/>
  <c r="BR31" i="47" s="1"/>
  <c r="BZ473" i="43"/>
  <c r="BS31" i="47" s="1"/>
  <c r="CA473" i="43"/>
  <c r="BT31" i="47" s="1"/>
  <c r="BV474" i="43"/>
  <c r="BO32" i="47" s="1"/>
  <c r="BW474" i="43"/>
  <c r="BP32" i="47" s="1"/>
  <c r="BX474" i="43"/>
  <c r="BY474" i="43"/>
  <c r="BZ474" i="43"/>
  <c r="BS32" i="47" s="1"/>
  <c r="CA474" i="43"/>
  <c r="BT32" i="47" s="1"/>
  <c r="BV475" i="43"/>
  <c r="BO33" i="47" s="1"/>
  <c r="BW475" i="43"/>
  <c r="BP33" i="47" s="1"/>
  <c r="BX475" i="43"/>
  <c r="BQ33" i="47" s="1"/>
  <c r="BY475" i="43"/>
  <c r="BR33" i="47" s="1"/>
  <c r="BZ475" i="43"/>
  <c r="CA475" i="43"/>
  <c r="BV476" i="43"/>
  <c r="BO34" i="47" s="1"/>
  <c r="BW476" i="43"/>
  <c r="BP34" i="47" s="1"/>
  <c r="BX476" i="43"/>
  <c r="BQ34" i="47" s="1"/>
  <c r="BY476" i="43"/>
  <c r="BR34" i="47" s="1"/>
  <c r="BZ476" i="43"/>
  <c r="BS34" i="47" s="1"/>
  <c r="CA476" i="43"/>
  <c r="BT34" i="47" s="1"/>
  <c r="BV477" i="43"/>
  <c r="BW477" i="43"/>
  <c r="BX477" i="43"/>
  <c r="BQ35" i="47" s="1"/>
  <c r="BY477" i="43"/>
  <c r="BR35" i="47" s="1"/>
  <c r="BZ477" i="43"/>
  <c r="BS35" i="47" s="1"/>
  <c r="CA477" i="43"/>
  <c r="BT35" i="47" s="1"/>
  <c r="BV478" i="43"/>
  <c r="BO36" i="47" s="1"/>
  <c r="BW478" i="43"/>
  <c r="BP36" i="47" s="1"/>
  <c r="BX478" i="43"/>
  <c r="BY478" i="43"/>
  <c r="BZ478" i="43"/>
  <c r="BS36" i="47" s="1"/>
  <c r="CA478" i="43"/>
  <c r="BT36" i="47" s="1"/>
  <c r="CA128" i="44"/>
  <c r="BZ128" i="44"/>
  <c r="BY128" i="44"/>
  <c r="BX128" i="44"/>
  <c r="BW128" i="44"/>
  <c r="BV128" i="44"/>
  <c r="CA121" i="44"/>
  <c r="BZ121" i="44"/>
  <c r="BY121" i="44"/>
  <c r="BX121" i="44"/>
  <c r="BW121" i="44"/>
  <c r="BV121" i="44"/>
  <c r="CA112" i="44"/>
  <c r="BZ112" i="44"/>
  <c r="BY112" i="44"/>
  <c r="BX112" i="44"/>
  <c r="BW112" i="44"/>
  <c r="BV112" i="44"/>
  <c r="CA110" i="44"/>
  <c r="BZ110" i="44"/>
  <c r="BY110" i="44"/>
  <c r="BX110" i="44"/>
  <c r="BW110" i="44"/>
  <c r="BV110" i="44"/>
  <c r="CA104" i="44"/>
  <c r="BZ104" i="44"/>
  <c r="BY104" i="44"/>
  <c r="BX104" i="44"/>
  <c r="BW104" i="44"/>
  <c r="BV104" i="44"/>
  <c r="CA102" i="44"/>
  <c r="BZ102" i="44"/>
  <c r="BY102" i="44"/>
  <c r="BX102" i="44"/>
  <c r="BW102" i="44"/>
  <c r="BV102" i="44"/>
  <c r="CA98" i="44"/>
  <c r="BZ98" i="44"/>
  <c r="BY98" i="44"/>
  <c r="BX98" i="44"/>
  <c r="BW98" i="44"/>
  <c r="BV98" i="44"/>
  <c r="CA92" i="44"/>
  <c r="BZ92" i="44"/>
  <c r="BY92" i="44"/>
  <c r="BX92" i="44"/>
  <c r="BW92" i="44"/>
  <c r="BV92" i="44"/>
  <c r="CA88" i="44"/>
  <c r="BZ88" i="44"/>
  <c r="BY88" i="44"/>
  <c r="BX88" i="44"/>
  <c r="BW88" i="44"/>
  <c r="BV88" i="44"/>
  <c r="CA84" i="44"/>
  <c r="BZ84" i="44"/>
  <c r="BY84" i="44"/>
  <c r="BX84" i="44"/>
  <c r="BW84" i="44"/>
  <c r="BV84" i="44"/>
  <c r="CA77" i="44"/>
  <c r="BZ77" i="44"/>
  <c r="BY77" i="44"/>
  <c r="BX77" i="44"/>
  <c r="BW77" i="44"/>
  <c r="BV77" i="44"/>
  <c r="CA70" i="44"/>
  <c r="BZ70" i="44"/>
  <c r="BY70" i="44"/>
  <c r="BX70" i="44"/>
  <c r="BW70" i="44"/>
  <c r="BV70" i="44"/>
  <c r="CA63" i="44"/>
  <c r="BZ63" i="44"/>
  <c r="BY63" i="44"/>
  <c r="BX63" i="44"/>
  <c r="BW63" i="44"/>
  <c r="BV63" i="44"/>
  <c r="CA56" i="44"/>
  <c r="BZ56" i="44"/>
  <c r="BY56" i="44"/>
  <c r="BX56" i="44"/>
  <c r="BW56" i="44"/>
  <c r="BV56" i="44"/>
  <c r="CA49" i="44"/>
  <c r="BZ49" i="44"/>
  <c r="BY49" i="44"/>
  <c r="BX49" i="44"/>
  <c r="BW49" i="44"/>
  <c r="BV49" i="44"/>
  <c r="CA42" i="44"/>
  <c r="BZ42" i="44"/>
  <c r="BY42" i="44"/>
  <c r="BX42" i="44"/>
  <c r="BW42" i="44"/>
  <c r="BV42" i="44"/>
  <c r="CA35" i="44"/>
  <c r="BZ35" i="44"/>
  <c r="BY35" i="44"/>
  <c r="BX35" i="44"/>
  <c r="BW35" i="44"/>
  <c r="BV35" i="44"/>
  <c r="CA28" i="44"/>
  <c r="BZ28" i="44"/>
  <c r="BY28" i="44"/>
  <c r="BX28" i="44"/>
  <c r="BW28" i="44"/>
  <c r="BV28" i="44"/>
  <c r="CA19" i="44"/>
  <c r="BZ19" i="44"/>
  <c r="BY19" i="44"/>
  <c r="BX19" i="44"/>
  <c r="BW19" i="44"/>
  <c r="BV19" i="44"/>
  <c r="CA13" i="44"/>
  <c r="BZ13" i="44"/>
  <c r="BY13" i="44"/>
  <c r="BX13" i="44"/>
  <c r="BW13" i="44"/>
  <c r="BV13" i="44"/>
  <c r="CA464" i="43"/>
  <c r="BZ464" i="43"/>
  <c r="BY464" i="43"/>
  <c r="BX464" i="43"/>
  <c r="BW464" i="43"/>
  <c r="BV464" i="43"/>
  <c r="CA460" i="43"/>
  <c r="BZ460" i="43"/>
  <c r="BY460" i="43"/>
  <c r="BX460" i="43"/>
  <c r="BW460" i="43"/>
  <c r="BV460" i="43"/>
  <c r="CA457" i="43"/>
  <c r="BZ457" i="43"/>
  <c r="BY457" i="43"/>
  <c r="BX457" i="43"/>
  <c r="BW457" i="43"/>
  <c r="BV457" i="43"/>
  <c r="CA450" i="43"/>
  <c r="BZ450" i="43"/>
  <c r="BY450" i="43"/>
  <c r="BX450" i="43"/>
  <c r="BW450" i="43"/>
  <c r="BV450" i="43"/>
  <c r="CA443" i="43"/>
  <c r="BZ443" i="43"/>
  <c r="BY443" i="43"/>
  <c r="BX443" i="43"/>
  <c r="BW443" i="43"/>
  <c r="BV443" i="43"/>
  <c r="CA436" i="43"/>
  <c r="BZ436" i="43"/>
  <c r="BY436" i="43"/>
  <c r="BX436" i="43"/>
  <c r="BW436" i="43"/>
  <c r="BV436" i="43"/>
  <c r="CA429" i="43"/>
  <c r="BZ429" i="43"/>
  <c r="BY429" i="43"/>
  <c r="BX429" i="43"/>
  <c r="BW429" i="43"/>
  <c r="BV429" i="43"/>
  <c r="CA422" i="43"/>
  <c r="BZ422" i="43"/>
  <c r="BY422" i="43"/>
  <c r="BX422" i="43"/>
  <c r="BW422" i="43"/>
  <c r="BV422" i="43"/>
  <c r="CA415" i="43"/>
  <c r="BZ415" i="43"/>
  <c r="BY415" i="43"/>
  <c r="BX415" i="43"/>
  <c r="BW415" i="43"/>
  <c r="BV415" i="43"/>
  <c r="CA408" i="43"/>
  <c r="BZ408" i="43"/>
  <c r="BY408" i="43"/>
  <c r="BX408" i="43"/>
  <c r="BW408" i="43"/>
  <c r="BV408" i="43"/>
  <c r="CA401" i="43"/>
  <c r="BZ401" i="43"/>
  <c r="BY401" i="43"/>
  <c r="BX401" i="43"/>
  <c r="BW401" i="43"/>
  <c r="BV401" i="43"/>
  <c r="CA394" i="43"/>
  <c r="BZ394" i="43"/>
  <c r="BY394" i="43"/>
  <c r="BX394" i="43"/>
  <c r="BW394" i="43"/>
  <c r="BV394" i="43"/>
  <c r="CA390" i="43"/>
  <c r="BZ390" i="43"/>
  <c r="BY390" i="43"/>
  <c r="BX390" i="43"/>
  <c r="BW390" i="43"/>
  <c r="BV390" i="43"/>
  <c r="CA384" i="43"/>
  <c r="BZ384" i="43"/>
  <c r="BY384" i="43"/>
  <c r="BX384" i="43"/>
  <c r="BW384" i="43"/>
  <c r="BV384" i="43"/>
  <c r="CA377" i="43"/>
  <c r="BZ377" i="43"/>
  <c r="BY377" i="43"/>
  <c r="BX377" i="43"/>
  <c r="BW377" i="43"/>
  <c r="BV377" i="43"/>
  <c r="CA375" i="43"/>
  <c r="BZ375" i="43"/>
  <c r="BY375" i="43"/>
  <c r="BX375" i="43"/>
  <c r="BW375" i="43"/>
  <c r="BV375" i="43"/>
  <c r="CA371" i="43"/>
  <c r="BZ371" i="43"/>
  <c r="BY371" i="43"/>
  <c r="BX371" i="43"/>
  <c r="BW371" i="43"/>
  <c r="BV371" i="43"/>
  <c r="CA364" i="43"/>
  <c r="BZ364" i="43"/>
  <c r="BY364" i="43"/>
  <c r="BX364" i="43"/>
  <c r="BW364" i="43"/>
  <c r="BV364" i="43"/>
  <c r="CA359" i="43"/>
  <c r="BZ359" i="43"/>
  <c r="BY359" i="43"/>
  <c r="BX359" i="43"/>
  <c r="BW359" i="43"/>
  <c r="BV359" i="43"/>
  <c r="CA352" i="43"/>
  <c r="BZ352" i="43"/>
  <c r="BY352" i="43"/>
  <c r="BX352" i="43"/>
  <c r="BW352" i="43"/>
  <c r="BV352" i="43"/>
  <c r="CA346" i="43"/>
  <c r="BZ346" i="43"/>
  <c r="BY346" i="43"/>
  <c r="BX346" i="43"/>
  <c r="BW346" i="43"/>
  <c r="BV346" i="43"/>
  <c r="CA337" i="43"/>
  <c r="BZ337" i="43"/>
  <c r="BY337" i="43"/>
  <c r="BX337" i="43"/>
  <c r="BW337" i="43"/>
  <c r="BV337" i="43"/>
  <c r="CA333" i="43"/>
  <c r="BZ333" i="43"/>
  <c r="BY333" i="43"/>
  <c r="BX333" i="43"/>
  <c r="BW333" i="43"/>
  <c r="BV333" i="43"/>
  <c r="CA329" i="43"/>
  <c r="BZ329" i="43"/>
  <c r="BY329" i="43"/>
  <c r="BX329" i="43"/>
  <c r="BW329" i="43"/>
  <c r="BV329" i="43"/>
  <c r="CA325" i="43"/>
  <c r="BZ325" i="43"/>
  <c r="BY325" i="43"/>
  <c r="BX325" i="43"/>
  <c r="BW325" i="43"/>
  <c r="BV325" i="43"/>
  <c r="CA323" i="43"/>
  <c r="BZ323" i="43"/>
  <c r="BY323" i="43"/>
  <c r="BX323" i="43"/>
  <c r="BW323" i="43"/>
  <c r="BV323" i="43"/>
  <c r="CA317" i="43"/>
  <c r="BZ317" i="43"/>
  <c r="BY317" i="43"/>
  <c r="BX317" i="43"/>
  <c r="BW317" i="43"/>
  <c r="BV317" i="43"/>
  <c r="CA313" i="43"/>
  <c r="BZ313" i="43"/>
  <c r="BY313" i="43"/>
  <c r="BX313" i="43"/>
  <c r="BW313" i="43"/>
  <c r="BV313" i="43"/>
  <c r="CA306" i="43"/>
  <c r="BZ306" i="43"/>
  <c r="BY306" i="43"/>
  <c r="BX306" i="43"/>
  <c r="BW306" i="43"/>
  <c r="BV306" i="43"/>
  <c r="CA299" i="43"/>
  <c r="BZ299" i="43"/>
  <c r="BY299" i="43"/>
  <c r="BX299" i="43"/>
  <c r="BW299" i="43"/>
  <c r="BV299" i="43"/>
  <c r="CA297" i="43"/>
  <c r="BZ297" i="43"/>
  <c r="BY297" i="43"/>
  <c r="BX297" i="43"/>
  <c r="BW297" i="43"/>
  <c r="BV297" i="43"/>
  <c r="CA289" i="43"/>
  <c r="BZ289" i="43"/>
  <c r="BY289" i="43"/>
  <c r="BX289" i="43"/>
  <c r="BW289" i="43"/>
  <c r="BV289" i="43"/>
  <c r="CA284" i="43"/>
  <c r="BZ284" i="43"/>
  <c r="BY284" i="43"/>
  <c r="BX284" i="43"/>
  <c r="BW284" i="43"/>
  <c r="BV284" i="43"/>
  <c r="CA277" i="43"/>
  <c r="BZ277" i="43"/>
  <c r="BY277" i="43"/>
  <c r="BX277" i="43"/>
  <c r="BW277" i="43"/>
  <c r="BV277" i="43"/>
  <c r="CA273" i="43"/>
  <c r="BZ273" i="43"/>
  <c r="BY273" i="43"/>
  <c r="BX273" i="43"/>
  <c r="BW273" i="43"/>
  <c r="BV273" i="43"/>
  <c r="CA267" i="43"/>
  <c r="BZ267" i="43"/>
  <c r="BY267" i="43"/>
  <c r="BX267" i="43"/>
  <c r="BW267" i="43"/>
  <c r="BV267" i="43"/>
  <c r="CA263" i="43"/>
  <c r="BZ263" i="43"/>
  <c r="BY263" i="43"/>
  <c r="BX263" i="43"/>
  <c r="BW263" i="43"/>
  <c r="BV263" i="43"/>
  <c r="CA259" i="43"/>
  <c r="BZ259" i="43"/>
  <c r="BY259" i="43"/>
  <c r="BX259" i="43"/>
  <c r="BW259" i="43"/>
  <c r="BV259" i="43"/>
  <c r="CA257" i="43"/>
  <c r="BZ257" i="43"/>
  <c r="BY257" i="43"/>
  <c r="BX257" i="43"/>
  <c r="BW257" i="43"/>
  <c r="BV257" i="43"/>
  <c r="CA250" i="43"/>
  <c r="BZ250" i="43"/>
  <c r="BY250" i="43"/>
  <c r="BX250" i="43"/>
  <c r="BW250" i="43"/>
  <c r="BV250" i="43"/>
  <c r="CA244" i="43"/>
  <c r="BZ244" i="43"/>
  <c r="BY244" i="43"/>
  <c r="BX244" i="43"/>
  <c r="BW244" i="43"/>
  <c r="BV244" i="43"/>
  <c r="CA238" i="43"/>
  <c r="BZ238" i="43"/>
  <c r="BY238" i="43"/>
  <c r="BX238" i="43"/>
  <c r="BW238" i="43"/>
  <c r="BV238" i="43"/>
  <c r="CA232" i="43"/>
  <c r="BZ232" i="43"/>
  <c r="BY232" i="43"/>
  <c r="BX232" i="43"/>
  <c r="BW232" i="43"/>
  <c r="BV232" i="43"/>
  <c r="CA226" i="43"/>
  <c r="BZ226" i="43"/>
  <c r="BY226" i="43"/>
  <c r="BX226" i="43"/>
  <c r="BW226" i="43"/>
  <c r="BV226" i="43"/>
  <c r="CA220" i="43"/>
  <c r="BZ220" i="43"/>
  <c r="BY220" i="43"/>
  <c r="BX220" i="43"/>
  <c r="BW220" i="43"/>
  <c r="BV220" i="43"/>
  <c r="CA214" i="43"/>
  <c r="BZ214" i="43"/>
  <c r="BY214" i="43"/>
  <c r="BX214" i="43"/>
  <c r="BW214" i="43"/>
  <c r="BV214" i="43"/>
  <c r="CA207" i="43"/>
  <c r="BZ207" i="43"/>
  <c r="BY207" i="43"/>
  <c r="BX207" i="43"/>
  <c r="BW207" i="43"/>
  <c r="BV207" i="43"/>
  <c r="CA201" i="43"/>
  <c r="BZ201" i="43"/>
  <c r="BY201" i="43"/>
  <c r="BX201" i="43"/>
  <c r="BW201" i="43"/>
  <c r="BV201" i="43"/>
  <c r="CA195" i="43"/>
  <c r="BZ195" i="43"/>
  <c r="BY195" i="43"/>
  <c r="BX195" i="43"/>
  <c r="BW195" i="43"/>
  <c r="BV195" i="43"/>
  <c r="CA188" i="43"/>
  <c r="BZ188" i="43"/>
  <c r="BY188" i="43"/>
  <c r="BX188" i="43"/>
  <c r="BW188" i="43"/>
  <c r="BV188" i="43"/>
  <c r="CA181" i="43"/>
  <c r="BZ181" i="43"/>
  <c r="BY181" i="43"/>
  <c r="BX181" i="43"/>
  <c r="BW181" i="43"/>
  <c r="BV181" i="43"/>
  <c r="CA175" i="43"/>
  <c r="BZ175" i="43"/>
  <c r="BY175" i="43"/>
  <c r="BX175" i="43"/>
  <c r="BW175" i="43"/>
  <c r="BV175" i="43"/>
  <c r="CA169" i="43"/>
  <c r="BZ169" i="43"/>
  <c r="BY169" i="43"/>
  <c r="BX169" i="43"/>
  <c r="BW169" i="43"/>
  <c r="BV169" i="43"/>
  <c r="CA163" i="43"/>
  <c r="BZ163" i="43"/>
  <c r="BY163" i="43"/>
  <c r="BX163" i="43"/>
  <c r="BW163" i="43"/>
  <c r="BV163" i="43"/>
  <c r="CA158" i="43"/>
  <c r="BZ158" i="43"/>
  <c r="BY158" i="43"/>
  <c r="BX158" i="43"/>
  <c r="BW158" i="43"/>
  <c r="BV158" i="43"/>
  <c r="CA152" i="43"/>
  <c r="BZ152" i="43"/>
  <c r="BY152" i="43"/>
  <c r="BX152" i="43"/>
  <c r="BW152" i="43"/>
  <c r="BV152" i="43"/>
  <c r="CA146" i="43"/>
  <c r="BZ146" i="43"/>
  <c r="BY146" i="43"/>
  <c r="BX146" i="43"/>
  <c r="BW146" i="43"/>
  <c r="BV146" i="43"/>
  <c r="CA140" i="43"/>
  <c r="BZ140" i="43"/>
  <c r="BY140" i="43"/>
  <c r="BX140" i="43"/>
  <c r="BW140" i="43"/>
  <c r="BV140" i="43"/>
  <c r="CA133" i="43"/>
  <c r="BZ133" i="43"/>
  <c r="BY133" i="43"/>
  <c r="BX133" i="43"/>
  <c r="BW133" i="43"/>
  <c r="BV133" i="43"/>
  <c r="CA126" i="43"/>
  <c r="BZ126" i="43"/>
  <c r="BY126" i="43"/>
  <c r="BX126" i="43"/>
  <c r="BW126" i="43"/>
  <c r="BV126" i="43"/>
  <c r="CA121" i="43"/>
  <c r="BZ121" i="43"/>
  <c r="BY121" i="43"/>
  <c r="BX121" i="43"/>
  <c r="BW121" i="43"/>
  <c r="BV121" i="43"/>
  <c r="CA117" i="43"/>
  <c r="BZ117" i="43"/>
  <c r="BY117" i="43"/>
  <c r="BX117" i="43"/>
  <c r="BW117" i="43"/>
  <c r="BV117" i="43"/>
  <c r="CA114" i="43"/>
  <c r="BZ114" i="43"/>
  <c r="BY114" i="43"/>
  <c r="BX114" i="43"/>
  <c r="BW114" i="43"/>
  <c r="BV114" i="43"/>
  <c r="CA110" i="43"/>
  <c r="BZ110" i="43"/>
  <c r="BY110" i="43"/>
  <c r="BX110" i="43"/>
  <c r="BW110" i="43"/>
  <c r="BV110" i="43"/>
  <c r="CA106" i="43"/>
  <c r="BZ106" i="43"/>
  <c r="BY106" i="43"/>
  <c r="BX106" i="43"/>
  <c r="BW106" i="43"/>
  <c r="BV106" i="43"/>
  <c r="CA103" i="43"/>
  <c r="BZ103" i="43"/>
  <c r="BY103" i="43"/>
  <c r="BX103" i="43"/>
  <c r="BW103" i="43"/>
  <c r="BV103" i="43"/>
  <c r="CA99" i="43"/>
  <c r="BZ99" i="43"/>
  <c r="BY99" i="43"/>
  <c r="BX99" i="43"/>
  <c r="BW99" i="43"/>
  <c r="BV99" i="43"/>
  <c r="CA95" i="43"/>
  <c r="BZ95" i="43"/>
  <c r="BY95" i="43"/>
  <c r="BX95" i="43"/>
  <c r="BW95" i="43"/>
  <c r="BV95" i="43"/>
  <c r="CA91" i="43"/>
  <c r="BZ91" i="43"/>
  <c r="BY91" i="43"/>
  <c r="BX91" i="43"/>
  <c r="BW91" i="43"/>
  <c r="BV91" i="43"/>
  <c r="CA87" i="43"/>
  <c r="BZ87" i="43"/>
  <c r="BY87" i="43"/>
  <c r="BX87" i="43"/>
  <c r="BW87" i="43"/>
  <c r="BV87" i="43"/>
  <c r="CA83" i="43"/>
  <c r="BZ83" i="43"/>
  <c r="BY83" i="43"/>
  <c r="BX83" i="43"/>
  <c r="BW83" i="43"/>
  <c r="BV83" i="43"/>
  <c r="CA79" i="43"/>
  <c r="BZ79" i="43"/>
  <c r="BY79" i="43"/>
  <c r="BX79" i="43"/>
  <c r="BW79" i="43"/>
  <c r="BV79" i="43"/>
  <c r="CA75" i="43"/>
  <c r="BZ75" i="43"/>
  <c r="BY75" i="43"/>
  <c r="BX75" i="43"/>
  <c r="BW75" i="43"/>
  <c r="BV75" i="43"/>
  <c r="CA70" i="43"/>
  <c r="BZ70" i="43"/>
  <c r="BY70" i="43"/>
  <c r="BX70" i="43"/>
  <c r="BW70" i="43"/>
  <c r="BV70" i="43"/>
  <c r="CA67" i="43"/>
  <c r="BZ67" i="43"/>
  <c r="BY67" i="43"/>
  <c r="BX67" i="43"/>
  <c r="BW67" i="43"/>
  <c r="BV67" i="43"/>
  <c r="CA63" i="43"/>
  <c r="BZ63" i="43"/>
  <c r="BY63" i="43"/>
  <c r="BX63" i="43"/>
  <c r="BW63" i="43"/>
  <c r="BV63" i="43"/>
  <c r="CA59" i="43"/>
  <c r="BZ59" i="43"/>
  <c r="BY59" i="43"/>
  <c r="BX59" i="43"/>
  <c r="BW59" i="43"/>
  <c r="BV59" i="43"/>
  <c r="CA55" i="43"/>
  <c r="BZ55" i="43"/>
  <c r="BY55" i="43"/>
  <c r="BX55" i="43"/>
  <c r="BW55" i="43"/>
  <c r="BV55" i="43"/>
  <c r="CA52" i="43"/>
  <c r="BZ52" i="43"/>
  <c r="BY52" i="43"/>
  <c r="BX52" i="43"/>
  <c r="BW52" i="43"/>
  <c r="BV52" i="43"/>
  <c r="CA49" i="43"/>
  <c r="BZ49" i="43"/>
  <c r="BY49" i="43"/>
  <c r="BX49" i="43"/>
  <c r="BW49" i="43"/>
  <c r="BV49" i="43"/>
  <c r="CA46" i="43"/>
  <c r="BZ46" i="43"/>
  <c r="BY46" i="43"/>
  <c r="BX46" i="43"/>
  <c r="BW46" i="43"/>
  <c r="BV46" i="43"/>
  <c r="CA42" i="43"/>
  <c r="BZ42" i="43"/>
  <c r="BY42" i="43"/>
  <c r="BX42" i="43"/>
  <c r="BW42" i="43"/>
  <c r="BV42" i="43"/>
  <c r="CA39" i="43"/>
  <c r="BZ39" i="43"/>
  <c r="BY39" i="43"/>
  <c r="BX39" i="43"/>
  <c r="BW39" i="43"/>
  <c r="BV39" i="43"/>
  <c r="CA35" i="43"/>
  <c r="BZ35" i="43"/>
  <c r="BY35" i="43"/>
  <c r="BX35" i="43"/>
  <c r="BW35" i="43"/>
  <c r="BV35" i="43"/>
  <c r="CA31" i="43"/>
  <c r="BZ31" i="43"/>
  <c r="BY31" i="43"/>
  <c r="BX31" i="43"/>
  <c r="BW31" i="43"/>
  <c r="BV31" i="43"/>
  <c r="CA27" i="43"/>
  <c r="BZ27" i="43"/>
  <c r="BY27" i="43"/>
  <c r="BX27" i="43"/>
  <c r="BW27" i="43"/>
  <c r="BV27" i="43"/>
  <c r="CA22" i="43"/>
  <c r="BZ22" i="43"/>
  <c r="BY22" i="43"/>
  <c r="BX22" i="43"/>
  <c r="BW22" i="43"/>
  <c r="BV22" i="43"/>
  <c r="CA18" i="43"/>
  <c r="BZ18" i="43"/>
  <c r="BY18" i="43"/>
  <c r="BX18" i="43"/>
  <c r="BW18" i="43"/>
  <c r="BV18" i="43"/>
  <c r="CA13" i="43"/>
  <c r="BZ13" i="43"/>
  <c r="BY13" i="43"/>
  <c r="BX13" i="43"/>
  <c r="BW13" i="43"/>
  <c r="BV13" i="43"/>
  <c r="BR36" i="47" l="1"/>
  <c r="BP35" i="47"/>
  <c r="BT33" i="47"/>
  <c r="BR32" i="47"/>
  <c r="BP31" i="47"/>
  <c r="BT29" i="47"/>
  <c r="BR28" i="47"/>
  <c r="BP27" i="47"/>
  <c r="BQ36" i="47"/>
  <c r="BO35" i="47"/>
  <c r="BS33" i="47"/>
  <c r="BQ32" i="47"/>
  <c r="BO31" i="47"/>
  <c r="BS29" i="47"/>
  <c r="BQ28" i="47"/>
  <c r="BO27" i="47"/>
  <c r="BI134" i="43"/>
  <c r="BI140" i="43" s="1"/>
  <c r="BI274" i="43"/>
  <c r="BI277" i="43" s="1"/>
  <c r="BI458" i="43"/>
  <c r="BI460" i="43" s="1"/>
  <c r="BI215" i="43"/>
  <c r="BI220" i="43" s="1"/>
  <c r="BI80" i="43"/>
  <c r="BI83" i="43" s="1"/>
  <c r="BI68" i="43"/>
  <c r="BI70" i="43" s="1"/>
  <c r="BI307" i="43"/>
  <c r="BI313" i="43" s="1"/>
  <c r="BI437" i="43"/>
  <c r="BI443" i="43" s="1"/>
  <c r="BI353" i="43"/>
  <c r="BI359" i="43" s="1"/>
  <c r="BI122" i="43"/>
  <c r="BI126" i="43" s="1"/>
  <c r="BI298" i="43"/>
  <c r="BI299" i="43" s="1"/>
  <c r="BI164" i="43"/>
  <c r="BI169" i="43" s="1"/>
  <c r="BI376" i="43"/>
  <c r="BI377" i="43" s="1"/>
  <c r="BI334" i="43"/>
  <c r="BI337" i="43" s="1"/>
  <c r="BI43" i="44"/>
  <c r="BI49" i="44" s="1"/>
  <c r="BI111" i="44"/>
  <c r="BI112" i="44" s="1"/>
  <c r="BI76" i="43"/>
  <c r="BI79" i="43" s="1"/>
  <c r="BI100" i="43"/>
  <c r="BI103" i="43" s="1"/>
  <c r="BI290" i="43"/>
  <c r="BI297" i="43" s="1"/>
  <c r="BI260" i="43"/>
  <c r="BI263" i="43" s="1"/>
  <c r="BI338" i="43"/>
  <c r="BI346" i="43" s="1"/>
  <c r="BI96" i="43"/>
  <c r="BI99" i="43" s="1"/>
  <c r="BI461" i="43"/>
  <c r="BI464" i="43" s="1"/>
  <c r="BI71" i="43"/>
  <c r="BI75" i="43" s="1"/>
  <c r="BI84" i="43"/>
  <c r="BI87" i="43" s="1"/>
  <c r="BI278" i="43"/>
  <c r="BI284" i="43" s="1"/>
  <c r="BI264" i="43"/>
  <c r="BI267" i="43" s="1"/>
  <c r="BI196" i="43"/>
  <c r="BI201" i="43" s="1"/>
  <c r="BI258" i="43"/>
  <c r="BI259" i="43" s="1"/>
  <c r="BI92" i="43"/>
  <c r="BI95" i="43" s="1"/>
  <c r="BV129" i="44"/>
  <c r="BO14" i="47" s="1"/>
  <c r="BW129" i="44"/>
  <c r="BP14" i="47" s="1"/>
  <c r="BX129" i="44"/>
  <c r="BQ14" i="47" s="1"/>
  <c r="BY129" i="44"/>
  <c r="BR14" i="47" s="1"/>
  <c r="BZ129" i="44"/>
  <c r="BS14" i="47" s="1"/>
  <c r="CA129" i="44"/>
  <c r="BT14" i="47" s="1"/>
  <c r="BZ132" i="44"/>
  <c r="BY132" i="44"/>
  <c r="BX132" i="44"/>
  <c r="BW132" i="44"/>
  <c r="CA132" i="44"/>
  <c r="BV132" i="44"/>
  <c r="CA465" i="43"/>
  <c r="BT13" i="47" s="1"/>
  <c r="BW465" i="43"/>
  <c r="BP13" i="47" s="1"/>
  <c r="BY465" i="43"/>
  <c r="BR13" i="47" s="1"/>
  <c r="BX465" i="43"/>
  <c r="BQ13" i="47" s="1"/>
  <c r="BZ465" i="43"/>
  <c r="BS13" i="47" s="1"/>
  <c r="BV465" i="43"/>
  <c r="BO13" i="47" s="1"/>
  <c r="CA468" i="43"/>
  <c r="BZ468" i="43"/>
  <c r="BY468" i="43"/>
  <c r="BX468" i="43"/>
  <c r="BW468" i="43"/>
  <c r="BV468" i="43"/>
  <c r="BV466" i="43" l="1"/>
  <c r="BV130" i="44"/>
  <c r="BV467" i="43"/>
  <c r="BV131" i="44"/>
  <c r="BT26" i="47"/>
  <c r="BS26" i="47"/>
  <c r="BO26" i="47"/>
  <c r="BQ26" i="47"/>
  <c r="BT23" i="47"/>
  <c r="BR26" i="47"/>
  <c r="BP26" i="47"/>
  <c r="BS23" i="47"/>
  <c r="BR23" i="47"/>
  <c r="BQ23" i="47"/>
  <c r="BO25" i="47" l="1"/>
  <c r="BP23" i="47"/>
  <c r="BO24" i="47" s="1"/>
  <c r="N465" i="43" l="1"/>
  <c r="G13" i="47" s="1"/>
  <c r="O465" i="43"/>
  <c r="H13" i="47" s="1"/>
  <c r="M466" i="43" l="1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T27" i="47" s="1"/>
  <c r="AB133" i="44"/>
  <c r="AC133" i="44"/>
  <c r="AG133" i="44"/>
  <c r="AH133" i="44"/>
  <c r="AI133" i="44"/>
  <c r="AJ133" i="44"/>
  <c r="AK133" i="44"/>
  <c r="AT133" i="44"/>
  <c r="AU133" i="44"/>
  <c r="AN27" i="47" s="1"/>
  <c r="AX133" i="44"/>
  <c r="AY133" i="44"/>
  <c r="AZ133" i="44"/>
  <c r="BA133" i="44"/>
  <c r="BB133" i="44"/>
  <c r="AU27" i="47" s="1"/>
  <c r="BC133" i="44"/>
  <c r="BD133" i="44"/>
  <c r="BE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T28" i="47" s="1"/>
  <c r="AB134" i="44"/>
  <c r="AC134" i="44"/>
  <c r="AG134" i="44"/>
  <c r="AH134" i="44"/>
  <c r="AI134" i="44"/>
  <c r="AJ134" i="44"/>
  <c r="AK134" i="44"/>
  <c r="AT134" i="44"/>
  <c r="AU134" i="44"/>
  <c r="AN28" i="47" s="1"/>
  <c r="AX134" i="44"/>
  <c r="AY134" i="44"/>
  <c r="AZ134" i="44"/>
  <c r="BA134" i="44"/>
  <c r="BB134" i="44"/>
  <c r="AU28" i="47" s="1"/>
  <c r="BC134" i="44"/>
  <c r="BD134" i="44"/>
  <c r="BE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T29" i="47" s="1"/>
  <c r="AB135" i="44"/>
  <c r="AC135" i="44"/>
  <c r="AG135" i="44"/>
  <c r="AH135" i="44"/>
  <c r="AI135" i="44"/>
  <c r="AJ135" i="44"/>
  <c r="AK135" i="44"/>
  <c r="AT135" i="44"/>
  <c r="AU135" i="44"/>
  <c r="AN29" i="47" s="1"/>
  <c r="AX135" i="44"/>
  <c r="AY135" i="44"/>
  <c r="AZ135" i="44"/>
  <c r="BA135" i="44"/>
  <c r="BB135" i="44"/>
  <c r="AU29" i="47" s="1"/>
  <c r="BC135" i="44"/>
  <c r="BD135" i="44"/>
  <c r="BE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T30" i="47" s="1"/>
  <c r="AB136" i="44"/>
  <c r="AC136" i="44"/>
  <c r="AG136" i="44"/>
  <c r="AH136" i="44"/>
  <c r="AI136" i="44"/>
  <c r="AJ136" i="44"/>
  <c r="AK136" i="44"/>
  <c r="AT136" i="44"/>
  <c r="AU136" i="44"/>
  <c r="AN30" i="47" s="1"/>
  <c r="AX136" i="44"/>
  <c r="AY136" i="44"/>
  <c r="AZ136" i="44"/>
  <c r="BA136" i="44"/>
  <c r="BB136" i="44"/>
  <c r="AU30" i="47" s="1"/>
  <c r="BC136" i="44"/>
  <c r="BD136" i="44"/>
  <c r="BE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T31" i="47" s="1"/>
  <c r="AB137" i="44"/>
  <c r="AC137" i="44"/>
  <c r="AD137" i="44"/>
  <c r="AE137" i="44"/>
  <c r="AF137" i="44"/>
  <c r="AG137" i="44"/>
  <c r="AH137" i="44"/>
  <c r="AI137" i="44"/>
  <c r="AJ137" i="44"/>
  <c r="AK137" i="44"/>
  <c r="AL137" i="44"/>
  <c r="AM137" i="44"/>
  <c r="AN137" i="44"/>
  <c r="AO137" i="44"/>
  <c r="AP137" i="44"/>
  <c r="AQ137" i="44"/>
  <c r="AR137" i="44"/>
  <c r="AS137" i="44"/>
  <c r="AT137" i="44"/>
  <c r="AU137" i="44"/>
  <c r="AN31" i="47" s="1"/>
  <c r="AV137" i="44"/>
  <c r="AW137" i="44"/>
  <c r="AX137" i="44"/>
  <c r="AY137" i="44"/>
  <c r="AZ137" i="44"/>
  <c r="BA137" i="44"/>
  <c r="BB137" i="44"/>
  <c r="AU31" i="47" s="1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T32" i="47" s="1"/>
  <c r="AB138" i="44"/>
  <c r="AC138" i="44"/>
  <c r="AD138" i="44"/>
  <c r="AE138" i="44"/>
  <c r="AF138" i="44"/>
  <c r="AG138" i="44"/>
  <c r="AH138" i="44"/>
  <c r="AI138" i="44"/>
  <c r="AJ138" i="44"/>
  <c r="AK138" i="44"/>
  <c r="AL138" i="44"/>
  <c r="AM138" i="44"/>
  <c r="AN138" i="44"/>
  <c r="AO138" i="44"/>
  <c r="AP138" i="44"/>
  <c r="AQ138" i="44"/>
  <c r="AR138" i="44"/>
  <c r="AS138" i="44"/>
  <c r="AT138" i="44"/>
  <c r="AU138" i="44"/>
  <c r="AN32" i="47" s="1"/>
  <c r="AV138" i="44"/>
  <c r="AW138" i="44"/>
  <c r="AX138" i="44"/>
  <c r="AY138" i="44"/>
  <c r="AZ138" i="44"/>
  <c r="BA138" i="44"/>
  <c r="BB138" i="44"/>
  <c r="AU32" i="47" s="1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K139" i="44"/>
  <c r="L139" i="44"/>
  <c r="N139" i="44"/>
  <c r="O139" i="44"/>
  <c r="R139" i="44"/>
  <c r="T139" i="44"/>
  <c r="U139" i="44"/>
  <c r="X139" i="44"/>
  <c r="Y139" i="44"/>
  <c r="Z139" i="44"/>
  <c r="AA139" i="44"/>
  <c r="T33" i="47" s="1"/>
  <c r="AB139" i="44"/>
  <c r="AC139" i="44"/>
  <c r="AG139" i="44"/>
  <c r="AH139" i="44"/>
  <c r="AI139" i="44"/>
  <c r="AJ139" i="44"/>
  <c r="AK139" i="44"/>
  <c r="AT139" i="44"/>
  <c r="AU139" i="44"/>
  <c r="AN33" i="47" s="1"/>
  <c r="AX139" i="44"/>
  <c r="AY139" i="44"/>
  <c r="AZ139" i="44"/>
  <c r="BA139" i="44"/>
  <c r="BB139" i="44"/>
  <c r="AU33" i="47" s="1"/>
  <c r="BC139" i="44"/>
  <c r="BD139" i="44"/>
  <c r="BE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T34" i="47" s="1"/>
  <c r="AB140" i="44"/>
  <c r="AC140" i="44"/>
  <c r="AG140" i="44"/>
  <c r="AH140" i="44"/>
  <c r="AI140" i="44"/>
  <c r="AJ140" i="44"/>
  <c r="AK140" i="44"/>
  <c r="AT140" i="44"/>
  <c r="AU140" i="44"/>
  <c r="AN34" i="47" s="1"/>
  <c r="AX140" i="44"/>
  <c r="AY140" i="44"/>
  <c r="AZ140" i="44"/>
  <c r="BA140" i="44"/>
  <c r="BB140" i="44"/>
  <c r="AU34" i="47" s="1"/>
  <c r="BC140" i="44"/>
  <c r="BD140" i="44"/>
  <c r="BE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T35" i="47" s="1"/>
  <c r="AB141" i="44"/>
  <c r="AC141" i="44"/>
  <c r="AG141" i="44"/>
  <c r="AH141" i="44"/>
  <c r="AI141" i="44"/>
  <c r="AJ141" i="44"/>
  <c r="AK141" i="44"/>
  <c r="AT141" i="44"/>
  <c r="AU141" i="44"/>
  <c r="AN35" i="47" s="1"/>
  <c r="AX141" i="44"/>
  <c r="AY141" i="44"/>
  <c r="AZ141" i="44"/>
  <c r="BA141" i="44"/>
  <c r="BB141" i="44"/>
  <c r="AU35" i="47" s="1"/>
  <c r="BC141" i="44"/>
  <c r="BD141" i="44"/>
  <c r="BE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T36" i="47" s="1"/>
  <c r="AB142" i="44"/>
  <c r="AC142" i="44"/>
  <c r="AG142" i="44"/>
  <c r="AH142" i="44"/>
  <c r="AI142" i="44"/>
  <c r="AJ142" i="44"/>
  <c r="AK142" i="44"/>
  <c r="AT142" i="44"/>
  <c r="AU142" i="44"/>
  <c r="AN36" i="47" s="1"/>
  <c r="AX142" i="44"/>
  <c r="AY142" i="44"/>
  <c r="AZ142" i="44"/>
  <c r="BA142" i="44"/>
  <c r="BB142" i="44"/>
  <c r="AU36" i="47" s="1"/>
  <c r="BC142" i="44"/>
  <c r="BD142" i="44"/>
  <c r="BE142" i="44"/>
  <c r="K469" i="43"/>
  <c r="D27" i="47" s="1"/>
  <c r="L469" i="43"/>
  <c r="E27" i="47" s="1"/>
  <c r="N469" i="43"/>
  <c r="G27" i="47" s="1"/>
  <c r="O469" i="43"/>
  <c r="H27" i="47" s="1"/>
  <c r="P469" i="43"/>
  <c r="I27" i="47" s="1"/>
  <c r="Q469" i="43"/>
  <c r="J27" i="47" s="1"/>
  <c r="R469" i="43"/>
  <c r="T469" i="43"/>
  <c r="M27" i="47" s="1"/>
  <c r="U469" i="43"/>
  <c r="N27" i="47" s="1"/>
  <c r="X469" i="43"/>
  <c r="Q27" i="47" s="1"/>
  <c r="Y469" i="43"/>
  <c r="R27" i="47" s="1"/>
  <c r="Z469" i="43"/>
  <c r="S27" i="47" s="1"/>
  <c r="AB469" i="43"/>
  <c r="U27" i="47" s="1"/>
  <c r="AC469" i="43"/>
  <c r="AG469" i="43"/>
  <c r="Z27" i="47" s="1"/>
  <c r="AH469" i="43"/>
  <c r="AA27" i="47" s="1"/>
  <c r="AI469" i="43"/>
  <c r="AB27" i="47" s="1"/>
  <c r="AJ469" i="43"/>
  <c r="AC27" i="47" s="1"/>
  <c r="AK469" i="43"/>
  <c r="AD27" i="47" s="1"/>
  <c r="AT469" i="43"/>
  <c r="AM27" i="47" s="1"/>
  <c r="AX469" i="43"/>
  <c r="AY469" i="43"/>
  <c r="AR27" i="47" s="1"/>
  <c r="AZ469" i="43"/>
  <c r="AS27" i="47" s="1"/>
  <c r="BA469" i="43"/>
  <c r="AT27" i="47" s="1"/>
  <c r="BC469" i="43"/>
  <c r="AV27" i="47" s="1"/>
  <c r="BD469" i="43"/>
  <c r="AW27" i="47" s="1"/>
  <c r="BE469" i="43"/>
  <c r="AX27" i="47" s="1"/>
  <c r="K470" i="43"/>
  <c r="L470" i="43"/>
  <c r="E28" i="47" s="1"/>
  <c r="N470" i="43"/>
  <c r="G28" i="47" s="1"/>
  <c r="O470" i="43"/>
  <c r="H28" i="47" s="1"/>
  <c r="P470" i="43"/>
  <c r="I28" i="47" s="1"/>
  <c r="Q470" i="43"/>
  <c r="J28" i="47" s="1"/>
  <c r="R470" i="43"/>
  <c r="K28" i="47" s="1"/>
  <c r="T470" i="43"/>
  <c r="M28" i="47" s="1"/>
  <c r="U470" i="43"/>
  <c r="X470" i="43"/>
  <c r="Q28" i="47" s="1"/>
  <c r="Y470" i="43"/>
  <c r="R28" i="47" s="1"/>
  <c r="Z470" i="43"/>
  <c r="S28" i="47" s="1"/>
  <c r="AB470" i="43"/>
  <c r="U28" i="47" s="1"/>
  <c r="AC470" i="43"/>
  <c r="V28" i="47" s="1"/>
  <c r="AG470" i="43"/>
  <c r="Z28" i="47" s="1"/>
  <c r="AH470" i="43"/>
  <c r="AI470" i="43"/>
  <c r="AB28" i="47" s="1"/>
  <c r="AJ470" i="43"/>
  <c r="AC28" i="47" s="1"/>
  <c r="AK470" i="43"/>
  <c r="AD28" i="47" s="1"/>
  <c r="AT470" i="43"/>
  <c r="AM28" i="47" s="1"/>
  <c r="AX470" i="43"/>
  <c r="AQ28" i="47" s="1"/>
  <c r="AY470" i="43"/>
  <c r="AR28" i="47" s="1"/>
  <c r="AZ470" i="43"/>
  <c r="BA470" i="43"/>
  <c r="AT28" i="47" s="1"/>
  <c r="BC470" i="43"/>
  <c r="AV28" i="47" s="1"/>
  <c r="BD470" i="43"/>
  <c r="AW28" i="47" s="1"/>
  <c r="BE470" i="43"/>
  <c r="AX28" i="47" s="1"/>
  <c r="K471" i="43"/>
  <c r="D29" i="47" s="1"/>
  <c r="L471" i="43"/>
  <c r="E29" i="47" s="1"/>
  <c r="N471" i="43"/>
  <c r="G29" i="47" s="1"/>
  <c r="O471" i="43"/>
  <c r="H29" i="47" s="1"/>
  <c r="P471" i="43"/>
  <c r="I29" i="47" s="1"/>
  <c r="Q471" i="43"/>
  <c r="J29" i="47" s="1"/>
  <c r="R471" i="43"/>
  <c r="K29" i="47" s="1"/>
  <c r="T471" i="43"/>
  <c r="M29" i="47" s="1"/>
  <c r="U471" i="43"/>
  <c r="N29" i="47" s="1"/>
  <c r="X471" i="43"/>
  <c r="Q29" i="47" s="1"/>
  <c r="Y471" i="43"/>
  <c r="R29" i="47" s="1"/>
  <c r="Z471" i="43"/>
  <c r="S29" i="47" s="1"/>
  <c r="AB471" i="43"/>
  <c r="U29" i="47" s="1"/>
  <c r="AC471" i="43"/>
  <c r="V29" i="47" s="1"/>
  <c r="AG471" i="43"/>
  <c r="Z29" i="47" s="1"/>
  <c r="AH471" i="43"/>
  <c r="AA29" i="47" s="1"/>
  <c r="AI471" i="43"/>
  <c r="AB29" i="47" s="1"/>
  <c r="AJ471" i="43"/>
  <c r="AK471" i="43"/>
  <c r="AD29" i="47" s="1"/>
  <c r="AT471" i="43"/>
  <c r="AM29" i="47" s="1"/>
  <c r="AX471" i="43"/>
  <c r="AQ29" i="47" s="1"/>
  <c r="AY471" i="43"/>
  <c r="AR29" i="47" s="1"/>
  <c r="AZ471" i="43"/>
  <c r="AS29" i="47" s="1"/>
  <c r="BA471" i="43"/>
  <c r="AT29" i="47" s="1"/>
  <c r="BC471" i="43"/>
  <c r="AV29" i="47" s="1"/>
  <c r="BD471" i="43"/>
  <c r="AW29" i="47" s="1"/>
  <c r="BE471" i="43"/>
  <c r="AX29" i="47" s="1"/>
  <c r="K472" i="43"/>
  <c r="D30" i="47" s="1"/>
  <c r="L472" i="43"/>
  <c r="E30" i="47" s="1"/>
  <c r="N472" i="43"/>
  <c r="G30" i="47" s="1"/>
  <c r="O472" i="43"/>
  <c r="H30" i="47" s="1"/>
  <c r="P472" i="43"/>
  <c r="Q472" i="43"/>
  <c r="J30" i="47" s="1"/>
  <c r="R472" i="43"/>
  <c r="K30" i="47" s="1"/>
  <c r="T472" i="43"/>
  <c r="M30" i="47" s="1"/>
  <c r="U472" i="43"/>
  <c r="N30" i="47" s="1"/>
  <c r="X472" i="43"/>
  <c r="Q30" i="47" s="1"/>
  <c r="Y472" i="43"/>
  <c r="R30" i="47" s="1"/>
  <c r="Z472" i="43"/>
  <c r="S30" i="47" s="1"/>
  <c r="AB472" i="43"/>
  <c r="U30" i="47" s="1"/>
  <c r="AC472" i="43"/>
  <c r="V30" i="47" s="1"/>
  <c r="AG472" i="43"/>
  <c r="Z30" i="47" s="1"/>
  <c r="AH472" i="43"/>
  <c r="AA30" i="47" s="1"/>
  <c r="AI472" i="43"/>
  <c r="AB30" i="47" s="1"/>
  <c r="AJ472" i="43"/>
  <c r="AC30" i="47" s="1"/>
  <c r="AK472" i="43"/>
  <c r="AD30" i="47" s="1"/>
  <c r="AT472" i="43"/>
  <c r="AX472" i="43"/>
  <c r="AQ30" i="47" s="1"/>
  <c r="AY472" i="43"/>
  <c r="AR30" i="47" s="1"/>
  <c r="AZ472" i="43"/>
  <c r="AS30" i="47" s="1"/>
  <c r="BA472" i="43"/>
  <c r="AT30" i="47" s="1"/>
  <c r="BC472" i="43"/>
  <c r="AV30" i="47" s="1"/>
  <c r="BD472" i="43"/>
  <c r="BE472" i="43"/>
  <c r="AX30" i="47" s="1"/>
  <c r="J473" i="43"/>
  <c r="C31" i="47" s="1"/>
  <c r="K473" i="43"/>
  <c r="D31" i="47" s="1"/>
  <c r="L473" i="43"/>
  <c r="E31" i="47" s="1"/>
  <c r="M473" i="43"/>
  <c r="F31" i="47" s="1"/>
  <c r="N473" i="43"/>
  <c r="G31" i="47" s="1"/>
  <c r="O473" i="43"/>
  <c r="H31" i="47" s="1"/>
  <c r="P473" i="43"/>
  <c r="Q473" i="43"/>
  <c r="J31" i="47" s="1"/>
  <c r="R473" i="43"/>
  <c r="K31" i="47" s="1"/>
  <c r="S473" i="43"/>
  <c r="L31" i="47" s="1"/>
  <c r="T473" i="43"/>
  <c r="M31" i="47" s="1"/>
  <c r="U473" i="43"/>
  <c r="N31" i="47" s="1"/>
  <c r="V473" i="43"/>
  <c r="O31" i="47" s="1"/>
  <c r="W473" i="43"/>
  <c r="P31" i="47" s="1"/>
  <c r="X473" i="43"/>
  <c r="Y473" i="43"/>
  <c r="R31" i="47" s="1"/>
  <c r="Z473" i="43"/>
  <c r="S31" i="47" s="1"/>
  <c r="AB473" i="43"/>
  <c r="U31" i="47" s="1"/>
  <c r="AC473" i="43"/>
  <c r="V31" i="47" s="1"/>
  <c r="AD473" i="43"/>
  <c r="W31" i="47" s="1"/>
  <c r="AE473" i="43"/>
  <c r="X31" i="47" s="1"/>
  <c r="AF473" i="43"/>
  <c r="AG473" i="43"/>
  <c r="Z31" i="47" s="1"/>
  <c r="AH473" i="43"/>
  <c r="AA31" i="47" s="1"/>
  <c r="AI473" i="43"/>
  <c r="AB31" i="47" s="1"/>
  <c r="AJ473" i="43"/>
  <c r="AC31" i="47" s="1"/>
  <c r="AK473" i="43"/>
  <c r="AD31" i="47" s="1"/>
  <c r="AL473" i="43"/>
  <c r="AE31" i="47" s="1"/>
  <c r="AM473" i="43"/>
  <c r="AF31" i="47" s="1"/>
  <c r="AN473" i="43"/>
  <c r="AO473" i="43"/>
  <c r="AH31" i="47" s="1"/>
  <c r="AP473" i="43"/>
  <c r="AI31" i="47" s="1"/>
  <c r="AQ473" i="43"/>
  <c r="AJ31" i="47" s="1"/>
  <c r="AR473" i="43"/>
  <c r="AK31" i="47" s="1"/>
  <c r="AS473" i="43"/>
  <c r="AL31" i="47" s="1"/>
  <c r="AT473" i="43"/>
  <c r="AM31" i="47" s="1"/>
  <c r="AV473" i="43"/>
  <c r="AO31" i="47" s="1"/>
  <c r="AW473" i="43"/>
  <c r="AP31" i="47" s="1"/>
  <c r="AX473" i="43"/>
  <c r="AQ31" i="47" s="1"/>
  <c r="AY473" i="43"/>
  <c r="AR31" i="47" s="1"/>
  <c r="AZ473" i="43"/>
  <c r="AS31" i="47" s="1"/>
  <c r="BA473" i="43"/>
  <c r="AT31" i="47" s="1"/>
  <c r="BC473" i="43"/>
  <c r="AV31" i="47" s="1"/>
  <c r="BD473" i="43"/>
  <c r="BE473" i="43"/>
  <c r="AX31" i="47" s="1"/>
  <c r="BF473" i="43"/>
  <c r="AY31" i="47" s="1"/>
  <c r="BG473" i="43"/>
  <c r="AZ31" i="47" s="1"/>
  <c r="BH473" i="43"/>
  <c r="BA31" i="47" s="1"/>
  <c r="BI473" i="43"/>
  <c r="BB31" i="47" s="1"/>
  <c r="BJ473" i="43"/>
  <c r="BC31" i="47" s="1"/>
  <c r="BK473" i="43"/>
  <c r="BD31" i="47" s="1"/>
  <c r="BL473" i="43"/>
  <c r="BM473" i="43"/>
  <c r="BF31" i="47" s="1"/>
  <c r="BN473" i="43"/>
  <c r="BG31" i="47" s="1"/>
  <c r="BO473" i="43"/>
  <c r="BH31" i="47" s="1"/>
  <c r="BP473" i="43"/>
  <c r="BI31" i="47" s="1"/>
  <c r="BQ473" i="43"/>
  <c r="BJ31" i="47" s="1"/>
  <c r="BR473" i="43"/>
  <c r="BK31" i="47" s="1"/>
  <c r="BS473" i="43"/>
  <c r="BL31" i="47" s="1"/>
  <c r="BT473" i="43"/>
  <c r="BU473" i="43"/>
  <c r="BN31" i="47" s="1"/>
  <c r="J474" i="43"/>
  <c r="C32" i="47" s="1"/>
  <c r="K474" i="43"/>
  <c r="D32" i="47" s="1"/>
  <c r="L474" i="43"/>
  <c r="E32" i="47" s="1"/>
  <c r="M474" i="43"/>
  <c r="F32" i="47" s="1"/>
  <c r="N474" i="43"/>
  <c r="G32" i="47" s="1"/>
  <c r="O474" i="43"/>
  <c r="H32" i="47" s="1"/>
  <c r="P474" i="43"/>
  <c r="Q474" i="43"/>
  <c r="J32" i="47" s="1"/>
  <c r="R474" i="43"/>
  <c r="K32" i="47" s="1"/>
  <c r="S474" i="43"/>
  <c r="L32" i="47" s="1"/>
  <c r="T474" i="43"/>
  <c r="M32" i="47" s="1"/>
  <c r="U474" i="43"/>
  <c r="N32" i="47" s="1"/>
  <c r="V474" i="43"/>
  <c r="O32" i="47" s="1"/>
  <c r="W474" i="43"/>
  <c r="P32" i="47" s="1"/>
  <c r="X474" i="43"/>
  <c r="Y474" i="43"/>
  <c r="R32" i="47" s="1"/>
  <c r="Z474" i="43"/>
  <c r="S32" i="47" s="1"/>
  <c r="AB474" i="43"/>
  <c r="U32" i="47" s="1"/>
  <c r="AC474" i="43"/>
  <c r="V32" i="47" s="1"/>
  <c r="AD474" i="43"/>
  <c r="W32" i="47" s="1"/>
  <c r="AE474" i="43"/>
  <c r="X32" i="47" s="1"/>
  <c r="AF474" i="43"/>
  <c r="AG474" i="43"/>
  <c r="Z32" i="47" s="1"/>
  <c r="AH474" i="43"/>
  <c r="AA32" i="47" s="1"/>
  <c r="AI474" i="43"/>
  <c r="AB32" i="47" s="1"/>
  <c r="AJ474" i="43"/>
  <c r="AC32" i="47" s="1"/>
  <c r="AK474" i="43"/>
  <c r="AD32" i="47" s="1"/>
  <c r="AL474" i="43"/>
  <c r="AE32" i="47" s="1"/>
  <c r="AM474" i="43"/>
  <c r="AF32" i="47" s="1"/>
  <c r="AN474" i="43"/>
  <c r="AO474" i="43"/>
  <c r="AH32" i="47" s="1"/>
  <c r="AP474" i="43"/>
  <c r="AI32" i="47" s="1"/>
  <c r="AQ474" i="43"/>
  <c r="AJ32" i="47" s="1"/>
  <c r="AR474" i="43"/>
  <c r="AK32" i="47" s="1"/>
  <c r="AS474" i="43"/>
  <c r="AL32" i="47" s="1"/>
  <c r="AT474" i="43"/>
  <c r="AM32" i="47" s="1"/>
  <c r="AV474" i="43"/>
  <c r="AW474" i="43"/>
  <c r="AP32" i="47" s="1"/>
  <c r="AX474" i="43"/>
  <c r="AQ32" i="47" s="1"/>
  <c r="AY474" i="43"/>
  <c r="AR32" i="47" s="1"/>
  <c r="AZ474" i="43"/>
  <c r="AS32" i="47" s="1"/>
  <c r="BA474" i="43"/>
  <c r="AT32" i="47" s="1"/>
  <c r="BC474" i="43"/>
  <c r="AV32" i="47" s="1"/>
  <c r="BD474" i="43"/>
  <c r="BE474" i="43"/>
  <c r="AX32" i="47" s="1"/>
  <c r="BF474" i="43"/>
  <c r="AY32" i="47" s="1"/>
  <c r="BG474" i="43"/>
  <c r="AZ32" i="47" s="1"/>
  <c r="BH474" i="43"/>
  <c r="BA32" i="47" s="1"/>
  <c r="BI474" i="43"/>
  <c r="BB32" i="47" s="1"/>
  <c r="BJ474" i="43"/>
  <c r="BC32" i="47" s="1"/>
  <c r="BK474" i="43"/>
  <c r="BD32" i="47" s="1"/>
  <c r="BL474" i="43"/>
  <c r="BM474" i="43"/>
  <c r="BF32" i="47" s="1"/>
  <c r="BN474" i="43"/>
  <c r="BG32" i="47" s="1"/>
  <c r="BO474" i="43"/>
  <c r="BH32" i="47" s="1"/>
  <c r="BP474" i="43"/>
  <c r="BI32" i="47" s="1"/>
  <c r="BQ474" i="43"/>
  <c r="BJ32" i="47" s="1"/>
  <c r="BR474" i="43"/>
  <c r="BK32" i="47" s="1"/>
  <c r="BS474" i="43"/>
  <c r="BL32" i="47" s="1"/>
  <c r="BT474" i="43"/>
  <c r="BU474" i="43"/>
  <c r="BN32" i="47" s="1"/>
  <c r="K475" i="43"/>
  <c r="D33" i="47" s="1"/>
  <c r="L475" i="43"/>
  <c r="E33" i="47" s="1"/>
  <c r="N475" i="43"/>
  <c r="G33" i="47" s="1"/>
  <c r="O475" i="43"/>
  <c r="H33" i="47" s="1"/>
  <c r="R475" i="43"/>
  <c r="K33" i="47" s="1"/>
  <c r="T475" i="43"/>
  <c r="M33" i="47" s="1"/>
  <c r="U475" i="43"/>
  <c r="X475" i="43"/>
  <c r="Q33" i="47" s="1"/>
  <c r="Y475" i="43"/>
  <c r="R33" i="47" s="1"/>
  <c r="Z475" i="43"/>
  <c r="S33" i="47" s="1"/>
  <c r="AB475" i="43"/>
  <c r="U33" i="47" s="1"/>
  <c r="AC475" i="43"/>
  <c r="V33" i="47" s="1"/>
  <c r="AG475" i="43"/>
  <c r="Z33" i="47" s="1"/>
  <c r="AH475" i="43"/>
  <c r="AI475" i="43"/>
  <c r="AB33" i="47" s="1"/>
  <c r="AJ475" i="43"/>
  <c r="AC33" i="47" s="1"/>
  <c r="AK475" i="43"/>
  <c r="AD33" i="47" s="1"/>
  <c r="AT475" i="43"/>
  <c r="AM33" i="47" s="1"/>
  <c r="AX475" i="43"/>
  <c r="AQ33" i="47" s="1"/>
  <c r="AY475" i="43"/>
  <c r="AR33" i="47" s="1"/>
  <c r="AZ475" i="43"/>
  <c r="BA475" i="43"/>
  <c r="AT33" i="47" s="1"/>
  <c r="BC475" i="43"/>
  <c r="AV33" i="47" s="1"/>
  <c r="BD475" i="43"/>
  <c r="AW33" i="47" s="1"/>
  <c r="BE475" i="43"/>
  <c r="AX33" i="47" s="1"/>
  <c r="K476" i="43"/>
  <c r="D34" i="47" s="1"/>
  <c r="L476" i="43"/>
  <c r="E34" i="47" s="1"/>
  <c r="N476" i="43"/>
  <c r="O476" i="43"/>
  <c r="H34" i="47" s="1"/>
  <c r="P476" i="43"/>
  <c r="I34" i="47" s="1"/>
  <c r="Q476" i="43"/>
  <c r="J34" i="47" s="1"/>
  <c r="R476" i="43"/>
  <c r="K34" i="47" s="1"/>
  <c r="T476" i="43"/>
  <c r="M34" i="47" s="1"/>
  <c r="U476" i="43"/>
  <c r="N34" i="47" s="1"/>
  <c r="X476" i="43"/>
  <c r="Q34" i="47" s="1"/>
  <c r="Y476" i="43"/>
  <c r="Z476" i="43"/>
  <c r="S34" i="47" s="1"/>
  <c r="AB476" i="43"/>
  <c r="U34" i="47" s="1"/>
  <c r="AC476" i="43"/>
  <c r="V34" i="47" s="1"/>
  <c r="AG476" i="43"/>
  <c r="Z34" i="47" s="1"/>
  <c r="AH476" i="43"/>
  <c r="AA34" i="47" s="1"/>
  <c r="AI476" i="43"/>
  <c r="AB34" i="47" s="1"/>
  <c r="AJ476" i="43"/>
  <c r="AC34" i="47" s="1"/>
  <c r="AK476" i="43"/>
  <c r="AD34" i="47" s="1"/>
  <c r="AT476" i="43"/>
  <c r="AM34" i="47" s="1"/>
  <c r="AX476" i="43"/>
  <c r="AQ34" i="47" s="1"/>
  <c r="AY476" i="43"/>
  <c r="AR34" i="47" s="1"/>
  <c r="AZ476" i="43"/>
  <c r="AS34" i="47" s="1"/>
  <c r="BA476" i="43"/>
  <c r="AT34" i="47" s="1"/>
  <c r="BC476" i="43"/>
  <c r="AV34" i="47" s="1"/>
  <c r="BD476" i="43"/>
  <c r="AW34" i="47" s="1"/>
  <c r="BE476" i="43"/>
  <c r="AX34" i="47" s="1"/>
  <c r="K477" i="43"/>
  <c r="D35" i="47" s="1"/>
  <c r="L477" i="43"/>
  <c r="E35" i="47" s="1"/>
  <c r="N477" i="43"/>
  <c r="G35" i="47" s="1"/>
  <c r="O477" i="43"/>
  <c r="H35" i="47" s="1"/>
  <c r="P477" i="43"/>
  <c r="Q477" i="43"/>
  <c r="J35" i="47" s="1"/>
  <c r="R477" i="43"/>
  <c r="K35" i="47" s="1"/>
  <c r="T477" i="43"/>
  <c r="M35" i="47" s="1"/>
  <c r="U477" i="43"/>
  <c r="N35" i="47" s="1"/>
  <c r="X477" i="43"/>
  <c r="Q35" i="47" s="1"/>
  <c r="Y477" i="43"/>
  <c r="R35" i="47" s="1"/>
  <c r="Z477" i="43"/>
  <c r="S35" i="47" s="1"/>
  <c r="AB477" i="43"/>
  <c r="U35" i="47" s="1"/>
  <c r="AC477" i="43"/>
  <c r="V35" i="47" s="1"/>
  <c r="AG477" i="43"/>
  <c r="Z35" i="47" s="1"/>
  <c r="AH477" i="43"/>
  <c r="AA35" i="47" s="1"/>
  <c r="AI477" i="43"/>
  <c r="AB35" i="47" s="1"/>
  <c r="AJ477" i="43"/>
  <c r="AC35" i="47" s="1"/>
  <c r="AK477" i="43"/>
  <c r="AD35" i="47" s="1"/>
  <c r="AT477" i="43"/>
  <c r="AX477" i="43"/>
  <c r="AQ35" i="47" s="1"/>
  <c r="AY477" i="43"/>
  <c r="AR35" i="47" s="1"/>
  <c r="AZ477" i="43"/>
  <c r="AS35" i="47" s="1"/>
  <c r="BA477" i="43"/>
  <c r="AT35" i="47" s="1"/>
  <c r="BC477" i="43"/>
  <c r="AV35" i="47" s="1"/>
  <c r="BD477" i="43"/>
  <c r="BE477" i="43"/>
  <c r="AX35" i="47" s="1"/>
  <c r="K478" i="43"/>
  <c r="D36" i="47" s="1"/>
  <c r="L478" i="43"/>
  <c r="E36" i="47" s="1"/>
  <c r="N478" i="43"/>
  <c r="G36" i="47" s="1"/>
  <c r="O478" i="43"/>
  <c r="H36" i="47" s="1"/>
  <c r="R478" i="43"/>
  <c r="T478" i="43"/>
  <c r="M36" i="47" s="1"/>
  <c r="U478" i="43"/>
  <c r="N36" i="47" s="1"/>
  <c r="X478" i="43"/>
  <c r="Q36" i="47" s="1"/>
  <c r="Y478" i="43"/>
  <c r="R36" i="47" s="1"/>
  <c r="Z478" i="43"/>
  <c r="S36" i="47" s="1"/>
  <c r="AB478" i="43"/>
  <c r="U36" i="47" s="1"/>
  <c r="AC478" i="43"/>
  <c r="V36" i="47" s="1"/>
  <c r="AG478" i="43"/>
  <c r="Z36" i="47" s="1"/>
  <c r="AH478" i="43"/>
  <c r="AA36" i="47" s="1"/>
  <c r="AI478" i="43"/>
  <c r="AB36" i="47" s="1"/>
  <c r="AJ478" i="43"/>
  <c r="AC36" i="47" s="1"/>
  <c r="AK478" i="43"/>
  <c r="AD36" i="47" s="1"/>
  <c r="AT478" i="43"/>
  <c r="AM36" i="47" s="1"/>
  <c r="AX478" i="43"/>
  <c r="AY478" i="43"/>
  <c r="AR36" i="47" s="1"/>
  <c r="AZ478" i="43"/>
  <c r="AS36" i="47" s="1"/>
  <c r="BA478" i="43"/>
  <c r="AT36" i="47" s="1"/>
  <c r="BC478" i="43"/>
  <c r="AV36" i="47" s="1"/>
  <c r="BD478" i="43"/>
  <c r="AW36" i="47" s="1"/>
  <c r="BE478" i="43"/>
  <c r="AX36" i="47" s="1"/>
  <c r="AQ36" i="47" l="1"/>
  <c r="Q32" i="47"/>
  <c r="I32" i="47"/>
  <c r="BM31" i="47"/>
  <c r="BE31" i="47"/>
  <c r="AW31" i="47"/>
  <c r="AC29" i="47"/>
  <c r="I35" i="47"/>
  <c r="AG32" i="47"/>
  <c r="Y32" i="47"/>
  <c r="K27" i="47"/>
  <c r="AM35" i="47"/>
  <c r="AO32" i="47"/>
  <c r="I30" i="47"/>
  <c r="V27" i="47"/>
  <c r="N33" i="47"/>
  <c r="BM32" i="47"/>
  <c r="BE32" i="47"/>
  <c r="AW32" i="47"/>
  <c r="AM30" i="47"/>
  <c r="AQ27" i="47"/>
  <c r="AW35" i="47"/>
  <c r="AA33" i="47"/>
  <c r="N28" i="47"/>
  <c r="D28" i="47"/>
  <c r="AS33" i="47"/>
  <c r="Q31" i="47"/>
  <c r="I31" i="47"/>
  <c r="AW30" i="47"/>
  <c r="AA28" i="47"/>
  <c r="K36" i="47"/>
  <c r="R34" i="47"/>
  <c r="G34" i="47"/>
  <c r="AG31" i="47"/>
  <c r="Y31" i="47"/>
  <c r="AS28" i="47"/>
  <c r="BF142" i="44"/>
  <c r="M465" i="43"/>
  <c r="F13" i="47" s="1"/>
  <c r="U465" i="43"/>
  <c r="N13" i="47" s="1"/>
  <c r="R465" i="43"/>
  <c r="K13" i="47" s="1"/>
  <c r="K465" i="43"/>
  <c r="D13" i="47" s="1"/>
  <c r="T465" i="43"/>
  <c r="M13" i="47" s="1"/>
  <c r="L465" i="43"/>
  <c r="E13" i="47" s="1"/>
  <c r="T129" i="44"/>
  <c r="M14" i="47" s="1"/>
  <c r="U129" i="44"/>
  <c r="N14" i="47" s="1"/>
  <c r="R129" i="44"/>
  <c r="K14" i="47" s="1"/>
  <c r="BF141" i="44"/>
  <c r="J142" i="44"/>
  <c r="M142" i="44"/>
  <c r="S142" i="44"/>
  <c r="J136" i="44"/>
  <c r="BT135" i="44"/>
  <c r="J475" i="43"/>
  <c r="BF478" i="43"/>
  <c r="AL477" i="43"/>
  <c r="M475" i="43"/>
  <c r="BG471" i="43"/>
  <c r="AL472" i="43"/>
  <c r="AL469" i="43"/>
  <c r="AL470" i="43"/>
  <c r="M472" i="43"/>
  <c r="M471" i="43"/>
  <c r="M476" i="43"/>
  <c r="BG476" i="43"/>
  <c r="AZ34" i="47" s="1"/>
  <c r="W471" i="43"/>
  <c r="J472" i="43"/>
  <c r="C30" i="47" s="1"/>
  <c r="J471" i="43"/>
  <c r="J476" i="43"/>
  <c r="BF476" i="43"/>
  <c r="AM469" i="43"/>
  <c r="AM470" i="43"/>
  <c r="V476" i="43"/>
  <c r="O34" i="47" s="1"/>
  <c r="BF477" i="43"/>
  <c r="AM472" i="43"/>
  <c r="BH12" i="43"/>
  <c r="BH13" i="43" s="1"/>
  <c r="BG478" i="43"/>
  <c r="AV469" i="43"/>
  <c r="W475" i="43"/>
  <c r="AV470" i="43"/>
  <c r="W476" i="43"/>
  <c r="P34" i="47" s="1"/>
  <c r="BG477" i="43"/>
  <c r="AL471" i="43"/>
  <c r="AV472" i="43"/>
  <c r="S477" i="43"/>
  <c r="S470" i="43"/>
  <c r="J477" i="43"/>
  <c r="V475" i="43"/>
  <c r="BF470" i="43"/>
  <c r="AY28" i="47" s="1"/>
  <c r="W477" i="43"/>
  <c r="AV477" i="43"/>
  <c r="V471" i="43"/>
  <c r="S478" i="43"/>
  <c r="L36" i="47" s="1"/>
  <c r="AM471" i="43"/>
  <c r="BF472" i="43"/>
  <c r="V469" i="43"/>
  <c r="BG469" i="43"/>
  <c r="AZ27" i="47" s="1"/>
  <c r="V470" i="43"/>
  <c r="BG470" i="43"/>
  <c r="AM476" i="43"/>
  <c r="AV471" i="43"/>
  <c r="V472" i="43"/>
  <c r="BG472" i="43"/>
  <c r="M478" i="43"/>
  <c r="F36" i="47" s="1"/>
  <c r="J470" i="43"/>
  <c r="C28" i="47" s="1"/>
  <c r="J469" i="43"/>
  <c r="V477" i="43"/>
  <c r="BF469" i="43"/>
  <c r="AL476" i="43"/>
  <c r="M477" i="43"/>
  <c r="M470" i="43"/>
  <c r="W469" i="43"/>
  <c r="W470" i="43"/>
  <c r="P28" i="47" s="1"/>
  <c r="BR476" i="43"/>
  <c r="AV476" i="43"/>
  <c r="AM477" i="43"/>
  <c r="BF471" i="43"/>
  <c r="W472" i="43"/>
  <c r="BF475" i="43"/>
  <c r="S472" i="43"/>
  <c r="S471" i="43"/>
  <c r="L29" i="47" s="1"/>
  <c r="S476" i="43"/>
  <c r="S475" i="43"/>
  <c r="J478" i="43"/>
  <c r="T468" i="43"/>
  <c r="BA468" i="43"/>
  <c r="Y468" i="43"/>
  <c r="U468" i="43"/>
  <c r="BE468" i="43"/>
  <c r="AC468" i="43"/>
  <c r="S469" i="43"/>
  <c r="M469" i="43"/>
  <c r="BD468" i="43"/>
  <c r="AZ468" i="43"/>
  <c r="AT468" i="43"/>
  <c r="AB468" i="43"/>
  <c r="X468" i="43"/>
  <c r="BC468" i="43"/>
  <c r="AY468" i="43"/>
  <c r="Z468" i="43"/>
  <c r="J134" i="44"/>
  <c r="M134" i="44"/>
  <c r="M136" i="44"/>
  <c r="M135" i="44"/>
  <c r="J141" i="44"/>
  <c r="J133" i="44"/>
  <c r="S141" i="44"/>
  <c r="BR136" i="44"/>
  <c r="S134" i="44"/>
  <c r="AL141" i="44"/>
  <c r="AL142" i="44"/>
  <c r="AD135" i="44"/>
  <c r="BU135" i="44"/>
  <c r="BF136" i="44"/>
  <c r="BU136" i="44"/>
  <c r="M140" i="44"/>
  <c r="M141" i="44"/>
  <c r="AV139" i="44"/>
  <c r="BF139" i="44"/>
  <c r="AL136" i="44"/>
  <c r="S140" i="44"/>
  <c r="BR140" i="44"/>
  <c r="J140" i="44"/>
  <c r="AL135" i="44"/>
  <c r="AM135" i="44"/>
  <c r="BR135" i="44"/>
  <c r="AV135" i="44"/>
  <c r="W140" i="44"/>
  <c r="BF133" i="44"/>
  <c r="AV134" i="44"/>
  <c r="AV142" i="44"/>
  <c r="J139" i="44"/>
  <c r="J135" i="44"/>
  <c r="AV141" i="44"/>
  <c r="AL140" i="44"/>
  <c r="V140" i="44"/>
  <c r="BF135" i="44"/>
  <c r="AL134" i="44"/>
  <c r="V134" i="44"/>
  <c r="K129" i="44"/>
  <c r="D14" i="47" s="1"/>
  <c r="AM142" i="44"/>
  <c r="W142" i="44"/>
  <c r="BG140" i="44"/>
  <c r="BU139" i="44"/>
  <c r="AM139" i="44"/>
  <c r="W139" i="44"/>
  <c r="AM136" i="44"/>
  <c r="W136" i="44"/>
  <c r="S135" i="44"/>
  <c r="BG134" i="44"/>
  <c r="AM133" i="44"/>
  <c r="W133" i="44"/>
  <c r="V142" i="44"/>
  <c r="BF140" i="44"/>
  <c r="AV140" i="44"/>
  <c r="AL139" i="44"/>
  <c r="V139" i="44"/>
  <c r="V136" i="44"/>
  <c r="BF134" i="44"/>
  <c r="AL133" i="44"/>
  <c r="V133" i="44"/>
  <c r="BG142" i="44"/>
  <c r="AM141" i="44"/>
  <c r="W141" i="44"/>
  <c r="BG139" i="44"/>
  <c r="BG136" i="44"/>
  <c r="W135" i="44"/>
  <c r="BG133" i="44"/>
  <c r="V141" i="44"/>
  <c r="AD139" i="44"/>
  <c r="AV136" i="44"/>
  <c r="V135" i="44"/>
  <c r="AV133" i="44"/>
  <c r="BG141" i="44"/>
  <c r="AM140" i="44"/>
  <c r="S139" i="44"/>
  <c r="M139" i="44"/>
  <c r="S136" i="44"/>
  <c r="BG135" i="44"/>
  <c r="AM134" i="44"/>
  <c r="W134" i="44"/>
  <c r="S133" i="44"/>
  <c r="M133" i="44"/>
  <c r="AH468" i="43"/>
  <c r="W467" i="43" s="1"/>
  <c r="AG468" i="43"/>
  <c r="V467" i="43" s="1"/>
  <c r="O468" i="43"/>
  <c r="N468" i="43"/>
  <c r="L468" i="43"/>
  <c r="K468" i="43"/>
  <c r="AV475" i="43"/>
  <c r="AO33" i="47" s="1"/>
  <c r="AL475" i="43"/>
  <c r="AE33" i="47" s="1"/>
  <c r="AI468" i="43"/>
  <c r="AK468" i="43"/>
  <c r="AM475" i="43"/>
  <c r="AJ468" i="43"/>
  <c r="R468" i="43"/>
  <c r="BD132" i="44"/>
  <c r="AZ132" i="44"/>
  <c r="AT132" i="44"/>
  <c r="AH132" i="44"/>
  <c r="W131" i="44" s="1"/>
  <c r="AB132" i="44"/>
  <c r="X132" i="44"/>
  <c r="R132" i="44"/>
  <c r="L132" i="44"/>
  <c r="BC132" i="44"/>
  <c r="AY132" i="44"/>
  <c r="AG132" i="44"/>
  <c r="V131" i="44" s="1"/>
  <c r="AA132" i="44"/>
  <c r="K132" i="44"/>
  <c r="BB132" i="44"/>
  <c r="AX132" i="44"/>
  <c r="Z132" i="44"/>
  <c r="AJ132" i="44"/>
  <c r="T132" i="44"/>
  <c r="N132" i="44"/>
  <c r="BA132" i="44"/>
  <c r="AK132" i="44"/>
  <c r="Y132" i="44"/>
  <c r="U132" i="44"/>
  <c r="O132" i="44"/>
  <c r="BE132" i="44"/>
  <c r="AU132" i="44"/>
  <c r="AI132" i="44"/>
  <c r="AC132" i="44"/>
  <c r="BG475" i="43"/>
  <c r="AZ33" i="47" s="1"/>
  <c r="AX468" i="43"/>
  <c r="AG129" i="44"/>
  <c r="Z14" i="47" s="1"/>
  <c r="Y129" i="44"/>
  <c r="R14" i="47" s="1"/>
  <c r="AH129" i="44"/>
  <c r="AA14" i="47" s="1"/>
  <c r="AX129" i="44"/>
  <c r="AQ14" i="47" s="1"/>
  <c r="BB129" i="44"/>
  <c r="AU14" i="47" s="1"/>
  <c r="Z129" i="44"/>
  <c r="S14" i="47" s="1"/>
  <c r="AI129" i="44"/>
  <c r="AB14" i="47" s="1"/>
  <c r="AY129" i="44"/>
  <c r="AR14" i="47" s="1"/>
  <c r="BC129" i="44"/>
  <c r="AV14" i="47" s="1"/>
  <c r="BA129" i="44"/>
  <c r="AT14" i="47" s="1"/>
  <c r="AA129" i="44"/>
  <c r="T14" i="47" s="1"/>
  <c r="AJ129" i="44"/>
  <c r="AC14" i="47" s="1"/>
  <c r="AZ129" i="44"/>
  <c r="AS14" i="47" s="1"/>
  <c r="BD129" i="44"/>
  <c r="AW14" i="47" s="1"/>
  <c r="X129" i="44"/>
  <c r="Q14" i="47" s="1"/>
  <c r="AB129" i="44"/>
  <c r="U14" i="47" s="1"/>
  <c r="AK129" i="44"/>
  <c r="AD14" i="47" s="1"/>
  <c r="BE129" i="44"/>
  <c r="AX14" i="47" s="1"/>
  <c r="AU129" i="44"/>
  <c r="AN14" i="47" s="1"/>
  <c r="AC129" i="44"/>
  <c r="V14" i="47" s="1"/>
  <c r="AT129" i="44"/>
  <c r="AM14" i="47" s="1"/>
  <c r="AB465" i="43"/>
  <c r="U13" i="47" s="1"/>
  <c r="AK465" i="43"/>
  <c r="AD13" i="47" s="1"/>
  <c r="BE465" i="43"/>
  <c r="AX13" i="47" s="1"/>
  <c r="AC465" i="43"/>
  <c r="V13" i="47" s="1"/>
  <c r="AT465" i="43"/>
  <c r="AM13" i="47" s="1"/>
  <c r="AG465" i="43"/>
  <c r="Z13" i="47" s="1"/>
  <c r="BA465" i="43"/>
  <c r="AT13" i="47" s="1"/>
  <c r="AH465" i="43"/>
  <c r="AA13" i="47" s="1"/>
  <c r="AX465" i="43"/>
  <c r="AQ13" i="47" s="1"/>
  <c r="Z465" i="43"/>
  <c r="S13" i="47" s="1"/>
  <c r="AI465" i="43"/>
  <c r="AB13" i="47" s="1"/>
  <c r="AY465" i="43"/>
  <c r="AR13" i="47" s="1"/>
  <c r="BC465" i="43"/>
  <c r="AV13" i="47" s="1"/>
  <c r="AJ465" i="43"/>
  <c r="AC13" i="47" s="1"/>
  <c r="AZ465" i="43"/>
  <c r="AS13" i="47" s="1"/>
  <c r="BD465" i="43"/>
  <c r="AW13" i="47" s="1"/>
  <c r="L129" i="44"/>
  <c r="E14" i="47" s="1"/>
  <c r="N129" i="44"/>
  <c r="G14" i="47" s="1"/>
  <c r="O129" i="44"/>
  <c r="H14" i="47" s="1"/>
  <c r="BU12" i="43"/>
  <c r="BU13" i="43" s="1"/>
  <c r="BT12" i="43"/>
  <c r="BT13" i="43" s="1"/>
  <c r="BO136" i="44"/>
  <c r="AV12" i="43"/>
  <c r="AV13" i="43" s="1"/>
  <c r="AM12" i="43"/>
  <c r="AM13" i="43" s="1"/>
  <c r="F33" i="47" l="1"/>
  <c r="L30" i="47"/>
  <c r="P27" i="47"/>
  <c r="O27" i="47"/>
  <c r="O33" i="47"/>
  <c r="AO28" i="47"/>
  <c r="AF28" i="47"/>
  <c r="F34" i="47"/>
  <c r="AE35" i="47"/>
  <c r="AY33" i="47"/>
  <c r="F28" i="47"/>
  <c r="AZ30" i="47"/>
  <c r="AY30" i="47"/>
  <c r="C35" i="47"/>
  <c r="P33" i="47"/>
  <c r="AF27" i="47"/>
  <c r="F29" i="47"/>
  <c r="AY36" i="47"/>
  <c r="P30" i="47"/>
  <c r="F35" i="47"/>
  <c r="O30" i="47"/>
  <c r="AF29" i="47"/>
  <c r="L28" i="47"/>
  <c r="AO27" i="47"/>
  <c r="AY34" i="47"/>
  <c r="F30" i="47"/>
  <c r="C33" i="47"/>
  <c r="AY29" i="47"/>
  <c r="AE34" i="47"/>
  <c r="AO29" i="47"/>
  <c r="L35" i="47"/>
  <c r="AZ36" i="47"/>
  <c r="C34" i="47"/>
  <c r="AE28" i="47"/>
  <c r="F27" i="47"/>
  <c r="C36" i="47"/>
  <c r="AF35" i="47"/>
  <c r="AY27" i="47"/>
  <c r="AF34" i="47"/>
  <c r="O29" i="47"/>
  <c r="AO30" i="47"/>
  <c r="C29" i="47"/>
  <c r="AE27" i="47"/>
  <c r="L27" i="47"/>
  <c r="L33" i="47"/>
  <c r="AO34" i="47"/>
  <c r="O35" i="47"/>
  <c r="AZ28" i="47"/>
  <c r="AO35" i="47"/>
  <c r="AE29" i="47"/>
  <c r="AF30" i="47"/>
  <c r="AE30" i="47"/>
  <c r="AF33" i="47"/>
  <c r="L34" i="47"/>
  <c r="BK34" i="47"/>
  <c r="C27" i="47"/>
  <c r="O28" i="47"/>
  <c r="P35" i="47"/>
  <c r="AZ35" i="47"/>
  <c r="AY35" i="47"/>
  <c r="P29" i="47"/>
  <c r="AZ29" i="47"/>
  <c r="S131" i="44"/>
  <c r="S23" i="47"/>
  <c r="BF467" i="43"/>
  <c r="BG467" i="43"/>
  <c r="S467" i="43"/>
  <c r="K23" i="47"/>
  <c r="BF130" i="44"/>
  <c r="S130" i="44"/>
  <c r="AV130" i="44"/>
  <c r="W130" i="44"/>
  <c r="BF131" i="44"/>
  <c r="AV131" i="44"/>
  <c r="J130" i="44"/>
  <c r="V130" i="44"/>
  <c r="G23" i="47"/>
  <c r="M130" i="44"/>
  <c r="BG130" i="44"/>
  <c r="V466" i="43"/>
  <c r="J467" i="43"/>
  <c r="AV467" i="43"/>
  <c r="BF466" i="43"/>
  <c r="AV466" i="43"/>
  <c r="W466" i="43"/>
  <c r="M467" i="43"/>
  <c r="S466" i="43"/>
  <c r="BG466" i="43"/>
  <c r="J466" i="43"/>
  <c r="BG131" i="44"/>
  <c r="M131" i="44"/>
  <c r="J131" i="44"/>
  <c r="Q23" i="47"/>
  <c r="AV23" i="47"/>
  <c r="T23" i="47"/>
  <c r="AU23" i="47"/>
  <c r="U26" i="47"/>
  <c r="T26" i="47"/>
  <c r="AT26" i="47"/>
  <c r="AB26" i="47"/>
  <c r="AN26" i="47"/>
  <c r="R26" i="47"/>
  <c r="AV26" i="47"/>
  <c r="Z26" i="47"/>
  <c r="O25" i="47" s="1"/>
  <c r="AA26" i="47"/>
  <c r="P25" i="47" s="1"/>
  <c r="AW26" i="47"/>
  <c r="S26" i="47"/>
  <c r="AR26" i="47"/>
  <c r="AD26" i="47"/>
  <c r="V26" i="47"/>
  <c r="AX26" i="47"/>
  <c r="AC26" i="47"/>
  <c r="Q26" i="47"/>
  <c r="AQ26" i="47"/>
  <c r="AS26" i="47"/>
  <c r="AM26" i="47"/>
  <c r="AU26" i="47"/>
  <c r="AT23" i="47"/>
  <c r="AW23" i="47"/>
  <c r="AD23" i="47"/>
  <c r="R23" i="47"/>
  <c r="AN23" i="47"/>
  <c r="AX23" i="47"/>
  <c r="V23" i="47"/>
  <c r="U23" i="47"/>
  <c r="AC23" i="47"/>
  <c r="AB23" i="47"/>
  <c r="AE139" i="44"/>
  <c r="AD136" i="44"/>
  <c r="AE136" i="44"/>
  <c r="BK140" i="44"/>
  <c r="BU140" i="44"/>
  <c r="AD140" i="44"/>
  <c r="AM478" i="43"/>
  <c r="AF36" i="47" s="1"/>
  <c r="AV478" i="43"/>
  <c r="AO36" i="47" s="1"/>
  <c r="BO139" i="44"/>
  <c r="BL135" i="44"/>
  <c r="AE142" i="44"/>
  <c r="AE140" i="44"/>
  <c r="AE476" i="43"/>
  <c r="BL476" i="43"/>
  <c r="BK476" i="43"/>
  <c r="Q465" i="43"/>
  <c r="J13" i="47" s="1"/>
  <c r="Q478" i="43"/>
  <c r="J36" i="47" s="1"/>
  <c r="P478" i="43"/>
  <c r="I36" i="47" s="1"/>
  <c r="P465" i="43"/>
  <c r="I13" i="47" s="1"/>
  <c r="J465" i="43"/>
  <c r="C13" i="47" s="1"/>
  <c r="S465" i="43"/>
  <c r="L13" i="47" s="1"/>
  <c r="BT142" i="44"/>
  <c r="Q139" i="44"/>
  <c r="P139" i="44"/>
  <c r="S129" i="44"/>
  <c r="L14" i="47" s="1"/>
  <c r="AF135" i="44"/>
  <c r="BF468" i="43"/>
  <c r="S468" i="43"/>
  <c r="BU475" i="43"/>
  <c r="BN33" i="47" s="1"/>
  <c r="BO475" i="43"/>
  <c r="BH33" i="47" s="1"/>
  <c r="BG468" i="43"/>
  <c r="M468" i="43"/>
  <c r="BT475" i="43"/>
  <c r="BT476" i="43"/>
  <c r="BN475" i="43"/>
  <c r="BN472" i="43"/>
  <c r="BN476" i="43"/>
  <c r="AN471" i="43"/>
  <c r="BO469" i="43"/>
  <c r="BO477" i="43"/>
  <c r="BH35" i="47" s="1"/>
  <c r="AD470" i="43"/>
  <c r="BT472" i="43"/>
  <c r="BT470" i="43"/>
  <c r="AE475" i="43"/>
  <c r="X33" i="47" s="1"/>
  <c r="BO472" i="43"/>
  <c r="BH30" i="47" s="1"/>
  <c r="AL478" i="43"/>
  <c r="AE36" i="47" s="1"/>
  <c r="AN469" i="43"/>
  <c r="BN471" i="43"/>
  <c r="BT471" i="43"/>
  <c r="BM29" i="47" s="1"/>
  <c r="BH470" i="43"/>
  <c r="AE471" i="43"/>
  <c r="AD469" i="43"/>
  <c r="BT469" i="43"/>
  <c r="BR477" i="43"/>
  <c r="BO470" i="43"/>
  <c r="BN470" i="43"/>
  <c r="BG28" i="47" s="1"/>
  <c r="BM476" i="43"/>
  <c r="AN476" i="43"/>
  <c r="BN469" i="43"/>
  <c r="BO471" i="43"/>
  <c r="BU478" i="43"/>
  <c r="AN475" i="43"/>
  <c r="AE472" i="43"/>
  <c r="X30" i="47" s="1"/>
  <c r="BO476" i="43"/>
  <c r="BH34" i="47" s="1"/>
  <c r="BR469" i="43"/>
  <c r="BH469" i="43"/>
  <c r="AN477" i="43"/>
  <c r="AN472" i="43"/>
  <c r="BS476" i="43"/>
  <c r="BH476" i="43"/>
  <c r="AE469" i="43"/>
  <c r="J468" i="43"/>
  <c r="BR475" i="43"/>
  <c r="BU477" i="43"/>
  <c r="BR470" i="43"/>
  <c r="BT477" i="43"/>
  <c r="BH472" i="43"/>
  <c r="AN470" i="43"/>
  <c r="BN477" i="43"/>
  <c r="BT478" i="43"/>
  <c r="BM36" i="47" s="1"/>
  <c r="BR471" i="43"/>
  <c r="BK29" i="47" s="1"/>
  <c r="BU476" i="43"/>
  <c r="BN34" i="47" s="1"/>
  <c r="BH471" i="43"/>
  <c r="AE470" i="43"/>
  <c r="AD472" i="43"/>
  <c r="W30" i="47" s="1"/>
  <c r="BU470" i="43"/>
  <c r="AE477" i="43"/>
  <c r="BR472" i="43"/>
  <c r="BK30" i="47" s="1"/>
  <c r="AD477" i="43"/>
  <c r="BH478" i="43"/>
  <c r="BU472" i="43"/>
  <c r="BN30" i="47" s="1"/>
  <c r="BH477" i="43"/>
  <c r="BU471" i="43"/>
  <c r="BN29" i="47" s="1"/>
  <c r="BU469" i="43"/>
  <c r="AD471" i="43"/>
  <c r="W29" i="47" s="1"/>
  <c r="AD476" i="43"/>
  <c r="W34" i="47" s="1"/>
  <c r="AD475" i="43"/>
  <c r="W33" i="47" s="1"/>
  <c r="AD134" i="44"/>
  <c r="AV132" i="44"/>
  <c r="M132" i="44"/>
  <c r="BK135" i="44"/>
  <c r="M129" i="44"/>
  <c r="F14" i="47" s="1"/>
  <c r="V132" i="44"/>
  <c r="W132" i="44"/>
  <c r="BN142" i="44"/>
  <c r="BN140" i="44"/>
  <c r="J129" i="44"/>
  <c r="C14" i="47" s="1"/>
  <c r="BN134" i="44"/>
  <c r="BN139" i="44"/>
  <c r="BN133" i="44"/>
  <c r="BO133" i="44"/>
  <c r="BT140" i="44"/>
  <c r="AM132" i="44"/>
  <c r="J132" i="44"/>
  <c r="BF132" i="44"/>
  <c r="S132" i="44"/>
  <c r="BG132" i="44"/>
  <c r="AL132" i="44"/>
  <c r="BS139" i="44"/>
  <c r="AP139" i="44"/>
  <c r="BH142" i="44"/>
  <c r="BH140" i="44"/>
  <c r="BS135" i="44"/>
  <c r="BH135" i="44"/>
  <c r="BM136" i="44"/>
  <c r="AN136" i="44"/>
  <c r="BN136" i="44"/>
  <c r="BH134" i="44"/>
  <c r="AN139" i="44"/>
  <c r="AO135" i="44"/>
  <c r="BH141" i="44"/>
  <c r="BU141" i="44"/>
  <c r="BU142" i="44"/>
  <c r="BR134" i="44"/>
  <c r="BO142" i="44"/>
  <c r="BH133" i="44"/>
  <c r="BS136" i="44"/>
  <c r="BH136" i="44"/>
  <c r="AO139" i="44"/>
  <c r="AN142" i="44"/>
  <c r="BT141" i="44"/>
  <c r="BM135" i="44"/>
  <c r="AN135" i="44"/>
  <c r="AD141" i="44"/>
  <c r="AE133" i="44"/>
  <c r="AE135" i="44"/>
  <c r="BR141" i="44"/>
  <c r="BT136" i="44"/>
  <c r="AN134" i="44"/>
  <c r="BK139" i="44"/>
  <c r="BN141" i="44"/>
  <c r="AN133" i="44"/>
  <c r="AP136" i="44"/>
  <c r="BR139" i="44"/>
  <c r="BO135" i="44"/>
  <c r="BT134" i="44"/>
  <c r="BT133" i="44"/>
  <c r="AE141" i="44"/>
  <c r="BO134" i="44"/>
  <c r="AD142" i="44"/>
  <c r="AF139" i="44"/>
  <c r="AN141" i="44"/>
  <c r="AP142" i="44"/>
  <c r="AE134" i="44"/>
  <c r="BU133" i="44"/>
  <c r="BU134" i="44"/>
  <c r="BR133" i="44"/>
  <c r="BN135" i="44"/>
  <c r="BH139" i="44"/>
  <c r="AN140" i="44"/>
  <c r="BT139" i="44"/>
  <c r="AD133" i="44"/>
  <c r="BR142" i="44"/>
  <c r="BO140" i="44"/>
  <c r="BO141" i="44"/>
  <c r="P475" i="43"/>
  <c r="I33" i="47" s="1"/>
  <c r="N26" i="47"/>
  <c r="H26" i="47"/>
  <c r="D26" i="47"/>
  <c r="E26" i="47"/>
  <c r="M26" i="47"/>
  <c r="G26" i="47"/>
  <c r="K26" i="47"/>
  <c r="Q475" i="43"/>
  <c r="J33" i="47" s="1"/>
  <c r="BH475" i="43"/>
  <c r="BA33" i="47" s="1"/>
  <c r="BG129" i="44"/>
  <c r="AZ14" i="47" s="1"/>
  <c r="W129" i="44"/>
  <c r="P14" i="47" s="1"/>
  <c r="BF129" i="44"/>
  <c r="AY14" i="47" s="1"/>
  <c r="AL129" i="44"/>
  <c r="AE14" i="47" s="1"/>
  <c r="V129" i="44"/>
  <c r="O14" i="47" s="1"/>
  <c r="BG465" i="43"/>
  <c r="AZ13" i="47" s="1"/>
  <c r="BF465" i="43"/>
  <c r="AY13" i="47" s="1"/>
  <c r="AM129" i="44"/>
  <c r="AF14" i="47" s="1"/>
  <c r="AV129" i="44"/>
  <c r="AO14" i="47" s="1"/>
  <c r="BO12" i="43"/>
  <c r="BO13" i="43" s="1"/>
  <c r="BR12" i="43"/>
  <c r="BR13" i="43" s="1"/>
  <c r="AN12" i="43"/>
  <c r="AN13" i="43" s="1"/>
  <c r="BN12" i="43"/>
  <c r="BN13" i="43" s="1"/>
  <c r="V12" i="43"/>
  <c r="V13" i="43" s="1"/>
  <c r="X35" i="47" l="1"/>
  <c r="BG35" i="47"/>
  <c r="X27" i="47"/>
  <c r="BH28" i="47"/>
  <c r="AG27" i="47"/>
  <c r="BH27" i="47"/>
  <c r="BD34" i="47"/>
  <c r="BN27" i="47"/>
  <c r="BN28" i="47"/>
  <c r="AG28" i="47"/>
  <c r="BA34" i="47"/>
  <c r="AG33" i="47"/>
  <c r="BK35" i="47"/>
  <c r="AG29" i="47"/>
  <c r="BG29" i="47"/>
  <c r="BA30" i="47"/>
  <c r="BN36" i="47"/>
  <c r="BM27" i="47"/>
  <c r="BG34" i="47"/>
  <c r="X34" i="47"/>
  <c r="BA35" i="47"/>
  <c r="X28" i="47"/>
  <c r="BM35" i="47"/>
  <c r="AG30" i="47"/>
  <c r="BH29" i="47"/>
  <c r="W27" i="47"/>
  <c r="BG30" i="47"/>
  <c r="BA29" i="47"/>
  <c r="BK28" i="47"/>
  <c r="AG35" i="47"/>
  <c r="BG27" i="47"/>
  <c r="X29" i="47"/>
  <c r="BM28" i="47"/>
  <c r="BG33" i="47"/>
  <c r="BA36" i="47"/>
  <c r="BN35" i="47"/>
  <c r="BA27" i="47"/>
  <c r="AG34" i="47"/>
  <c r="BA28" i="47"/>
  <c r="BM30" i="47"/>
  <c r="BM34" i="47"/>
  <c r="W35" i="47"/>
  <c r="BK33" i="47"/>
  <c r="BK27" i="47"/>
  <c r="W28" i="47"/>
  <c r="BM33" i="47"/>
  <c r="Q132" i="44"/>
  <c r="J26" i="47"/>
  <c r="P132" i="44"/>
  <c r="I26" i="47"/>
  <c r="AN131" i="44"/>
  <c r="N23" i="47"/>
  <c r="AR23" i="47"/>
  <c r="AZ24" i="47" s="1"/>
  <c r="AZ25" i="47"/>
  <c r="AA23" i="47"/>
  <c r="P24" i="47" s="1"/>
  <c r="C25" i="47"/>
  <c r="AG130" i="44"/>
  <c r="BO130" i="44"/>
  <c r="AN130" i="44"/>
  <c r="BU130" i="44"/>
  <c r="BH130" i="44"/>
  <c r="AY25" i="47"/>
  <c r="BN130" i="44"/>
  <c r="BT130" i="44"/>
  <c r="BR130" i="44"/>
  <c r="AH130" i="44"/>
  <c r="F25" i="47"/>
  <c r="L25" i="47"/>
  <c r="BH466" i="43"/>
  <c r="BH467" i="43"/>
  <c r="AO25" i="47"/>
  <c r="I466" i="43"/>
  <c r="BU466" i="43"/>
  <c r="BT466" i="43"/>
  <c r="BH131" i="44"/>
  <c r="AD12" i="43"/>
  <c r="AD13" i="43" s="1"/>
  <c r="AZ23" i="47"/>
  <c r="AZ26" i="47"/>
  <c r="AY26" i="47"/>
  <c r="AE26" i="47"/>
  <c r="AO26" i="47"/>
  <c r="AF26" i="47"/>
  <c r="BL140" i="44"/>
  <c r="BE34" i="47" s="1"/>
  <c r="BK136" i="44"/>
  <c r="BL139" i="44"/>
  <c r="V478" i="43"/>
  <c r="O36" i="47" s="1"/>
  <c r="AF136" i="44"/>
  <c r="BL136" i="44"/>
  <c r="AO136" i="44"/>
  <c r="AO140" i="44"/>
  <c r="AQ140" i="44"/>
  <c r="BM140" i="44"/>
  <c r="BF34" i="47" s="1"/>
  <c r="AV468" i="43"/>
  <c r="BS140" i="44"/>
  <c r="BL34" i="47" s="1"/>
  <c r="BU129" i="44"/>
  <c r="BN14" i="47" s="1"/>
  <c r="AM468" i="43"/>
  <c r="AO476" i="43"/>
  <c r="BK472" i="43"/>
  <c r="BD30" i="47" s="1"/>
  <c r="BM472" i="43"/>
  <c r="BF30" i="47" s="1"/>
  <c r="AO475" i="43"/>
  <c r="AH33" i="47" s="1"/>
  <c r="BK141" i="44"/>
  <c r="AP135" i="44"/>
  <c r="AN478" i="43"/>
  <c r="AG36" i="47" s="1"/>
  <c r="BK471" i="43"/>
  <c r="BD29" i="47" s="1"/>
  <c r="AO477" i="43"/>
  <c r="AO471" i="43"/>
  <c r="AH29" i="47" s="1"/>
  <c r="AO472" i="43"/>
  <c r="AH30" i="47" s="1"/>
  <c r="BK477" i="43"/>
  <c r="BL141" i="44"/>
  <c r="AF142" i="44"/>
  <c r="BL472" i="43"/>
  <c r="BE30" i="47" s="1"/>
  <c r="AV465" i="43"/>
  <c r="AO13" i="47" s="1"/>
  <c r="AL465" i="43"/>
  <c r="AE13" i="47" s="1"/>
  <c r="AF476" i="43"/>
  <c r="BJ476" i="43"/>
  <c r="AM465" i="43"/>
  <c r="AF13" i="47" s="1"/>
  <c r="AF471" i="43"/>
  <c r="Y29" i="47" s="1"/>
  <c r="AP475" i="43"/>
  <c r="AI33" i="47" s="1"/>
  <c r="AP471" i="43"/>
  <c r="BK475" i="43"/>
  <c r="BD33" i="47" s="1"/>
  <c r="I465" i="43"/>
  <c r="B13" i="47" s="1"/>
  <c r="AP472" i="43"/>
  <c r="AI30" i="47" s="1"/>
  <c r="AP476" i="43"/>
  <c r="AF472" i="43"/>
  <c r="Y30" i="47" s="1"/>
  <c r="BL471" i="43"/>
  <c r="BE29" i="47" s="1"/>
  <c r="BL475" i="43"/>
  <c r="M23" i="47"/>
  <c r="L23" i="47"/>
  <c r="AF140" i="44"/>
  <c r="BS141" i="44"/>
  <c r="AO141" i="44"/>
  <c r="I129" i="44"/>
  <c r="B14" i="47" s="1"/>
  <c r="Q129" i="44"/>
  <c r="J14" i="47" s="1"/>
  <c r="P129" i="44"/>
  <c r="I14" i="47" s="1"/>
  <c r="AP140" i="44"/>
  <c r="F26" i="47"/>
  <c r="C26" i="47"/>
  <c r="BK142" i="44"/>
  <c r="AP141" i="44"/>
  <c r="AO142" i="44"/>
  <c r="AL468" i="43"/>
  <c r="L26" i="47"/>
  <c r="F23" i="47"/>
  <c r="AF470" i="43"/>
  <c r="BU468" i="43"/>
  <c r="AF475" i="43"/>
  <c r="Y33" i="47" s="1"/>
  <c r="BT468" i="43"/>
  <c r="AF477" i="43"/>
  <c r="Y35" i="47" s="1"/>
  <c r="BK470" i="43"/>
  <c r="BD28" i="47" s="1"/>
  <c r="W478" i="43"/>
  <c r="P36" i="47" s="1"/>
  <c r="BN465" i="43"/>
  <c r="BG13" i="47" s="1"/>
  <c r="BN478" i="43"/>
  <c r="BG36" i="47" s="1"/>
  <c r="BS475" i="43"/>
  <c r="BL33" i="47" s="1"/>
  <c r="AF469" i="43"/>
  <c r="BM475" i="43"/>
  <c r="AO470" i="43"/>
  <c r="AP477" i="43"/>
  <c r="AI35" i="47" s="1"/>
  <c r="BS470" i="43"/>
  <c r="AQ476" i="43"/>
  <c r="AJ34" i="47" s="1"/>
  <c r="AP470" i="43"/>
  <c r="BO465" i="43"/>
  <c r="BH13" i="47" s="1"/>
  <c r="BO478" i="43"/>
  <c r="BH36" i="47" s="1"/>
  <c r="BS471" i="43"/>
  <c r="BL29" i="47" s="1"/>
  <c r="BM469" i="43"/>
  <c r="BR465" i="43"/>
  <c r="BK13" i="47" s="1"/>
  <c r="BR478" i="43"/>
  <c r="BK36" i="47" s="1"/>
  <c r="BM470" i="43"/>
  <c r="BK469" i="43"/>
  <c r="BS472" i="43"/>
  <c r="BL30" i="47" s="1"/>
  <c r="BL477" i="43"/>
  <c r="BS469" i="43"/>
  <c r="AP469" i="43"/>
  <c r="BM471" i="43"/>
  <c r="BF29" i="47" s="1"/>
  <c r="BL469" i="43"/>
  <c r="BS477" i="43"/>
  <c r="BM477" i="43"/>
  <c r="AO469" i="43"/>
  <c r="BL470" i="43"/>
  <c r="AO134" i="44"/>
  <c r="BR129" i="44"/>
  <c r="BK14" i="47" s="1"/>
  <c r="E23" i="47"/>
  <c r="H23" i="47"/>
  <c r="AF134" i="44"/>
  <c r="AF141" i="44"/>
  <c r="AO133" i="44"/>
  <c r="BM141" i="44"/>
  <c r="AS135" i="44"/>
  <c r="BL134" i="44"/>
  <c r="D23" i="47"/>
  <c r="BJ135" i="44"/>
  <c r="BM139" i="44"/>
  <c r="BT132" i="44"/>
  <c r="AF133" i="44"/>
  <c r="BK133" i="44"/>
  <c r="BH132" i="44"/>
  <c r="BS134" i="44"/>
  <c r="BL133" i="44"/>
  <c r="AE132" i="44"/>
  <c r="AQ136" i="44"/>
  <c r="AQ139" i="44"/>
  <c r="BJ139" i="44"/>
  <c r="BR132" i="44"/>
  <c r="BK134" i="44"/>
  <c r="AS139" i="44"/>
  <c r="BM133" i="44"/>
  <c r="AP133" i="44"/>
  <c r="BM134" i="44"/>
  <c r="BM142" i="44"/>
  <c r="BO132" i="44"/>
  <c r="AR135" i="44"/>
  <c r="AR139" i="44"/>
  <c r="AD132" i="44"/>
  <c r="BU132" i="44"/>
  <c r="AN132" i="44"/>
  <c r="AP134" i="44"/>
  <c r="BN132" i="44"/>
  <c r="BS133" i="44"/>
  <c r="BL142" i="44"/>
  <c r="BS142" i="44"/>
  <c r="BH468" i="43"/>
  <c r="P468" i="43"/>
  <c r="Q468" i="43"/>
  <c r="BO129" i="44"/>
  <c r="BH14" i="47" s="1"/>
  <c r="AE129" i="44"/>
  <c r="X14" i="47" s="1"/>
  <c r="BU465" i="43"/>
  <c r="BN13" i="47" s="1"/>
  <c r="BN129" i="44"/>
  <c r="BG14" i="47" s="1"/>
  <c r="BH129" i="44"/>
  <c r="BA14" i="47" s="1"/>
  <c r="AN129" i="44"/>
  <c r="AG14" i="47" s="1"/>
  <c r="BH465" i="43"/>
  <c r="BA13" i="47" s="1"/>
  <c r="BT465" i="43"/>
  <c r="BM13" i="47" s="1"/>
  <c r="AD129" i="44"/>
  <c r="W14" i="47" s="1"/>
  <c r="BT129" i="44"/>
  <c r="BM14" i="47" s="1"/>
  <c r="BM12" i="43"/>
  <c r="BM13" i="43" s="1"/>
  <c r="BS12" i="43"/>
  <c r="BS13" i="43" s="1"/>
  <c r="I133" i="44"/>
  <c r="I134" i="44"/>
  <c r="I135" i="44"/>
  <c r="I136" i="44"/>
  <c r="I137" i="44"/>
  <c r="I138" i="44"/>
  <c r="I139" i="44"/>
  <c r="I140" i="44"/>
  <c r="I141" i="44"/>
  <c r="I142" i="44"/>
  <c r="AI27" i="47" l="1"/>
  <c r="BF27" i="47"/>
  <c r="AH28" i="47"/>
  <c r="BD35" i="47"/>
  <c r="BL27" i="47"/>
  <c r="BF33" i="47"/>
  <c r="AI34" i="47"/>
  <c r="BC34" i="47"/>
  <c r="BE28" i="47"/>
  <c r="BE35" i="47"/>
  <c r="Y27" i="47"/>
  <c r="Y34" i="47"/>
  <c r="AH27" i="47"/>
  <c r="AH35" i="47"/>
  <c r="AH34" i="47"/>
  <c r="BF35" i="47"/>
  <c r="BD27" i="47"/>
  <c r="AI28" i="47"/>
  <c r="Y28" i="47"/>
  <c r="BL35" i="47"/>
  <c r="BF28" i="47"/>
  <c r="AI29" i="47"/>
  <c r="BE27" i="47"/>
  <c r="BL28" i="47"/>
  <c r="BE33" i="47"/>
  <c r="I131" i="44"/>
  <c r="BO23" i="47"/>
  <c r="BN23" i="47"/>
  <c r="P26" i="47"/>
  <c r="O26" i="47"/>
  <c r="BN24" i="47"/>
  <c r="AY23" i="47"/>
  <c r="BM24" i="47" s="1"/>
  <c r="AF131" i="44"/>
  <c r="BA25" i="47"/>
  <c r="AN467" i="43"/>
  <c r="BS467" i="43"/>
  <c r="I467" i="43"/>
  <c r="BL130" i="44"/>
  <c r="I130" i="44"/>
  <c r="B25" i="47"/>
  <c r="BS130" i="44"/>
  <c r="BM130" i="44"/>
  <c r="AF130" i="44"/>
  <c r="BK130" i="44"/>
  <c r="AE23" i="47"/>
  <c r="AN466" i="43"/>
  <c r="BN466" i="43"/>
  <c r="AO23" i="47"/>
  <c r="BK24" i="47" s="1"/>
  <c r="BR466" i="43"/>
  <c r="C24" i="47"/>
  <c r="AF23" i="47"/>
  <c r="BH24" i="47" s="1"/>
  <c r="BO466" i="43"/>
  <c r="AG25" i="47"/>
  <c r="BS466" i="43"/>
  <c r="BH23" i="47"/>
  <c r="BM466" i="43"/>
  <c r="L24" i="47"/>
  <c r="F24" i="47"/>
  <c r="BM131" i="44"/>
  <c r="BS131" i="44"/>
  <c r="BK26" i="47"/>
  <c r="BA23" i="47"/>
  <c r="V468" i="43"/>
  <c r="BG26" i="47"/>
  <c r="BA26" i="47"/>
  <c r="BN26" i="47"/>
  <c r="AG26" i="47"/>
  <c r="BM26" i="47"/>
  <c r="BH26" i="47"/>
  <c r="BK12" i="43"/>
  <c r="BK13" i="43" s="1"/>
  <c r="W465" i="43"/>
  <c r="P13" i="47" s="1"/>
  <c r="V465" i="43"/>
  <c r="O13" i="47" s="1"/>
  <c r="AS136" i="44"/>
  <c r="AR136" i="44"/>
  <c r="BJ136" i="44"/>
  <c r="BQ136" i="44"/>
  <c r="BK129" i="44"/>
  <c r="BD14" i="47" s="1"/>
  <c r="BO468" i="43"/>
  <c r="BN468" i="43"/>
  <c r="AN468" i="43"/>
  <c r="BL129" i="44"/>
  <c r="BE14" i="47" s="1"/>
  <c r="AQ142" i="44"/>
  <c r="BP136" i="44"/>
  <c r="AR472" i="43"/>
  <c r="BJ472" i="43"/>
  <c r="BC30" i="47" s="1"/>
  <c r="AQ477" i="43"/>
  <c r="BJ140" i="44"/>
  <c r="AQ135" i="44"/>
  <c r="C23" i="47"/>
  <c r="AR142" i="44"/>
  <c r="AS142" i="44"/>
  <c r="AR141" i="44"/>
  <c r="AR140" i="44"/>
  <c r="BJ471" i="43"/>
  <c r="BC29" i="47" s="1"/>
  <c r="BQ476" i="43"/>
  <c r="AN465" i="43"/>
  <c r="AG13" i="47" s="1"/>
  <c r="BR468" i="43"/>
  <c r="AS477" i="43"/>
  <c r="AL35" i="47" s="1"/>
  <c r="AR477" i="43"/>
  <c r="AK35" i="47" s="1"/>
  <c r="AQ475" i="43"/>
  <c r="AJ33" i="47" s="1"/>
  <c r="AR475" i="43"/>
  <c r="AK33" i="47" s="1"/>
  <c r="AS476" i="43"/>
  <c r="AQ472" i="43"/>
  <c r="AJ30" i="47" s="1"/>
  <c r="I23" i="47"/>
  <c r="AQ471" i="43"/>
  <c r="BJ475" i="43"/>
  <c r="BC33" i="47" s="1"/>
  <c r="AS475" i="43"/>
  <c r="AL33" i="47" s="1"/>
  <c r="AS472" i="43"/>
  <c r="AL30" i="47" s="1"/>
  <c r="AR476" i="43"/>
  <c r="AK34" i="47" s="1"/>
  <c r="AQ134" i="44"/>
  <c r="AS141" i="44"/>
  <c r="AS140" i="44"/>
  <c r="J23" i="47"/>
  <c r="BJ141" i="44"/>
  <c r="AQ141" i="44"/>
  <c r="AP129" i="44"/>
  <c r="AI14" i="47" s="1"/>
  <c r="AS134" i="44"/>
  <c r="AO129" i="44"/>
  <c r="AH14" i="47" s="1"/>
  <c r="AR134" i="44"/>
  <c r="BS129" i="44"/>
  <c r="BL14" i="47" s="1"/>
  <c r="AS470" i="43"/>
  <c r="AS469" i="43"/>
  <c r="AO12" i="43"/>
  <c r="AO13" i="43" s="1"/>
  <c r="BJ469" i="43"/>
  <c r="AR470" i="43"/>
  <c r="AR469" i="43"/>
  <c r="AD478" i="43"/>
  <c r="W36" i="47" s="1"/>
  <c r="AQ469" i="43"/>
  <c r="AJ27" i="47" s="1"/>
  <c r="BJ470" i="43"/>
  <c r="AE478" i="43"/>
  <c r="X36" i="47" s="1"/>
  <c r="W468" i="43"/>
  <c r="AQ470" i="43"/>
  <c r="AJ28" i="47" s="1"/>
  <c r="AS471" i="43"/>
  <c r="AL29" i="47" s="1"/>
  <c r="BS465" i="43"/>
  <c r="BL13" i="47" s="1"/>
  <c r="BS478" i="43"/>
  <c r="BL36" i="47" s="1"/>
  <c r="BM465" i="43"/>
  <c r="BF13" i="47" s="1"/>
  <c r="BM478" i="43"/>
  <c r="BF36" i="47" s="1"/>
  <c r="BJ477" i="43"/>
  <c r="AR471" i="43"/>
  <c r="AK29" i="47" s="1"/>
  <c r="BM129" i="44"/>
  <c r="BF14" i="47" s="1"/>
  <c r="BJ142" i="44"/>
  <c r="AO132" i="44"/>
  <c r="AS133" i="44"/>
  <c r="AR133" i="44"/>
  <c r="AW139" i="44"/>
  <c r="BS132" i="44"/>
  <c r="AP132" i="44"/>
  <c r="BK132" i="44"/>
  <c r="BQ135" i="44"/>
  <c r="AQ133" i="44"/>
  <c r="BJ133" i="44"/>
  <c r="AF132" i="44"/>
  <c r="BQ139" i="44"/>
  <c r="BP135" i="44"/>
  <c r="BM132" i="44"/>
  <c r="BL132" i="44"/>
  <c r="BP139" i="44"/>
  <c r="BJ134" i="44"/>
  <c r="AF129" i="44"/>
  <c r="Y14" i="47" s="1"/>
  <c r="BL12" i="43"/>
  <c r="BL13" i="43" s="1"/>
  <c r="AP12" i="43"/>
  <c r="AP13" i="43" s="1"/>
  <c r="AF12" i="43"/>
  <c r="AF13" i="43" s="1"/>
  <c r="I132" i="44"/>
  <c r="AK27" i="47" l="1"/>
  <c r="AL34" i="47"/>
  <c r="AJ35" i="47"/>
  <c r="AK28" i="47"/>
  <c r="BC27" i="47"/>
  <c r="AK30" i="47"/>
  <c r="BC35" i="47"/>
  <c r="AL27" i="47"/>
  <c r="BC28" i="47"/>
  <c r="AL28" i="47"/>
  <c r="AJ29" i="47"/>
  <c r="Z23" i="47"/>
  <c r="O24" i="47" s="1"/>
  <c r="AH466" i="43"/>
  <c r="P23" i="47"/>
  <c r="AA24" i="47" s="1"/>
  <c r="AG466" i="43"/>
  <c r="O23" i="47"/>
  <c r="Z24" i="47" s="1"/>
  <c r="X26" i="47"/>
  <c r="AG23" i="47"/>
  <c r="W26" i="47"/>
  <c r="BA24" i="47"/>
  <c r="BM23" i="47"/>
  <c r="BL24" i="47" s="1"/>
  <c r="AQ131" i="44"/>
  <c r="BM467" i="43"/>
  <c r="BL23" i="47"/>
  <c r="BL25" i="47"/>
  <c r="AQ130" i="44"/>
  <c r="BG23" i="47"/>
  <c r="BF24" i="47" s="1"/>
  <c r="BJ130" i="44"/>
  <c r="B24" i="47"/>
  <c r="BF25" i="47"/>
  <c r="AG24" i="47"/>
  <c r="BG24" i="47"/>
  <c r="BJ131" i="44"/>
  <c r="AR12" i="43"/>
  <c r="AR13" i="43" s="1"/>
  <c r="BF26" i="47"/>
  <c r="BL26" i="47"/>
  <c r="BF23" i="47"/>
  <c r="BK478" i="43"/>
  <c r="BD36" i="47" s="1"/>
  <c r="BI136" i="44"/>
  <c r="AW136" i="44"/>
  <c r="BJ129" i="44"/>
  <c r="BC14" i="47" s="1"/>
  <c r="BS468" i="43"/>
  <c r="BQ471" i="43"/>
  <c r="BJ29" i="47" s="1"/>
  <c r="BP472" i="43"/>
  <c r="BI30" i="47" s="1"/>
  <c r="BQ141" i="44"/>
  <c r="BP475" i="43"/>
  <c r="BI33" i="47" s="1"/>
  <c r="BP471" i="43"/>
  <c r="BI29" i="47" s="1"/>
  <c r="AF478" i="43"/>
  <c r="Y36" i="47" s="1"/>
  <c r="AP478" i="43"/>
  <c r="AI36" i="47" s="1"/>
  <c r="AP465" i="43"/>
  <c r="AI13" i="47" s="1"/>
  <c r="AO465" i="43"/>
  <c r="AH13" i="47" s="1"/>
  <c r="AW472" i="43"/>
  <c r="BP140" i="44"/>
  <c r="BQ140" i="44"/>
  <c r="BJ34" i="47" s="1"/>
  <c r="AW141" i="44"/>
  <c r="AW140" i="44"/>
  <c r="AW142" i="44"/>
  <c r="AW471" i="43"/>
  <c r="BI476" i="43"/>
  <c r="AW477" i="43"/>
  <c r="AD465" i="43"/>
  <c r="W13" i="47" s="1"/>
  <c r="BK465" i="43"/>
  <c r="BD13" i="47" s="1"/>
  <c r="AE465" i="43"/>
  <c r="X13" i="47" s="1"/>
  <c r="AW475" i="43"/>
  <c r="AP33" i="47" s="1"/>
  <c r="AW476" i="43"/>
  <c r="AP34" i="47" s="1"/>
  <c r="BQ475" i="43"/>
  <c r="BJ33" i="47" s="1"/>
  <c r="BQ472" i="43"/>
  <c r="BJ30" i="47" s="1"/>
  <c r="AW135" i="44"/>
  <c r="AW134" i="44"/>
  <c r="BP141" i="44"/>
  <c r="AQ129" i="44"/>
  <c r="AJ14" i="47" s="1"/>
  <c r="BP476" i="43"/>
  <c r="BI34" i="47" s="1"/>
  <c r="AW470" i="43"/>
  <c r="AP28" i="47" s="1"/>
  <c r="AO478" i="43"/>
  <c r="AH36" i="47" s="1"/>
  <c r="AW469" i="43"/>
  <c r="BP469" i="43"/>
  <c r="BP477" i="43"/>
  <c r="AD468" i="43"/>
  <c r="BQ469" i="43"/>
  <c r="BJ27" i="47" s="1"/>
  <c r="BM468" i="43"/>
  <c r="BQ477" i="43"/>
  <c r="BJ35" i="47" s="1"/>
  <c r="AE468" i="43"/>
  <c r="BL465" i="43"/>
  <c r="BE13" i="47" s="1"/>
  <c r="BL478" i="43"/>
  <c r="BE36" i="47" s="1"/>
  <c r="BP470" i="43"/>
  <c r="BI28" i="47" s="1"/>
  <c r="BQ470" i="43"/>
  <c r="BP142" i="44"/>
  <c r="BQ142" i="44"/>
  <c r="AW133" i="44"/>
  <c r="AS132" i="44"/>
  <c r="AR132" i="44"/>
  <c r="BQ134" i="44"/>
  <c r="BP133" i="44"/>
  <c r="BQ133" i="44"/>
  <c r="BJ132" i="44"/>
  <c r="BI139" i="44"/>
  <c r="BI135" i="44"/>
  <c r="BP134" i="44"/>
  <c r="AQ132" i="44"/>
  <c r="AR129" i="44"/>
  <c r="AK14" i="47" s="1"/>
  <c r="BP129" i="44"/>
  <c r="BI14" i="47" s="1"/>
  <c r="AS129" i="44"/>
  <c r="AL14" i="47" s="1"/>
  <c r="AQ12" i="43"/>
  <c r="AQ13" i="43" s="1"/>
  <c r="BJ12" i="43"/>
  <c r="BJ13" i="43" s="1"/>
  <c r="AS12" i="43"/>
  <c r="AS13" i="43" s="1"/>
  <c r="BJ28" i="47" l="1"/>
  <c r="AP30" i="47"/>
  <c r="BI27" i="47"/>
  <c r="AP35" i="47"/>
  <c r="AP27" i="47"/>
  <c r="BI35" i="47"/>
  <c r="AP29" i="47"/>
  <c r="AM23" i="47"/>
  <c r="AO24" i="47" s="1"/>
  <c r="Y25" i="47"/>
  <c r="AH26" i="47"/>
  <c r="AI23" i="47"/>
  <c r="BD26" i="47"/>
  <c r="BE23" i="47"/>
  <c r="AI26" i="47"/>
  <c r="BE26" i="47"/>
  <c r="Y26" i="47"/>
  <c r="AF467" i="43"/>
  <c r="AW131" i="44"/>
  <c r="BK468" i="43"/>
  <c r="BP130" i="44"/>
  <c r="AW130" i="44"/>
  <c r="BQ130" i="44"/>
  <c r="W23" i="47"/>
  <c r="AF466" i="43"/>
  <c r="BK466" i="43"/>
  <c r="BD23" i="47"/>
  <c r="BJ466" i="43"/>
  <c r="X23" i="47"/>
  <c r="BE24" i="47" s="1"/>
  <c r="BL466" i="43"/>
  <c r="AH23" i="47"/>
  <c r="AQ466" i="43"/>
  <c r="AO468" i="43"/>
  <c r="BQ129" i="44"/>
  <c r="BJ14" i="47" s="1"/>
  <c r="AP468" i="43"/>
  <c r="BI472" i="43"/>
  <c r="BB30" i="47" s="1"/>
  <c r="AS478" i="43"/>
  <c r="AL36" i="47" s="1"/>
  <c r="AR478" i="43"/>
  <c r="AK36" i="47" s="1"/>
  <c r="AF468" i="43"/>
  <c r="BI140" i="44"/>
  <c r="BB34" i="47" s="1"/>
  <c r="AF465" i="43"/>
  <c r="Y13" i="47" s="1"/>
  <c r="BI471" i="43"/>
  <c r="BB29" i="47" s="1"/>
  <c r="BI475" i="43"/>
  <c r="BB33" i="47" s="1"/>
  <c r="BI141" i="44"/>
  <c r="BI142" i="44"/>
  <c r="BL468" i="43"/>
  <c r="BI477" i="43"/>
  <c r="BI470" i="43"/>
  <c r="BB28" i="47" s="1"/>
  <c r="AQ465" i="43"/>
  <c r="AJ13" i="47" s="1"/>
  <c r="AQ478" i="43"/>
  <c r="AJ36" i="47" s="1"/>
  <c r="BJ465" i="43"/>
  <c r="BC13" i="47" s="1"/>
  <c r="BJ478" i="43"/>
  <c r="BC36" i="47" s="1"/>
  <c r="BI469" i="43"/>
  <c r="BI134" i="44"/>
  <c r="AW132" i="44"/>
  <c r="BP132" i="44"/>
  <c r="BI133" i="44"/>
  <c r="BQ132" i="44"/>
  <c r="AW129" i="44"/>
  <c r="AP14" i="47" s="1"/>
  <c r="BI129" i="44"/>
  <c r="BB14" i="47" s="1"/>
  <c r="BP12" i="43"/>
  <c r="BP13" i="43" s="1"/>
  <c r="BQ12" i="43"/>
  <c r="BQ13" i="43" s="1"/>
  <c r="AW12" i="43"/>
  <c r="AW13" i="43" s="1"/>
  <c r="BB35" i="47" l="1"/>
  <c r="BB27" i="47"/>
  <c r="AQ23" i="47"/>
  <c r="AY24" i="47" s="1"/>
  <c r="BK23" i="47"/>
  <c r="BC25" i="47"/>
  <c r="AJ25" i="47"/>
  <c r="AL26" i="47"/>
  <c r="AJ24" i="47"/>
  <c r="BC24" i="47"/>
  <c r="BC26" i="47"/>
  <c r="AJ23" i="47"/>
  <c r="AJ26" i="47"/>
  <c r="AK26" i="47"/>
  <c r="BJ467" i="43"/>
  <c r="AQ467" i="43"/>
  <c r="BI130" i="44"/>
  <c r="BI131" i="44"/>
  <c r="BC23" i="47"/>
  <c r="Y23" i="47"/>
  <c r="Y24" i="47"/>
  <c r="BD24" i="47"/>
  <c r="AS468" i="43"/>
  <c r="AR468" i="43"/>
  <c r="AW478" i="43"/>
  <c r="AP36" i="47" s="1"/>
  <c r="AS465" i="43"/>
  <c r="AL13" i="47" s="1"/>
  <c r="AR465" i="43"/>
  <c r="AK13" i="47" s="1"/>
  <c r="AQ468" i="43"/>
  <c r="BJ468" i="43"/>
  <c r="BP465" i="43"/>
  <c r="BI13" i="47" s="1"/>
  <c r="BP478" i="43"/>
  <c r="BI36" i="47" s="1"/>
  <c r="BQ465" i="43"/>
  <c r="BJ13" i="47" s="1"/>
  <c r="BQ478" i="43"/>
  <c r="BJ36" i="47" s="1"/>
  <c r="BI132" i="44"/>
  <c r="BI12" i="43"/>
  <c r="BI13" i="43" s="1"/>
  <c r="AP25" i="47" l="1"/>
  <c r="AP26" i="47"/>
  <c r="BI23" i="47"/>
  <c r="BJ26" i="47"/>
  <c r="BJ23" i="47"/>
  <c r="BI26" i="47"/>
  <c r="AW467" i="43"/>
  <c r="AW466" i="43"/>
  <c r="AK23" i="47"/>
  <c r="BI24" i="47" s="1"/>
  <c r="BP466" i="43"/>
  <c r="AL23" i="47"/>
  <c r="BJ24" i="47" s="1"/>
  <c r="BQ466" i="43"/>
  <c r="BI466" i="43"/>
  <c r="AW468" i="43"/>
  <c r="AW465" i="43"/>
  <c r="AP13" i="47" s="1"/>
  <c r="BI465" i="43"/>
  <c r="BB13" i="47" s="1"/>
  <c r="BI478" i="43"/>
  <c r="BB36" i="47" s="1"/>
  <c r="BP468" i="43"/>
  <c r="BQ468" i="43"/>
  <c r="I469" i="43"/>
  <c r="B27" i="47" s="1"/>
  <c r="I470" i="43"/>
  <c r="B28" i="47" s="1"/>
  <c r="I471" i="43"/>
  <c r="B29" i="47" s="1"/>
  <c r="I472" i="43"/>
  <c r="B30" i="47" s="1"/>
  <c r="I473" i="43"/>
  <c r="B31" i="47" s="1"/>
  <c r="I474" i="43"/>
  <c r="B32" i="47" s="1"/>
  <c r="I475" i="43"/>
  <c r="B33" i="47" s="1"/>
  <c r="I476" i="43"/>
  <c r="B34" i="47" s="1"/>
  <c r="I477" i="43"/>
  <c r="B35" i="47" s="1"/>
  <c r="I478" i="43"/>
  <c r="B36" i="47" s="1"/>
  <c r="BB24" i="47" l="1"/>
  <c r="BB25" i="47"/>
  <c r="BB26" i="47"/>
  <c r="BB23" i="47"/>
  <c r="AP23" i="47"/>
  <c r="BI467" i="43"/>
  <c r="AP24" i="47"/>
  <c r="BI468" i="43"/>
  <c r="I468" i="43"/>
  <c r="B23" i="47" l="1"/>
  <c r="B26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C376" authorId="0" shapeId="0" xr:uid="{90061AA8-34A5-424E-A71E-479C0BFA7EA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doplatek na 9-12/2025, dofinancování samost. ŠJ</t>
        </r>
      </text>
    </comment>
    <comment ref="BB376" authorId="0" shapeId="0" xr:uid="{09D627ED-F27E-4CCA-98D8-E595AAC9902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doplatek dofinancování sam. ŠJ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C12" authorId="0" shapeId="0" xr:uid="{EDCB0AFD-AE3B-4A31-B94B-BA05828A1FF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doplatek na 9-12/2025, dofinancování samost. ŠJ</t>
        </r>
      </text>
    </comment>
    <comment ref="BB12" authorId="0" shapeId="0" xr:uid="{21D2475B-D5AC-4A8A-9349-A49D681A792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Navíc doplatek dofinancování sam. ŠJ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B30" authorId="0" shapeId="0" xr:uid="{64AA2189-3E32-4112-B084-550707F54342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zrušení odloučeného pracoviiště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C44" authorId="0" shapeId="0" xr:uid="{9F0B79A7-3F7A-4765-A043-5707A3A0C14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doplatek na 9-12/2025, dofinancování samost. ŠJ</t>
        </r>
      </text>
    </comment>
  </commentList>
</comments>
</file>

<file path=xl/sharedStrings.xml><?xml version="1.0" encoding="utf-8"?>
<sst xmlns="http://schemas.openxmlformats.org/spreadsheetml/2006/main" count="6839" uniqueCount="885">
  <si>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</si>
  <si>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</si>
  <si>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</si>
  <si>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</si>
  <si>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</si>
  <si>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</si>
  <si>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</si>
  <si>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</si>
  <si>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</si>
  <si>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</si>
  <si>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</si>
  <si>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</si>
  <si>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</si>
  <si>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</si>
  <si>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</si>
  <si>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</si>
  <si>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</si>
  <si>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</si>
  <si>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</si>
  <si>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</si>
  <si>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</si>
  <si>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</si>
  <si>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</si>
  <si>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</si>
  <si>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</si>
  <si>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</si>
  <si>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</si>
  <si>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</si>
  <si>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</si>
  <si>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</si>
  <si>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</si>
  <si>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</si>
  <si>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</si>
  <si>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</si>
  <si>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</si>
  <si>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</si>
  <si>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</si>
  <si>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</si>
  <si>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</si>
  <si>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</si>
  <si>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</si>
  <si>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</si>
  <si>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</si>
  <si>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</si>
  <si>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</si>
  <si>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</si>
  <si>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</si>
  <si>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</si>
  <si>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</si>
  <si>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</si>
  <si>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</si>
  <si>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</si>
  <si>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</si>
  <si>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</si>
  <si>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</si>
  <si>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</si>
  <si>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</si>
  <si>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</si>
  <si>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</si>
  <si>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</si>
  <si>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</si>
  <si>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</si>
  <si>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</si>
  <si>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</si>
  <si>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</si>
  <si>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</si>
  <si>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</si>
  <si>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</si>
  <si>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</si>
  <si>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</si>
  <si>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</si>
  <si>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</si>
  <si>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</si>
  <si>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</si>
  <si>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</si>
  <si>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</si>
  <si>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</si>
  <si>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</si>
  <si>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</si>
  <si>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</si>
  <si>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</si>
  <si>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</si>
  <si>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</si>
  <si>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</si>
  <si>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</si>
  <si>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</si>
  <si>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</si>
  <si>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</si>
  <si>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</si>
  <si>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</si>
  <si>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</si>
  <si>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</si>
  <si>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</si>
  <si>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</si>
  <si>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</si>
  <si>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</si>
  <si>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</si>
  <si>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</si>
  <si>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</si>
  <si>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</si>
  <si>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</si>
  <si>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</si>
  <si>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</si>
  <si>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</si>
  <si>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</si>
  <si>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</si>
  <si>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</si>
  <si>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</si>
  <si>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</si>
  <si>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</si>
  <si>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</si>
  <si>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</si>
  <si>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</si>
  <si>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</si>
  <si>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</si>
  <si>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</si>
  <si>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</si>
  <si>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</si>
  <si>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</si>
  <si>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</si>
  <si>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</si>
  <si>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</si>
  <si>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</si>
  <si>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</si>
  <si>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</si>
  <si>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</si>
  <si>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</si>
  <si>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</si>
  <si>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</si>
  <si>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</si>
  <si>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</si>
  <si>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</si>
  <si>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</si>
  <si>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</si>
  <si>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</si>
  <si>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</si>
  <si>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</si>
  <si>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</si>
  <si>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</si>
  <si>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</si>
  <si>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</si>
  <si>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</si>
  <si>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</si>
  <si>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</si>
  <si>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</si>
  <si>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</si>
  <si>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</si>
  <si>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</si>
  <si>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</si>
  <si>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</si>
  <si>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</si>
  <si>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</si>
  <si>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</si>
  <si>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</si>
  <si>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</si>
  <si>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</si>
  <si>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</si>
  <si>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</si>
  <si>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</si>
  <si>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</si>
  <si>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</si>
  <si>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</si>
  <si>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</si>
  <si>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</si>
  <si>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</si>
  <si>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</si>
  <si>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</si>
  <si>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</si>
  <si>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</si>
  <si>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</si>
  <si>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</si>
  <si>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</si>
  <si>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</si>
  <si>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</si>
  <si>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</si>
  <si>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</si>
  <si>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</si>
  <si>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</si>
  <si>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</si>
  <si>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</si>
  <si>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</si>
  <si>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</si>
  <si>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</si>
  <si>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</si>
  <si>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</si>
  <si>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</si>
  <si>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</si>
  <si>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</si>
  <si>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</si>
  <si>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</si>
  <si>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</si>
  <si>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</si>
  <si>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</si>
  <si>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</si>
  <si>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</si>
  <si>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</si>
  <si>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</si>
  <si>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</si>
  <si>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</si>
  <si>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</si>
  <si>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</si>
  <si>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</si>
  <si>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</si>
  <si>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</si>
  <si>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</si>
  <si>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</si>
  <si>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</si>
  <si>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</si>
  <si>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</si>
  <si>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</si>
  <si>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</si>
  <si>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</si>
  <si>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</si>
  <si>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</si>
  <si>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</si>
  <si>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</si>
  <si>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</si>
  <si>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</si>
  <si>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</si>
  <si>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</si>
  <si>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</si>
  <si>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</si>
  <si>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</si>
  <si>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</si>
  <si>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</si>
  <si>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</si>
  <si>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</si>
  <si>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</si>
  <si>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</si>
  <si>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</si>
  <si>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</si>
  <si>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</si>
  <si>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</si>
  <si>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</si>
  <si>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</si>
  <si>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</si>
  <si>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</si>
  <si>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</si>
  <si>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</si>
  <si>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</si>
  <si>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</si>
  <si>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</si>
  <si>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</si>
  <si>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</si>
  <si>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</si>
  <si>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</si>
  <si>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</si>
  <si>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</si>
  <si>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</si>
  <si>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</si>
  <si>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</si>
  <si>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</si>
  <si>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</si>
  <si>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</si>
  <si>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</si>
  <si>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</si>
  <si>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</si>
  <si>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</si>
  <si>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</si>
  <si>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</si>
  <si>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</si>
  <si>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</si>
  <si>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</si>
  <si>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</si>
  <si>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</si>
  <si>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</si>
  <si>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</si>
  <si>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</si>
  <si>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</si>
  <si>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</si>
  <si>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</si>
  <si>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</si>
  <si>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</si>
  <si>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</si>
  <si>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</si>
  <si>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</si>
  <si>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</si>
  <si>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</si>
  <si>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</si>
  <si>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</si>
  <si>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</si>
  <si>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</si>
  <si>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</si>
  <si>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</si>
  <si>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</si>
  <si>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</si>
  <si>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</si>
  <si>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</si>
  <si>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</si>
  <si>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</si>
  <si>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</si>
  <si>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</si>
  <si>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</si>
  <si>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</si>
  <si>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</si>
  <si>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</si>
  <si>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</si>
  <si>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</si>
  <si>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</si>
  <si>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</si>
  <si>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</si>
  <si>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</si>
  <si>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</si>
  <si>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</si>
  <si>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</si>
  <si>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</si>
  <si>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</si>
  <si>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</si>
  <si>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</si>
  <si>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</si>
  <si>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</si>
  <si>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</si>
  <si>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</si>
  <si>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</si>
  <si>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</si>
  <si>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</si>
  <si>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</si>
  <si>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</si>
  <si>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</si>
  <si>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</si>
  <si>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</si>
  <si>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</si>
  <si>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</si>
  <si>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</si>
  <si>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</si>
  <si>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</si>
  <si>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</si>
  <si>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</si>
  <si>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</si>
  <si>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</si>
  <si>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</si>
  <si>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</si>
  <si>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</si>
  <si>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</si>
  <si>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</si>
  <si>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</si>
  <si>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</si>
  <si>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</si>
  <si>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</si>
  <si>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</si>
  <si>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</si>
  <si>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</si>
  <si>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</si>
  <si>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</si>
  <si>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</si>
  <si>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</si>
  <si>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</si>
  <si>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</si>
  <si>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</si>
  <si>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</si>
  <si>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</si>
  <si>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</si>
  <si>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</si>
  <si>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</si>
  <si>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</si>
  <si>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</si>
  <si>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</si>
  <si>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</si>
  <si>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</si>
  <si>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</si>
  <si>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</si>
  <si>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</si>
  <si>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</si>
  <si>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</si>
  <si>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</si>
  <si>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</si>
  <si>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</si>
  <si>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</si>
  <si>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</si>
  <si>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</si>
  <si>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</si>
  <si>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</si>
  <si>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</si>
  <si>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</si>
  <si>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</si>
  <si>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</si>
  <si>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</si>
  <si>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</si>
  <si>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</si>
  <si>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</si>
  <si>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</si>
  <si>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</si>
  <si>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</si>
  <si>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</si>
  <si>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</si>
  <si>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</si>
  <si>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</si>
  <si>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</si>
  <si>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</si>
  <si>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</si>
  <si>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</si>
  <si>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</si>
  <si>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</si>
  <si>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</si>
  <si>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</si>
  <si>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</si>
  <si>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</si>
  <si>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</si>
  <si>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</si>
  <si>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</si>
  <si>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</si>
  <si>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</si>
  <si>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</si>
  <si>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</si>
  <si>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</si>
  <si>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</si>
  <si>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</si>
  <si>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</si>
  <si>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</si>
  <si>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</si>
  <si>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</si>
  <si>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</si>
  <si>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</si>
  <si>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</si>
  <si>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</si>
  <si>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</si>
  <si>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</si>
  <si>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</si>
  <si>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</si>
  <si>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</si>
  <si>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</si>
  <si>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</si>
  <si>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</si>
  <si>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</si>
  <si>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</si>
  <si>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</si>
  <si>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</si>
  <si>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</si>
  <si>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</si>
  <si>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</si>
  <si>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</si>
  <si>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</si>
  <si>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</si>
  <si>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</si>
  <si>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</si>
  <si>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</si>
  <si>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</si>
  <si>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</si>
  <si>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</si>
  <si>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</si>
  <si>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</si>
  <si>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</si>
  <si>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</si>
  <si>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</si>
  <si>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</si>
  <si>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</si>
  <si>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</si>
  <si>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</si>
  <si>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</si>
  <si>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</si>
  <si>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</si>
  <si>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</si>
  <si>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</si>
  <si>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</si>
  <si>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</si>
  <si>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</si>
  <si>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</si>
  <si>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</si>
  <si>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</si>
  <si>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</si>
  <si>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</si>
  <si>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</si>
  <si>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</si>
  <si>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</si>
  <si>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</si>
  <si>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</si>
  <si>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</si>
  <si>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</si>
  <si>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</si>
  <si>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</si>
  <si>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</si>
  <si>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</si>
  <si>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</si>
  <si>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</si>
  <si>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</si>
  <si>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</si>
  <si>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</si>
  <si>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</si>
  <si>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</si>
  <si>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</si>
  <si>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</si>
  <si>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</si>
  <si>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</si>
  <si>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</si>
  <si>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</si>
  <si>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</si>
  <si>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</si>
  <si>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</si>
  <si>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</si>
  <si>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</si>
  <si>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</si>
  <si>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</si>
  <si>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</si>
  <si>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</si>
  <si>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</si>
  <si>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</si>
  <si>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</si>
  <si>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</si>
  <si>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</si>
  <si>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</si>
  <si>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</si>
  <si>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</si>
  <si>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</si>
  <si>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</si>
  <si>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</si>
  <si>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</si>
  <si>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</si>
  <si>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</si>
  <si>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</si>
  <si>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</si>
  <si>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</si>
  <si>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</si>
  <si>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</si>
  <si>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</si>
  <si>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</si>
  <si>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</si>
  <si>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</si>
  <si>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</si>
  <si>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</si>
  <si>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</si>
  <si>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</si>
  <si>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</si>
  <si>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</si>
  <si>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</si>
  <si>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</si>
  <si>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</si>
  <si>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</si>
  <si>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</si>
  <si>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</si>
  <si>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</si>
  <si>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</si>
  <si>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</si>
  <si>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</si>
  <si>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</si>
  <si>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</si>
  <si>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</si>
  <si>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</si>
  <si>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</si>
  <si>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</si>
  <si>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</si>
  <si>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</si>
  <si>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</si>
  <si>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</si>
  <si>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</si>
  <si>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</si>
  <si>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</si>
  <si>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</si>
  <si>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</si>
  <si>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</si>
  <si>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</si>
  <si>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</si>
  <si>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</si>
  <si>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</si>
  <si>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</si>
  <si>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</si>
  <si>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</si>
  <si>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</si>
  <si>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</si>
  <si>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</si>
  <si>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</si>
  <si>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</si>
  <si>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</si>
  <si>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</si>
  <si>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</si>
  <si>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</si>
  <si>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</si>
  <si>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</si>
  <si>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</si>
  <si>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</si>
  <si>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</si>
  <si>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</si>
  <si>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</si>
  <si>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</si>
  <si>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</si>
  <si>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</si>
  <si>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</si>
  <si>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</si>
  <si>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</si>
  <si>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</si>
  <si>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</si>
  <si>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</si>
  <si>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</si>
  <si>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</si>
  <si>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</si>
  <si>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</si>
  <si>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</si>
  <si>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</si>
  <si>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</si>
  <si>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</si>
  <si>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</si>
  <si>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</si>
  <si>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</si>
  <si>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</si>
  <si>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</si>
  <si>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</si>
  <si>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</si>
  <si>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</si>
  <si>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</si>
  <si>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</si>
  <si>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</si>
  <si>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</si>
  <si>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</si>
  <si>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</si>
  <si>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</si>
  <si>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</si>
  <si>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</si>
  <si>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</si>
  <si>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</si>
  <si>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</si>
  <si>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</si>
  <si>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</si>
  <si>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</si>
  <si>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</si>
  <si>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</si>
  <si>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</si>
  <si>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</si>
  <si>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</si>
  <si>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</si>
  <si>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</si>
  <si>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</si>
  <si>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</si>
  <si>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</si>
  <si>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</si>
  <si>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</si>
  <si>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</si>
  <si>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</si>
  <si>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</si>
  <si>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</si>
  <si>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</si>
  <si>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</si>
  <si>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</si>
  <si>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</si>
  <si>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</si>
  <si>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</si>
  <si>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</si>
  <si>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</si>
  <si>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</si>
  <si>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</si>
  <si>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</si>
  <si>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</si>
  <si>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</si>
  <si>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</si>
  <si>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</si>
  <si>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</si>
  <si>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</si>
  <si>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</si>
  <si>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</si>
  <si>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</si>
  <si>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</si>
  <si>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</si>
  <si>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</si>
  <si>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</si>
  <si>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</si>
  <si>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</si>
  <si>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</si>
  <si>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</si>
  <si>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</si>
  <si>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</si>
  <si>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</si>
  <si>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</si>
  <si>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</si>
  <si>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</si>
  <si>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</si>
  <si>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</si>
  <si>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</si>
  <si>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</si>
  <si>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</si>
  <si>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</si>
  <si>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</si>
  <si>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</si>
  <si>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</si>
  <si>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</si>
  <si>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</si>
  <si>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</si>
  <si>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</si>
  <si>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</si>
  <si>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</si>
  <si>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</si>
  <si>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</si>
  <si>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</si>
  <si>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</si>
  <si>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</si>
  <si>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</si>
  <si>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</si>
  <si>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</si>
  <si>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</si>
  <si>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</si>
  <si>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</si>
  <si>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</si>
  <si>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</si>
  <si>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</si>
  <si>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</si>
  <si>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</si>
  <si>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</si>
  <si>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</si>
  <si>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</si>
  <si>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</si>
  <si>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</si>
  <si>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</si>
  <si>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</si>
  <si>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</si>
  <si>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</si>
  <si>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</si>
  <si>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</si>
  <si>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</si>
  <si>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</si>
  <si>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</si>
  <si>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</si>
  <si>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</si>
  <si>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</si>
  <si>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</si>
  <si>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</si>
  <si>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</si>
  <si>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</si>
  <si>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</si>
  <si>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</si>
  <si>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</si>
  <si>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</si>
  <si>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</si>
  <si>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</si>
  <si>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</si>
  <si>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</si>
  <si>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</si>
  <si>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</si>
  <si>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</si>
  <si>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</si>
  <si>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</si>
  <si>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</si>
  <si>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</si>
  <si>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</si>
  <si>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</si>
  <si>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</si>
  <si>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</si>
  <si>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</si>
  <si>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</si>
  <si>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</si>
  <si>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</si>
  <si>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</si>
  <si>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</si>
  <si>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</si>
  <si>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</si>
  <si>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</si>
  <si>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</si>
  <si>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</si>
  <si>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</si>
  <si>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</si>
  <si>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</si>
  <si>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</si>
  <si>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</si>
  <si>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</si>
  <si>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</si>
  <si>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</si>
  <si>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</si>
  <si>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</si>
  <si>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</si>
  <si>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</si>
  <si>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</si>
  <si>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</si>
  <si>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</si>
  <si>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</si>
  <si>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</si>
  <si>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</si>
  <si>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</si>
  <si>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</si>
  <si>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</si>
  <si>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</si>
  <si>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</si>
  <si>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</si>
  <si>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</si>
  <si>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</si>
  <si>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</si>
  <si>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</si>
  <si>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</si>
  <si>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</si>
  <si>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</si>
  <si>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</si>
  <si>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</si>
  <si>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</si>
  <si>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</si>
  <si>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</si>
  <si>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</si>
  <si>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</si>
  <si>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</si>
  <si>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</si>
  <si>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</si>
  <si>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</si>
  <si>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</si>
  <si>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</si>
  <si>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</si>
  <si>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</si>
  <si>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</si>
  <si>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</si>
  <si>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</si>
  <si>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</si>
  <si>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</si>
  <si>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</si>
  <si>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</si>
  <si>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</si>
  <si>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</si>
  <si>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</si>
  <si>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</si>
  <si>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</si>
  <si>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</si>
  <si>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</si>
  <si>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</si>
  <si>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</si>
  <si>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</si>
  <si>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</si>
  <si>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</si>
  <si>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ÚPRAVA ZAMĚSTNANCI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</si>
  <si>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</si>
  <si>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</si>
  <si>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</si>
  <si>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</si>
  <si>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</si>
  <si>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</si>
  <si>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</si>
  <si>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</si>
  <si>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</si>
  <si>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</si>
  <si>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</si>
  <si>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</si>
  <si>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</si>
  <si>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</si>
  <si>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</si>
  <si>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</si>
  <si>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</si>
  <si>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Platy 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</si>
  <si>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</si>
  <si>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</si>
  <si>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</si>
  <si>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</si>
  <si>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</si>
  <si>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</si>
  <si>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</si>
  <si>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</si>
  <si>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</si>
  <si>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Platy_PSYaSPEC</t>
  </si>
  <si>
    <t>OON_PSYaSPEC</t>
  </si>
  <si>
    <t>ZAM_PSYaSPEC</t>
  </si>
  <si>
    <t xml:space="preserve">Odvody </t>
  </si>
  <si>
    <t>NIV celkem</t>
  </si>
  <si>
    <t>Počet zam.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</si>
  <si>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</si>
  <si>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</si>
  <si>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</si>
  <si>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</si>
  <si>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Z rozpočtu přímých NIV na rok 2025</t>
  </si>
  <si>
    <t>MŠ Studánka, Jablonné v Podj., U Školy 194</t>
  </si>
  <si>
    <t>MŠ Studánka, Jablonné v Podj., U Školy 194 Celkem</t>
  </si>
  <si>
    <t>Rozpočet přímých nákladů k 19. 6. 2025</t>
  </si>
  <si>
    <t>Dofinancování krajských normativů (09-12/2025)</t>
  </si>
  <si>
    <t>platy</t>
  </si>
  <si>
    <t>počet zam.</t>
  </si>
  <si>
    <t>dofin. řed.</t>
  </si>
  <si>
    <t>červen</t>
  </si>
  <si>
    <t>červenec</t>
  </si>
  <si>
    <t>Úprava srpen</t>
  </si>
  <si>
    <t>Vážená paní ředitelko, vážený pane řediteli,</t>
  </si>
  <si>
    <t>předkládáme Vám úpravu rozpočtu přímých NIV, která obsahuje:</t>
  </si>
  <si>
    <t>1)</t>
  </si>
  <si>
    <t>2)</t>
  </si>
  <si>
    <t>individuální úpravy (důvod změny uveden v komentáři v příslušné buňce);</t>
  </si>
  <si>
    <t xml:space="preserve">Upozornění: </t>
  </si>
  <si>
    <t>ZDE</t>
  </si>
  <si>
    <t xml:space="preserve">"Stanovení dalších finančních prostředků pro školy zřizované krajem, obcí nebo dobrovolným svazkem obcí na rok 2025 na financování nepedagogických </t>
  </si>
  <si>
    <t>Psychologové a speciální pedagogové jako součást rozpočtu přímých NIV (UZ 33353)</t>
  </si>
  <si>
    <t>Součástí rozpisu rozpočtu je i zahrnutí dalších finančních prostředků na financování psychologů a speciálních pedagogů č.j. MSMT-12316/2024-6,</t>
  </si>
  <si>
    <t xml:space="preserve">VĚSTNÍK MŠMT 1/2025. Tyto prostředky jsou účelově vázané a budou vedeny jako součást rozpočtu (UZ 33353 - přímé náklady na vzdělávání). </t>
  </si>
  <si>
    <t xml:space="preserve">Jejich čerpání však musí být v souladu s rozhodnutím, které bylo rozesláno pod KULK 18074/2025 ze dne 18. 3. 2025, a dále také v souladu se zmíněným Věstníkem. </t>
  </si>
  <si>
    <t>Škola musí tyto prostředky v rámci rozpočtu UZ 33353 evidovat odděleně, aby bylo možné dotaci vyúčtovat na základě skutečného použití a případně nevyužité prostředky vrátit.</t>
  </si>
  <si>
    <t>Zpracoval: OŠMTS KÚ LK, oddělení financování přímých nákladů</t>
  </si>
  <si>
    <t>3)</t>
  </si>
  <si>
    <t>Odkaz:</t>
  </si>
  <si>
    <t>zaměstnanců a ostatních neinvestičních výdajů, č.j. MSMT-12238/2025-2"</t>
  </si>
  <si>
    <r>
      <t xml:space="preserve">Tyto prostředky </t>
    </r>
    <r>
      <rPr>
        <b/>
        <sz val="10"/>
        <rFont val="Arial"/>
        <family val="2"/>
        <charset val="238"/>
      </rPr>
      <t>NEJSOU</t>
    </r>
    <r>
      <rPr>
        <sz val="10"/>
        <rFont val="Arial"/>
        <family val="2"/>
        <charset val="238"/>
      </rPr>
      <t xml:space="preserve"> prozatím zahrnuty do aktuálního rozpočtu, budou zahrnuty do některé z dalších úprav, a to až po obdržení dotace z MŠMT.</t>
    </r>
  </si>
  <si>
    <r>
      <t xml:space="preserve">úpravu o prostředky na podpůrná opatření, a to na základě údajů vykázaných ve výkaze č. R 44–99 ze sběru v měsících </t>
    </r>
    <r>
      <rPr>
        <b/>
        <sz val="10"/>
        <rFont val="Arial"/>
        <family val="2"/>
        <charset val="238"/>
      </rPr>
      <t xml:space="preserve">červen a červenec </t>
    </r>
    <r>
      <rPr>
        <sz val="10"/>
        <rFont val="Arial"/>
        <family val="2"/>
        <charset val="238"/>
      </rPr>
      <t>2025, případně korekce vykázaných PO;</t>
    </r>
  </si>
  <si>
    <r>
      <t xml:space="preserve">úpravu o prostředky na dofinancování nepedagogické práce a ONIV ve </t>
    </r>
    <r>
      <rPr>
        <b/>
        <u/>
        <sz val="10"/>
        <rFont val="Arial"/>
        <family val="2"/>
        <charset val="238"/>
      </rPr>
      <t>školských zařízeních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na období září až prosinec 2025.</t>
    </r>
  </si>
  <si>
    <r>
      <t xml:space="preserve">MŠMT má stále na svých stránkách zveřejněnou informaci o stanovení dalších finančních prostředků na nepedagogickou práci a ONIV </t>
    </r>
    <r>
      <rPr>
        <b/>
        <u/>
        <sz val="10"/>
        <rFont val="Arial"/>
        <family val="2"/>
        <charset val="238"/>
      </rPr>
      <t>ve školách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(na období září - prosinec 2025)</t>
    </r>
  </si>
  <si>
    <t>Tyto finanční prostředky budou přiděleny mimořádnou dotací, podobně jako byla dotace na "Psychology a sociál. pedagogy".</t>
  </si>
  <si>
    <t>Do 28. 2. 2026 pak musí prostřednictvím mimořádného sběru dat informovat MŠMT o způsobu využití těchto prostředků.</t>
  </si>
  <si>
    <t>Komentář k úpravě rozpisu rozpočtu přímých NIV k 20. 8. 2025  (obecní školství)</t>
  </si>
  <si>
    <t>V Liberci dne 20. 8. 2025</t>
  </si>
  <si>
    <t>Úprava rozpisu rozpočtu přímých NIV k 20. 8. 2025</t>
  </si>
  <si>
    <t>Rozpočet přímých nákladů k 20. 8.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</si>
</sst>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u/>
      <sz val="10"/>
      <color theme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i/>
      <sz val="10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16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0" fillId="0" borderId="0" applyNumberFormat="0" applyFill="0" applyBorder="0" applyAlignment="0" applyProtection="0"/>
  </cellStyleXfs>
  <cellXfs count="1090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13" fillId="3" borderId="21" xfId="0" applyFont="1" applyFill="1" applyBorder="1"/>
    <xf numFmtId="3" fontId="14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4" fontId="12" fillId="3" borderId="9" xfId="2" applyNumberFormat="1" applyFont="1" applyFill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4" fillId="0" borderId="21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8" xfId="5" applyNumberFormat="1" applyFont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12" fillId="3" borderId="10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0" fontId="14" fillId="0" borderId="69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19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0" fontId="27" fillId="9" borderId="1" xfId="9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22" fillId="8" borderId="22" xfId="5" applyNumberFormat="1" applyFont="1" applyFill="1" applyBorder="1" applyAlignment="1">
      <alignment horizontal="center"/>
    </xf>
    <xf numFmtId="3" fontId="12" fillId="3" borderId="1" xfId="2" applyNumberFormat="1" applyFont="1" applyFill="1" applyBorder="1"/>
    <xf numFmtId="3" fontId="12" fillId="3" borderId="8" xfId="2" applyNumberFormat="1" applyFont="1" applyFill="1" applyBorder="1"/>
    <xf numFmtId="3" fontId="14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4" fontId="14" fillId="0" borderId="0" xfId="5" applyNumberFormat="1" applyFont="1"/>
    <xf numFmtId="3" fontId="22" fillId="8" borderId="56" xfId="5" applyNumberFormat="1" applyFont="1" applyFill="1" applyBorder="1" applyAlignment="1">
      <alignment horizontal="center"/>
    </xf>
    <xf numFmtId="4" fontId="36" fillId="0" borderId="10" xfId="5" applyNumberFormat="1" applyFont="1" applyBorder="1"/>
    <xf numFmtId="3" fontId="36" fillId="0" borderId="28" xfId="5" applyNumberFormat="1" applyFont="1" applyBorder="1"/>
    <xf numFmtId="4" fontId="24" fillId="3" borderId="14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37" fillId="3" borderId="8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27" fillId="0" borderId="0" xfId="5" applyNumberFormat="1" applyFont="1" applyAlignment="1">
      <alignment horizontal="center"/>
    </xf>
    <xf numFmtId="3" fontId="39" fillId="7" borderId="38" xfId="5" applyNumberFormat="1" applyFont="1" applyFill="1" applyBorder="1"/>
    <xf numFmtId="0" fontId="8" fillId="0" borderId="1" xfId="0" applyFont="1" applyBorder="1" applyProtection="1">
      <protection locked="0"/>
    </xf>
    <xf numFmtId="0" fontId="14" fillId="3" borderId="1" xfId="0" applyFont="1" applyFill="1" applyBorder="1" applyProtection="1">
      <protection locked="0"/>
    </xf>
    <xf numFmtId="0" fontId="43" fillId="0" borderId="0" xfId="5" applyFont="1" applyAlignment="1">
      <alignment horizontal="left"/>
    </xf>
    <xf numFmtId="0" fontId="43" fillId="0" borderId="0" xfId="5" applyFont="1" applyAlignment="1">
      <alignment horizontal="center"/>
    </xf>
    <xf numFmtId="0" fontId="43" fillId="0" borderId="0" xfId="5" applyFont="1" applyAlignment="1">
      <alignment horizontal="right"/>
    </xf>
    <xf numFmtId="3" fontId="36" fillId="0" borderId="46" xfId="5" applyNumberFormat="1" applyFont="1" applyBorder="1"/>
    <xf numFmtId="4" fontId="14" fillId="3" borderId="9" xfId="9" applyNumberFormat="1" applyFont="1" applyFill="1" applyBorder="1"/>
    <xf numFmtId="4" fontId="14" fillId="3" borderId="9" xfId="9" applyNumberFormat="1" applyFont="1" applyFill="1" applyBorder="1" applyAlignment="1">
      <alignment horizontal="right"/>
    </xf>
    <xf numFmtId="4" fontId="24" fillId="3" borderId="9" xfId="9" applyNumberFormat="1" applyFont="1" applyFill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0" fontId="26" fillId="0" borderId="1" xfId="9" applyFont="1" applyBorder="1" applyAlignment="1">
      <alignment horizontal="center"/>
    </xf>
    <xf numFmtId="0" fontId="24" fillId="3" borderId="4" xfId="9" applyFont="1" applyFill="1" applyBorder="1" applyAlignment="1">
      <alignment horizontal="center"/>
    </xf>
    <xf numFmtId="0" fontId="24" fillId="3" borderId="5" xfId="9" applyFont="1" applyFill="1" applyBorder="1" applyAlignment="1">
      <alignment horizontal="center"/>
    </xf>
    <xf numFmtId="0" fontId="28" fillId="3" borderId="71" xfId="9" applyFont="1" applyFill="1" applyBorder="1" applyAlignment="1">
      <alignment horizontal="center"/>
    </xf>
    <xf numFmtId="0" fontId="24" fillId="3" borderId="37" xfId="9" applyFont="1" applyFill="1" applyBorder="1"/>
    <xf numFmtId="4" fontId="36" fillId="0" borderId="5" xfId="5" applyNumberFormat="1" applyFont="1" applyBorder="1"/>
    <xf numFmtId="4" fontId="14" fillId="6" borderId="70" xfId="5" applyNumberFormat="1" applyFont="1" applyFill="1" applyBorder="1"/>
    <xf numFmtId="4" fontId="12" fillId="3" borderId="1" xfId="2" applyNumberFormat="1" applyFont="1" applyFill="1" applyBorder="1"/>
    <xf numFmtId="4" fontId="27" fillId="0" borderId="5" xfId="5" applyNumberFormat="1" applyFont="1" applyBorder="1"/>
    <xf numFmtId="0" fontId="8" fillId="0" borderId="1" xfId="5" applyFont="1" applyBorder="1" applyAlignment="1">
      <alignment horizontal="left"/>
    </xf>
    <xf numFmtId="0" fontId="8" fillId="2" borderId="1" xfId="5" applyFont="1" applyFill="1" applyBorder="1" applyAlignment="1">
      <alignment horizontal="left"/>
    </xf>
    <xf numFmtId="3" fontId="24" fillId="5" borderId="17" xfId="9" applyNumberFormat="1" applyFont="1" applyFill="1" applyBorder="1"/>
    <xf numFmtId="3" fontId="39" fillId="7" borderId="70" xfId="5" applyNumberFormat="1" applyFont="1" applyFill="1" applyBorder="1"/>
    <xf numFmtId="3" fontId="14" fillId="6" borderId="70" xfId="5" applyNumberFormat="1" applyFont="1" applyFill="1" applyBorder="1"/>
    <xf numFmtId="4" fontId="12" fillId="3" borderId="30" xfId="2" applyNumberFormat="1" applyFont="1" applyFill="1" applyBorder="1"/>
    <xf numFmtId="4" fontId="12" fillId="4" borderId="18" xfId="2" applyNumberFormat="1" applyFont="1" applyFill="1" applyBorder="1"/>
    <xf numFmtId="4" fontId="12" fillId="4" borderId="19" xfId="2" applyNumberFormat="1" applyFont="1" applyFill="1" applyBorder="1"/>
    <xf numFmtId="0" fontId="12" fillId="4" borderId="20" xfId="2" applyFont="1" applyFill="1" applyBorder="1"/>
    <xf numFmtId="3" fontId="12" fillId="4" borderId="17" xfId="2" applyNumberFormat="1" applyFont="1" applyFill="1" applyBorder="1"/>
    <xf numFmtId="3" fontId="12" fillId="4" borderId="18" xfId="2" applyNumberFormat="1" applyFont="1" applyFill="1" applyBorder="1"/>
    <xf numFmtId="3" fontId="24" fillId="5" borderId="70" xfId="9" applyNumberFormat="1" applyFont="1" applyFill="1" applyBorder="1"/>
    <xf numFmtId="3" fontId="13" fillId="0" borderId="47" xfId="2" applyNumberFormat="1" applyFont="1" applyBorder="1" applyAlignment="1">
      <alignment horizontal="center" vertical="center" wrapText="1"/>
    </xf>
    <xf numFmtId="3" fontId="13" fillId="0" borderId="12" xfId="2" applyNumberFormat="1" applyFont="1" applyBorder="1" applyAlignment="1">
      <alignment horizontal="center" vertical="center" wrapText="1"/>
    </xf>
    <xf numFmtId="0" fontId="12" fillId="3" borderId="9" xfId="2" applyFont="1" applyFill="1" applyBorder="1"/>
    <xf numFmtId="0" fontId="12" fillId="3" borderId="30" xfId="2" applyFont="1" applyFill="1" applyBorder="1"/>
    <xf numFmtId="3" fontId="13" fillId="7" borderId="22" xfId="9" applyNumberFormat="1" applyFont="1" applyFill="1" applyBorder="1"/>
    <xf numFmtId="3" fontId="13" fillId="0" borderId="61" xfId="2" applyNumberFormat="1" applyFont="1" applyBorder="1" applyAlignment="1">
      <alignment horizontal="center" vertical="center" wrapText="1"/>
    </xf>
    <xf numFmtId="3" fontId="13" fillId="0" borderId="70" xfId="2" applyNumberFormat="1" applyFont="1" applyBorder="1" applyAlignment="1">
      <alignment horizontal="center" vertical="center" wrapText="1"/>
    </xf>
    <xf numFmtId="3" fontId="36" fillId="0" borderId="4" xfId="5" applyNumberFormat="1" applyFont="1" applyBorder="1"/>
    <xf numFmtId="3" fontId="36" fillId="0" borderId="5" xfId="5" applyNumberFormat="1" applyFont="1" applyBorder="1"/>
    <xf numFmtId="4" fontId="13" fillId="0" borderId="47" xfId="2" applyNumberFormat="1" applyFont="1" applyBorder="1" applyAlignment="1">
      <alignment horizontal="center" vertical="center" wrapText="1"/>
    </xf>
    <xf numFmtId="4" fontId="24" fillId="5" borderId="22" xfId="9" applyNumberFormat="1" applyFont="1" applyFill="1" applyBorder="1"/>
    <xf numFmtId="4" fontId="24" fillId="5" borderId="70" xfId="9" applyNumberFormat="1" applyFont="1" applyFill="1" applyBorder="1"/>
    <xf numFmtId="4" fontId="40" fillId="0" borderId="0" xfId="0" applyNumberFormat="1" applyFont="1" applyAlignment="1">
      <alignment horizontal="left" vertical="center" wrapText="1"/>
    </xf>
    <xf numFmtId="4" fontId="14" fillId="0" borderId="0" xfId="0" applyNumberFormat="1" applyFont="1" applyAlignment="1">
      <alignment horizontal="left" vertical="center" wrapText="1"/>
    </xf>
    <xf numFmtId="4" fontId="13" fillId="0" borderId="61" xfId="2" applyNumberFormat="1" applyFont="1" applyBorder="1" applyAlignment="1">
      <alignment horizontal="center" vertical="center" wrapText="1"/>
    </xf>
    <xf numFmtId="0" fontId="9" fillId="0" borderId="6" xfId="2" applyFont="1" applyBorder="1"/>
    <xf numFmtId="3" fontId="12" fillId="3" borderId="26" xfId="2" applyNumberFormat="1" applyFont="1" applyFill="1" applyBorder="1"/>
    <xf numFmtId="3" fontId="12" fillId="3" borderId="21" xfId="2" applyNumberFormat="1" applyFont="1" applyFill="1" applyBorder="1"/>
    <xf numFmtId="4" fontId="12" fillId="3" borderId="21" xfId="2" applyNumberFormat="1" applyFont="1" applyFill="1" applyBorder="1"/>
    <xf numFmtId="3" fontId="24" fillId="5" borderId="38" xfId="9" applyNumberFormat="1" applyFont="1" applyFill="1" applyBorder="1"/>
    <xf numFmtId="4" fontId="24" fillId="3" borderId="13" xfId="9" applyNumberFormat="1" applyFont="1" applyFill="1" applyBorder="1"/>
    <xf numFmtId="4" fontId="24" fillId="5" borderId="45" xfId="9" applyNumberFormat="1" applyFont="1" applyFill="1" applyBorder="1"/>
    <xf numFmtId="3" fontId="13" fillId="7" borderId="38" xfId="9" applyNumberFormat="1" applyFont="1" applyFill="1" applyBorder="1"/>
    <xf numFmtId="3" fontId="13" fillId="3" borderId="5" xfId="0" applyNumberFormat="1" applyFont="1" applyFill="1" applyBorder="1"/>
    <xf numFmtId="4" fontId="13" fillId="3" borderId="5" xfId="0" applyNumberFormat="1" applyFont="1" applyFill="1" applyBorder="1"/>
    <xf numFmtId="3" fontId="12" fillId="3" borderId="4" xfId="2" applyNumberFormat="1" applyFont="1" applyFill="1" applyBorder="1"/>
    <xf numFmtId="3" fontId="12" fillId="3" borderId="5" xfId="2" applyNumberFormat="1" applyFont="1" applyFill="1" applyBorder="1"/>
    <xf numFmtId="4" fontId="13" fillId="4" borderId="22" xfId="0" applyNumberFormat="1" applyFont="1" applyFill="1" applyBorder="1" applyAlignment="1">
      <alignment horizontal="right"/>
    </xf>
    <xf numFmtId="4" fontId="13" fillId="4" borderId="72" xfId="0" applyNumberFormat="1" applyFont="1" applyFill="1" applyBorder="1" applyAlignment="1">
      <alignment horizontal="right"/>
    </xf>
    <xf numFmtId="0" fontId="13" fillId="7" borderId="61" xfId="9" applyFont="1" applyFill="1" applyBorder="1"/>
    <xf numFmtId="0" fontId="14" fillId="3" borderId="12" xfId="9" applyFont="1" applyFill="1" applyBorder="1"/>
    <xf numFmtId="4" fontId="13" fillId="7" borderId="20" xfId="9" applyNumberFormat="1" applyFont="1" applyFill="1" applyBorder="1"/>
    <xf numFmtId="4" fontId="27" fillId="0" borderId="0" xfId="5" applyNumberFormat="1" applyFont="1" applyAlignment="1">
      <alignment horizontal="center"/>
    </xf>
    <xf numFmtId="3" fontId="14" fillId="0" borderId="47" xfId="2" applyNumberFormat="1" applyFont="1" applyBorder="1" applyAlignment="1">
      <alignment horizontal="center" vertical="center" wrapText="1"/>
    </xf>
    <xf numFmtId="4" fontId="14" fillId="0" borderId="47" xfId="2" applyNumberFormat="1" applyFont="1" applyBorder="1" applyAlignment="1">
      <alignment horizontal="center" vertical="center" wrapText="1"/>
    </xf>
    <xf numFmtId="3" fontId="27" fillId="0" borderId="23" xfId="5" applyNumberFormat="1" applyFont="1" applyBorder="1"/>
    <xf numFmtId="3" fontId="27" fillId="0" borderId="24" xfId="5" applyNumberFormat="1" applyFont="1" applyBorder="1"/>
    <xf numFmtId="3" fontId="14" fillId="4" borderId="17" xfId="0" applyNumberFormat="1" applyFont="1" applyFill="1" applyBorder="1"/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3" fontId="27" fillId="0" borderId="1" xfId="5" applyNumberFormat="1" applyFont="1" applyBorder="1"/>
    <xf numFmtId="3" fontId="27" fillId="0" borderId="8" xfId="5" applyNumberFormat="1" applyFont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4" fontId="39" fillId="7" borderId="63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7" fillId="0" borderId="1" xfId="0" applyNumberFormat="1" applyFont="1" applyBorder="1"/>
    <xf numFmtId="3" fontId="9" fillId="0" borderId="1" xfId="0" applyNumberFormat="1" applyFont="1" applyBorder="1"/>
    <xf numFmtId="4" fontId="7" fillId="0" borderId="1" xfId="0" applyNumberFormat="1" applyFont="1" applyBorder="1"/>
    <xf numFmtId="4" fontId="14" fillId="0" borderId="63" xfId="2" applyNumberFormat="1" applyFont="1" applyBorder="1" applyAlignment="1">
      <alignment horizontal="center" vertical="center" wrapText="1"/>
    </xf>
    <xf numFmtId="4" fontId="9" fillId="0" borderId="1" xfId="0" applyNumberFormat="1" applyFont="1" applyBorder="1"/>
    <xf numFmtId="3" fontId="12" fillId="3" borderId="53" xfId="2" applyNumberFormat="1" applyFont="1" applyFill="1" applyBorder="1"/>
    <xf numFmtId="0" fontId="7" fillId="0" borderId="7" xfId="0" applyFont="1" applyBorder="1"/>
    <xf numFmtId="0" fontId="7" fillId="0" borderId="10" xfId="0" applyFont="1" applyBorder="1"/>
    <xf numFmtId="0" fontId="13" fillId="3" borderId="10" xfId="0" applyFont="1" applyFill="1" applyBorder="1"/>
    <xf numFmtId="0" fontId="9" fillId="0" borderId="10" xfId="2" applyFont="1" applyBorder="1"/>
    <xf numFmtId="0" fontId="13" fillId="3" borderId="27" xfId="0" applyFont="1" applyFill="1" applyBorder="1"/>
    <xf numFmtId="0" fontId="13" fillId="4" borderId="19" xfId="0" applyFont="1" applyFill="1" applyBorder="1"/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4" xfId="0" applyFont="1" applyBorder="1"/>
    <xf numFmtId="0" fontId="7" fillId="0" borderId="24" xfId="0" applyFont="1" applyBorder="1" applyAlignment="1">
      <alignment horizontal="left"/>
    </xf>
    <xf numFmtId="0" fontId="7" fillId="0" borderId="25" xfId="0" applyFont="1" applyBorder="1"/>
    <xf numFmtId="0" fontId="9" fillId="0" borderId="23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24" xfId="0" applyFont="1" applyBorder="1" applyAlignment="1">
      <alignment horizontal="left"/>
    </xf>
    <xf numFmtId="0" fontId="9" fillId="0" borderId="25" xfId="0" applyFont="1" applyBorder="1"/>
    <xf numFmtId="0" fontId="9" fillId="0" borderId="10" xfId="0" applyFont="1" applyBorder="1"/>
    <xf numFmtId="3" fontId="7" fillId="0" borderId="5" xfId="5" applyNumberFormat="1" applyFont="1" applyBorder="1"/>
    <xf numFmtId="2" fontId="4" fillId="0" borderId="0" xfId="9" applyNumberFormat="1"/>
    <xf numFmtId="2" fontId="24" fillId="5" borderId="72" xfId="9" applyNumberFormat="1" applyFont="1" applyFill="1" applyBorder="1"/>
    <xf numFmtId="2" fontId="15" fillId="4" borderId="19" xfId="0" applyNumberFormat="1" applyFont="1" applyFill="1" applyBorder="1"/>
    <xf numFmtId="2" fontId="8" fillId="0" borderId="7" xfId="0" applyNumberFormat="1" applyFont="1" applyBorder="1"/>
    <xf numFmtId="2" fontId="8" fillId="0" borderId="10" xfId="0" applyNumberFormat="1" applyFont="1" applyBorder="1"/>
    <xf numFmtId="2" fontId="8" fillId="0" borderId="14" xfId="0" applyNumberFormat="1" applyFont="1" applyBorder="1"/>
    <xf numFmtId="3" fontId="36" fillId="9" borderId="1" xfId="5" applyNumberFormat="1" applyFont="1" applyFill="1" applyBorder="1"/>
    <xf numFmtId="3" fontId="7" fillId="9" borderId="1" xfId="5" applyNumberFormat="1" applyFont="1" applyFill="1" applyBorder="1"/>
    <xf numFmtId="4" fontId="36" fillId="9" borderId="1" xfId="5" applyNumberFormat="1" applyFont="1" applyFill="1" applyBorder="1"/>
    <xf numFmtId="4" fontId="27" fillId="9" borderId="1" xfId="5" applyNumberFormat="1" applyFont="1" applyFill="1" applyBorder="1"/>
    <xf numFmtId="3" fontId="13" fillId="3" borderId="26" xfId="9" applyNumberFormat="1" applyFont="1" applyFill="1" applyBorder="1"/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0" fontId="22" fillId="8" borderId="19" xfId="8" applyFont="1" applyFill="1" applyBorder="1" applyAlignment="1">
      <alignment horizontal="center"/>
    </xf>
    <xf numFmtId="0" fontId="27" fillId="0" borderId="7" xfId="9" applyFont="1" applyBorder="1"/>
    <xf numFmtId="0" fontId="27" fillId="0" borderId="10" xfId="9" applyFont="1" applyBorder="1"/>
    <xf numFmtId="0" fontId="27" fillId="3" borderId="8" xfId="9" applyFont="1" applyFill="1" applyBorder="1" applyAlignment="1">
      <alignment horizontal="center"/>
    </xf>
    <xf numFmtId="0" fontId="14" fillId="3" borderId="67" xfId="9" applyFont="1" applyFill="1" applyBorder="1" applyAlignment="1">
      <alignment horizontal="left"/>
    </xf>
    <xf numFmtId="0" fontId="14" fillId="3" borderId="67" xfId="9" applyFont="1" applyFill="1" applyBorder="1"/>
    <xf numFmtId="0" fontId="8" fillId="3" borderId="67" xfId="9" applyFont="1" applyFill="1" applyBorder="1"/>
    <xf numFmtId="0" fontId="8" fillId="3" borderId="8" xfId="9" applyFont="1" applyFill="1" applyBorder="1" applyAlignment="1">
      <alignment horizontal="center"/>
    </xf>
    <xf numFmtId="0" fontId="27" fillId="3" borderId="26" xfId="9" applyFont="1" applyFill="1" applyBorder="1" applyAlignment="1">
      <alignment horizontal="center"/>
    </xf>
    <xf numFmtId="0" fontId="14" fillId="3" borderId="54" xfId="9" applyFont="1" applyFill="1" applyBorder="1"/>
    <xf numFmtId="0" fontId="13" fillId="7" borderId="19" xfId="9" applyFont="1" applyFill="1" applyBorder="1"/>
    <xf numFmtId="4" fontId="13" fillId="3" borderId="30" xfId="9" applyNumberFormat="1" applyFont="1" applyFill="1" applyBorder="1"/>
    <xf numFmtId="4" fontId="13" fillId="7" borderId="61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4" fontId="12" fillId="3" borderId="9" xfId="9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3" fontId="22" fillId="10" borderId="34" xfId="5" applyNumberFormat="1" applyFont="1" applyFill="1" applyBorder="1" applyAlignment="1">
      <alignment horizontal="center"/>
    </xf>
    <xf numFmtId="3" fontId="22" fillId="10" borderId="18" xfId="5" applyNumberFormat="1" applyFont="1" applyFill="1" applyBorder="1" applyAlignment="1">
      <alignment horizontal="center"/>
    </xf>
    <xf numFmtId="3" fontId="13" fillId="7" borderId="33" xfId="9" applyNumberFormat="1" applyFont="1" applyFill="1" applyBorder="1"/>
    <xf numFmtId="3" fontId="13" fillId="7" borderId="34" xfId="9" applyNumberFormat="1" applyFont="1" applyFill="1" applyBorder="1"/>
    <xf numFmtId="4" fontId="13" fillId="7" borderId="34" xfId="9" applyNumberFormat="1" applyFont="1" applyFill="1" applyBorder="1"/>
    <xf numFmtId="4" fontId="13" fillId="7" borderId="35" xfId="9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3" fontId="15" fillId="10" borderId="18" xfId="0" applyNumberFormat="1" applyFont="1" applyFill="1" applyBorder="1"/>
    <xf numFmtId="3" fontId="12" fillId="10" borderId="18" xfId="2" applyNumberFormat="1" applyFont="1" applyFill="1" applyBorder="1"/>
    <xf numFmtId="3" fontId="13" fillId="10" borderId="18" xfId="9" applyNumberFormat="1" applyFont="1" applyFill="1" applyBorder="1"/>
    <xf numFmtId="3" fontId="36" fillId="0" borderId="10" xfId="5" applyNumberFormat="1" applyFont="1" applyBorder="1"/>
    <xf numFmtId="3" fontId="15" fillId="10" borderId="17" xfId="0" applyNumberFormat="1" applyFont="1" applyFill="1" applyBorder="1"/>
    <xf numFmtId="4" fontId="15" fillId="10" borderId="19" xfId="0" applyNumberFormat="1" applyFont="1" applyFill="1" applyBorder="1"/>
    <xf numFmtId="3" fontId="0" fillId="0" borderId="1" xfId="0" applyNumberFormat="1" applyBorder="1"/>
    <xf numFmtId="4" fontId="39" fillId="7" borderId="61" xfId="5" applyNumberFormat="1" applyFont="1" applyFill="1" applyBorder="1"/>
    <xf numFmtId="4" fontId="39" fillId="10" borderId="19" xfId="5" applyNumberFormat="1" applyFont="1" applyFill="1" applyBorder="1"/>
    <xf numFmtId="3" fontId="14" fillId="10" borderId="23" xfId="14" applyNumberFormat="1" applyFont="1" applyFill="1" applyBorder="1" applyAlignment="1">
      <alignment horizontal="center" wrapText="1"/>
    </xf>
    <xf numFmtId="3" fontId="14" fillId="10" borderId="24" xfId="14" applyNumberFormat="1" applyFont="1" applyFill="1" applyBorder="1" applyAlignment="1">
      <alignment horizontal="center"/>
    </xf>
    <xf numFmtId="4" fontId="14" fillId="10" borderId="25" xfId="14" applyNumberFormat="1" applyFont="1" applyFill="1" applyBorder="1" applyAlignment="1">
      <alignment horizontal="center" wrapText="1"/>
    </xf>
    <xf numFmtId="3" fontId="13" fillId="10" borderId="9" xfId="5" applyNumberFormat="1" applyFont="1" applyFill="1" applyBorder="1"/>
    <xf numFmtId="3" fontId="13" fillId="10" borderId="9" xfId="5" applyNumberFormat="1" applyFont="1" applyFill="1" applyBorder="1" applyAlignment="1">
      <alignment horizontal="right"/>
    </xf>
    <xf numFmtId="3" fontId="37" fillId="10" borderId="9" xfId="5" applyNumberFormat="1" applyFont="1" applyFill="1" applyBorder="1"/>
    <xf numFmtId="3" fontId="13" fillId="10" borderId="13" xfId="5" applyNumberFormat="1" applyFont="1" applyFill="1" applyBorder="1"/>
    <xf numFmtId="3" fontId="22" fillId="10" borderId="33" xfId="5" applyNumberFormat="1" applyFont="1" applyFill="1" applyBorder="1" applyAlignment="1">
      <alignment horizontal="center"/>
    </xf>
    <xf numFmtId="4" fontId="22" fillId="10" borderId="35" xfId="5" applyNumberFormat="1" applyFont="1" applyFill="1" applyBorder="1" applyAlignment="1">
      <alignment horizontal="center"/>
    </xf>
    <xf numFmtId="3" fontId="39" fillId="10" borderId="40" xfId="5" applyNumberFormat="1" applyFont="1" applyFill="1" applyBorder="1"/>
    <xf numFmtId="3" fontId="39" fillId="10" borderId="20" xfId="5" applyNumberFormat="1" applyFont="1" applyFill="1" applyBorder="1"/>
    <xf numFmtId="3" fontId="21" fillId="0" borderId="6" xfId="0" applyNumberFormat="1" applyFont="1" applyBorder="1"/>
    <xf numFmtId="3" fontId="21" fillId="0" borderId="9" xfId="0" applyNumberFormat="1" applyFont="1" applyBorder="1"/>
    <xf numFmtId="3" fontId="21" fillId="0" borderId="13" xfId="0" applyNumberFormat="1" applyFont="1" applyBorder="1"/>
    <xf numFmtId="3" fontId="15" fillId="10" borderId="20" xfId="0" applyNumberFormat="1" applyFont="1" applyFill="1" applyBorder="1"/>
    <xf numFmtId="3" fontId="15" fillId="10" borderId="40" xfId="0" applyNumberFormat="1" applyFont="1" applyFill="1" applyBorder="1"/>
    <xf numFmtId="3" fontId="21" fillId="0" borderId="2" xfId="0" applyNumberFormat="1" applyFont="1" applyBorder="1"/>
    <xf numFmtId="3" fontId="21" fillId="0" borderId="3" xfId="0" applyNumberFormat="1" applyFont="1" applyBorder="1"/>
    <xf numFmtId="3" fontId="21" fillId="0" borderId="16" xfId="0" applyNumberFormat="1" applyFont="1" applyBorder="1"/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4" fontId="14" fillId="3" borderId="13" xfId="5" applyNumberFormat="1" applyFont="1" applyFill="1" applyBorder="1"/>
    <xf numFmtId="3" fontId="14" fillId="10" borderId="1" xfId="5" applyNumberFormat="1" applyFont="1" applyFill="1" applyBorder="1"/>
    <xf numFmtId="3" fontId="14" fillId="10" borderId="1" xfId="5" applyNumberFormat="1" applyFont="1" applyFill="1" applyBorder="1" applyAlignment="1">
      <alignment horizontal="right"/>
    </xf>
    <xf numFmtId="3" fontId="22" fillId="10" borderId="17" xfId="5" applyNumberFormat="1" applyFont="1" applyFill="1" applyBorder="1" applyAlignment="1">
      <alignment horizontal="center"/>
    </xf>
    <xf numFmtId="3" fontId="14" fillId="10" borderId="21" xfId="5" applyNumberFormat="1" applyFont="1" applyFill="1" applyBorder="1"/>
    <xf numFmtId="3" fontId="14" fillId="10" borderId="17" xfId="5" applyNumberFormat="1" applyFont="1" applyFill="1" applyBorder="1"/>
    <xf numFmtId="3" fontId="14" fillId="10" borderId="18" xfId="5" applyNumberFormat="1" applyFont="1" applyFill="1" applyBorder="1"/>
    <xf numFmtId="4" fontId="22" fillId="10" borderId="19" xfId="5" applyNumberFormat="1" applyFont="1" applyFill="1" applyBorder="1" applyAlignment="1">
      <alignment horizontal="center"/>
    </xf>
    <xf numFmtId="3" fontId="12" fillId="10" borderId="1" xfId="2" applyNumberFormat="1" applyFont="1" applyFill="1" applyBorder="1"/>
    <xf numFmtId="3" fontId="12" fillId="10" borderId="21" xfId="2" applyNumberFormat="1" applyFont="1" applyFill="1" applyBorder="1"/>
    <xf numFmtId="3" fontId="12" fillId="10" borderId="17" xfId="2" applyNumberFormat="1" applyFont="1" applyFill="1" applyBorder="1"/>
    <xf numFmtId="3" fontId="13" fillId="10" borderId="1" xfId="9" applyNumberFormat="1" applyFont="1" applyFill="1" applyBorder="1"/>
    <xf numFmtId="3" fontId="13" fillId="10" borderId="1" xfId="0" applyNumberFormat="1" applyFont="1" applyFill="1" applyBorder="1" applyAlignment="1">
      <alignment horizontal="right"/>
    </xf>
    <xf numFmtId="3" fontId="13" fillId="10" borderId="1" xfId="0" applyNumberFormat="1" applyFont="1" applyFill="1" applyBorder="1"/>
    <xf numFmtId="3" fontId="13" fillId="10" borderId="21" xfId="0" applyNumberFormat="1" applyFont="1" applyFill="1" applyBorder="1" applyAlignment="1">
      <alignment horizontal="right"/>
    </xf>
    <xf numFmtId="3" fontId="13" fillId="10" borderId="17" xfId="0" applyNumberFormat="1" applyFont="1" applyFill="1" applyBorder="1" applyAlignment="1">
      <alignment horizontal="right"/>
    </xf>
    <xf numFmtId="3" fontId="13" fillId="10" borderId="18" xfId="0" applyNumberFormat="1" applyFont="1" applyFill="1" applyBorder="1" applyAlignment="1">
      <alignment horizontal="right"/>
    </xf>
    <xf numFmtId="3" fontId="13" fillId="10" borderId="21" xfId="0" applyNumberFormat="1" applyFont="1" applyFill="1" applyBorder="1"/>
    <xf numFmtId="3" fontId="13" fillId="10" borderId="17" xfId="0" applyNumberFormat="1" applyFont="1" applyFill="1" applyBorder="1"/>
    <xf numFmtId="3" fontId="13" fillId="10" borderId="18" xfId="0" applyNumberFormat="1" applyFont="1" applyFill="1" applyBorder="1"/>
    <xf numFmtId="3" fontId="24" fillId="10" borderId="1" xfId="9" applyNumberFormat="1" applyFont="1" applyFill="1" applyBorder="1"/>
    <xf numFmtId="3" fontId="4" fillId="0" borderId="1" xfId="9" applyNumberFormat="1" applyBorder="1"/>
    <xf numFmtId="3" fontId="24" fillId="10" borderId="21" xfId="9" applyNumberFormat="1" applyFont="1" applyFill="1" applyBorder="1"/>
    <xf numFmtId="3" fontId="24" fillId="10" borderId="17" xfId="9" applyNumberFormat="1" applyFont="1" applyFill="1" applyBorder="1"/>
    <xf numFmtId="3" fontId="24" fillId="10" borderId="18" xfId="9" applyNumberFormat="1" applyFont="1" applyFill="1" applyBorder="1"/>
    <xf numFmtId="3" fontId="14" fillId="10" borderId="1" xfId="9" applyNumberFormat="1" applyFont="1" applyFill="1" applyBorder="1"/>
    <xf numFmtId="3" fontId="14" fillId="10" borderId="1" xfId="9" applyNumberFormat="1" applyFont="1" applyFill="1" applyBorder="1" applyAlignment="1">
      <alignment horizontal="right"/>
    </xf>
    <xf numFmtId="3" fontId="13" fillId="10" borderId="1" xfId="9" applyNumberFormat="1" applyFont="1" applyFill="1" applyBorder="1" applyAlignment="1">
      <alignment horizontal="right"/>
    </xf>
    <xf numFmtId="3" fontId="13" fillId="10" borderId="21" xfId="9" applyNumberFormat="1" applyFont="1" applyFill="1" applyBorder="1"/>
    <xf numFmtId="3" fontId="13" fillId="10" borderId="17" xfId="9" applyNumberFormat="1" applyFont="1" applyFill="1" applyBorder="1"/>
    <xf numFmtId="4" fontId="13" fillId="10" borderId="19" xfId="9" applyNumberFormat="1" applyFont="1" applyFill="1" applyBorder="1"/>
    <xf numFmtId="3" fontId="12" fillId="10" borderId="1" xfId="9" applyNumberFormat="1" applyFont="1" applyFill="1" applyBorder="1" applyAlignment="1">
      <alignment horizontal="right"/>
    </xf>
    <xf numFmtId="3" fontId="12" fillId="10" borderId="1" xfId="9" applyNumberFormat="1" applyFont="1" applyFill="1" applyBorder="1"/>
    <xf numFmtId="3" fontId="27" fillId="0" borderId="1" xfId="9" applyNumberFormat="1" applyFont="1" applyBorder="1"/>
    <xf numFmtId="3" fontId="24" fillId="10" borderId="47" xfId="9" applyNumberFormat="1" applyFont="1" applyFill="1" applyBorder="1"/>
    <xf numFmtId="4" fontId="7" fillId="0" borderId="9" xfId="0" applyNumberFormat="1" applyFont="1" applyBorder="1"/>
    <xf numFmtId="3" fontId="27" fillId="8" borderId="33" xfId="5" applyNumberFormat="1" applyFont="1" applyFill="1" applyBorder="1" applyAlignment="1">
      <alignment horizontal="center"/>
    </xf>
    <xf numFmtId="3" fontId="27" fillId="8" borderId="34" xfId="5" applyNumberFormat="1" applyFont="1" applyFill="1" applyBorder="1" applyAlignment="1">
      <alignment horizontal="center"/>
    </xf>
    <xf numFmtId="4" fontId="27" fillId="8" borderId="56" xfId="5" applyNumberFormat="1" applyFont="1" applyFill="1" applyBorder="1" applyAlignment="1">
      <alignment horizontal="center"/>
    </xf>
    <xf numFmtId="4" fontId="27" fillId="8" borderId="34" xfId="5" applyNumberFormat="1" applyFont="1" applyFill="1" applyBorder="1" applyAlignment="1">
      <alignment horizontal="center"/>
    </xf>
    <xf numFmtId="4" fontId="27" fillId="8" borderId="35" xfId="5" applyNumberFormat="1" applyFont="1" applyFill="1" applyBorder="1" applyAlignment="1">
      <alignment horizontal="center"/>
    </xf>
    <xf numFmtId="3" fontId="14" fillId="6" borderId="38" xfId="5" applyNumberFormat="1" applyFont="1" applyFill="1" applyBorder="1"/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4" fontId="14" fillId="6" borderId="61" xfId="5" applyNumberFormat="1" applyFont="1" applyFill="1" applyBorder="1"/>
    <xf numFmtId="3" fontId="7" fillId="0" borderId="24" xfId="0" applyNumberFormat="1" applyFont="1" applyBorder="1"/>
    <xf numFmtId="3" fontId="14" fillId="3" borderId="11" xfId="5" applyNumberFormat="1" applyFont="1" applyFill="1" applyBorder="1"/>
    <xf numFmtId="4" fontId="14" fillId="3" borderId="14" xfId="5" applyNumberFormat="1" applyFont="1" applyFill="1" applyBorder="1"/>
    <xf numFmtId="3" fontId="7" fillId="0" borderId="0" xfId="0" applyNumberFormat="1" applyFont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7" fillId="0" borderId="32" xfId="5" applyNumberFormat="1" applyFont="1" applyBorder="1"/>
    <xf numFmtId="4" fontId="27" fillId="0" borderId="9" xfId="5" applyNumberFormat="1" applyFont="1" applyBorder="1"/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3" fontId="39" fillId="4" borderId="47" xfId="5" applyNumberFormat="1" applyFont="1" applyFill="1" applyBorder="1"/>
    <xf numFmtId="3" fontId="14" fillId="4" borderId="47" xfId="5" applyNumberFormat="1" applyFont="1" applyFill="1" applyBorder="1"/>
    <xf numFmtId="3" fontId="24" fillId="4" borderId="70" xfId="9" applyNumberFormat="1" applyFont="1" applyFill="1" applyBorder="1"/>
    <xf numFmtId="3" fontId="13" fillId="4" borderId="18" xfId="9" applyNumberFormat="1" applyFont="1" applyFill="1" applyBorder="1"/>
    <xf numFmtId="4" fontId="15" fillId="4" borderId="36" xfId="0" applyNumberFormat="1" applyFont="1" applyFill="1" applyBorder="1"/>
    <xf numFmtId="4" fontId="13" fillId="4" borderId="5" xfId="2" applyNumberFormat="1" applyFont="1" applyFill="1" applyBorder="1" applyAlignment="1">
      <alignment horizontal="center" vertical="center" wrapText="1"/>
    </xf>
    <xf numFmtId="4" fontId="14" fillId="6" borderId="44" xfId="5" applyNumberFormat="1" applyFont="1" applyFill="1" applyBorder="1"/>
    <xf numFmtId="4" fontId="36" fillId="0" borderId="6" xfId="5" applyNumberFormat="1" applyFont="1" applyBorder="1"/>
    <xf numFmtId="4" fontId="13" fillId="3" borderId="30" xfId="0" applyNumberFormat="1" applyFont="1" applyFill="1" applyBorder="1" applyAlignment="1">
      <alignment horizontal="right"/>
    </xf>
    <xf numFmtId="4" fontId="13" fillId="3" borderId="6" xfId="0" applyNumberFormat="1" applyFont="1" applyFill="1" applyBorder="1"/>
    <xf numFmtId="2" fontId="36" fillId="0" borderId="32" xfId="5" applyNumberFormat="1" applyFont="1" applyBorder="1"/>
    <xf numFmtId="2" fontId="36" fillId="0" borderId="6" xfId="5" applyNumberFormat="1" applyFont="1" applyBorder="1"/>
    <xf numFmtId="2" fontId="36" fillId="0" borderId="9" xfId="5" applyNumberFormat="1" applyFont="1" applyBorder="1"/>
    <xf numFmtId="4" fontId="24" fillId="5" borderId="44" xfId="9" applyNumberFormat="1" applyFont="1" applyFill="1" applyBorder="1"/>
    <xf numFmtId="4" fontId="36" fillId="9" borderId="9" xfId="5" applyNumberFormat="1" applyFont="1" applyFill="1" applyBorder="1"/>
    <xf numFmtId="3" fontId="13" fillId="4" borderId="47" xfId="9" applyNumberFormat="1" applyFont="1" applyFill="1" applyBorder="1"/>
    <xf numFmtId="4" fontId="13" fillId="3" borderId="13" xfId="9" applyNumberFormat="1" applyFont="1" applyFill="1" applyBorder="1"/>
    <xf numFmtId="4" fontId="13" fillId="7" borderId="63" xfId="9" applyNumberFormat="1" applyFont="1" applyFill="1" applyBorder="1"/>
    <xf numFmtId="3" fontId="39" fillId="7" borderId="60" xfId="5" applyNumberFormat="1" applyFont="1" applyFill="1" applyBorder="1"/>
    <xf numFmtId="0" fontId="8" fillId="9" borderId="28" xfId="9" applyFont="1" applyFill="1" applyBorder="1"/>
    <xf numFmtId="0" fontId="27" fillId="9" borderId="28" xfId="9" applyFont="1" applyFill="1" applyBorder="1"/>
    <xf numFmtId="3" fontId="8" fillId="0" borderId="46" xfId="5" applyNumberFormat="1" applyFont="1" applyBorder="1"/>
    <xf numFmtId="3" fontId="8" fillId="0" borderId="28" xfId="5" applyNumberFormat="1" applyFont="1" applyBorder="1"/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3" fontId="13" fillId="3" borderId="41" xfId="9" applyNumberFormat="1" applyFont="1" applyFill="1" applyBorder="1"/>
    <xf numFmtId="3" fontId="13" fillId="7" borderId="70" xfId="9" applyNumberFormat="1" applyFont="1" applyFill="1" applyBorder="1"/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3" fontId="24" fillId="3" borderId="28" xfId="9" applyNumberFormat="1" applyFont="1" applyFill="1" applyBorder="1"/>
    <xf numFmtId="3" fontId="24" fillId="3" borderId="41" xfId="9" applyNumberFormat="1" applyFont="1" applyFill="1" applyBorder="1"/>
    <xf numFmtId="3" fontId="8" fillId="0" borderId="46" xfId="0" applyNumberFormat="1" applyFont="1" applyBorder="1"/>
    <xf numFmtId="4" fontId="15" fillId="4" borderId="35" xfId="0" applyNumberFormat="1" applyFont="1" applyFill="1" applyBorder="1"/>
    <xf numFmtId="4" fontId="8" fillId="0" borderId="32" xfId="0" applyNumberFormat="1" applyFont="1" applyBorder="1"/>
    <xf numFmtId="3" fontId="12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8" fillId="0" borderId="10" xfId="5" applyNumberFormat="1" applyFont="1" applyBorder="1"/>
    <xf numFmtId="3" fontId="14" fillId="3" borderId="10" xfId="9" applyNumberFormat="1" applyFont="1" applyFill="1" applyBorder="1"/>
    <xf numFmtId="3" fontId="14" fillId="3" borderId="10" xfId="9" applyNumberFormat="1" applyFont="1" applyFill="1" applyBorder="1" applyAlignment="1">
      <alignment horizontal="right"/>
    </xf>
    <xf numFmtId="3" fontId="24" fillId="3" borderId="10" xfId="9" applyNumberFormat="1" applyFont="1" applyFill="1" applyBorder="1"/>
    <xf numFmtId="3" fontId="24" fillId="3" borderId="14" xfId="9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3" fontId="13" fillId="3" borderId="41" xfId="5" applyNumberFormat="1" applyFont="1" applyFill="1" applyBorder="1"/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3" fontId="14" fillId="3" borderId="41" xfId="5" applyNumberFormat="1" applyFont="1" applyFill="1" applyBorder="1"/>
    <xf numFmtId="3" fontId="12" fillId="3" borderId="28" xfId="2" applyNumberFormat="1" applyFont="1" applyFill="1" applyBorder="1"/>
    <xf numFmtId="0" fontId="13" fillId="3" borderId="10" xfId="5" applyFont="1" applyFill="1" applyBorder="1" applyAlignment="1">
      <alignment horizontal="left"/>
    </xf>
    <xf numFmtId="0" fontId="7" fillId="0" borderId="28" xfId="5" applyFont="1" applyBorder="1" applyAlignment="1">
      <alignment horizontal="center"/>
    </xf>
    <xf numFmtId="3" fontId="13" fillId="10" borderId="3" xfId="5" applyNumberFormat="1" applyFont="1" applyFill="1" applyBorder="1"/>
    <xf numFmtId="4" fontId="13" fillId="10" borderId="10" xfId="5" applyNumberFormat="1" applyFont="1" applyFill="1" applyBorder="1"/>
    <xf numFmtId="3" fontId="13" fillId="10" borderId="3" xfId="5" applyNumberFormat="1" applyFont="1" applyFill="1" applyBorder="1" applyAlignment="1">
      <alignment horizontal="right"/>
    </xf>
    <xf numFmtId="4" fontId="13" fillId="10" borderId="10" xfId="5" applyNumberFormat="1" applyFont="1" applyFill="1" applyBorder="1" applyAlignment="1">
      <alignment horizontal="right"/>
    </xf>
    <xf numFmtId="3" fontId="37" fillId="10" borderId="3" xfId="5" applyNumberFormat="1" applyFont="1" applyFill="1" applyBorder="1"/>
    <xf numFmtId="4" fontId="37" fillId="10" borderId="10" xfId="5" applyNumberFormat="1" applyFont="1" applyFill="1" applyBorder="1"/>
    <xf numFmtId="3" fontId="13" fillId="10" borderId="16" xfId="5" applyNumberFormat="1" applyFont="1" applyFill="1" applyBorder="1"/>
    <xf numFmtId="4" fontId="13" fillId="10" borderId="14" xfId="5" applyNumberFormat="1" applyFont="1" applyFill="1" applyBorder="1"/>
    <xf numFmtId="3" fontId="14" fillId="10" borderId="8" xfId="5" applyNumberFormat="1" applyFont="1" applyFill="1" applyBorder="1"/>
    <xf numFmtId="4" fontId="14" fillId="10" borderId="10" xfId="5" applyNumberFormat="1" applyFont="1" applyFill="1" applyBorder="1"/>
    <xf numFmtId="3" fontId="14" fillId="10" borderId="8" xfId="5" applyNumberFormat="1" applyFont="1" applyFill="1" applyBorder="1" applyAlignment="1">
      <alignment horizontal="right"/>
    </xf>
    <xf numFmtId="4" fontId="14" fillId="10" borderId="10" xfId="5" applyNumberFormat="1" applyFont="1" applyFill="1" applyBorder="1" applyAlignment="1">
      <alignment horizontal="right"/>
    </xf>
    <xf numFmtId="3" fontId="14" fillId="10" borderId="26" xfId="5" applyNumberFormat="1" applyFont="1" applyFill="1" applyBorder="1"/>
    <xf numFmtId="4" fontId="14" fillId="10" borderId="27" xfId="5" applyNumberFormat="1" applyFont="1" applyFill="1" applyBorder="1"/>
    <xf numFmtId="4" fontId="14" fillId="10" borderId="19" xfId="5" applyNumberFormat="1" applyFont="1" applyFill="1" applyBorder="1"/>
    <xf numFmtId="3" fontId="12" fillId="10" borderId="8" xfId="2" applyNumberFormat="1" applyFont="1" applyFill="1" applyBorder="1"/>
    <xf numFmtId="4" fontId="12" fillId="10" borderId="10" xfId="2" applyNumberFormat="1" applyFont="1" applyFill="1" applyBorder="1"/>
    <xf numFmtId="3" fontId="14" fillId="0" borderId="8" xfId="0" applyNumberFormat="1" applyFont="1" applyBorder="1"/>
    <xf numFmtId="4" fontId="0" fillId="0" borderId="10" xfId="0" applyNumberFormat="1" applyBorder="1"/>
    <xf numFmtId="3" fontId="12" fillId="10" borderId="26" xfId="2" applyNumberFormat="1" applyFont="1" applyFill="1" applyBorder="1"/>
    <xf numFmtId="4" fontId="12" fillId="10" borderId="27" xfId="2" applyNumberFormat="1" applyFont="1" applyFill="1" applyBorder="1"/>
    <xf numFmtId="4" fontId="12" fillId="10" borderId="19" xfId="2" applyNumberFormat="1" applyFont="1" applyFill="1" applyBorder="1"/>
    <xf numFmtId="3" fontId="13" fillId="10" borderId="8" xfId="0" applyNumberFormat="1" applyFont="1" applyFill="1" applyBorder="1" applyAlignment="1">
      <alignment horizontal="right"/>
    </xf>
    <xf numFmtId="4" fontId="13" fillId="10" borderId="10" xfId="0" applyNumberFormat="1" applyFont="1" applyFill="1" applyBorder="1" applyAlignment="1">
      <alignment horizontal="right"/>
    </xf>
    <xf numFmtId="3" fontId="13" fillId="10" borderId="8" xfId="0" applyNumberFormat="1" applyFont="1" applyFill="1" applyBorder="1"/>
    <xf numFmtId="4" fontId="13" fillId="10" borderId="10" xfId="0" applyNumberFormat="1" applyFont="1" applyFill="1" applyBorder="1"/>
    <xf numFmtId="3" fontId="13" fillId="10" borderId="26" xfId="0" applyNumberFormat="1" applyFont="1" applyFill="1" applyBorder="1" applyAlignment="1">
      <alignment horizontal="right"/>
    </xf>
    <xf numFmtId="4" fontId="13" fillId="10" borderId="27" xfId="0" applyNumberFormat="1" applyFont="1" applyFill="1" applyBorder="1" applyAlignment="1">
      <alignment horizontal="right"/>
    </xf>
    <xf numFmtId="4" fontId="13" fillId="10" borderId="19" xfId="0" applyNumberFormat="1" applyFont="1" applyFill="1" applyBorder="1" applyAlignment="1">
      <alignment horizontal="right"/>
    </xf>
    <xf numFmtId="3" fontId="13" fillId="10" borderId="26" xfId="0" applyNumberFormat="1" applyFont="1" applyFill="1" applyBorder="1"/>
    <xf numFmtId="4" fontId="13" fillId="10" borderId="27" xfId="0" applyNumberFormat="1" applyFont="1" applyFill="1" applyBorder="1"/>
    <xf numFmtId="4" fontId="13" fillId="10" borderId="19" xfId="0" applyNumberFormat="1" applyFont="1" applyFill="1" applyBorder="1"/>
    <xf numFmtId="3" fontId="13" fillId="10" borderId="50" xfId="0" applyNumberFormat="1" applyFont="1" applyFill="1" applyBorder="1"/>
    <xf numFmtId="3" fontId="13" fillId="10" borderId="53" xfId="0" applyNumberFormat="1" applyFont="1" applyFill="1" applyBorder="1"/>
    <xf numFmtId="4" fontId="13" fillId="10" borderId="73" xfId="0" applyNumberFormat="1" applyFont="1" applyFill="1" applyBorder="1"/>
    <xf numFmtId="3" fontId="14" fillId="3" borderId="4" xfId="9" applyNumberFormat="1" applyFont="1" applyFill="1" applyBorder="1"/>
    <xf numFmtId="3" fontId="14" fillId="3" borderId="5" xfId="9" applyNumberFormat="1" applyFont="1" applyFill="1" applyBorder="1"/>
    <xf numFmtId="3" fontId="14" fillId="3" borderId="7" xfId="9" applyNumberFormat="1" applyFont="1" applyFill="1" applyBorder="1"/>
    <xf numFmtId="3" fontId="14" fillId="3" borderId="37" xfId="9" applyNumberFormat="1" applyFont="1" applyFill="1" applyBorder="1"/>
    <xf numFmtId="4" fontId="24" fillId="5" borderId="61" xfId="9" applyNumberFormat="1" applyFont="1" applyFill="1" applyBorder="1"/>
    <xf numFmtId="3" fontId="24" fillId="5" borderId="44" xfId="9" applyNumberFormat="1" applyFont="1" applyFill="1" applyBorder="1"/>
    <xf numFmtId="3" fontId="13" fillId="10" borderId="8" xfId="9" applyNumberFormat="1" applyFont="1" applyFill="1" applyBorder="1"/>
    <xf numFmtId="4" fontId="13" fillId="10" borderId="10" xfId="9" applyNumberFormat="1" applyFont="1" applyFill="1" applyBorder="1"/>
    <xf numFmtId="3" fontId="24" fillId="10" borderId="8" xfId="9" applyNumberFormat="1" applyFont="1" applyFill="1" applyBorder="1"/>
    <xf numFmtId="4" fontId="24" fillId="10" borderId="10" xfId="9" applyNumberFormat="1" applyFont="1" applyFill="1" applyBorder="1"/>
    <xf numFmtId="3" fontId="4" fillId="0" borderId="8" xfId="9" applyNumberFormat="1" applyBorder="1"/>
    <xf numFmtId="4" fontId="4" fillId="0" borderId="10" xfId="9" applyNumberFormat="1" applyBorder="1"/>
    <xf numFmtId="3" fontId="24" fillId="10" borderId="26" xfId="9" applyNumberFormat="1" applyFont="1" applyFill="1" applyBorder="1"/>
    <xf numFmtId="4" fontId="24" fillId="10" borderId="27" xfId="9" applyNumberFormat="1" applyFont="1" applyFill="1" applyBorder="1"/>
    <xf numFmtId="4" fontId="24" fillId="10" borderId="19" xfId="9" applyNumberFormat="1" applyFont="1" applyFill="1" applyBorder="1"/>
    <xf numFmtId="4" fontId="14" fillId="10" borderId="10" xfId="9" applyNumberFormat="1" applyFont="1" applyFill="1" applyBorder="1"/>
    <xf numFmtId="4" fontId="14" fillId="10" borderId="10" xfId="9" applyNumberFormat="1" applyFont="1" applyFill="1" applyBorder="1" applyAlignment="1">
      <alignment horizontal="right"/>
    </xf>
    <xf numFmtId="3" fontId="27" fillId="0" borderId="8" xfId="9" applyNumberFormat="1" applyFont="1" applyBorder="1"/>
    <xf numFmtId="4" fontId="27" fillId="0" borderId="10" xfId="9" applyNumberFormat="1" applyFont="1" applyBorder="1"/>
    <xf numFmtId="4" fontId="24" fillId="10" borderId="63" xfId="9" applyNumberFormat="1" applyFont="1" applyFill="1" applyBorder="1"/>
    <xf numFmtId="3" fontId="13" fillId="10" borderId="8" xfId="9" applyNumberFormat="1" applyFont="1" applyFill="1" applyBorder="1" applyAlignment="1">
      <alignment horizontal="right"/>
    </xf>
    <xf numFmtId="4" fontId="13" fillId="10" borderId="10" xfId="9" applyNumberFormat="1" applyFont="1" applyFill="1" applyBorder="1" applyAlignment="1">
      <alignment horizontal="right"/>
    </xf>
    <xf numFmtId="3" fontId="13" fillId="10" borderId="26" xfId="9" applyNumberFormat="1" applyFont="1" applyFill="1" applyBorder="1"/>
    <xf numFmtId="4" fontId="13" fillId="10" borderId="27" xfId="9" applyNumberFormat="1" applyFont="1" applyFill="1" applyBorder="1"/>
    <xf numFmtId="4" fontId="36" fillId="0" borderId="7" xfId="5" applyNumberFormat="1" applyFont="1" applyBorder="1"/>
    <xf numFmtId="3" fontId="12" fillId="10" borderId="8" xfId="9" applyNumberFormat="1" applyFont="1" applyFill="1" applyBorder="1" applyAlignment="1">
      <alignment horizontal="right"/>
    </xf>
    <xf numFmtId="4" fontId="12" fillId="10" borderId="10" xfId="9" applyNumberFormat="1" applyFont="1" applyFill="1" applyBorder="1" applyAlignment="1">
      <alignment horizontal="right"/>
    </xf>
    <xf numFmtId="3" fontId="12" fillId="10" borderId="8" xfId="9" applyNumberFormat="1" applyFont="1" applyFill="1" applyBorder="1"/>
    <xf numFmtId="4" fontId="12" fillId="10" borderId="10" xfId="9" applyNumberFormat="1" applyFont="1" applyFill="1" applyBorder="1"/>
    <xf numFmtId="4" fontId="24" fillId="0" borderId="30" xfId="0" applyNumberFormat="1" applyFont="1" applyBorder="1" applyAlignment="1">
      <alignment horizontal="center" vertical="center" wrapText="1"/>
    </xf>
    <xf numFmtId="3" fontId="13" fillId="3" borderId="4" xfId="9" applyNumberFormat="1" applyFont="1" applyFill="1" applyBorder="1"/>
    <xf numFmtId="3" fontId="13" fillId="3" borderId="5" xfId="9" applyNumberFormat="1" applyFont="1" applyFill="1" applyBorder="1"/>
    <xf numFmtId="4" fontId="13" fillId="3" borderId="5" xfId="9" applyNumberFormat="1" applyFont="1" applyFill="1" applyBorder="1"/>
    <xf numFmtId="4" fontId="13" fillId="3" borderId="7" xfId="9" applyNumberFormat="1" applyFont="1" applyFill="1" applyBorder="1"/>
    <xf numFmtId="3" fontId="8" fillId="0" borderId="62" xfId="5" applyNumberFormat="1" applyFont="1" applyBorder="1"/>
    <xf numFmtId="3" fontId="8" fillId="0" borderId="4" xfId="5" applyNumberFormat="1" applyFont="1" applyBorder="1"/>
    <xf numFmtId="3" fontId="8" fillId="0" borderId="5" xfId="5" applyNumberFormat="1" applyFont="1" applyBorder="1"/>
    <xf numFmtId="3" fontId="8" fillId="0" borderId="7" xfId="5" applyNumberFormat="1" applyFont="1" applyBorder="1"/>
    <xf numFmtId="3" fontId="8" fillId="0" borderId="37" xfId="5" applyNumberFormat="1" applyFont="1" applyBorder="1"/>
    <xf numFmtId="4" fontId="8" fillId="0" borderId="5" xfId="5" applyNumberFormat="1" applyFont="1" applyBorder="1"/>
    <xf numFmtId="3" fontId="22" fillId="8" borderId="19" xfId="5" applyNumberFormat="1" applyFont="1" applyFill="1" applyBorder="1" applyAlignment="1">
      <alignment horizontal="center"/>
    </xf>
    <xf numFmtId="4" fontId="14" fillId="3" borderId="5" xfId="9" applyNumberFormat="1" applyFont="1" applyFill="1" applyBorder="1"/>
    <xf numFmtId="3" fontId="14" fillId="10" borderId="28" xfId="9" applyNumberFormat="1" applyFont="1" applyFill="1" applyBorder="1"/>
    <xf numFmtId="3" fontId="14" fillId="10" borderId="28" xfId="9" applyNumberFormat="1" applyFont="1" applyFill="1" applyBorder="1" applyAlignment="1">
      <alignment horizontal="right"/>
    </xf>
    <xf numFmtId="3" fontId="4" fillId="0" borderId="28" xfId="9" applyNumberFormat="1" applyBorder="1"/>
    <xf numFmtId="3" fontId="27" fillId="0" borderId="28" xfId="9" applyNumberFormat="1" applyFont="1" applyBorder="1"/>
    <xf numFmtId="3" fontId="14" fillId="0" borderId="28" xfId="0" applyNumberFormat="1" applyFont="1" applyBorder="1"/>
    <xf numFmtId="3" fontId="24" fillId="10" borderId="28" xfId="9" applyNumberFormat="1" applyFont="1" applyFill="1" applyBorder="1"/>
    <xf numFmtId="3" fontId="24" fillId="10" borderId="70" xfId="9" applyNumberFormat="1" applyFont="1" applyFill="1" applyBorder="1"/>
    <xf numFmtId="4" fontId="8" fillId="0" borderId="6" xfId="5" applyNumberFormat="1" applyFont="1" applyBorder="1"/>
    <xf numFmtId="4" fontId="8" fillId="0" borderId="9" xfId="5" applyNumberFormat="1" applyFont="1" applyBorder="1"/>
    <xf numFmtId="4" fontId="14" fillId="3" borderId="6" xfId="9" applyNumberFormat="1" applyFont="1" applyFill="1" applyBorder="1"/>
    <xf numFmtId="4" fontId="13" fillId="0" borderId="63" xfId="2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22" fillId="0" borderId="0" xfId="5" applyFont="1" applyAlignment="1">
      <alignment horizontal="center"/>
    </xf>
    <xf numFmtId="3" fontId="7" fillId="11" borderId="8" xfId="0" applyNumberFormat="1" applyFont="1" applyFill="1" applyBorder="1"/>
    <xf numFmtId="2" fontId="36" fillId="11" borderId="1" xfId="5" applyNumberFormat="1" applyFont="1" applyFill="1" applyBorder="1"/>
    <xf numFmtId="0" fontId="36" fillId="11" borderId="0" xfId="5" applyFont="1" applyFill="1"/>
    <xf numFmtId="3" fontId="24" fillId="10" borderId="0" xfId="5" applyNumberFormat="1" applyFont="1" applyFill="1"/>
    <xf numFmtId="3" fontId="2" fillId="0" borderId="0" xfId="9" applyNumberFormat="1" applyFont="1"/>
    <xf numFmtId="4" fontId="2" fillId="0" borderId="0" xfId="9" applyNumberFormat="1" applyFont="1"/>
    <xf numFmtId="2" fontId="2" fillId="0" borderId="0" xfId="9" applyNumberFormat="1" applyFont="1"/>
    <xf numFmtId="3" fontId="4" fillId="9" borderId="0" xfId="9" applyNumberFormat="1" applyFill="1"/>
    <xf numFmtId="3" fontId="8" fillId="9" borderId="1" xfId="5" applyNumberFormat="1" applyFont="1" applyFill="1" applyBorder="1"/>
    <xf numFmtId="4" fontId="8" fillId="9" borderId="1" xfId="5" applyNumberFormat="1" applyFont="1" applyFill="1" applyBorder="1"/>
    <xf numFmtId="3" fontId="2" fillId="9" borderId="0" xfId="9" applyNumberFormat="1" applyFont="1" applyFill="1"/>
    <xf numFmtId="3" fontId="2" fillId="0" borderId="0" xfId="9" applyNumberFormat="1" applyFont="1" applyAlignment="1">
      <alignment horizontal="right"/>
    </xf>
    <xf numFmtId="4" fontId="2" fillId="0" borderId="0" xfId="9" applyNumberFormat="1" applyFont="1" applyAlignment="1">
      <alignment horizontal="right"/>
    </xf>
    <xf numFmtId="3" fontId="2" fillId="9" borderId="0" xfId="9" applyNumberFormat="1" applyFont="1" applyFill="1" applyAlignment="1">
      <alignment horizontal="right"/>
    </xf>
    <xf numFmtId="0" fontId="51" fillId="0" borderId="0" xfId="0" applyFont="1"/>
    <xf numFmtId="0" fontId="11" fillId="0" borderId="0" xfId="7"/>
    <xf numFmtId="0" fontId="53" fillId="0" borderId="74" xfId="0" applyFont="1" applyBorder="1"/>
    <xf numFmtId="0" fontId="11" fillId="0" borderId="75" xfId="0" applyFont="1" applyBorder="1"/>
    <xf numFmtId="0" fontId="11" fillId="0" borderId="76" xfId="0" applyFont="1" applyBorder="1"/>
    <xf numFmtId="0" fontId="54" fillId="0" borderId="0" xfId="0" applyFont="1"/>
    <xf numFmtId="0" fontId="54" fillId="0" borderId="78" xfId="0" applyFont="1" applyBorder="1"/>
    <xf numFmtId="0" fontId="54" fillId="0" borderId="77" xfId="0" applyFont="1" applyBorder="1" applyAlignment="1">
      <alignment horizontal="left" vertical="center"/>
    </xf>
    <xf numFmtId="0" fontId="55" fillId="0" borderId="0" xfId="15" applyFont="1" applyBorder="1"/>
    <xf numFmtId="0" fontId="52" fillId="0" borderId="80" xfId="0" applyFont="1" applyBorder="1"/>
    <xf numFmtId="0" fontId="55" fillId="0" borderId="80" xfId="15" applyFont="1" applyBorder="1"/>
    <xf numFmtId="0" fontId="54" fillId="0" borderId="80" xfId="0" applyFont="1" applyBorder="1"/>
    <xf numFmtId="0" fontId="54" fillId="0" borderId="81" xfId="0" applyFont="1" applyBorder="1"/>
    <xf numFmtId="0" fontId="56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6" fillId="0" borderId="0" xfId="0" applyFont="1"/>
    <xf numFmtId="0" fontId="11" fillId="0" borderId="77" xfId="0" applyFont="1" applyBorder="1" applyAlignment="1">
      <alignment horizontal="left" vertical="center"/>
    </xf>
    <xf numFmtId="0" fontId="52" fillId="0" borderId="0" xfId="0" applyFont="1"/>
    <xf numFmtId="0" fontId="11" fillId="0" borderId="79" xfId="0" applyFont="1" applyBorder="1" applyAlignment="1">
      <alignment horizontal="left" vertical="center"/>
    </xf>
    <xf numFmtId="4" fontId="22" fillId="8" borderId="20" xfId="5" applyNumberFormat="1" applyFont="1" applyFill="1" applyBorder="1" applyAlignment="1">
      <alignment horizontal="center"/>
    </xf>
    <xf numFmtId="4" fontId="9" fillId="0" borderId="5" xfId="0" applyNumberFormat="1" applyFont="1" applyBorder="1"/>
    <xf numFmtId="4" fontId="8" fillId="0" borderId="37" xfId="5" applyNumberFormat="1" applyFont="1" applyBorder="1"/>
    <xf numFmtId="4" fontId="8" fillId="0" borderId="7" xfId="5" applyNumberFormat="1" applyFont="1" applyBorder="1"/>
    <xf numFmtId="4" fontId="12" fillId="3" borderId="28" xfId="2" applyNumberFormat="1" applyFont="1" applyFill="1" applyBorder="1"/>
    <xf numFmtId="4" fontId="8" fillId="0" borderId="28" xfId="5" applyNumberFormat="1" applyFont="1" applyBorder="1"/>
    <xf numFmtId="4" fontId="12" fillId="3" borderId="29" xfId="2" applyNumberFormat="1" applyFont="1" applyFill="1" applyBorder="1"/>
    <xf numFmtId="4" fontId="12" fillId="3" borderId="27" xfId="2" applyNumberFormat="1" applyFont="1" applyFill="1" applyBorder="1"/>
    <xf numFmtId="3" fontId="12" fillId="3" borderId="29" xfId="2" applyNumberFormat="1" applyFont="1" applyFill="1" applyBorder="1"/>
    <xf numFmtId="3" fontId="12" fillId="4" borderId="22" xfId="2" applyNumberFormat="1" applyFont="1" applyFill="1" applyBorder="1"/>
    <xf numFmtId="4" fontId="12" fillId="4" borderId="20" xfId="2" applyNumberFormat="1" applyFont="1" applyFill="1" applyBorder="1"/>
    <xf numFmtId="0" fontId="1" fillId="0" borderId="0" xfId="5" applyFont="1" applyAlignment="1">
      <alignment horizontal="center"/>
    </xf>
    <xf numFmtId="3" fontId="36" fillId="0" borderId="50" xfId="5" applyNumberFormat="1" applyFont="1" applyBorder="1"/>
    <xf numFmtId="4" fontId="13" fillId="3" borderId="28" xfId="0" applyNumberFormat="1" applyFont="1" applyFill="1" applyBorder="1" applyAlignment="1">
      <alignment horizontal="right"/>
    </xf>
    <xf numFmtId="4" fontId="13" fillId="3" borderId="28" xfId="0" applyNumberFormat="1" applyFont="1" applyFill="1" applyBorder="1"/>
    <xf numFmtId="4" fontId="13" fillId="3" borderId="29" xfId="0" applyNumberFormat="1" applyFont="1" applyFill="1" applyBorder="1" applyAlignment="1">
      <alignment horizontal="right"/>
    </xf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4" fontId="13" fillId="4" borderId="42" xfId="0" applyNumberFormat="1" applyFont="1" applyFill="1" applyBorder="1" applyAlignment="1">
      <alignment horizontal="right"/>
    </xf>
    <xf numFmtId="3" fontId="36" fillId="0" borderId="52" xfId="5" applyNumberFormat="1" applyFont="1" applyBorder="1"/>
    <xf numFmtId="3" fontId="13" fillId="3" borderId="29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3" fontId="13" fillId="3" borderId="26" xfId="0" applyNumberFormat="1" applyFont="1" applyFill="1" applyBorder="1"/>
    <xf numFmtId="4" fontId="13" fillId="3" borderId="29" xfId="0" applyNumberFormat="1" applyFont="1" applyFill="1" applyBorder="1"/>
    <xf numFmtId="4" fontId="13" fillId="3" borderId="27" xfId="0" applyNumberFormat="1" applyFont="1" applyFill="1" applyBorder="1"/>
    <xf numFmtId="3" fontId="36" fillId="0" borderId="37" xfId="5" applyNumberFormat="1" applyFont="1" applyBorder="1"/>
    <xf numFmtId="3" fontId="9" fillId="0" borderId="5" xfId="0" applyNumberFormat="1" applyFont="1" applyBorder="1"/>
    <xf numFmtId="3" fontId="13" fillId="4" borderId="17" xfId="0" applyNumberFormat="1" applyFont="1" applyFill="1" applyBorder="1"/>
    <xf numFmtId="3" fontId="13" fillId="4" borderId="22" xfId="0" applyNumberFormat="1" applyFont="1" applyFill="1" applyBorder="1"/>
    <xf numFmtId="4" fontId="13" fillId="4" borderId="22" xfId="0" applyNumberFormat="1" applyFont="1" applyFill="1" applyBorder="1"/>
    <xf numFmtId="4" fontId="13" fillId="4" borderId="42" xfId="0" applyNumberFormat="1" applyFont="1" applyFill="1" applyBorder="1"/>
    <xf numFmtId="4" fontId="13" fillId="4" borderId="72" xfId="0" applyNumberFormat="1" applyFont="1" applyFill="1" applyBorder="1"/>
    <xf numFmtId="3" fontId="36" fillId="0" borderId="26" xfId="5" applyNumberFormat="1" applyFont="1" applyBorder="1"/>
    <xf numFmtId="3" fontId="36" fillId="0" borderId="21" xfId="5" applyNumberFormat="1" applyFont="1" applyBorder="1"/>
    <xf numFmtId="4" fontId="36" fillId="0" borderId="21" xfId="5" applyNumberFormat="1" applyFont="1" applyBorder="1"/>
    <xf numFmtId="4" fontId="36" fillId="0" borderId="27" xfId="5" applyNumberFormat="1" applyFont="1" applyBorder="1"/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3" fontId="12" fillId="10" borderId="18" xfId="0" applyNumberFormat="1" applyFont="1" applyFill="1" applyBorder="1" applyAlignment="1">
      <alignment horizontal="right"/>
    </xf>
    <xf numFmtId="4" fontId="12" fillId="10" borderId="19" xfId="0" applyNumberFormat="1" applyFont="1" applyFill="1" applyBorder="1" applyAlignment="1">
      <alignment horizontal="right"/>
    </xf>
    <xf numFmtId="3" fontId="15" fillId="10" borderId="34" xfId="0" applyNumberFormat="1" applyFont="1" applyFill="1" applyBorder="1"/>
    <xf numFmtId="4" fontId="15" fillId="10" borderId="35" xfId="0" applyNumberFormat="1" applyFont="1" applyFill="1" applyBorder="1"/>
    <xf numFmtId="4" fontId="36" fillId="0" borderId="30" xfId="5" applyNumberFormat="1" applyFont="1" applyBorder="1"/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5" fillId="10" borderId="56" xfId="0" applyNumberFormat="1" applyFont="1" applyFill="1" applyBorder="1"/>
    <xf numFmtId="3" fontId="12" fillId="10" borderId="17" xfId="0" applyNumberFormat="1" applyFont="1" applyFill="1" applyBorder="1" applyAlignment="1">
      <alignment horizontal="right"/>
    </xf>
    <xf numFmtId="0" fontId="25" fillId="3" borderId="0" xfId="8" applyFont="1" applyFill="1" applyAlignment="1">
      <alignment horizontal="center"/>
    </xf>
    <xf numFmtId="3" fontId="47" fillId="4" borderId="1" xfId="0" applyNumberFormat="1" applyFont="1" applyFill="1" applyBorder="1" applyAlignment="1">
      <alignment horizontal="center" vertical="center" wrapText="1"/>
    </xf>
    <xf numFmtId="4" fontId="14" fillId="0" borderId="5" xfId="0" applyNumberFormat="1" applyFont="1" applyBorder="1" applyAlignment="1">
      <alignment horizontal="left"/>
    </xf>
    <xf numFmtId="4" fontId="14" fillId="0" borderId="7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horizontal="left"/>
    </xf>
    <xf numFmtId="4" fontId="14" fillId="0" borderId="10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3" fontId="46" fillId="5" borderId="49" xfId="0" applyNumberFormat="1" applyFont="1" applyFill="1" applyBorder="1" applyAlignment="1">
      <alignment horizontal="center" vertical="center"/>
    </xf>
    <xf numFmtId="3" fontId="46" fillId="5" borderId="29" xfId="0" applyNumberFormat="1" applyFont="1" applyFill="1" applyBorder="1" applyAlignment="1">
      <alignment horizontal="center" vertical="center"/>
    </xf>
    <xf numFmtId="3" fontId="46" fillId="5" borderId="0" xfId="0" applyNumberFormat="1" applyFont="1" applyFill="1" applyAlignment="1">
      <alignment horizontal="center" vertical="center"/>
    </xf>
    <xf numFmtId="3" fontId="46" fillId="5" borderId="52" xfId="0" applyNumberFormat="1" applyFont="1" applyFill="1" applyBorder="1" applyAlignment="1">
      <alignment horizontal="center" vertical="center"/>
    </xf>
    <xf numFmtId="3" fontId="46" fillId="5" borderId="39" xfId="0" applyNumberFormat="1" applyFont="1" applyFill="1" applyBorder="1" applyAlignment="1">
      <alignment horizontal="center" vertical="center"/>
    </xf>
    <xf numFmtId="3" fontId="46" fillId="5" borderId="37" xfId="0" applyNumberFormat="1" applyFont="1" applyFill="1" applyBorder="1" applyAlignment="1">
      <alignment horizontal="center" vertical="center"/>
    </xf>
    <xf numFmtId="3" fontId="46" fillId="5" borderId="21" xfId="0" applyNumberFormat="1" applyFont="1" applyFill="1" applyBorder="1" applyAlignment="1">
      <alignment horizontal="center" vertical="center" wrapText="1"/>
    </xf>
    <xf numFmtId="3" fontId="46" fillId="5" borderId="53" xfId="0" applyNumberFormat="1" applyFont="1" applyFill="1" applyBorder="1" applyAlignment="1">
      <alignment horizontal="center" vertical="center" wrapText="1"/>
    </xf>
    <xf numFmtId="3" fontId="46" fillId="5" borderId="47" xfId="0" applyNumberFormat="1" applyFont="1" applyFill="1" applyBorder="1" applyAlignment="1">
      <alignment horizontal="center" vertical="center" wrapText="1"/>
    </xf>
    <xf numFmtId="4" fontId="46" fillId="5" borderId="9" xfId="0" applyNumberFormat="1" applyFont="1" applyFill="1" applyBorder="1" applyAlignment="1">
      <alignment horizontal="center" vertical="center"/>
    </xf>
    <xf numFmtId="4" fontId="46" fillId="5" borderId="48" xfId="0" applyNumberFormat="1" applyFont="1" applyFill="1" applyBorder="1" applyAlignment="1">
      <alignment horizontal="center" vertical="center"/>
    </xf>
    <xf numFmtId="4" fontId="46" fillId="5" borderId="67" xfId="0" applyNumberFormat="1" applyFont="1" applyFill="1" applyBorder="1" applyAlignment="1">
      <alignment horizontal="center" vertical="center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3" fontId="45" fillId="10" borderId="23" xfId="0" applyNumberFormat="1" applyFont="1" applyFill="1" applyBorder="1" applyAlignment="1">
      <alignment horizontal="center" wrapText="1"/>
    </xf>
    <xf numFmtId="3" fontId="45" fillId="10" borderId="24" xfId="0" applyNumberFormat="1" applyFont="1" applyFill="1" applyBorder="1" applyAlignment="1">
      <alignment horizontal="center"/>
    </xf>
    <xf numFmtId="3" fontId="45" fillId="10" borderId="25" xfId="0" applyNumberFormat="1" applyFont="1" applyFill="1" applyBorder="1" applyAlignment="1">
      <alignment horizontal="center"/>
    </xf>
    <xf numFmtId="3" fontId="45" fillId="10" borderId="11" xfId="0" applyNumberFormat="1" applyFont="1" applyFill="1" applyBorder="1" applyAlignment="1">
      <alignment horizontal="center"/>
    </xf>
    <xf numFmtId="3" fontId="45" fillId="10" borderId="12" xfId="0" applyNumberFormat="1" applyFont="1" applyFill="1" applyBorder="1" applyAlignment="1">
      <alignment horizontal="center"/>
    </xf>
    <xf numFmtId="3" fontId="45" fillId="10" borderId="14" xfId="0" applyNumberFormat="1" applyFont="1" applyFill="1" applyBorder="1" applyAlignment="1">
      <alignment horizontal="center"/>
    </xf>
    <xf numFmtId="0" fontId="14" fillId="0" borderId="58" xfId="0" applyFont="1" applyBorder="1" applyAlignment="1">
      <alignment horizontal="center" wrapText="1"/>
    </xf>
    <xf numFmtId="0" fontId="14" fillId="0" borderId="55" xfId="0" applyFont="1" applyBorder="1" applyAlignment="1">
      <alignment horizontal="center" wrapText="1"/>
    </xf>
    <xf numFmtId="0" fontId="14" fillId="0" borderId="57" xfId="0" applyFont="1" applyBorder="1" applyAlignment="1">
      <alignment horizontal="center" wrapText="1"/>
    </xf>
    <xf numFmtId="0" fontId="14" fillId="0" borderId="6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44" xfId="0" applyFont="1" applyBorder="1" applyAlignment="1">
      <alignment horizontal="center" wrapText="1"/>
    </xf>
    <xf numFmtId="3" fontId="45" fillId="4" borderId="58" xfId="0" applyNumberFormat="1" applyFont="1" applyFill="1" applyBorder="1" applyAlignment="1">
      <alignment horizontal="center" wrapText="1"/>
    </xf>
    <xf numFmtId="3" fontId="45" fillId="4" borderId="55" xfId="0" applyNumberFormat="1" applyFont="1" applyFill="1" applyBorder="1" applyAlignment="1">
      <alignment horizontal="center"/>
    </xf>
    <xf numFmtId="3" fontId="45" fillId="4" borderId="57" xfId="0" applyNumberFormat="1" applyFont="1" applyFill="1" applyBorder="1" applyAlignment="1">
      <alignment horizontal="center"/>
    </xf>
    <xf numFmtId="3" fontId="45" fillId="4" borderId="60" xfId="0" applyNumberFormat="1" applyFont="1" applyFill="1" applyBorder="1" applyAlignment="1">
      <alignment horizontal="center"/>
    </xf>
    <xf numFmtId="3" fontId="45" fillId="4" borderId="45" xfId="0" applyNumberFormat="1" applyFont="1" applyFill="1" applyBorder="1" applyAlignment="1">
      <alignment horizontal="center"/>
    </xf>
    <xf numFmtId="3" fontId="45" fillId="4" borderId="44" xfId="0" applyNumberFormat="1" applyFont="1" applyFill="1" applyBorder="1" applyAlignment="1">
      <alignment horizontal="center"/>
    </xf>
    <xf numFmtId="4" fontId="14" fillId="4" borderId="5" xfId="0" applyNumberFormat="1" applyFont="1" applyFill="1" applyBorder="1" applyAlignment="1">
      <alignment horizontal="center" vertical="center" wrapText="1"/>
    </xf>
    <xf numFmtId="4" fontId="14" fillId="4" borderId="1" xfId="0" applyNumberFormat="1" applyFont="1" applyFill="1" applyBorder="1" applyAlignment="1">
      <alignment horizontal="center" vertical="center" wrapText="1"/>
    </xf>
    <xf numFmtId="4" fontId="14" fillId="4" borderId="12" xfId="0" applyNumberFormat="1" applyFont="1" applyFill="1" applyBorder="1" applyAlignment="1">
      <alignment horizontal="center" vertical="center" wrapText="1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4" fillId="0" borderId="5" xfId="0" applyNumberFormat="1" applyFont="1" applyBorder="1" applyAlignment="1">
      <alignment horizontal="left"/>
    </xf>
    <xf numFmtId="3" fontId="14" fillId="0" borderId="9" xfId="0" applyNumberFormat="1" applyFont="1" applyBorder="1" applyAlignment="1">
      <alignment horizontal="left"/>
    </xf>
    <xf numFmtId="3" fontId="14" fillId="0" borderId="28" xfId="0" applyNumberFormat="1" applyFont="1" applyBorder="1" applyAlignment="1">
      <alignment horizontal="left"/>
    </xf>
    <xf numFmtId="3" fontId="14" fillId="0" borderId="1" xfId="0" applyNumberFormat="1" applyFont="1" applyBorder="1" applyAlignment="1">
      <alignment horizontal="left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2" fillId="4" borderId="4" xfId="2" applyNumberFormat="1" applyFont="1" applyFill="1" applyBorder="1" applyAlignment="1">
      <alignment horizontal="center" vertical="center" wrapText="1"/>
    </xf>
    <xf numFmtId="3" fontId="12" fillId="4" borderId="8" xfId="2" applyNumberFormat="1" applyFont="1" applyFill="1" applyBorder="1" applyAlignment="1">
      <alignment horizontal="center" vertical="center" wrapText="1"/>
    </xf>
    <xf numFmtId="3" fontId="12" fillId="4" borderId="11" xfId="2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4" borderId="33" xfId="2" applyNumberFormat="1" applyFont="1" applyFill="1" applyBorder="1" applyAlignment="1">
      <alignment horizontal="center" vertical="center" wrapText="1"/>
    </xf>
    <xf numFmtId="3" fontId="14" fillId="4" borderId="50" xfId="2" applyNumberFormat="1" applyFont="1" applyFill="1" applyBorder="1" applyAlignment="1">
      <alignment horizontal="center" vertical="center" wrapText="1"/>
    </xf>
    <xf numFmtId="3" fontId="14" fillId="4" borderId="38" xfId="2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3" fontId="14" fillId="5" borderId="1" xfId="2" applyNumberFormat="1" applyFont="1" applyFill="1" applyBorder="1" applyAlignment="1">
      <alignment horizontal="center" vertical="center" wrapText="1"/>
    </xf>
    <xf numFmtId="3" fontId="14" fillId="5" borderId="12" xfId="2" applyNumberFormat="1" applyFont="1" applyFill="1" applyBorder="1" applyAlignment="1">
      <alignment horizontal="center" vertical="center" wrapText="1"/>
    </xf>
    <xf numFmtId="3" fontId="14" fillId="4" borderId="1" xfId="2" applyNumberFormat="1" applyFont="1" applyFill="1" applyBorder="1" applyAlignment="1">
      <alignment horizontal="center" vertical="center" wrapText="1"/>
    </xf>
    <xf numFmtId="3" fontId="14" fillId="4" borderId="12" xfId="2" applyNumberFormat="1" applyFont="1" applyFill="1" applyBorder="1" applyAlignment="1">
      <alignment horizontal="center" vertical="center" wrapText="1"/>
    </xf>
    <xf numFmtId="3" fontId="13" fillId="0" borderId="21" xfId="2" applyNumberFormat="1" applyFont="1" applyBorder="1" applyAlignment="1">
      <alignment horizontal="center" vertical="center" wrapText="1"/>
    </xf>
    <xf numFmtId="3" fontId="13" fillId="0" borderId="47" xfId="2" applyNumberFormat="1" applyFont="1" applyBorder="1" applyAlignment="1">
      <alignment horizontal="center" vertical="center" wrapText="1"/>
    </xf>
    <xf numFmtId="3" fontId="47" fillId="5" borderId="30" xfId="0" applyNumberFormat="1" applyFont="1" applyFill="1" applyBorder="1" applyAlignment="1">
      <alignment horizontal="center" vertical="center" wrapText="1"/>
    </xf>
    <xf numFmtId="3" fontId="47" fillId="5" borderId="49" xfId="0" applyNumberFormat="1" applyFont="1" applyFill="1" applyBorder="1" applyAlignment="1">
      <alignment horizontal="center" vertical="center" wrapText="1"/>
    </xf>
    <xf numFmtId="3" fontId="47" fillId="5" borderId="29" xfId="0" applyNumberFormat="1" applyFont="1" applyFill="1" applyBorder="1" applyAlignment="1">
      <alignment horizontal="center" vertical="center" wrapText="1"/>
    </xf>
    <xf numFmtId="3" fontId="47" fillId="5" borderId="6" xfId="0" applyNumberFormat="1" applyFont="1" applyFill="1" applyBorder="1" applyAlignment="1">
      <alignment horizontal="center" vertical="center" wrapText="1"/>
    </xf>
    <xf numFmtId="3" fontId="47" fillId="5" borderId="39" xfId="0" applyNumberFormat="1" applyFont="1" applyFill="1" applyBorder="1" applyAlignment="1">
      <alignment horizontal="center" vertical="center" wrapText="1"/>
    </xf>
    <xf numFmtId="3" fontId="47" fillId="5" borderId="37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Border="1" applyAlignment="1">
      <alignment horizontal="center" vertical="center" wrapText="1"/>
    </xf>
    <xf numFmtId="3" fontId="24" fillId="0" borderId="28" xfId="0" applyNumberFormat="1" applyFont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/>
    </xf>
    <xf numFmtId="4" fontId="14" fillId="5" borderId="54" xfId="0" applyNumberFormat="1" applyFont="1" applyFill="1" applyBorder="1" applyAlignment="1">
      <alignment horizontal="center" vertical="center"/>
    </xf>
    <xf numFmtId="4" fontId="14" fillId="5" borderId="39" xfId="0" applyNumberFormat="1" applyFont="1" applyFill="1" applyBorder="1" applyAlignment="1">
      <alignment horizontal="center" vertical="center"/>
    </xf>
    <xf numFmtId="4" fontId="14" fillId="5" borderId="31" xfId="0" applyNumberFormat="1" applyFont="1" applyFill="1" applyBorder="1" applyAlignment="1">
      <alignment horizontal="center" vertical="center"/>
    </xf>
    <xf numFmtId="4" fontId="24" fillId="4" borderId="1" xfId="0" applyNumberFormat="1" applyFont="1" applyFill="1" applyBorder="1" applyAlignment="1">
      <alignment horizontal="center" vertical="center" wrapText="1"/>
    </xf>
    <xf numFmtId="3" fontId="24" fillId="0" borderId="48" xfId="0" applyNumberFormat="1" applyFont="1" applyBorder="1" applyAlignment="1">
      <alignment horizontal="center" vertical="center" wrapText="1"/>
    </xf>
    <xf numFmtId="3" fontId="14" fillId="0" borderId="51" xfId="0" applyNumberFormat="1" applyFont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 wrapText="1"/>
    </xf>
    <xf numFmtId="3" fontId="14" fillId="0" borderId="47" xfId="0" applyNumberFormat="1" applyFont="1" applyBorder="1" applyAlignment="1">
      <alignment horizontal="center" vertical="center" wrapText="1"/>
    </xf>
    <xf numFmtId="3" fontId="24" fillId="0" borderId="1" xfId="0" applyNumberFormat="1" applyFont="1" applyBorder="1" applyAlignment="1">
      <alignment horizontal="center" vertical="center" wrapText="1"/>
    </xf>
    <xf numFmtId="4" fontId="24" fillId="4" borderId="9" xfId="0" applyNumberFormat="1" applyFont="1" applyFill="1" applyBorder="1" applyAlignment="1">
      <alignment horizontal="center" vertical="center" wrapText="1"/>
    </xf>
    <xf numFmtId="4" fontId="24" fillId="4" borderId="28" xfId="0" applyNumberFormat="1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4" fontId="24" fillId="4" borderId="30" xfId="0" applyNumberFormat="1" applyFont="1" applyFill="1" applyBorder="1" applyAlignment="1">
      <alignment horizontal="center" vertical="center" wrapText="1"/>
    </xf>
    <xf numFmtId="4" fontId="24" fillId="4" borderId="29" xfId="0" applyNumberFormat="1" applyFont="1" applyFill="1" applyBorder="1" applyAlignment="1">
      <alignment horizontal="center" vertical="center" wrapText="1"/>
    </xf>
    <xf numFmtId="4" fontId="24" fillId="4" borderId="6" xfId="0" applyNumberFormat="1" applyFont="1" applyFill="1" applyBorder="1" applyAlignment="1">
      <alignment horizontal="center" vertical="center" wrapText="1"/>
    </xf>
    <xf numFmtId="4" fontId="24" fillId="4" borderId="37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Alignment="1">
      <alignment horizontal="left" wrapText="1"/>
    </xf>
  </cellXfs>
  <cellStyles count="16">
    <cellStyle name="Čárka 2" xfId="1" xr:uid="{00000000-0005-0000-0000-000000000000}"/>
    <cellStyle name="Hypertextový odkaz" xfId="15" builtinId="8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FABF8F"/>
      <color rgb="FF99FF99"/>
      <color rgb="FFFF66FF"/>
      <color rgb="FFCCECFF"/>
      <color rgb="FF99CCFF"/>
      <color rgb="FFCCFF66"/>
      <color rgb="FFCC3300"/>
      <color rgb="FFCC6600"/>
      <color rgb="FFA6A6A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smt.gov.cz/vzdelavani/skolstvi-v-cr/ekonomika-skolstvi/stanoveni-dalsich-financnich-prostredku-pro-skoly-zrizovan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Q27"/>
  <sheetViews>
    <sheetView topLeftCell="A7" zoomScaleNormal="100" workbookViewId="0">
      <selection activeCell="I28" sqref="I28"/>
    </sheetView>
  </sheetViews>
  <sheetFormatPr defaultColWidth="9.140625" defaultRowHeight="15" customHeight="1" x14ac:dyDescent="0.2"/>
  <cols>
    <col min="1" max="1" width="6.7109375" style="221" customWidth="1"/>
    <col min="2" max="15" width="9.140625" style="221"/>
    <col min="16" max="16" width="20.85546875" style="221" customWidth="1"/>
    <col min="17" max="16384" width="9.140625" style="221"/>
  </cols>
  <sheetData>
    <row r="1" spans="1:17" ht="15" customHeight="1" x14ac:dyDescent="0.2">
      <c r="A1" s="914" t="s">
        <v>881</v>
      </c>
    </row>
    <row r="3" spans="1:17" ht="15" customHeight="1" x14ac:dyDescent="0.2">
      <c r="A3" s="221" t="s">
        <v>858</v>
      </c>
    </row>
    <row r="5" spans="1:17" ht="15" customHeight="1" x14ac:dyDescent="0.2">
      <c r="A5" s="915" t="s">
        <v>859</v>
      </c>
    </row>
    <row r="7" spans="1:17" ht="15" customHeight="1" x14ac:dyDescent="0.2">
      <c r="A7" s="221" t="s">
        <v>860</v>
      </c>
      <c r="B7" s="915" t="s">
        <v>876</v>
      </c>
      <c r="N7" s="3"/>
    </row>
    <row r="8" spans="1:17" ht="15" customHeight="1" x14ac:dyDescent="0.2">
      <c r="A8" s="221" t="s">
        <v>861</v>
      </c>
      <c r="B8" s="221" t="s">
        <v>877</v>
      </c>
      <c r="C8" s="919"/>
      <c r="D8" s="919"/>
      <c r="E8" s="919"/>
      <c r="F8" s="919"/>
      <c r="G8" s="919"/>
      <c r="H8" s="919"/>
      <c r="I8" s="919"/>
      <c r="J8" s="919"/>
      <c r="K8" s="919"/>
      <c r="L8" s="919"/>
      <c r="M8" s="919"/>
      <c r="N8" s="919"/>
      <c r="O8" s="919"/>
      <c r="P8" s="919"/>
      <c r="Q8" s="919"/>
    </row>
    <row r="9" spans="1:17" ht="15" customHeight="1" x14ac:dyDescent="0.2">
      <c r="A9" s="221" t="s">
        <v>872</v>
      </c>
      <c r="B9" s="915" t="s">
        <v>862</v>
      </c>
    </row>
    <row r="10" spans="1:17" ht="15" customHeight="1" thickBot="1" x14ac:dyDescent="0.25">
      <c r="B10" s="919"/>
      <c r="C10" s="919"/>
      <c r="D10" s="919"/>
      <c r="E10" s="919"/>
      <c r="F10" s="919"/>
      <c r="G10" s="919"/>
      <c r="H10" s="919"/>
      <c r="I10" s="919"/>
      <c r="J10" s="919"/>
      <c r="K10" s="919"/>
      <c r="L10" s="919"/>
      <c r="M10" s="919"/>
      <c r="N10" s="919"/>
      <c r="O10" s="919"/>
      <c r="P10" s="919"/>
      <c r="Q10" s="919"/>
    </row>
    <row r="11" spans="1:17" ht="15" customHeight="1" thickTop="1" x14ac:dyDescent="0.2">
      <c r="A11" s="916" t="s">
        <v>863</v>
      </c>
      <c r="B11" s="917"/>
      <c r="C11" s="917"/>
      <c r="D11" s="917"/>
      <c r="E11" s="917"/>
      <c r="F11" s="917"/>
      <c r="G11" s="917"/>
      <c r="H11" s="917"/>
      <c r="I11" s="917"/>
      <c r="J11" s="917"/>
      <c r="K11" s="917"/>
      <c r="L11" s="917"/>
      <c r="M11" s="917"/>
      <c r="N11" s="917"/>
      <c r="O11" s="917"/>
      <c r="P11" s="918"/>
    </row>
    <row r="12" spans="1:17" s="3" customFormat="1" ht="15" customHeight="1" x14ac:dyDescent="0.2">
      <c r="A12" s="931" t="s">
        <v>878</v>
      </c>
      <c r="B12" s="919"/>
      <c r="C12" s="919"/>
      <c r="D12" s="919"/>
      <c r="E12" s="919"/>
      <c r="F12" s="919"/>
      <c r="G12" s="919"/>
      <c r="H12" s="919"/>
      <c r="I12" s="919"/>
      <c r="J12" s="919"/>
      <c r="K12" s="919"/>
      <c r="L12" s="919"/>
      <c r="M12" s="919"/>
      <c r="N12" s="919"/>
      <c r="O12" s="919"/>
      <c r="P12" s="920"/>
    </row>
    <row r="13" spans="1:17" s="3" customFormat="1" ht="15" customHeight="1" x14ac:dyDescent="0.25">
      <c r="A13" s="931" t="s">
        <v>873</v>
      </c>
      <c r="B13" s="922" t="s">
        <v>864</v>
      </c>
      <c r="E13" s="919"/>
      <c r="F13" s="919"/>
      <c r="G13" s="919"/>
      <c r="H13" s="919"/>
      <c r="I13" s="919"/>
      <c r="J13" s="919"/>
      <c r="K13" s="919"/>
      <c r="L13" s="919"/>
      <c r="M13" s="919"/>
      <c r="N13" s="919"/>
      <c r="O13" s="919"/>
      <c r="P13" s="920"/>
    </row>
    <row r="14" spans="1:17" s="3" customFormat="1" ht="15" customHeight="1" x14ac:dyDescent="0.2">
      <c r="A14" s="921" t="s">
        <v>865</v>
      </c>
      <c r="B14" s="919"/>
      <c r="C14" s="919"/>
      <c r="D14" s="919"/>
      <c r="E14" s="919"/>
      <c r="F14" s="919"/>
      <c r="G14" s="919"/>
      <c r="H14" s="919"/>
      <c r="I14" s="919"/>
      <c r="J14" s="919"/>
      <c r="K14" s="919"/>
      <c r="L14" s="919"/>
      <c r="M14" s="919"/>
      <c r="N14" s="919"/>
      <c r="O14" s="919"/>
      <c r="P14" s="920"/>
    </row>
    <row r="15" spans="1:17" s="3" customFormat="1" ht="15" customHeight="1" x14ac:dyDescent="0.2">
      <c r="A15" s="921" t="s">
        <v>874</v>
      </c>
      <c r="B15" s="919"/>
      <c r="C15" s="919"/>
      <c r="D15" s="919"/>
      <c r="E15" s="919"/>
      <c r="F15" s="919"/>
      <c r="G15" s="919"/>
      <c r="H15" s="919"/>
      <c r="I15" s="919"/>
      <c r="J15" s="919"/>
      <c r="K15" s="919"/>
      <c r="L15" s="919"/>
      <c r="M15" s="919"/>
      <c r="N15" s="919"/>
      <c r="O15" s="919"/>
      <c r="P15" s="920"/>
    </row>
    <row r="16" spans="1:17" s="3" customFormat="1" ht="15" customHeight="1" x14ac:dyDescent="0.25">
      <c r="A16" s="931" t="s">
        <v>875</v>
      </c>
      <c r="B16" s="932"/>
      <c r="C16" s="932"/>
      <c r="D16" s="922"/>
      <c r="E16" s="932"/>
      <c r="F16" s="932"/>
      <c r="G16" s="932"/>
      <c r="H16" s="932"/>
      <c r="I16" s="932"/>
      <c r="J16" s="932"/>
      <c r="K16" s="919"/>
      <c r="L16" s="919"/>
      <c r="M16" s="919"/>
      <c r="N16" s="919"/>
      <c r="O16" s="919"/>
      <c r="P16" s="920"/>
    </row>
    <row r="17" spans="1:16" s="3" customFormat="1" ht="15" customHeight="1" thickBot="1" x14ac:dyDescent="0.3">
      <c r="A17" s="933" t="s">
        <v>879</v>
      </c>
      <c r="B17" s="923"/>
      <c r="C17" s="923"/>
      <c r="D17" s="924"/>
      <c r="E17" s="923"/>
      <c r="F17" s="923"/>
      <c r="G17" s="923"/>
      <c r="H17" s="923"/>
      <c r="I17" s="923"/>
      <c r="J17" s="923"/>
      <c r="K17" s="925"/>
      <c r="L17" s="925"/>
      <c r="M17" s="925"/>
      <c r="N17" s="925"/>
      <c r="O17" s="925"/>
      <c r="P17" s="926"/>
    </row>
    <row r="18" spans="1:16" ht="15" customHeight="1" thickTop="1" x14ac:dyDescent="0.2"/>
    <row r="19" spans="1:16" ht="15" customHeight="1" x14ac:dyDescent="0.2">
      <c r="A19" s="927" t="s">
        <v>866</v>
      </c>
    </row>
    <row r="20" spans="1:16" ht="15" customHeight="1" x14ac:dyDescent="0.2">
      <c r="A20" s="928" t="s">
        <v>867</v>
      </c>
    </row>
    <row r="21" spans="1:16" ht="15" customHeight="1" x14ac:dyDescent="0.2">
      <c r="A21" s="928" t="s">
        <v>868</v>
      </c>
    </row>
    <row r="22" spans="1:16" ht="15" customHeight="1" x14ac:dyDescent="0.2">
      <c r="A22" s="929" t="s">
        <v>869</v>
      </c>
    </row>
    <row r="23" spans="1:16" ht="15" customHeight="1" x14ac:dyDescent="0.2">
      <c r="A23" s="929" t="s">
        <v>870</v>
      </c>
    </row>
    <row r="24" spans="1:16" ht="15" customHeight="1" x14ac:dyDescent="0.2">
      <c r="A24" s="929" t="s">
        <v>880</v>
      </c>
    </row>
    <row r="26" spans="1:16" ht="15" customHeight="1" x14ac:dyDescent="0.2">
      <c r="A26" s="221" t="s">
        <v>882</v>
      </c>
    </row>
    <row r="27" spans="1:16" ht="15" customHeight="1" x14ac:dyDescent="0.2">
      <c r="A27" s="221" t="s">
        <v>871</v>
      </c>
      <c r="C27" s="930"/>
      <c r="D27" s="930"/>
      <c r="E27" s="930"/>
      <c r="F27" s="930"/>
      <c r="G27" s="930"/>
    </row>
  </sheetData>
  <hyperlinks>
    <hyperlink ref="B13" r:id="rId1" xr:uid="{07C213DF-1F20-4E68-A401-DC00C838BFFF}"/>
  </hyperlinks>
  <pageMargins left="0.39370078740157483" right="0.19685039370078741" top="0.59055118110236227" bottom="0.39370078740157483" header="0.31496062992125984" footer="0.31496062992125984"/>
  <pageSetup paperSize="9" scale="92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A159"/>
  <sheetViews>
    <sheetView tabSelected="1" zoomScaleNormal="100" workbookViewId="0">
      <pane xSplit="8" ySplit="11" topLeftCell="BD82" activePane="bottomRight" state="frozen"/>
      <selection activeCell="E477" sqref="E477"/>
      <selection pane="topRight" activeCell="E477" sqref="E477"/>
      <selection pane="bottomLeft" activeCell="E477" sqref="E477"/>
      <selection pane="bottomRight" activeCell="BI83" sqref="BI83"/>
    </sheetView>
  </sheetViews>
  <sheetFormatPr defaultColWidth="9.140625" defaultRowHeight="15" x14ac:dyDescent="0.25"/>
  <cols>
    <col min="1" max="1" width="5" style="308" customWidth="1"/>
    <col min="2" max="2" width="6.140625" style="250" bestFit="1" customWidth="1"/>
    <col min="3" max="3" width="10.7109375" style="361" customWidth="1"/>
    <col min="4" max="4" width="7.85546875" style="250" bestFit="1" customWidth="1"/>
    <col min="5" max="5" width="36.140625" style="250" customWidth="1"/>
    <col min="6" max="6" width="5.7109375" style="250" customWidth="1"/>
    <col min="7" max="7" width="10.28515625" style="250" customWidth="1"/>
    <col min="8" max="8" width="8" style="250" customWidth="1"/>
    <col min="9" max="18" width="10.85546875" style="314" customWidth="1"/>
    <col min="19" max="19" width="10.85546875" style="315" customWidth="1"/>
    <col min="20" max="21" width="9.28515625" style="315" customWidth="1"/>
    <col min="22" max="25" width="10.28515625" style="314" customWidth="1"/>
    <col min="26" max="26" width="10.5703125" style="314" customWidth="1"/>
    <col min="27" max="37" width="10.28515625" style="314" customWidth="1"/>
    <col min="38" max="38" width="10.28515625" style="315" customWidth="1"/>
    <col min="39" max="40" width="10.42578125" style="315" customWidth="1"/>
    <col min="41" max="41" width="9.140625" style="314" customWidth="1"/>
    <col min="42" max="42" width="9.7109375" style="314" customWidth="1"/>
    <col min="43" max="43" width="10.140625" style="314" customWidth="1"/>
    <col min="44" max="44" width="9.140625" style="314" customWidth="1"/>
    <col min="45" max="45" width="9.7109375" style="314" customWidth="1"/>
    <col min="46" max="46" width="9.140625" style="314" customWidth="1"/>
    <col min="47" max="47" width="11" style="314" customWidth="1"/>
    <col min="48" max="49" width="9.140625" style="314" customWidth="1"/>
    <col min="50" max="50" width="9.140625" style="315" customWidth="1"/>
    <col min="51" max="51" width="9.85546875" style="315" customWidth="1"/>
    <col min="52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L1" s="314"/>
      <c r="AO1" s="53"/>
      <c r="AP1" s="53"/>
      <c r="AQ1" s="53"/>
      <c r="AR1" s="53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84" t="s">
        <v>4</v>
      </c>
      <c r="B3" s="1084"/>
      <c r="C3" s="1084"/>
      <c r="D3" s="1084"/>
      <c r="E3" s="1084"/>
      <c r="F3" s="249"/>
      <c r="G3" s="249"/>
      <c r="H3" s="249"/>
      <c r="I3" s="904"/>
      <c r="J3" s="904"/>
      <c r="K3" s="904"/>
      <c r="L3" s="904"/>
      <c r="M3" s="904"/>
      <c r="N3" s="904"/>
      <c r="O3" s="904"/>
      <c r="P3" s="904"/>
      <c r="Q3" s="904"/>
      <c r="R3" s="904"/>
      <c r="S3" s="905"/>
      <c r="T3" s="905"/>
      <c r="U3" s="905"/>
      <c r="V3" s="904"/>
      <c r="W3" s="904"/>
      <c r="X3" s="904"/>
      <c r="Y3" s="904"/>
      <c r="Z3" s="904"/>
      <c r="AA3" s="904"/>
      <c r="AB3" s="904"/>
      <c r="AP3" s="507"/>
      <c r="AQ3" s="507"/>
      <c r="AR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X4" s="903" t="s">
        <v>855</v>
      </c>
      <c r="AQ4" s="506"/>
      <c r="AR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252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5"/>
      <c r="T5" s="905"/>
      <c r="U5" s="905"/>
      <c r="V5" s="910"/>
      <c r="W5" s="904"/>
      <c r="X5" s="903" t="s">
        <v>856</v>
      </c>
      <c r="Y5" s="904"/>
      <c r="Z5" s="904"/>
      <c r="AA5" s="904"/>
      <c r="AB5" s="904"/>
      <c r="AQ5" s="506"/>
      <c r="AR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249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18" customHeight="1" x14ac:dyDescent="0.25">
      <c r="A8" s="984"/>
      <c r="B8" s="256"/>
      <c r="C8" s="256"/>
      <c r="D8" s="256"/>
      <c r="E8" s="256"/>
      <c r="F8" s="256"/>
      <c r="G8" s="256"/>
      <c r="H8" s="256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5" t="s">
        <v>851</v>
      </c>
      <c r="BB8" s="108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7.75" customHeight="1" thickBot="1" x14ac:dyDescent="0.3">
      <c r="A9" s="257" t="s">
        <v>775</v>
      </c>
      <c r="B9" s="89"/>
      <c r="C9" s="89"/>
      <c r="D9" s="258"/>
      <c r="E9" s="89"/>
      <c r="F9" s="259"/>
      <c r="G9" s="260"/>
      <c r="H9" s="2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1087"/>
      <c r="BB9" s="1088"/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3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267" customFormat="1" ht="11.25" customHeight="1" thickBot="1" x14ac:dyDescent="0.25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643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509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815</v>
      </c>
      <c r="AC11" s="141" t="s">
        <v>816</v>
      </c>
      <c r="AD11" s="141" t="s">
        <v>815</v>
      </c>
      <c r="AE11" s="141" t="s">
        <v>816</v>
      </c>
      <c r="AF11" s="141" t="s">
        <v>824</v>
      </c>
      <c r="AG11" s="141" t="s">
        <v>817</v>
      </c>
      <c r="AH11" s="141" t="s">
        <v>818</v>
      </c>
      <c r="AI11" s="141" t="s">
        <v>817</v>
      </c>
      <c r="AJ11" s="141" t="s">
        <v>817</v>
      </c>
      <c r="AK11" s="141" t="s">
        <v>818</v>
      </c>
      <c r="AL11" s="141" t="s">
        <v>817</v>
      </c>
      <c r="AM11" s="141" t="s">
        <v>818</v>
      </c>
      <c r="AN11" s="141" t="s">
        <v>825</v>
      </c>
      <c r="AO11" s="509" t="s">
        <v>819</v>
      </c>
      <c r="AP11" s="509" t="s">
        <v>820</v>
      </c>
      <c r="AQ11" s="141" t="s">
        <v>821</v>
      </c>
      <c r="AR11" s="141" t="s">
        <v>282</v>
      </c>
      <c r="AS11" s="141" t="s">
        <v>283</v>
      </c>
      <c r="AT11" s="141" t="s">
        <v>284</v>
      </c>
      <c r="AU11" s="141" t="s">
        <v>284</v>
      </c>
      <c r="AV11" s="141" t="s">
        <v>284</v>
      </c>
      <c r="AW11" s="141" t="s">
        <v>289</v>
      </c>
      <c r="AX11" s="402" t="s">
        <v>285</v>
      </c>
      <c r="AY11" s="142" t="s">
        <v>286</v>
      </c>
      <c r="AZ11" s="142" t="s">
        <v>285</v>
      </c>
      <c r="BA11" s="142" t="s">
        <v>285</v>
      </c>
      <c r="BB11" s="142" t="s">
        <v>286</v>
      </c>
      <c r="BC11" s="142" t="s">
        <v>285</v>
      </c>
      <c r="BD11" s="142" t="s">
        <v>285</v>
      </c>
      <c r="BE11" s="142" t="s">
        <v>286</v>
      </c>
      <c r="BF11" s="142" t="s">
        <v>285</v>
      </c>
      <c r="BG11" s="142" t="s">
        <v>286</v>
      </c>
      <c r="BH11" s="143" t="s">
        <v>287</v>
      </c>
      <c r="BI11" s="140" t="s">
        <v>262</v>
      </c>
      <c r="BJ11" s="509" t="s">
        <v>263</v>
      </c>
      <c r="BK11" s="141" t="s">
        <v>801</v>
      </c>
      <c r="BL11" s="141" t="s">
        <v>802</v>
      </c>
      <c r="BM11" s="141" t="s">
        <v>269</v>
      </c>
      <c r="BN11" s="141" t="s">
        <v>803</v>
      </c>
      <c r="BO11" s="141" t="s">
        <v>804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532</v>
      </c>
      <c r="BU11" s="179" t="s">
        <v>533</v>
      </c>
      <c r="BV11" s="688" t="s">
        <v>843</v>
      </c>
      <c r="BW11" s="662" t="s">
        <v>837</v>
      </c>
      <c r="BX11" s="662" t="s">
        <v>838</v>
      </c>
      <c r="BY11" s="662" t="s">
        <v>844</v>
      </c>
      <c r="BZ11" s="662" t="s">
        <v>845</v>
      </c>
      <c r="CA11" s="689" t="s">
        <v>839</v>
      </c>
    </row>
    <row r="12" spans="1:79" ht="14.1" customHeight="1" x14ac:dyDescent="0.25">
      <c r="A12" s="268">
        <v>1</v>
      </c>
      <c r="B12" s="317">
        <v>5415</v>
      </c>
      <c r="C12" s="318">
        <v>667000135</v>
      </c>
      <c r="D12" s="317">
        <v>71011170</v>
      </c>
      <c r="E12" s="343" t="s">
        <v>766</v>
      </c>
      <c r="F12" s="317">
        <v>3111</v>
      </c>
      <c r="G12" s="344" t="s">
        <v>304</v>
      </c>
      <c r="H12" s="644" t="s">
        <v>271</v>
      </c>
      <c r="I12" s="406">
        <v>19304665</v>
      </c>
      <c r="J12" s="407">
        <v>14154063</v>
      </c>
      <c r="K12" s="407">
        <v>12964989</v>
      </c>
      <c r="L12" s="407">
        <v>1189074</v>
      </c>
      <c r="M12" s="407">
        <v>125000</v>
      </c>
      <c r="N12" s="407">
        <v>30000</v>
      </c>
      <c r="O12" s="407">
        <v>95000</v>
      </c>
      <c r="P12" s="144">
        <v>4826323</v>
      </c>
      <c r="Q12" s="144">
        <v>141541</v>
      </c>
      <c r="R12" s="407">
        <v>57738</v>
      </c>
      <c r="S12" s="408">
        <v>26.374599999999997</v>
      </c>
      <c r="T12" s="409">
        <v>22.188099999999999</v>
      </c>
      <c r="U12" s="422">
        <v>4.1864999999999997</v>
      </c>
      <c r="V12" s="412">
        <f t="shared" ref="V12:W15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0</v>
      </c>
      <c r="AF12" s="410">
        <f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 t="shared" ref="AO12:AP15" si="1">AD12+AL12</f>
        <v>0</v>
      </c>
      <c r="AP12" s="410">
        <f t="shared" si="1"/>
        <v>0</v>
      </c>
      <c r="AQ12" s="410">
        <f>SUM(AO12:AP12)</f>
        <v>0</v>
      </c>
      <c r="AR12" s="144">
        <f>ROUND((AF12+AG12+AH12+AI12)*33.8%,0)</f>
        <v>0</v>
      </c>
      <c r="AS12" s="144">
        <f>ROUND(AF12*1%,0)</f>
        <v>0</v>
      </c>
      <c r="AT12" s="410">
        <v>0</v>
      </c>
      <c r="AU12" s="410">
        <v>0</v>
      </c>
      <c r="AV12" s="410">
        <f>AT12+AU12</f>
        <v>0</v>
      </c>
      <c r="AW12" s="410">
        <f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0</v>
      </c>
      <c r="BH12" s="413">
        <f>SUM(BF12:BG12)</f>
        <v>0</v>
      </c>
      <c r="BI12" s="412">
        <f>I12+AW12</f>
        <v>19304665</v>
      </c>
      <c r="BJ12" s="779">
        <f>J12+AF12</f>
        <v>14154063</v>
      </c>
      <c r="BK12" s="410">
        <f t="shared" ref="BK12:BL15" si="2">K12+AD12</f>
        <v>12964989</v>
      </c>
      <c r="BL12" s="410">
        <f t="shared" si="2"/>
        <v>1189074</v>
      </c>
      <c r="BM12" s="410">
        <f>M12+AN12</f>
        <v>125000</v>
      </c>
      <c r="BN12" s="410">
        <f t="shared" ref="BN12:BO15" si="3">N12+AL12</f>
        <v>30000</v>
      </c>
      <c r="BO12" s="410">
        <f t="shared" si="3"/>
        <v>95000</v>
      </c>
      <c r="BP12" s="410">
        <f t="shared" ref="BP12:BQ15" si="4">P12+AR12</f>
        <v>4826323</v>
      </c>
      <c r="BQ12" s="410">
        <f t="shared" si="4"/>
        <v>141541</v>
      </c>
      <c r="BR12" s="410">
        <f>R12+AV12</f>
        <v>57738</v>
      </c>
      <c r="BS12" s="411">
        <f>S12+BH12</f>
        <v>26.374599999999997</v>
      </c>
      <c r="BT12" s="411">
        <f t="shared" ref="BT12:BU15" si="5">T12+BF12</f>
        <v>22.188099999999999</v>
      </c>
      <c r="BU12" s="413">
        <f t="shared" si="5"/>
        <v>4.1864999999999997</v>
      </c>
      <c r="BV12" s="406"/>
      <c r="BW12" s="407"/>
      <c r="BX12" s="407"/>
      <c r="BY12" s="407"/>
      <c r="BZ12" s="407"/>
      <c r="CA12" s="495"/>
    </row>
    <row r="13" spans="1:79" ht="13.5" customHeight="1" x14ac:dyDescent="0.25">
      <c r="A13" s="280">
        <v>1</v>
      </c>
      <c r="B13" s="321">
        <v>5415</v>
      </c>
      <c r="C13" s="322">
        <v>667000135</v>
      </c>
      <c r="D13" s="321">
        <v>71011170</v>
      </c>
      <c r="E13" s="343" t="s">
        <v>766</v>
      </c>
      <c r="F13" s="321">
        <v>3111</v>
      </c>
      <c r="G13" s="284" t="s">
        <v>291</v>
      </c>
      <c r="H13" s="645" t="s">
        <v>272</v>
      </c>
      <c r="I13" s="420">
        <v>849879</v>
      </c>
      <c r="J13" s="415">
        <v>630474</v>
      </c>
      <c r="K13" s="415">
        <v>630474</v>
      </c>
      <c r="L13" s="415">
        <v>0</v>
      </c>
      <c r="M13" s="415">
        <v>0</v>
      </c>
      <c r="N13" s="415">
        <v>0</v>
      </c>
      <c r="O13" s="415">
        <v>0</v>
      </c>
      <c r="P13" s="68">
        <v>213100</v>
      </c>
      <c r="Q13" s="68">
        <v>6305</v>
      </c>
      <c r="R13" s="415">
        <v>0</v>
      </c>
      <c r="S13" s="416">
        <v>1.65</v>
      </c>
      <c r="T13" s="417">
        <v>1.65</v>
      </c>
      <c r="U13" s="423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421">
        <f>SUM(BF13:BG13)</f>
        <v>0</v>
      </c>
      <c r="BI13" s="424">
        <f>I13+AW13</f>
        <v>849879</v>
      </c>
      <c r="BJ13" s="780">
        <f>J13+AF13</f>
        <v>630474</v>
      </c>
      <c r="BK13" s="418">
        <f t="shared" si="2"/>
        <v>630474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213100</v>
      </c>
      <c r="BQ13" s="418">
        <f t="shared" si="4"/>
        <v>6305</v>
      </c>
      <c r="BR13" s="418">
        <f>R13+AV13</f>
        <v>0</v>
      </c>
      <c r="BS13" s="419">
        <f>S13+BH13</f>
        <v>1.65</v>
      </c>
      <c r="BT13" s="419">
        <f t="shared" si="5"/>
        <v>1.65</v>
      </c>
      <c r="BU13" s="421">
        <f t="shared" si="5"/>
        <v>0</v>
      </c>
      <c r="BV13" s="420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321">
        <v>5415</v>
      </c>
      <c r="C14" s="322">
        <v>667000135</v>
      </c>
      <c r="D14" s="321">
        <v>71011170</v>
      </c>
      <c r="E14" s="343" t="s">
        <v>766</v>
      </c>
      <c r="F14" s="321">
        <v>3111</v>
      </c>
      <c r="G14" s="286" t="s">
        <v>292</v>
      </c>
      <c r="H14" s="645" t="s">
        <v>271</v>
      </c>
      <c r="I14" s="420">
        <v>1068441</v>
      </c>
      <c r="J14" s="415">
        <v>792612</v>
      </c>
      <c r="K14" s="415">
        <v>792612</v>
      </c>
      <c r="L14" s="415">
        <v>0</v>
      </c>
      <c r="M14" s="415">
        <v>0</v>
      </c>
      <c r="N14" s="415">
        <v>0</v>
      </c>
      <c r="O14" s="415">
        <v>0</v>
      </c>
      <c r="P14" s="68">
        <v>267903</v>
      </c>
      <c r="Q14" s="68">
        <v>7926</v>
      </c>
      <c r="R14" s="415">
        <v>0</v>
      </c>
      <c r="S14" s="416">
        <v>1.8</v>
      </c>
      <c r="T14" s="417">
        <v>1.8</v>
      </c>
      <c r="U14" s="423">
        <v>0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424">
        <f>I14+AW14</f>
        <v>1068441</v>
      </c>
      <c r="BJ14" s="780">
        <f>J14+AF14</f>
        <v>792612</v>
      </c>
      <c r="BK14" s="418">
        <f t="shared" si="2"/>
        <v>792612</v>
      </c>
      <c r="BL14" s="418">
        <f t="shared" si="2"/>
        <v>0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267903</v>
      </c>
      <c r="BQ14" s="418">
        <f t="shared" si="4"/>
        <v>7926</v>
      </c>
      <c r="BR14" s="418">
        <f>R14+AV14</f>
        <v>0</v>
      </c>
      <c r="BS14" s="419">
        <f>S14+BH14</f>
        <v>1.8</v>
      </c>
      <c r="BT14" s="419">
        <f t="shared" si="5"/>
        <v>1.8</v>
      </c>
      <c r="BU14" s="421">
        <f t="shared" si="5"/>
        <v>0</v>
      </c>
      <c r="BV14" s="420"/>
      <c r="BW14" s="415"/>
      <c r="BX14" s="415"/>
      <c r="BY14" s="415"/>
      <c r="BZ14" s="415"/>
      <c r="CA14" s="510"/>
    </row>
    <row r="15" spans="1:79" ht="12.95" customHeight="1" x14ac:dyDescent="0.25">
      <c r="A15" s="280">
        <v>1</v>
      </c>
      <c r="B15" s="321">
        <v>5415</v>
      </c>
      <c r="C15" s="322">
        <v>667000135</v>
      </c>
      <c r="D15" s="321">
        <v>71011170</v>
      </c>
      <c r="E15" s="343" t="s">
        <v>766</v>
      </c>
      <c r="F15" s="321">
        <v>3141</v>
      </c>
      <c r="G15" s="345" t="s">
        <v>294</v>
      </c>
      <c r="H15" s="645" t="s">
        <v>272</v>
      </c>
      <c r="I15" s="420">
        <v>1712566</v>
      </c>
      <c r="J15" s="415">
        <v>1265023</v>
      </c>
      <c r="K15" s="415">
        <v>0</v>
      </c>
      <c r="L15" s="415">
        <v>1265023</v>
      </c>
      <c r="M15" s="415">
        <v>0</v>
      </c>
      <c r="N15" s="415">
        <v>0</v>
      </c>
      <c r="O15" s="415">
        <v>0</v>
      </c>
      <c r="P15" s="68">
        <v>427578</v>
      </c>
      <c r="Q15" s="68">
        <v>12650</v>
      </c>
      <c r="R15" s="415">
        <v>7315</v>
      </c>
      <c r="S15" s="416">
        <v>3.7934000000000001</v>
      </c>
      <c r="T15" s="417">
        <v>0</v>
      </c>
      <c r="U15" s="423">
        <v>3.7934000000000001</v>
      </c>
      <c r="V15" s="424">
        <f t="shared" si="0"/>
        <v>0</v>
      </c>
      <c r="W15" s="418">
        <f t="shared" si="0"/>
        <v>0</v>
      </c>
      <c r="X15" s="418">
        <v>0</v>
      </c>
      <c r="Y15" s="418">
        <v>0</v>
      </c>
      <c r="Z15" s="418">
        <v>0</v>
      </c>
      <c r="AA15" s="418">
        <f>231942+266300+134026</f>
        <v>632268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632268</v>
      </c>
      <c r="AF15" s="418">
        <f>SUM(AD15:AE15)</f>
        <v>632268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1"/>
        <v>0</v>
      </c>
      <c r="AP15" s="418">
        <f t="shared" si="1"/>
        <v>632268</v>
      </c>
      <c r="AQ15" s="418">
        <f>SUM(AO15:AP15)</f>
        <v>632268</v>
      </c>
      <c r="AR15" s="68">
        <f>ROUND((AF15+AG15+AH15+AI15)*33.8%,0)</f>
        <v>213707</v>
      </c>
      <c r="AS15" s="68">
        <f>ROUND(AF15*1%,0)</f>
        <v>6323</v>
      </c>
      <c r="AT15" s="418">
        <v>0</v>
      </c>
      <c r="AU15" s="418">
        <f>1326+1632+595</f>
        <v>3553</v>
      </c>
      <c r="AV15" s="418">
        <f>AT15+AU15</f>
        <v>3553</v>
      </c>
      <c r="AW15" s="418">
        <f>AQ15+AR15+AS15+AV15</f>
        <v>855851</v>
      </c>
      <c r="AX15" s="419">
        <v>0</v>
      </c>
      <c r="AY15" s="419">
        <v>0</v>
      </c>
      <c r="AZ15" s="419">
        <v>0</v>
      </c>
      <c r="BA15" s="419">
        <v>0</v>
      </c>
      <c r="BB15" s="419">
        <v>1.9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1.9</v>
      </c>
      <c r="BH15" s="421">
        <f>SUM(BF15:BG15)</f>
        <v>1.9</v>
      </c>
      <c r="BI15" s="424">
        <f>I15+AW15</f>
        <v>2568417</v>
      </c>
      <c r="BJ15" s="780">
        <f>J15+AF15</f>
        <v>1897291</v>
      </c>
      <c r="BK15" s="418">
        <f t="shared" si="2"/>
        <v>0</v>
      </c>
      <c r="BL15" s="418">
        <f t="shared" si="2"/>
        <v>1897291</v>
      </c>
      <c r="BM15" s="418">
        <f>M15+AN15</f>
        <v>0</v>
      </c>
      <c r="BN15" s="418">
        <f t="shared" si="3"/>
        <v>0</v>
      </c>
      <c r="BO15" s="418">
        <f t="shared" si="3"/>
        <v>0</v>
      </c>
      <c r="BP15" s="418">
        <f t="shared" si="4"/>
        <v>641285</v>
      </c>
      <c r="BQ15" s="418">
        <f t="shared" si="4"/>
        <v>18973</v>
      </c>
      <c r="BR15" s="418">
        <f>R15+AV15</f>
        <v>10868</v>
      </c>
      <c r="BS15" s="419">
        <f>S15+BH15</f>
        <v>5.6934000000000005</v>
      </c>
      <c r="BT15" s="419">
        <f t="shared" si="5"/>
        <v>0</v>
      </c>
      <c r="BU15" s="421">
        <f t="shared" si="5"/>
        <v>5.6934000000000005</v>
      </c>
      <c r="BV15" s="420"/>
      <c r="BW15" s="415"/>
      <c r="BX15" s="415"/>
      <c r="BY15" s="415"/>
      <c r="BZ15" s="415"/>
      <c r="CA15" s="510"/>
    </row>
    <row r="16" spans="1:79" ht="12.95" customHeight="1" x14ac:dyDescent="0.25">
      <c r="A16" s="646">
        <v>1</v>
      </c>
      <c r="B16" s="275">
        <v>5415</v>
      </c>
      <c r="C16" s="346">
        <v>667000135</v>
      </c>
      <c r="D16" s="275">
        <v>71011170</v>
      </c>
      <c r="E16" s="403" t="s">
        <v>766</v>
      </c>
      <c r="F16" s="275"/>
      <c r="G16" s="347"/>
      <c r="H16" s="647"/>
      <c r="I16" s="465">
        <v>22935551</v>
      </c>
      <c r="J16" s="461">
        <v>16842172</v>
      </c>
      <c r="K16" s="461">
        <v>14388075</v>
      </c>
      <c r="L16" s="461">
        <v>2454097</v>
      </c>
      <c r="M16" s="461">
        <v>125000</v>
      </c>
      <c r="N16" s="461">
        <v>30000</v>
      </c>
      <c r="O16" s="461">
        <v>95000</v>
      </c>
      <c r="P16" s="461">
        <v>5734904</v>
      </c>
      <c r="Q16" s="461">
        <v>168422</v>
      </c>
      <c r="R16" s="461">
        <v>65053</v>
      </c>
      <c r="S16" s="462">
        <v>33.617999999999995</v>
      </c>
      <c r="T16" s="462">
        <v>25.638099999999998</v>
      </c>
      <c r="U16" s="535">
        <v>7.9798999999999998</v>
      </c>
      <c r="V16" s="465">
        <f t="shared" ref="V16:CA16" si="6">SUM(V12:V15)</f>
        <v>0</v>
      </c>
      <c r="W16" s="461">
        <f t="shared" si="6"/>
        <v>0</v>
      </c>
      <c r="X16" s="461">
        <f t="shared" si="6"/>
        <v>0</v>
      </c>
      <c r="Y16" s="461">
        <f t="shared" si="6"/>
        <v>0</v>
      </c>
      <c r="Z16" s="461">
        <f t="shared" si="6"/>
        <v>0</v>
      </c>
      <c r="AA16" s="461">
        <f t="shared" si="6"/>
        <v>632268</v>
      </c>
      <c r="AB16" s="461">
        <f t="shared" si="6"/>
        <v>0</v>
      </c>
      <c r="AC16" s="461">
        <f t="shared" si="6"/>
        <v>0</v>
      </c>
      <c r="AD16" s="461">
        <f t="shared" si="6"/>
        <v>0</v>
      </c>
      <c r="AE16" s="461">
        <f t="shared" si="6"/>
        <v>632268</v>
      </c>
      <c r="AF16" s="461">
        <f t="shared" si="6"/>
        <v>632268</v>
      </c>
      <c r="AG16" s="461">
        <f t="shared" si="6"/>
        <v>0</v>
      </c>
      <c r="AH16" s="461">
        <f t="shared" si="6"/>
        <v>0</v>
      </c>
      <c r="AI16" s="461">
        <f t="shared" si="6"/>
        <v>0</v>
      </c>
      <c r="AJ16" s="461">
        <f t="shared" si="6"/>
        <v>0</v>
      </c>
      <c r="AK16" s="461">
        <f t="shared" si="6"/>
        <v>0</v>
      </c>
      <c r="AL16" s="461">
        <f t="shared" si="6"/>
        <v>0</v>
      </c>
      <c r="AM16" s="461">
        <f t="shared" si="6"/>
        <v>0</v>
      </c>
      <c r="AN16" s="461">
        <f t="shared" si="6"/>
        <v>0</v>
      </c>
      <c r="AO16" s="461">
        <f t="shared" si="6"/>
        <v>0</v>
      </c>
      <c r="AP16" s="461">
        <f t="shared" si="6"/>
        <v>632268</v>
      </c>
      <c r="AQ16" s="461">
        <f t="shared" si="6"/>
        <v>632268</v>
      </c>
      <c r="AR16" s="461">
        <f t="shared" si="6"/>
        <v>213707</v>
      </c>
      <c r="AS16" s="461">
        <f t="shared" si="6"/>
        <v>6323</v>
      </c>
      <c r="AT16" s="461">
        <f t="shared" si="6"/>
        <v>0</v>
      </c>
      <c r="AU16" s="461">
        <f t="shared" si="6"/>
        <v>3553</v>
      </c>
      <c r="AV16" s="461">
        <f t="shared" si="6"/>
        <v>3553</v>
      </c>
      <c r="AW16" s="461">
        <f t="shared" si="6"/>
        <v>855851</v>
      </c>
      <c r="AX16" s="462">
        <f t="shared" si="6"/>
        <v>0</v>
      </c>
      <c r="AY16" s="462">
        <f t="shared" si="6"/>
        <v>0</v>
      </c>
      <c r="AZ16" s="462">
        <f t="shared" si="6"/>
        <v>0</v>
      </c>
      <c r="BA16" s="462">
        <f t="shared" si="6"/>
        <v>0</v>
      </c>
      <c r="BB16" s="462">
        <f t="shared" ref="BB16" si="7">SUM(BB12:BB15)</f>
        <v>1.9</v>
      </c>
      <c r="BC16" s="462">
        <f t="shared" si="6"/>
        <v>0</v>
      </c>
      <c r="BD16" s="462">
        <f t="shared" si="6"/>
        <v>0</v>
      </c>
      <c r="BE16" s="462">
        <f t="shared" ref="BE16" si="8">SUM(BE12:BE15)</f>
        <v>0</v>
      </c>
      <c r="BF16" s="462">
        <f t="shared" si="6"/>
        <v>0</v>
      </c>
      <c r="BG16" s="462">
        <f t="shared" si="6"/>
        <v>1.9</v>
      </c>
      <c r="BH16" s="279">
        <f t="shared" si="6"/>
        <v>1.9</v>
      </c>
      <c r="BI16" s="874">
        <f t="shared" si="6"/>
        <v>23791402</v>
      </c>
      <c r="BJ16" s="781">
        <f t="shared" si="6"/>
        <v>17474440</v>
      </c>
      <c r="BK16" s="461">
        <f t="shared" si="6"/>
        <v>14388075</v>
      </c>
      <c r="BL16" s="461">
        <f t="shared" si="6"/>
        <v>3086365</v>
      </c>
      <c r="BM16" s="461">
        <f t="shared" si="6"/>
        <v>125000</v>
      </c>
      <c r="BN16" s="461">
        <f t="shared" si="6"/>
        <v>30000</v>
      </c>
      <c r="BO16" s="461">
        <f t="shared" si="6"/>
        <v>95000</v>
      </c>
      <c r="BP16" s="461">
        <f t="shared" si="6"/>
        <v>5948611</v>
      </c>
      <c r="BQ16" s="461">
        <f t="shared" si="6"/>
        <v>174745</v>
      </c>
      <c r="BR16" s="461">
        <f t="shared" si="6"/>
        <v>68606</v>
      </c>
      <c r="BS16" s="462">
        <f t="shared" si="6"/>
        <v>35.518000000000001</v>
      </c>
      <c r="BT16" s="462">
        <f t="shared" si="6"/>
        <v>25.638099999999998</v>
      </c>
      <c r="BU16" s="279">
        <f t="shared" si="6"/>
        <v>9.8798999999999992</v>
      </c>
      <c r="BV16" s="850">
        <f t="shared" si="6"/>
        <v>0</v>
      </c>
      <c r="BW16" s="713">
        <f t="shared" si="6"/>
        <v>0</v>
      </c>
      <c r="BX16" s="713">
        <f t="shared" si="6"/>
        <v>0</v>
      </c>
      <c r="BY16" s="713">
        <f t="shared" si="6"/>
        <v>0</v>
      </c>
      <c r="BZ16" s="713">
        <f t="shared" si="6"/>
        <v>0</v>
      </c>
      <c r="CA16" s="851">
        <f t="shared" si="6"/>
        <v>0</v>
      </c>
    </row>
    <row r="17" spans="1:79" ht="12.95" customHeight="1" x14ac:dyDescent="0.25">
      <c r="A17" s="280">
        <v>2</v>
      </c>
      <c r="B17" s="321">
        <v>5416</v>
      </c>
      <c r="C17" s="322">
        <v>600099342</v>
      </c>
      <c r="D17" s="321">
        <v>854719</v>
      </c>
      <c r="E17" s="348" t="s">
        <v>411</v>
      </c>
      <c r="F17" s="321">
        <v>3113</v>
      </c>
      <c r="G17" s="345" t="s">
        <v>308</v>
      </c>
      <c r="H17" s="645" t="s">
        <v>271</v>
      </c>
      <c r="I17" s="420">
        <v>21476517</v>
      </c>
      <c r="J17" s="415">
        <v>15614420</v>
      </c>
      <c r="K17" s="415">
        <v>14378112</v>
      </c>
      <c r="L17" s="415">
        <v>1236308</v>
      </c>
      <c r="M17" s="415">
        <v>120000</v>
      </c>
      <c r="N17" s="415">
        <v>81600</v>
      </c>
      <c r="O17" s="415">
        <v>38400</v>
      </c>
      <c r="P17" s="68">
        <v>5318234</v>
      </c>
      <c r="Q17" s="68">
        <v>156144</v>
      </c>
      <c r="R17" s="415">
        <v>267719</v>
      </c>
      <c r="S17" s="416">
        <v>24.664099999999998</v>
      </c>
      <c r="T17" s="417">
        <v>21.084499999999998</v>
      </c>
      <c r="U17" s="423">
        <v>3.5795999999999997</v>
      </c>
      <c r="V17" s="424">
        <f t="shared" ref="V17:W20" si="9">AG17*-1</f>
        <v>0</v>
      </c>
      <c r="W17" s="418">
        <f t="shared" si="9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ref="AO17:AP20" si="10">AD17+AL17</f>
        <v>0</v>
      </c>
      <c r="AP17" s="418">
        <f t="shared" si="10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421">
        <f>SUM(BF17:BG17)</f>
        <v>0</v>
      </c>
      <c r="BI17" s="424">
        <f>I17+AW17</f>
        <v>21476517</v>
      </c>
      <c r="BJ17" s="780">
        <f>J17+AF17</f>
        <v>15614420</v>
      </c>
      <c r="BK17" s="418">
        <f t="shared" ref="BK17:BL20" si="11">K17+AD17</f>
        <v>14378112</v>
      </c>
      <c r="BL17" s="418">
        <f t="shared" si="11"/>
        <v>1236308</v>
      </c>
      <c r="BM17" s="418">
        <f>M17+AN17</f>
        <v>120000</v>
      </c>
      <c r="BN17" s="418">
        <f t="shared" ref="BN17:BO20" si="12">N17+AL17</f>
        <v>81600</v>
      </c>
      <c r="BO17" s="418">
        <f t="shared" si="12"/>
        <v>38400</v>
      </c>
      <c r="BP17" s="418">
        <f t="shared" ref="BP17:BQ20" si="13">P17+AR17</f>
        <v>5318234</v>
      </c>
      <c r="BQ17" s="418">
        <f t="shared" si="13"/>
        <v>156144</v>
      </c>
      <c r="BR17" s="418">
        <f>R17+AV17</f>
        <v>267719</v>
      </c>
      <c r="BS17" s="419">
        <f>S17+BH17</f>
        <v>24.664099999999998</v>
      </c>
      <c r="BT17" s="419">
        <f t="shared" ref="BT17:BU20" si="14">T17+BF17</f>
        <v>21.084499999999998</v>
      </c>
      <c r="BU17" s="421">
        <f t="shared" si="14"/>
        <v>3.5795999999999997</v>
      </c>
      <c r="BV17" s="420">
        <v>608218</v>
      </c>
      <c r="BW17" s="415">
        <v>451200</v>
      </c>
      <c r="BX17" s="415">
        <v>0</v>
      </c>
      <c r="BY17" s="415">
        <v>152506</v>
      </c>
      <c r="BZ17" s="415">
        <v>4512</v>
      </c>
      <c r="CA17" s="510">
        <v>0.8</v>
      </c>
    </row>
    <row r="18" spans="1:79" ht="12.95" customHeight="1" x14ac:dyDescent="0.25">
      <c r="A18" s="280">
        <v>2</v>
      </c>
      <c r="B18" s="321">
        <v>5416</v>
      </c>
      <c r="C18" s="322">
        <v>600099342</v>
      </c>
      <c r="D18" s="321">
        <v>854719</v>
      </c>
      <c r="E18" s="348" t="s">
        <v>411</v>
      </c>
      <c r="F18" s="321">
        <v>3113</v>
      </c>
      <c r="G18" s="284" t="s">
        <v>291</v>
      </c>
      <c r="H18" s="645" t="s">
        <v>272</v>
      </c>
      <c r="I18" s="420">
        <v>2096602</v>
      </c>
      <c r="J18" s="415">
        <v>1555343</v>
      </c>
      <c r="K18" s="415">
        <v>1555343</v>
      </c>
      <c r="L18" s="415">
        <v>0</v>
      </c>
      <c r="M18" s="415">
        <v>0</v>
      </c>
      <c r="N18" s="415">
        <v>0</v>
      </c>
      <c r="O18" s="415">
        <v>0</v>
      </c>
      <c r="P18" s="68">
        <v>525706</v>
      </c>
      <c r="Q18" s="68">
        <v>15553</v>
      </c>
      <c r="R18" s="415">
        <v>0</v>
      </c>
      <c r="S18" s="416">
        <v>4.03</v>
      </c>
      <c r="T18" s="417">
        <v>4.03</v>
      </c>
      <c r="U18" s="423">
        <v>0</v>
      </c>
      <c r="V18" s="424">
        <f t="shared" si="9"/>
        <v>0</v>
      </c>
      <c r="W18" s="418">
        <f t="shared" si="9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10"/>
        <v>0</v>
      </c>
      <c r="AP18" s="418">
        <f t="shared" si="10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61893</v>
      </c>
      <c r="AU18" s="418">
        <v>0</v>
      </c>
      <c r="AV18" s="418">
        <f>AT18+AU18</f>
        <v>61893</v>
      </c>
      <c r="AW18" s="418">
        <f>AQ18+AR18+AS18+AV18</f>
        <v>61893</v>
      </c>
      <c r="AX18" s="419">
        <v>0</v>
      </c>
      <c r="AY18" s="419">
        <v>0</v>
      </c>
      <c r="AZ18" s="419">
        <v>0.13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>AX18+AZ18+BA18+BC18+BD18</f>
        <v>0.13</v>
      </c>
      <c r="BG18" s="419">
        <f>AY18+BB18+BE18</f>
        <v>0</v>
      </c>
      <c r="BH18" s="421">
        <f>SUM(BF18:BG18)</f>
        <v>0.13</v>
      </c>
      <c r="BI18" s="424">
        <f>I18+AW18</f>
        <v>2158495</v>
      </c>
      <c r="BJ18" s="780">
        <f>J18+AF18</f>
        <v>1555343</v>
      </c>
      <c r="BK18" s="418">
        <f t="shared" si="11"/>
        <v>1555343</v>
      </c>
      <c r="BL18" s="418">
        <f t="shared" si="11"/>
        <v>0</v>
      </c>
      <c r="BM18" s="418">
        <f>M18+AN18</f>
        <v>0</v>
      </c>
      <c r="BN18" s="418">
        <f t="shared" si="12"/>
        <v>0</v>
      </c>
      <c r="BO18" s="418">
        <f t="shared" si="12"/>
        <v>0</v>
      </c>
      <c r="BP18" s="418">
        <f t="shared" si="13"/>
        <v>525706</v>
      </c>
      <c r="BQ18" s="418">
        <f t="shared" si="13"/>
        <v>15553</v>
      </c>
      <c r="BR18" s="418">
        <f>R18+AV18</f>
        <v>61893</v>
      </c>
      <c r="BS18" s="419">
        <f>S18+BH18</f>
        <v>4.16</v>
      </c>
      <c r="BT18" s="419">
        <f t="shared" si="14"/>
        <v>4.16</v>
      </c>
      <c r="BU18" s="421">
        <f t="shared" si="14"/>
        <v>0</v>
      </c>
      <c r="BV18" s="420"/>
      <c r="BW18" s="415"/>
      <c r="BX18" s="415"/>
      <c r="BY18" s="415"/>
      <c r="BZ18" s="415"/>
      <c r="CA18" s="510"/>
    </row>
    <row r="19" spans="1:79" ht="12.95" customHeight="1" x14ac:dyDescent="0.25">
      <c r="A19" s="280">
        <v>2</v>
      </c>
      <c r="B19" s="321">
        <v>5416</v>
      </c>
      <c r="C19" s="322">
        <v>600099342</v>
      </c>
      <c r="D19" s="321">
        <v>854719</v>
      </c>
      <c r="E19" s="348" t="s">
        <v>411</v>
      </c>
      <c r="F19" s="321">
        <v>3143</v>
      </c>
      <c r="G19" s="284" t="s">
        <v>595</v>
      </c>
      <c r="H19" s="645" t="s">
        <v>271</v>
      </c>
      <c r="I19" s="420">
        <v>2062656</v>
      </c>
      <c r="J19" s="415">
        <v>1530160</v>
      </c>
      <c r="K19" s="415">
        <v>1530160</v>
      </c>
      <c r="L19" s="415">
        <v>0</v>
      </c>
      <c r="M19" s="415">
        <v>0</v>
      </c>
      <c r="N19" s="415">
        <v>0</v>
      </c>
      <c r="O19" s="415">
        <v>0</v>
      </c>
      <c r="P19" s="68">
        <v>517194</v>
      </c>
      <c r="Q19" s="68">
        <v>15302</v>
      </c>
      <c r="R19" s="415">
        <v>0</v>
      </c>
      <c r="S19" s="416">
        <v>2.8571</v>
      </c>
      <c r="T19" s="417">
        <v>2.8571</v>
      </c>
      <c r="U19" s="423">
        <v>0</v>
      </c>
      <c r="V19" s="424">
        <f t="shared" si="9"/>
        <v>0</v>
      </c>
      <c r="W19" s="418">
        <f t="shared" si="9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10"/>
        <v>0</v>
      </c>
      <c r="AP19" s="418">
        <f t="shared" si="10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424">
        <f>I19+AW19</f>
        <v>2062656</v>
      </c>
      <c r="BJ19" s="780">
        <f>J19+AF19</f>
        <v>1530160</v>
      </c>
      <c r="BK19" s="418">
        <f t="shared" si="11"/>
        <v>1530160</v>
      </c>
      <c r="BL19" s="418">
        <f t="shared" si="11"/>
        <v>0</v>
      </c>
      <c r="BM19" s="418">
        <f>M19+AN19</f>
        <v>0</v>
      </c>
      <c r="BN19" s="418">
        <f t="shared" si="12"/>
        <v>0</v>
      </c>
      <c r="BO19" s="418">
        <f t="shared" si="12"/>
        <v>0</v>
      </c>
      <c r="BP19" s="418">
        <f t="shared" si="13"/>
        <v>517194</v>
      </c>
      <c r="BQ19" s="418">
        <f t="shared" si="13"/>
        <v>15302</v>
      </c>
      <c r="BR19" s="418">
        <f>R19+AV19</f>
        <v>0</v>
      </c>
      <c r="BS19" s="419">
        <f>S19+BH19</f>
        <v>2.8571</v>
      </c>
      <c r="BT19" s="419">
        <f t="shared" si="14"/>
        <v>2.8571</v>
      </c>
      <c r="BU19" s="421">
        <f t="shared" si="14"/>
        <v>0</v>
      </c>
      <c r="BV19" s="420"/>
      <c r="BW19" s="415"/>
      <c r="BX19" s="415"/>
      <c r="BY19" s="415"/>
      <c r="BZ19" s="415"/>
      <c r="CA19" s="510"/>
    </row>
    <row r="20" spans="1:79" ht="12.95" customHeight="1" x14ac:dyDescent="0.25">
      <c r="A20" s="280">
        <v>2</v>
      </c>
      <c r="B20" s="321">
        <v>5416</v>
      </c>
      <c r="C20" s="322">
        <v>600099342</v>
      </c>
      <c r="D20" s="321">
        <v>854719</v>
      </c>
      <c r="E20" s="348" t="s">
        <v>411</v>
      </c>
      <c r="F20" s="321">
        <v>3143</v>
      </c>
      <c r="G20" s="284" t="s">
        <v>596</v>
      </c>
      <c r="H20" s="645" t="s">
        <v>272</v>
      </c>
      <c r="I20" s="420">
        <v>42011</v>
      </c>
      <c r="J20" s="415">
        <v>30070</v>
      </c>
      <c r="K20" s="415">
        <v>0</v>
      </c>
      <c r="L20" s="415">
        <v>30070</v>
      </c>
      <c r="M20" s="415">
        <v>0</v>
      </c>
      <c r="N20" s="415">
        <v>0</v>
      </c>
      <c r="O20" s="415">
        <v>0</v>
      </c>
      <c r="P20" s="68">
        <v>10164</v>
      </c>
      <c r="Q20" s="68">
        <v>301</v>
      </c>
      <c r="R20" s="415">
        <v>1476</v>
      </c>
      <c r="S20" s="416">
        <v>0.1139</v>
      </c>
      <c r="T20" s="417">
        <v>0</v>
      </c>
      <c r="U20" s="423">
        <v>0.1139</v>
      </c>
      <c r="V20" s="424">
        <f t="shared" si="9"/>
        <v>0</v>
      </c>
      <c r="W20" s="418">
        <f t="shared" si="9"/>
        <v>0</v>
      </c>
      <c r="X20" s="418">
        <v>0</v>
      </c>
      <c r="Y20" s="418">
        <v>0</v>
      </c>
      <c r="Z20" s="418">
        <v>0</v>
      </c>
      <c r="AA20" s="418">
        <v>15030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15030</v>
      </c>
      <c r="AF20" s="418">
        <f>SUM(AD20:AE20)</f>
        <v>15030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10"/>
        <v>0</v>
      </c>
      <c r="AP20" s="418">
        <f t="shared" si="10"/>
        <v>15030</v>
      </c>
      <c r="AQ20" s="418">
        <f>SUM(AO20:AP20)</f>
        <v>15030</v>
      </c>
      <c r="AR20" s="68">
        <f>ROUND((AF20+AG20+AH20+AI20)*33.8%,0)</f>
        <v>5080</v>
      </c>
      <c r="AS20" s="68">
        <f>ROUND(AF20*1%,0)</f>
        <v>150</v>
      </c>
      <c r="AT20" s="418">
        <v>0</v>
      </c>
      <c r="AU20" s="418">
        <v>738</v>
      </c>
      <c r="AV20" s="418">
        <f>AT20+AU20</f>
        <v>738</v>
      </c>
      <c r="AW20" s="418">
        <f>AQ20+AR20+AS20+AV20</f>
        <v>20998</v>
      </c>
      <c r="AX20" s="419">
        <v>0</v>
      </c>
      <c r="AY20" s="419">
        <v>0</v>
      </c>
      <c r="AZ20" s="419">
        <v>0</v>
      </c>
      <c r="BA20" s="419">
        <v>0</v>
      </c>
      <c r="BB20" s="419">
        <v>0.06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0.06</v>
      </c>
      <c r="BH20" s="421">
        <f>SUM(BF20:BG20)</f>
        <v>0.06</v>
      </c>
      <c r="BI20" s="424">
        <f>I20+AW20</f>
        <v>63009</v>
      </c>
      <c r="BJ20" s="780">
        <f>J20+AF20</f>
        <v>45100</v>
      </c>
      <c r="BK20" s="418">
        <f t="shared" si="11"/>
        <v>0</v>
      </c>
      <c r="BL20" s="418">
        <f t="shared" si="11"/>
        <v>45100</v>
      </c>
      <c r="BM20" s="418">
        <f>M20+AN20</f>
        <v>0</v>
      </c>
      <c r="BN20" s="418">
        <f t="shared" si="12"/>
        <v>0</v>
      </c>
      <c r="BO20" s="418">
        <f t="shared" si="12"/>
        <v>0</v>
      </c>
      <c r="BP20" s="418">
        <f t="shared" si="13"/>
        <v>15244</v>
      </c>
      <c r="BQ20" s="418">
        <f t="shared" si="13"/>
        <v>451</v>
      </c>
      <c r="BR20" s="418">
        <f>R20+AV20</f>
        <v>2214</v>
      </c>
      <c r="BS20" s="419">
        <f>S20+BH20</f>
        <v>0.1739</v>
      </c>
      <c r="BT20" s="419">
        <f t="shared" si="14"/>
        <v>0</v>
      </c>
      <c r="BU20" s="421">
        <f t="shared" si="14"/>
        <v>0.1739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646">
        <v>2</v>
      </c>
      <c r="B21" s="325">
        <v>5416</v>
      </c>
      <c r="C21" s="326">
        <v>600099342</v>
      </c>
      <c r="D21" s="325">
        <v>854719</v>
      </c>
      <c r="E21" s="349" t="s">
        <v>412</v>
      </c>
      <c r="F21" s="325"/>
      <c r="G21" s="350"/>
      <c r="H21" s="648"/>
      <c r="I21" s="465">
        <v>25677786</v>
      </c>
      <c r="J21" s="461">
        <v>18729993</v>
      </c>
      <c r="K21" s="461">
        <v>17463615</v>
      </c>
      <c r="L21" s="461">
        <v>1266378</v>
      </c>
      <c r="M21" s="461">
        <v>120000</v>
      </c>
      <c r="N21" s="461">
        <v>81600</v>
      </c>
      <c r="O21" s="461">
        <v>38400</v>
      </c>
      <c r="P21" s="461">
        <v>6371298</v>
      </c>
      <c r="Q21" s="461">
        <v>187300</v>
      </c>
      <c r="R21" s="461">
        <v>269195</v>
      </c>
      <c r="S21" s="462">
        <v>31.665099999999999</v>
      </c>
      <c r="T21" s="462">
        <v>27.971599999999999</v>
      </c>
      <c r="U21" s="535">
        <v>3.6934999999999998</v>
      </c>
      <c r="V21" s="465">
        <f t="shared" ref="V21:CA21" si="15">SUM(V17:V20)</f>
        <v>0</v>
      </c>
      <c r="W21" s="461">
        <f t="shared" si="15"/>
        <v>0</v>
      </c>
      <c r="X21" s="461">
        <f t="shared" si="15"/>
        <v>0</v>
      </c>
      <c r="Y21" s="461">
        <f t="shared" si="15"/>
        <v>0</v>
      </c>
      <c r="Z21" s="461">
        <f t="shared" si="15"/>
        <v>0</v>
      </c>
      <c r="AA21" s="461">
        <f t="shared" si="15"/>
        <v>15030</v>
      </c>
      <c r="AB21" s="461">
        <f t="shared" si="15"/>
        <v>0</v>
      </c>
      <c r="AC21" s="461">
        <f t="shared" si="15"/>
        <v>0</v>
      </c>
      <c r="AD21" s="461">
        <f t="shared" si="15"/>
        <v>0</v>
      </c>
      <c r="AE21" s="461">
        <f t="shared" si="15"/>
        <v>15030</v>
      </c>
      <c r="AF21" s="461">
        <f t="shared" si="15"/>
        <v>15030</v>
      </c>
      <c r="AG21" s="461">
        <f t="shared" si="15"/>
        <v>0</v>
      </c>
      <c r="AH21" s="461">
        <f t="shared" si="15"/>
        <v>0</v>
      </c>
      <c r="AI21" s="461">
        <f t="shared" si="15"/>
        <v>0</v>
      </c>
      <c r="AJ21" s="461">
        <f t="shared" si="15"/>
        <v>0</v>
      </c>
      <c r="AK21" s="461">
        <f t="shared" si="15"/>
        <v>0</v>
      </c>
      <c r="AL21" s="461">
        <f t="shared" si="15"/>
        <v>0</v>
      </c>
      <c r="AM21" s="461">
        <f t="shared" si="15"/>
        <v>0</v>
      </c>
      <c r="AN21" s="461">
        <f t="shared" si="15"/>
        <v>0</v>
      </c>
      <c r="AO21" s="461">
        <f t="shared" si="15"/>
        <v>0</v>
      </c>
      <c r="AP21" s="461">
        <f t="shared" si="15"/>
        <v>15030</v>
      </c>
      <c r="AQ21" s="461">
        <f t="shared" si="15"/>
        <v>15030</v>
      </c>
      <c r="AR21" s="461">
        <f t="shared" si="15"/>
        <v>5080</v>
      </c>
      <c r="AS21" s="461">
        <f t="shared" si="15"/>
        <v>150</v>
      </c>
      <c r="AT21" s="461">
        <f t="shared" si="15"/>
        <v>61893</v>
      </c>
      <c r="AU21" s="461">
        <f t="shared" si="15"/>
        <v>738</v>
      </c>
      <c r="AV21" s="461">
        <f t="shared" si="15"/>
        <v>62631</v>
      </c>
      <c r="AW21" s="461">
        <f t="shared" si="15"/>
        <v>82891</v>
      </c>
      <c r="AX21" s="462">
        <f t="shared" si="15"/>
        <v>0</v>
      </c>
      <c r="AY21" s="462">
        <f t="shared" si="15"/>
        <v>0</v>
      </c>
      <c r="AZ21" s="462">
        <f t="shared" si="15"/>
        <v>0.13</v>
      </c>
      <c r="BA21" s="462">
        <f t="shared" si="15"/>
        <v>0</v>
      </c>
      <c r="BB21" s="462">
        <f t="shared" ref="BB21" si="16">SUM(BB17:BB20)</f>
        <v>0.06</v>
      </c>
      <c r="BC21" s="462">
        <f t="shared" si="15"/>
        <v>0</v>
      </c>
      <c r="BD21" s="462">
        <f t="shared" si="15"/>
        <v>0</v>
      </c>
      <c r="BE21" s="462">
        <f t="shared" ref="BE21" si="17">SUM(BE17:BE20)</f>
        <v>0</v>
      </c>
      <c r="BF21" s="462">
        <f t="shared" si="15"/>
        <v>0.13</v>
      </c>
      <c r="BG21" s="462">
        <f t="shared" si="15"/>
        <v>0.06</v>
      </c>
      <c r="BH21" s="279">
        <f t="shared" si="15"/>
        <v>0.19</v>
      </c>
      <c r="BI21" s="465">
        <f t="shared" si="15"/>
        <v>25760677</v>
      </c>
      <c r="BJ21" s="781">
        <f t="shared" si="15"/>
        <v>18745023</v>
      </c>
      <c r="BK21" s="461">
        <f t="shared" si="15"/>
        <v>17463615</v>
      </c>
      <c r="BL21" s="461">
        <f t="shared" si="15"/>
        <v>1281408</v>
      </c>
      <c r="BM21" s="461">
        <f t="shared" si="15"/>
        <v>120000</v>
      </c>
      <c r="BN21" s="461">
        <f t="shared" si="15"/>
        <v>81600</v>
      </c>
      <c r="BO21" s="461">
        <f t="shared" si="15"/>
        <v>38400</v>
      </c>
      <c r="BP21" s="461">
        <f t="shared" si="15"/>
        <v>6376378</v>
      </c>
      <c r="BQ21" s="461">
        <f t="shared" si="15"/>
        <v>187450</v>
      </c>
      <c r="BR21" s="461">
        <f t="shared" si="15"/>
        <v>331826</v>
      </c>
      <c r="BS21" s="462">
        <f t="shared" si="15"/>
        <v>31.855099999999997</v>
      </c>
      <c r="BT21" s="462">
        <f t="shared" si="15"/>
        <v>28.101599999999998</v>
      </c>
      <c r="BU21" s="279">
        <f t="shared" si="15"/>
        <v>3.7534999999999998</v>
      </c>
      <c r="BV21" s="850">
        <f t="shared" si="15"/>
        <v>608218</v>
      </c>
      <c r="BW21" s="713">
        <f t="shared" si="15"/>
        <v>451200</v>
      </c>
      <c r="BX21" s="713">
        <f t="shared" si="15"/>
        <v>0</v>
      </c>
      <c r="BY21" s="713">
        <f t="shared" si="15"/>
        <v>152506</v>
      </c>
      <c r="BZ21" s="713">
        <f t="shared" si="15"/>
        <v>4512</v>
      </c>
      <c r="CA21" s="851">
        <f t="shared" si="15"/>
        <v>0.8</v>
      </c>
    </row>
    <row r="22" spans="1:79" ht="12.95" customHeight="1" x14ac:dyDescent="0.25">
      <c r="A22" s="280">
        <v>3</v>
      </c>
      <c r="B22" s="321">
        <v>5413</v>
      </c>
      <c r="C22" s="322">
        <v>600099334</v>
      </c>
      <c r="D22" s="321">
        <v>854697</v>
      </c>
      <c r="E22" s="348" t="s">
        <v>413</v>
      </c>
      <c r="F22" s="321">
        <v>3113</v>
      </c>
      <c r="G22" s="345" t="s">
        <v>308</v>
      </c>
      <c r="H22" s="645" t="s">
        <v>271</v>
      </c>
      <c r="I22" s="420">
        <v>27403194</v>
      </c>
      <c r="J22" s="415">
        <v>19856275</v>
      </c>
      <c r="K22" s="415">
        <v>18444428</v>
      </c>
      <c r="L22" s="415">
        <v>1411847</v>
      </c>
      <c r="M22" s="415">
        <v>215920</v>
      </c>
      <c r="N22" s="415">
        <v>175920</v>
      </c>
      <c r="O22" s="415">
        <v>40000</v>
      </c>
      <c r="P22" s="68">
        <v>6784402</v>
      </c>
      <c r="Q22" s="68">
        <v>198563</v>
      </c>
      <c r="R22" s="415">
        <v>348034</v>
      </c>
      <c r="S22" s="416">
        <v>30.524000000000001</v>
      </c>
      <c r="T22" s="417">
        <v>26.301200000000001</v>
      </c>
      <c r="U22" s="423">
        <v>4.2228000000000003</v>
      </c>
      <c r="V22" s="424">
        <f t="shared" ref="V22:W26" si="18">AG22*-1</f>
        <v>0</v>
      </c>
      <c r="W22" s="418">
        <f t="shared" si="1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ref="AO22:AP26" si="19">AD22+AL22</f>
        <v>0</v>
      </c>
      <c r="AP22" s="418">
        <f t="shared" si="19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424">
        <f>I22+AW22</f>
        <v>27403194</v>
      </c>
      <c r="BJ22" s="780">
        <f>J22+AF22</f>
        <v>19856275</v>
      </c>
      <c r="BK22" s="418">
        <f t="shared" ref="BK22:BL26" si="20">K22+AD22</f>
        <v>18444428</v>
      </c>
      <c r="BL22" s="418">
        <f t="shared" si="20"/>
        <v>1411847</v>
      </c>
      <c r="BM22" s="418">
        <f>M22+AN22</f>
        <v>215920</v>
      </c>
      <c r="BN22" s="418">
        <f t="shared" ref="BN22:BO26" si="21">N22+AL22</f>
        <v>175920</v>
      </c>
      <c r="BO22" s="418">
        <f t="shared" si="21"/>
        <v>40000</v>
      </c>
      <c r="BP22" s="418">
        <f t="shared" ref="BP22:BQ26" si="22">P22+AR22</f>
        <v>6784402</v>
      </c>
      <c r="BQ22" s="418">
        <f t="shared" si="22"/>
        <v>198563</v>
      </c>
      <c r="BR22" s="418">
        <f>R22+AV22</f>
        <v>348034</v>
      </c>
      <c r="BS22" s="419">
        <f>S22+BH22</f>
        <v>30.524000000000001</v>
      </c>
      <c r="BT22" s="419">
        <f t="shared" ref="BT22:BU26" si="23">T22+BF22</f>
        <v>26.301200000000001</v>
      </c>
      <c r="BU22" s="421">
        <f t="shared" si="23"/>
        <v>4.2228000000000003</v>
      </c>
      <c r="BV22" s="420">
        <v>608218</v>
      </c>
      <c r="BW22" s="415">
        <v>451200</v>
      </c>
      <c r="BX22" s="415">
        <v>0</v>
      </c>
      <c r="BY22" s="415">
        <v>152506</v>
      </c>
      <c r="BZ22" s="415">
        <v>4512</v>
      </c>
      <c r="CA22" s="510">
        <v>0.8</v>
      </c>
    </row>
    <row r="23" spans="1:79" ht="12.95" customHeight="1" x14ac:dyDescent="0.25">
      <c r="A23" s="280">
        <v>3</v>
      </c>
      <c r="B23" s="321">
        <v>5413</v>
      </c>
      <c r="C23" s="322">
        <v>600099334</v>
      </c>
      <c r="D23" s="321">
        <v>854697</v>
      </c>
      <c r="E23" s="348" t="s">
        <v>413</v>
      </c>
      <c r="F23" s="321">
        <v>3113</v>
      </c>
      <c r="G23" s="284" t="s">
        <v>291</v>
      </c>
      <c r="H23" s="645" t="s">
        <v>272</v>
      </c>
      <c r="I23" s="420">
        <v>2856002</v>
      </c>
      <c r="J23" s="415">
        <v>2117212</v>
      </c>
      <c r="K23" s="415">
        <v>2117212</v>
      </c>
      <c r="L23" s="415">
        <v>0</v>
      </c>
      <c r="M23" s="415">
        <v>0</v>
      </c>
      <c r="N23" s="415">
        <v>0</v>
      </c>
      <c r="O23" s="415">
        <v>0</v>
      </c>
      <c r="P23" s="68">
        <v>715618</v>
      </c>
      <c r="Q23" s="68">
        <v>21172</v>
      </c>
      <c r="R23" s="415">
        <v>2000</v>
      </c>
      <c r="S23" s="416">
        <v>5.46</v>
      </c>
      <c r="T23" s="417">
        <v>5.46</v>
      </c>
      <c r="U23" s="423">
        <v>0</v>
      </c>
      <c r="V23" s="424">
        <f t="shared" si="18"/>
        <v>0</v>
      </c>
      <c r="W23" s="418">
        <f t="shared" si="18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9"/>
        <v>0</v>
      </c>
      <c r="AP23" s="418">
        <f t="shared" si="19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424">
        <f>I23+AW23</f>
        <v>2856002</v>
      </c>
      <c r="BJ23" s="780">
        <f>J23+AF23</f>
        <v>2117212</v>
      </c>
      <c r="BK23" s="418">
        <f t="shared" si="20"/>
        <v>2117212</v>
      </c>
      <c r="BL23" s="418">
        <f t="shared" si="20"/>
        <v>0</v>
      </c>
      <c r="BM23" s="418">
        <f>M23+AN23</f>
        <v>0</v>
      </c>
      <c r="BN23" s="418">
        <f t="shared" si="21"/>
        <v>0</v>
      </c>
      <c r="BO23" s="418">
        <f t="shared" si="21"/>
        <v>0</v>
      </c>
      <c r="BP23" s="418">
        <f t="shared" si="22"/>
        <v>715618</v>
      </c>
      <c r="BQ23" s="418">
        <f t="shared" si="22"/>
        <v>21172</v>
      </c>
      <c r="BR23" s="418">
        <f>R23+AV23</f>
        <v>2000</v>
      </c>
      <c r="BS23" s="419">
        <f>S23+BH23</f>
        <v>5.46</v>
      </c>
      <c r="BT23" s="419">
        <f t="shared" si="23"/>
        <v>5.46</v>
      </c>
      <c r="BU23" s="421">
        <f t="shared" si="23"/>
        <v>0</v>
      </c>
      <c r="BV23" s="420"/>
      <c r="BW23" s="415"/>
      <c r="BX23" s="415"/>
      <c r="BY23" s="415"/>
      <c r="BZ23" s="415"/>
      <c r="CA23" s="510"/>
    </row>
    <row r="24" spans="1:79" ht="12.95" customHeight="1" x14ac:dyDescent="0.25">
      <c r="A24" s="280">
        <v>3</v>
      </c>
      <c r="B24" s="321">
        <v>5413</v>
      </c>
      <c r="C24" s="322">
        <v>600099334</v>
      </c>
      <c r="D24" s="321">
        <v>854697</v>
      </c>
      <c r="E24" s="348" t="s">
        <v>413</v>
      </c>
      <c r="F24" s="321">
        <v>3143</v>
      </c>
      <c r="G24" s="284" t="s">
        <v>595</v>
      </c>
      <c r="H24" s="645" t="s">
        <v>271</v>
      </c>
      <c r="I24" s="420">
        <v>2045566</v>
      </c>
      <c r="J24" s="415">
        <v>1517482</v>
      </c>
      <c r="K24" s="415">
        <v>1517482</v>
      </c>
      <c r="L24" s="415">
        <v>0</v>
      </c>
      <c r="M24" s="415">
        <v>0</v>
      </c>
      <c r="N24" s="415">
        <v>0</v>
      </c>
      <c r="O24" s="415">
        <v>0</v>
      </c>
      <c r="P24" s="68">
        <v>512909</v>
      </c>
      <c r="Q24" s="68">
        <v>15175</v>
      </c>
      <c r="R24" s="415">
        <v>0</v>
      </c>
      <c r="S24" s="416">
        <v>2.8</v>
      </c>
      <c r="T24" s="417">
        <v>2.8</v>
      </c>
      <c r="U24" s="423">
        <v>0</v>
      </c>
      <c r="V24" s="424">
        <f t="shared" si="18"/>
        <v>0</v>
      </c>
      <c r="W24" s="418">
        <f t="shared" si="18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9"/>
        <v>0</v>
      </c>
      <c r="AP24" s="418">
        <f t="shared" si="19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8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424">
        <f>I24+AW24</f>
        <v>2045566</v>
      </c>
      <c r="BJ24" s="780">
        <f>J24+AF24</f>
        <v>1517482</v>
      </c>
      <c r="BK24" s="418">
        <f t="shared" si="20"/>
        <v>1517482</v>
      </c>
      <c r="BL24" s="418">
        <f t="shared" si="20"/>
        <v>0</v>
      </c>
      <c r="BM24" s="418">
        <f>M24+AN24</f>
        <v>0</v>
      </c>
      <c r="BN24" s="418">
        <f t="shared" si="21"/>
        <v>0</v>
      </c>
      <c r="BO24" s="418">
        <f t="shared" si="21"/>
        <v>0</v>
      </c>
      <c r="BP24" s="418">
        <f t="shared" si="22"/>
        <v>512909</v>
      </c>
      <c r="BQ24" s="418">
        <f t="shared" si="22"/>
        <v>15175</v>
      </c>
      <c r="BR24" s="418">
        <f>R24+AV24</f>
        <v>0</v>
      </c>
      <c r="BS24" s="419">
        <f>S24+BH24</f>
        <v>2.8</v>
      </c>
      <c r="BT24" s="419">
        <f t="shared" si="23"/>
        <v>2.8</v>
      </c>
      <c r="BU24" s="421">
        <f t="shared" si="23"/>
        <v>0</v>
      </c>
      <c r="BV24" s="420"/>
      <c r="BW24" s="415"/>
      <c r="BX24" s="415"/>
      <c r="BY24" s="415"/>
      <c r="BZ24" s="415"/>
      <c r="CA24" s="510"/>
    </row>
    <row r="25" spans="1:79" ht="12.95" customHeight="1" x14ac:dyDescent="0.25">
      <c r="A25" s="280">
        <v>3</v>
      </c>
      <c r="B25" s="321">
        <v>5413</v>
      </c>
      <c r="C25" s="322">
        <v>600099334</v>
      </c>
      <c r="D25" s="321">
        <v>854697</v>
      </c>
      <c r="E25" s="348" t="s">
        <v>413</v>
      </c>
      <c r="F25" s="321">
        <v>3143</v>
      </c>
      <c r="G25" s="284" t="s">
        <v>596</v>
      </c>
      <c r="H25" s="645" t="s">
        <v>272</v>
      </c>
      <c r="I25" s="420">
        <v>46104</v>
      </c>
      <c r="J25" s="415">
        <v>33000</v>
      </c>
      <c r="K25" s="415">
        <v>0</v>
      </c>
      <c r="L25" s="415">
        <v>33000</v>
      </c>
      <c r="M25" s="415">
        <v>0</v>
      </c>
      <c r="N25" s="415">
        <v>0</v>
      </c>
      <c r="O25" s="415">
        <v>0</v>
      </c>
      <c r="P25" s="68">
        <v>11154</v>
      </c>
      <c r="Q25" s="68">
        <v>330</v>
      </c>
      <c r="R25" s="415">
        <v>1620</v>
      </c>
      <c r="S25" s="416">
        <v>0.125</v>
      </c>
      <c r="T25" s="417">
        <v>0</v>
      </c>
      <c r="U25" s="423">
        <v>0.125</v>
      </c>
      <c r="V25" s="424">
        <f t="shared" si="18"/>
        <v>0</v>
      </c>
      <c r="W25" s="418">
        <f t="shared" si="18"/>
        <v>0</v>
      </c>
      <c r="X25" s="418">
        <v>0</v>
      </c>
      <c r="Y25" s="418">
        <v>0</v>
      </c>
      <c r="Z25" s="418">
        <v>0</v>
      </c>
      <c r="AA25" s="418">
        <v>16500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16500</v>
      </c>
      <c r="AF25" s="418">
        <f>SUM(AD25:AE25)</f>
        <v>16500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9"/>
        <v>0</v>
      </c>
      <c r="AP25" s="418">
        <f t="shared" si="19"/>
        <v>16500</v>
      </c>
      <c r="AQ25" s="418">
        <f>SUM(AO25:AP25)</f>
        <v>16500</v>
      </c>
      <c r="AR25" s="68">
        <f>ROUND((AF25+AG25+AH25+AI25)*33.8%,0)</f>
        <v>5577</v>
      </c>
      <c r="AS25" s="68">
        <f>ROUND(AF25*1%,0)</f>
        <v>165</v>
      </c>
      <c r="AT25" s="418">
        <v>0</v>
      </c>
      <c r="AU25" s="418">
        <v>810</v>
      </c>
      <c r="AV25" s="418">
        <f>AT25+AU25</f>
        <v>810</v>
      </c>
      <c r="AW25" s="418">
        <f>AQ25+AR25+AS25+AV25</f>
        <v>23052</v>
      </c>
      <c r="AX25" s="419">
        <v>0</v>
      </c>
      <c r="AY25" s="419">
        <v>0</v>
      </c>
      <c r="AZ25" s="419">
        <v>0</v>
      </c>
      <c r="BA25" s="419">
        <v>0</v>
      </c>
      <c r="BB25" s="419">
        <v>0.06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0.06</v>
      </c>
      <c r="BH25" s="421">
        <f>SUM(BF25:BG25)</f>
        <v>0.06</v>
      </c>
      <c r="BI25" s="424">
        <f>I25+AW25</f>
        <v>69156</v>
      </c>
      <c r="BJ25" s="780">
        <f>J25+AF25</f>
        <v>49500</v>
      </c>
      <c r="BK25" s="418">
        <f t="shared" si="20"/>
        <v>0</v>
      </c>
      <c r="BL25" s="418">
        <f t="shared" si="20"/>
        <v>49500</v>
      </c>
      <c r="BM25" s="418">
        <f>M25+AN25</f>
        <v>0</v>
      </c>
      <c r="BN25" s="418">
        <f t="shared" si="21"/>
        <v>0</v>
      </c>
      <c r="BO25" s="418">
        <f t="shared" si="21"/>
        <v>0</v>
      </c>
      <c r="BP25" s="418">
        <f t="shared" si="22"/>
        <v>16731</v>
      </c>
      <c r="BQ25" s="418">
        <f t="shared" si="22"/>
        <v>495</v>
      </c>
      <c r="BR25" s="418">
        <f>R25+AV25</f>
        <v>2430</v>
      </c>
      <c r="BS25" s="419">
        <f>S25+BH25</f>
        <v>0.185</v>
      </c>
      <c r="BT25" s="419">
        <f t="shared" si="23"/>
        <v>0</v>
      </c>
      <c r="BU25" s="421">
        <f t="shared" si="23"/>
        <v>0.185</v>
      </c>
      <c r="BV25" s="420"/>
      <c r="BW25" s="415"/>
      <c r="BX25" s="415"/>
      <c r="BY25" s="415"/>
      <c r="BZ25" s="415"/>
      <c r="CA25" s="510"/>
    </row>
    <row r="26" spans="1:79" ht="12.95" customHeight="1" x14ac:dyDescent="0.25">
      <c r="A26" s="280">
        <v>3</v>
      </c>
      <c r="B26" s="321">
        <v>5413</v>
      </c>
      <c r="C26" s="322">
        <v>600099334</v>
      </c>
      <c r="D26" s="321">
        <v>854697</v>
      </c>
      <c r="E26" s="348" t="s">
        <v>413</v>
      </c>
      <c r="F26" s="321">
        <v>3143</v>
      </c>
      <c r="G26" s="345" t="s">
        <v>414</v>
      </c>
      <c r="H26" s="645" t="s">
        <v>272</v>
      </c>
      <c r="I26" s="420">
        <v>378438</v>
      </c>
      <c r="J26" s="415">
        <v>279850</v>
      </c>
      <c r="K26" s="415">
        <v>243180</v>
      </c>
      <c r="L26" s="634">
        <v>36670</v>
      </c>
      <c r="M26" s="415">
        <v>0</v>
      </c>
      <c r="N26" s="415">
        <v>0</v>
      </c>
      <c r="O26" s="415">
        <v>0</v>
      </c>
      <c r="P26" s="635">
        <v>94589</v>
      </c>
      <c r="Q26" s="635">
        <v>2799</v>
      </c>
      <c r="R26" s="634">
        <v>1200</v>
      </c>
      <c r="S26" s="636">
        <v>0.62</v>
      </c>
      <c r="T26" s="637">
        <v>0.48</v>
      </c>
      <c r="U26" s="772">
        <v>0.14000000000000001</v>
      </c>
      <c r="V26" s="424">
        <f t="shared" si="18"/>
        <v>0</v>
      </c>
      <c r="W26" s="418">
        <f t="shared" si="18"/>
        <v>0</v>
      </c>
      <c r="X26" s="418">
        <v>0</v>
      </c>
      <c r="Y26" s="418">
        <v>0</v>
      </c>
      <c r="Z26" s="418">
        <v>0</v>
      </c>
      <c r="AA26" s="418">
        <v>18330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18330</v>
      </c>
      <c r="AF26" s="418">
        <f>SUM(AD26:AE26)</f>
        <v>18330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9"/>
        <v>0</v>
      </c>
      <c r="AP26" s="418">
        <f t="shared" si="19"/>
        <v>18330</v>
      </c>
      <c r="AQ26" s="418">
        <f>SUM(AO26:AP26)</f>
        <v>18330</v>
      </c>
      <c r="AR26" s="68">
        <f>ROUND((AF26+AG26+AH26+AI26)*33.8%,0)</f>
        <v>6196</v>
      </c>
      <c r="AS26" s="68">
        <f>ROUND(AF26*1%,0)</f>
        <v>183</v>
      </c>
      <c r="AT26" s="418">
        <v>0</v>
      </c>
      <c r="AU26" s="418">
        <v>600</v>
      </c>
      <c r="AV26" s="418">
        <f>AT26+AU26</f>
        <v>600</v>
      </c>
      <c r="AW26" s="418">
        <f>AQ26+AR26+AS26+AV26</f>
        <v>25309</v>
      </c>
      <c r="AX26" s="419">
        <v>0</v>
      </c>
      <c r="AY26" s="419">
        <v>0</v>
      </c>
      <c r="AZ26" s="419">
        <v>0</v>
      </c>
      <c r="BA26" s="419">
        <v>0</v>
      </c>
      <c r="BB26" s="419">
        <v>7.0000000000000007E-2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7.0000000000000007E-2</v>
      </c>
      <c r="BH26" s="421">
        <f>SUM(BF26:BG26)</f>
        <v>7.0000000000000007E-2</v>
      </c>
      <c r="BI26" s="424">
        <f>I26+AW26</f>
        <v>403747</v>
      </c>
      <c r="BJ26" s="780">
        <f>J26+AF26</f>
        <v>298180</v>
      </c>
      <c r="BK26" s="418">
        <f t="shared" si="20"/>
        <v>243180</v>
      </c>
      <c r="BL26" s="418">
        <f t="shared" si="20"/>
        <v>55000</v>
      </c>
      <c r="BM26" s="418">
        <f>M26+AN26</f>
        <v>0</v>
      </c>
      <c r="BN26" s="418">
        <f t="shared" si="21"/>
        <v>0</v>
      </c>
      <c r="BO26" s="418">
        <f t="shared" si="21"/>
        <v>0</v>
      </c>
      <c r="BP26" s="418">
        <f t="shared" si="22"/>
        <v>100785</v>
      </c>
      <c r="BQ26" s="418">
        <f t="shared" si="22"/>
        <v>2982</v>
      </c>
      <c r="BR26" s="418">
        <f>R26+AV26</f>
        <v>1800</v>
      </c>
      <c r="BS26" s="419">
        <f>S26+BH26</f>
        <v>0.69</v>
      </c>
      <c r="BT26" s="419">
        <f t="shared" si="23"/>
        <v>0.48</v>
      </c>
      <c r="BU26" s="421">
        <f t="shared" si="23"/>
        <v>0.21000000000000002</v>
      </c>
      <c r="BV26" s="420"/>
      <c r="BW26" s="415"/>
      <c r="BX26" s="415"/>
      <c r="BY26" s="415"/>
      <c r="BZ26" s="415"/>
      <c r="CA26" s="510"/>
    </row>
    <row r="27" spans="1:79" ht="12.95" customHeight="1" x14ac:dyDescent="0.25">
      <c r="A27" s="646">
        <v>3</v>
      </c>
      <c r="B27" s="325">
        <v>5413</v>
      </c>
      <c r="C27" s="326">
        <v>600099334</v>
      </c>
      <c r="D27" s="325">
        <v>854697</v>
      </c>
      <c r="E27" s="349" t="s">
        <v>415</v>
      </c>
      <c r="F27" s="325"/>
      <c r="G27" s="350"/>
      <c r="H27" s="648"/>
      <c r="I27" s="465">
        <v>32729304</v>
      </c>
      <c r="J27" s="461">
        <v>23803819</v>
      </c>
      <c r="K27" s="461">
        <v>22322302</v>
      </c>
      <c r="L27" s="461">
        <v>1481517</v>
      </c>
      <c r="M27" s="461">
        <v>215920</v>
      </c>
      <c r="N27" s="461">
        <v>175920</v>
      </c>
      <c r="O27" s="461">
        <v>40000</v>
      </c>
      <c r="P27" s="461">
        <v>8118672</v>
      </c>
      <c r="Q27" s="461">
        <v>238039</v>
      </c>
      <c r="R27" s="461">
        <v>352854</v>
      </c>
      <c r="S27" s="462">
        <v>39.528999999999996</v>
      </c>
      <c r="T27" s="462">
        <v>35.041199999999996</v>
      </c>
      <c r="U27" s="535">
        <v>4.4878</v>
      </c>
      <c r="V27" s="465">
        <f t="shared" ref="V27:CA27" si="24">SUM(V22:V26)</f>
        <v>0</v>
      </c>
      <c r="W27" s="461">
        <f t="shared" si="24"/>
        <v>0</v>
      </c>
      <c r="X27" s="461">
        <f t="shared" si="24"/>
        <v>0</v>
      </c>
      <c r="Y27" s="461">
        <f t="shared" si="24"/>
        <v>0</v>
      </c>
      <c r="Z27" s="461">
        <f t="shared" si="24"/>
        <v>0</v>
      </c>
      <c r="AA27" s="461">
        <f t="shared" si="24"/>
        <v>34830</v>
      </c>
      <c r="AB27" s="461">
        <f t="shared" si="24"/>
        <v>0</v>
      </c>
      <c r="AC27" s="461">
        <f t="shared" si="24"/>
        <v>0</v>
      </c>
      <c r="AD27" s="461">
        <f t="shared" si="24"/>
        <v>0</v>
      </c>
      <c r="AE27" s="461">
        <f t="shared" si="24"/>
        <v>34830</v>
      </c>
      <c r="AF27" s="461">
        <f t="shared" si="24"/>
        <v>34830</v>
      </c>
      <c r="AG27" s="461">
        <f t="shared" si="24"/>
        <v>0</v>
      </c>
      <c r="AH27" s="461">
        <f t="shared" si="24"/>
        <v>0</v>
      </c>
      <c r="AI27" s="461">
        <f t="shared" si="24"/>
        <v>0</v>
      </c>
      <c r="AJ27" s="461">
        <f t="shared" si="24"/>
        <v>0</v>
      </c>
      <c r="AK27" s="461">
        <f t="shared" si="24"/>
        <v>0</v>
      </c>
      <c r="AL27" s="461">
        <f t="shared" si="24"/>
        <v>0</v>
      </c>
      <c r="AM27" s="461">
        <f t="shared" si="24"/>
        <v>0</v>
      </c>
      <c r="AN27" s="461">
        <f t="shared" si="24"/>
        <v>0</v>
      </c>
      <c r="AO27" s="461">
        <f t="shared" si="24"/>
        <v>0</v>
      </c>
      <c r="AP27" s="461">
        <f t="shared" si="24"/>
        <v>34830</v>
      </c>
      <c r="AQ27" s="461">
        <f t="shared" si="24"/>
        <v>34830</v>
      </c>
      <c r="AR27" s="461">
        <f t="shared" si="24"/>
        <v>11773</v>
      </c>
      <c r="AS27" s="461">
        <f t="shared" si="24"/>
        <v>348</v>
      </c>
      <c r="AT27" s="461">
        <f t="shared" si="24"/>
        <v>0</v>
      </c>
      <c r="AU27" s="461">
        <f t="shared" si="24"/>
        <v>1410</v>
      </c>
      <c r="AV27" s="461">
        <f t="shared" si="24"/>
        <v>1410</v>
      </c>
      <c r="AW27" s="461">
        <f t="shared" si="24"/>
        <v>48361</v>
      </c>
      <c r="AX27" s="462">
        <f t="shared" si="24"/>
        <v>0</v>
      </c>
      <c r="AY27" s="462">
        <f t="shared" si="24"/>
        <v>0</v>
      </c>
      <c r="AZ27" s="462">
        <f t="shared" si="24"/>
        <v>0</v>
      </c>
      <c r="BA27" s="462">
        <f t="shared" si="24"/>
        <v>0</v>
      </c>
      <c r="BB27" s="462">
        <f t="shared" ref="BB27" si="25">SUM(BB22:BB26)</f>
        <v>0.13</v>
      </c>
      <c r="BC27" s="462">
        <f t="shared" si="24"/>
        <v>0</v>
      </c>
      <c r="BD27" s="462">
        <f t="shared" si="24"/>
        <v>0</v>
      </c>
      <c r="BE27" s="462">
        <f t="shared" ref="BE27" si="26">SUM(BE22:BE26)</f>
        <v>0</v>
      </c>
      <c r="BF27" s="462">
        <f t="shared" si="24"/>
        <v>0</v>
      </c>
      <c r="BG27" s="462">
        <f t="shared" si="24"/>
        <v>0.13</v>
      </c>
      <c r="BH27" s="279">
        <f t="shared" si="24"/>
        <v>0.13</v>
      </c>
      <c r="BI27" s="465">
        <f t="shared" si="24"/>
        <v>32777665</v>
      </c>
      <c r="BJ27" s="781">
        <f t="shared" si="24"/>
        <v>23838649</v>
      </c>
      <c r="BK27" s="461">
        <f t="shared" si="24"/>
        <v>22322302</v>
      </c>
      <c r="BL27" s="461">
        <f t="shared" si="24"/>
        <v>1516347</v>
      </c>
      <c r="BM27" s="461">
        <f t="shared" si="24"/>
        <v>215920</v>
      </c>
      <c r="BN27" s="461">
        <f t="shared" si="24"/>
        <v>175920</v>
      </c>
      <c r="BO27" s="461">
        <f t="shared" si="24"/>
        <v>40000</v>
      </c>
      <c r="BP27" s="461">
        <f t="shared" si="24"/>
        <v>8130445</v>
      </c>
      <c r="BQ27" s="461">
        <f t="shared" si="24"/>
        <v>238387</v>
      </c>
      <c r="BR27" s="461">
        <f t="shared" si="24"/>
        <v>354264</v>
      </c>
      <c r="BS27" s="462">
        <f t="shared" si="24"/>
        <v>39.658999999999999</v>
      </c>
      <c r="BT27" s="462">
        <f t="shared" si="24"/>
        <v>35.041199999999996</v>
      </c>
      <c r="BU27" s="279">
        <f t="shared" si="24"/>
        <v>4.6177999999999999</v>
      </c>
      <c r="BV27" s="850">
        <f t="shared" si="24"/>
        <v>608218</v>
      </c>
      <c r="BW27" s="713">
        <f t="shared" si="24"/>
        <v>451200</v>
      </c>
      <c r="BX27" s="713">
        <f t="shared" si="24"/>
        <v>0</v>
      </c>
      <c r="BY27" s="713">
        <f t="shared" si="24"/>
        <v>152506</v>
      </c>
      <c r="BZ27" s="713">
        <f t="shared" si="24"/>
        <v>4512</v>
      </c>
      <c r="CA27" s="851">
        <f t="shared" si="24"/>
        <v>0.8</v>
      </c>
    </row>
    <row r="28" spans="1:79" ht="12.95" customHeight="1" x14ac:dyDescent="0.25">
      <c r="A28" s="280">
        <v>4</v>
      </c>
      <c r="B28" s="321">
        <v>5475</v>
      </c>
      <c r="C28" s="322">
        <v>600099385</v>
      </c>
      <c r="D28" s="321">
        <v>854735</v>
      </c>
      <c r="E28" s="348" t="s">
        <v>416</v>
      </c>
      <c r="F28" s="321">
        <v>3231</v>
      </c>
      <c r="G28" s="345" t="s">
        <v>397</v>
      </c>
      <c r="H28" s="645" t="s">
        <v>271</v>
      </c>
      <c r="I28" s="420">
        <v>15127153</v>
      </c>
      <c r="J28" s="415">
        <v>11198072</v>
      </c>
      <c r="K28" s="415">
        <v>10782030</v>
      </c>
      <c r="L28" s="415">
        <v>416042</v>
      </c>
      <c r="M28" s="415">
        <v>8400</v>
      </c>
      <c r="N28" s="415">
        <v>8400</v>
      </c>
      <c r="O28" s="415">
        <v>0</v>
      </c>
      <c r="P28" s="68">
        <v>3787788</v>
      </c>
      <c r="Q28" s="68">
        <v>111981</v>
      </c>
      <c r="R28" s="415">
        <v>20912</v>
      </c>
      <c r="S28" s="416">
        <v>18.212900000000001</v>
      </c>
      <c r="T28" s="417">
        <v>17.045500000000001</v>
      </c>
      <c r="U28" s="423">
        <v>1.1674</v>
      </c>
      <c r="V28" s="424">
        <f>AG28*-1</f>
        <v>0</v>
      </c>
      <c r="W28" s="418">
        <f>AH28*-1</f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>AD28+AL28</f>
        <v>0</v>
      </c>
      <c r="AP28" s="418">
        <f>AE28+AM28</f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424">
        <f>I28+AW28</f>
        <v>15127153</v>
      </c>
      <c r="BJ28" s="780">
        <f>J28+AF28</f>
        <v>11198072</v>
      </c>
      <c r="BK28" s="418">
        <f>K28+AD28</f>
        <v>10782030</v>
      </c>
      <c r="BL28" s="418">
        <f>L28+AE28</f>
        <v>416042</v>
      </c>
      <c r="BM28" s="418">
        <f>M28+AN28</f>
        <v>8400</v>
      </c>
      <c r="BN28" s="418">
        <f>N28+AL28</f>
        <v>8400</v>
      </c>
      <c r="BO28" s="418">
        <f>O28+AM28</f>
        <v>0</v>
      </c>
      <c r="BP28" s="418">
        <f>P28+AR28</f>
        <v>3787788</v>
      </c>
      <c r="BQ28" s="418">
        <f>Q28+AS28</f>
        <v>111981</v>
      </c>
      <c r="BR28" s="418">
        <f>R28+AV28</f>
        <v>20912</v>
      </c>
      <c r="BS28" s="419">
        <f>S28+BH28</f>
        <v>18.212900000000001</v>
      </c>
      <c r="BT28" s="419">
        <f>T28+BF28</f>
        <v>17.045500000000001</v>
      </c>
      <c r="BU28" s="421">
        <f>U28+BG28</f>
        <v>1.1674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646">
        <v>4</v>
      </c>
      <c r="B29" s="325">
        <v>5475</v>
      </c>
      <c r="C29" s="326">
        <v>600099385</v>
      </c>
      <c r="D29" s="325">
        <v>854735</v>
      </c>
      <c r="E29" s="349" t="s">
        <v>417</v>
      </c>
      <c r="F29" s="325"/>
      <c r="G29" s="350"/>
      <c r="H29" s="648"/>
      <c r="I29" s="465">
        <v>15127153</v>
      </c>
      <c r="J29" s="461">
        <v>11198072</v>
      </c>
      <c r="K29" s="461">
        <v>10782030</v>
      </c>
      <c r="L29" s="461">
        <v>416042</v>
      </c>
      <c r="M29" s="461">
        <v>8400</v>
      </c>
      <c r="N29" s="461">
        <v>8400</v>
      </c>
      <c r="O29" s="461">
        <v>0</v>
      </c>
      <c r="P29" s="461">
        <v>3787788</v>
      </c>
      <c r="Q29" s="461">
        <v>111981</v>
      </c>
      <c r="R29" s="461">
        <v>20912</v>
      </c>
      <c r="S29" s="462">
        <v>18.212900000000001</v>
      </c>
      <c r="T29" s="462">
        <v>17.045500000000001</v>
      </c>
      <c r="U29" s="535">
        <v>1.1674</v>
      </c>
      <c r="V29" s="465">
        <f t="shared" ref="V29:CA29" si="27">SUM(V28)</f>
        <v>0</v>
      </c>
      <c r="W29" s="461">
        <f t="shared" si="27"/>
        <v>0</v>
      </c>
      <c r="X29" s="461">
        <f t="shared" si="27"/>
        <v>0</v>
      </c>
      <c r="Y29" s="461">
        <f t="shared" si="27"/>
        <v>0</v>
      </c>
      <c r="Z29" s="461">
        <f t="shared" si="27"/>
        <v>0</v>
      </c>
      <c r="AA29" s="461">
        <f t="shared" si="27"/>
        <v>0</v>
      </c>
      <c r="AB29" s="461">
        <f t="shared" si="27"/>
        <v>0</v>
      </c>
      <c r="AC29" s="461">
        <f t="shared" si="27"/>
        <v>0</v>
      </c>
      <c r="AD29" s="461">
        <f t="shared" si="27"/>
        <v>0</v>
      </c>
      <c r="AE29" s="461">
        <f t="shared" si="27"/>
        <v>0</v>
      </c>
      <c r="AF29" s="461">
        <f t="shared" si="27"/>
        <v>0</v>
      </c>
      <c r="AG29" s="461">
        <f t="shared" si="27"/>
        <v>0</v>
      </c>
      <c r="AH29" s="461">
        <f t="shared" si="27"/>
        <v>0</v>
      </c>
      <c r="AI29" s="461">
        <f t="shared" si="27"/>
        <v>0</v>
      </c>
      <c r="AJ29" s="461">
        <f t="shared" si="27"/>
        <v>0</v>
      </c>
      <c r="AK29" s="461">
        <f t="shared" si="27"/>
        <v>0</v>
      </c>
      <c r="AL29" s="461">
        <f t="shared" si="27"/>
        <v>0</v>
      </c>
      <c r="AM29" s="461">
        <f t="shared" si="27"/>
        <v>0</v>
      </c>
      <c r="AN29" s="461">
        <f t="shared" si="27"/>
        <v>0</v>
      </c>
      <c r="AO29" s="461">
        <f t="shared" si="27"/>
        <v>0</v>
      </c>
      <c r="AP29" s="461">
        <f t="shared" si="27"/>
        <v>0</v>
      </c>
      <c r="AQ29" s="461">
        <f t="shared" si="27"/>
        <v>0</v>
      </c>
      <c r="AR29" s="461">
        <f t="shared" si="27"/>
        <v>0</v>
      </c>
      <c r="AS29" s="461">
        <f t="shared" si="27"/>
        <v>0</v>
      </c>
      <c r="AT29" s="461">
        <f t="shared" si="27"/>
        <v>0</v>
      </c>
      <c r="AU29" s="461">
        <f t="shared" si="27"/>
        <v>0</v>
      </c>
      <c r="AV29" s="461">
        <f t="shared" si="27"/>
        <v>0</v>
      </c>
      <c r="AW29" s="461">
        <f t="shared" si="27"/>
        <v>0</v>
      </c>
      <c r="AX29" s="462">
        <f t="shared" si="27"/>
        <v>0</v>
      </c>
      <c r="AY29" s="462">
        <f t="shared" si="27"/>
        <v>0</v>
      </c>
      <c r="AZ29" s="462">
        <f t="shared" si="27"/>
        <v>0</v>
      </c>
      <c r="BA29" s="462">
        <f t="shared" si="27"/>
        <v>0</v>
      </c>
      <c r="BB29" s="462">
        <f t="shared" ref="BB29" si="28">SUM(BB28)</f>
        <v>0</v>
      </c>
      <c r="BC29" s="462">
        <f t="shared" si="27"/>
        <v>0</v>
      </c>
      <c r="BD29" s="462">
        <f t="shared" si="27"/>
        <v>0</v>
      </c>
      <c r="BE29" s="462">
        <f t="shared" ref="BE29" si="29">SUM(BE28)</f>
        <v>0</v>
      </c>
      <c r="BF29" s="462">
        <f t="shared" si="27"/>
        <v>0</v>
      </c>
      <c r="BG29" s="462">
        <f t="shared" si="27"/>
        <v>0</v>
      </c>
      <c r="BH29" s="279">
        <f t="shared" si="27"/>
        <v>0</v>
      </c>
      <c r="BI29" s="465">
        <f t="shared" si="27"/>
        <v>15127153</v>
      </c>
      <c r="BJ29" s="781">
        <f t="shared" si="27"/>
        <v>11198072</v>
      </c>
      <c r="BK29" s="461">
        <f t="shared" si="27"/>
        <v>10782030</v>
      </c>
      <c r="BL29" s="461">
        <f t="shared" si="27"/>
        <v>416042</v>
      </c>
      <c r="BM29" s="461">
        <f t="shared" si="27"/>
        <v>8400</v>
      </c>
      <c r="BN29" s="461">
        <f t="shared" si="27"/>
        <v>8400</v>
      </c>
      <c r="BO29" s="461">
        <f t="shared" si="27"/>
        <v>0</v>
      </c>
      <c r="BP29" s="461">
        <f t="shared" si="27"/>
        <v>3787788</v>
      </c>
      <c r="BQ29" s="461">
        <f t="shared" si="27"/>
        <v>111981</v>
      </c>
      <c r="BR29" s="461">
        <f t="shared" si="27"/>
        <v>20912</v>
      </c>
      <c r="BS29" s="462">
        <f t="shared" si="27"/>
        <v>18.212900000000001</v>
      </c>
      <c r="BT29" s="462">
        <f t="shared" si="27"/>
        <v>17.045500000000001</v>
      </c>
      <c r="BU29" s="279">
        <f t="shared" si="27"/>
        <v>1.1674</v>
      </c>
      <c r="BV29" s="850">
        <f t="shared" si="27"/>
        <v>0</v>
      </c>
      <c r="BW29" s="713">
        <f t="shared" si="27"/>
        <v>0</v>
      </c>
      <c r="BX29" s="713">
        <f t="shared" si="27"/>
        <v>0</v>
      </c>
      <c r="BY29" s="713">
        <f t="shared" si="27"/>
        <v>0</v>
      </c>
      <c r="BZ29" s="713">
        <f t="shared" si="27"/>
        <v>0</v>
      </c>
      <c r="CA29" s="851">
        <f t="shared" si="27"/>
        <v>0</v>
      </c>
    </row>
    <row r="30" spans="1:79" x14ac:dyDescent="0.25">
      <c r="A30" s="280">
        <v>5</v>
      </c>
      <c r="B30" s="321">
        <v>5402</v>
      </c>
      <c r="C30" s="322">
        <v>600098958</v>
      </c>
      <c r="D30" s="321">
        <v>70983623</v>
      </c>
      <c r="E30" s="348" t="s">
        <v>835</v>
      </c>
      <c r="F30" s="321">
        <v>3111</v>
      </c>
      <c r="G30" s="345" t="s">
        <v>304</v>
      </c>
      <c r="H30" s="645" t="s">
        <v>271</v>
      </c>
      <c r="I30" s="420">
        <v>1721948</v>
      </c>
      <c r="J30" s="415">
        <v>1252804</v>
      </c>
      <c r="K30" s="415">
        <v>1206236</v>
      </c>
      <c r="L30" s="415">
        <v>46568</v>
      </c>
      <c r="M30" s="415">
        <v>20000</v>
      </c>
      <c r="N30" s="415">
        <v>0</v>
      </c>
      <c r="O30" s="415">
        <v>20000</v>
      </c>
      <c r="P30" s="68">
        <v>430208</v>
      </c>
      <c r="Q30" s="68">
        <v>12528</v>
      </c>
      <c r="R30" s="415">
        <v>6408</v>
      </c>
      <c r="S30" s="416">
        <v>2.2067000000000001</v>
      </c>
      <c r="T30" s="417">
        <v>2</v>
      </c>
      <c r="U30" s="423">
        <v>0.20669999999999999</v>
      </c>
      <c r="V30" s="424">
        <f t="shared" ref="V30:W35" si="30">AG30*-1</f>
        <v>0</v>
      </c>
      <c r="W30" s="418">
        <f t="shared" si="30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ref="AD30:AD35" si="31">V30+X30+Y30+Z30+AB30</f>
        <v>0</v>
      </c>
      <c r="AE30" s="418">
        <f t="shared" ref="AE30:AE35" si="32">W30+AA30+AC30</f>
        <v>0</v>
      </c>
      <c r="AF30" s="418">
        <f t="shared" ref="AF30:AF35" si="33"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ref="AL30:AL35" si="34">AG30+AI30+AJ30</f>
        <v>0</v>
      </c>
      <c r="AM30" s="418">
        <f t="shared" ref="AM30:AM35" si="35">AH30+AK30</f>
        <v>0</v>
      </c>
      <c r="AN30" s="418">
        <f t="shared" ref="AN30:AN35" si="36">SUM(AL30:AM30)</f>
        <v>0</v>
      </c>
      <c r="AO30" s="418">
        <f t="shared" ref="AO30:AP35" si="37">AD30+AL30</f>
        <v>0</v>
      </c>
      <c r="AP30" s="418">
        <f t="shared" si="37"/>
        <v>0</v>
      </c>
      <c r="AQ30" s="418">
        <f t="shared" ref="AQ30:AQ35" si="38">SUM(AO30:AP30)</f>
        <v>0</v>
      </c>
      <c r="AR30" s="68">
        <f t="shared" ref="AR30:AR35" si="39">ROUND((AF30+AG30+AH30+AI30)*33.8%,0)</f>
        <v>0</v>
      </c>
      <c r="AS30" s="68">
        <f t="shared" ref="AS30:AS35" si="40">ROUND(AF30*1%,0)</f>
        <v>0</v>
      </c>
      <c r="AT30" s="418">
        <v>0</v>
      </c>
      <c r="AU30" s="418">
        <v>0</v>
      </c>
      <c r="AV30" s="418">
        <f t="shared" ref="AV30:AV35" si="41">AT30+AU30</f>
        <v>0</v>
      </c>
      <c r="AW30" s="418">
        <f t="shared" ref="AW30:AW35" si="42"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ref="BF30:BF35" si="43">AX30+AZ30+BA30+BC30+BD30</f>
        <v>0</v>
      </c>
      <c r="BG30" s="419">
        <f t="shared" ref="BG30:BG35" si="44">AY30+BB30+BE30</f>
        <v>0</v>
      </c>
      <c r="BH30" s="421">
        <f t="shared" ref="BH30:BH35" si="45">SUM(BF30:BG30)</f>
        <v>0</v>
      </c>
      <c r="BI30" s="424">
        <f t="shared" ref="BI30:BI35" si="46">I30+AW30</f>
        <v>1721948</v>
      </c>
      <c r="BJ30" s="780">
        <f t="shared" ref="BJ30:BJ35" si="47">J30+AF30</f>
        <v>1252804</v>
      </c>
      <c r="BK30" s="418">
        <f t="shared" ref="BK30:BL35" si="48">K30+AD30</f>
        <v>1206236</v>
      </c>
      <c r="BL30" s="418">
        <f t="shared" si="48"/>
        <v>46568</v>
      </c>
      <c r="BM30" s="418">
        <f t="shared" ref="BM30:BM35" si="49">M30+AN30</f>
        <v>20000</v>
      </c>
      <c r="BN30" s="418">
        <f t="shared" ref="BN30:BO35" si="50">N30+AL30</f>
        <v>0</v>
      </c>
      <c r="BO30" s="418">
        <f t="shared" si="50"/>
        <v>20000</v>
      </c>
      <c r="BP30" s="418">
        <f t="shared" ref="BP30:BQ35" si="51">P30+AR30</f>
        <v>430208</v>
      </c>
      <c r="BQ30" s="418">
        <f t="shared" si="51"/>
        <v>12528</v>
      </c>
      <c r="BR30" s="418">
        <f t="shared" ref="BR30:BR35" si="52">R30+AV30</f>
        <v>6408</v>
      </c>
      <c r="BS30" s="419">
        <f t="shared" ref="BS30:BS35" si="53">S30+BH30</f>
        <v>2.2067000000000001</v>
      </c>
      <c r="BT30" s="419">
        <f t="shared" ref="BT30:BU35" si="54">T30+BF30</f>
        <v>2</v>
      </c>
      <c r="BU30" s="421">
        <f t="shared" si="54"/>
        <v>0.20669999999999999</v>
      </c>
      <c r="BV30" s="420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321">
        <v>5402</v>
      </c>
      <c r="C31" s="322">
        <v>600098958</v>
      </c>
      <c r="D31" s="321">
        <v>70983623</v>
      </c>
      <c r="E31" s="348" t="s">
        <v>789</v>
      </c>
      <c r="F31" s="321">
        <v>3117</v>
      </c>
      <c r="G31" s="345" t="s">
        <v>308</v>
      </c>
      <c r="H31" s="645" t="s">
        <v>271</v>
      </c>
      <c r="I31" s="420">
        <v>4820419</v>
      </c>
      <c r="J31" s="415">
        <v>3532644</v>
      </c>
      <c r="K31" s="415">
        <v>3034277</v>
      </c>
      <c r="L31" s="415">
        <v>498367</v>
      </c>
      <c r="M31" s="415">
        <v>0</v>
      </c>
      <c r="N31" s="415">
        <v>0</v>
      </c>
      <c r="O31" s="415">
        <v>0</v>
      </c>
      <c r="P31" s="68">
        <v>1194033</v>
      </c>
      <c r="Q31" s="68">
        <v>35326</v>
      </c>
      <c r="R31" s="415">
        <v>58416</v>
      </c>
      <c r="S31" s="416">
        <v>6.3424999999999994</v>
      </c>
      <c r="T31" s="417">
        <v>4.9090999999999996</v>
      </c>
      <c r="U31" s="423">
        <v>1.4334</v>
      </c>
      <c r="V31" s="424">
        <f t="shared" si="30"/>
        <v>0</v>
      </c>
      <c r="W31" s="418">
        <f t="shared" si="30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31"/>
        <v>0</v>
      </c>
      <c r="AE31" s="418">
        <f t="shared" si="32"/>
        <v>0</v>
      </c>
      <c r="AF31" s="418">
        <f t="shared" si="33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34"/>
        <v>0</v>
      </c>
      <c r="AM31" s="418">
        <f t="shared" si="35"/>
        <v>0</v>
      </c>
      <c r="AN31" s="418">
        <f t="shared" si="36"/>
        <v>0</v>
      </c>
      <c r="AO31" s="418">
        <f t="shared" si="37"/>
        <v>0</v>
      </c>
      <c r="AP31" s="418">
        <f t="shared" si="37"/>
        <v>0</v>
      </c>
      <c r="AQ31" s="418">
        <f t="shared" si="38"/>
        <v>0</v>
      </c>
      <c r="AR31" s="68">
        <f t="shared" si="39"/>
        <v>0</v>
      </c>
      <c r="AS31" s="68">
        <f t="shared" si="40"/>
        <v>0</v>
      </c>
      <c r="AT31" s="418">
        <v>0</v>
      </c>
      <c r="AU31" s="418">
        <v>0</v>
      </c>
      <c r="AV31" s="418">
        <f t="shared" si="41"/>
        <v>0</v>
      </c>
      <c r="AW31" s="418">
        <f t="shared" si="42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43"/>
        <v>0</v>
      </c>
      <c r="BG31" s="419">
        <f t="shared" si="44"/>
        <v>0</v>
      </c>
      <c r="BH31" s="421">
        <f t="shared" si="45"/>
        <v>0</v>
      </c>
      <c r="BI31" s="424">
        <f t="shared" si="46"/>
        <v>4820419</v>
      </c>
      <c r="BJ31" s="780">
        <f t="shared" si="47"/>
        <v>3532644</v>
      </c>
      <c r="BK31" s="418">
        <f t="shared" si="48"/>
        <v>3034277</v>
      </c>
      <c r="BL31" s="418">
        <f t="shared" si="48"/>
        <v>498367</v>
      </c>
      <c r="BM31" s="418">
        <f t="shared" si="49"/>
        <v>0</v>
      </c>
      <c r="BN31" s="418">
        <f t="shared" si="50"/>
        <v>0</v>
      </c>
      <c r="BO31" s="418">
        <f t="shared" si="50"/>
        <v>0</v>
      </c>
      <c r="BP31" s="418">
        <f t="shared" si="51"/>
        <v>1194033</v>
      </c>
      <c r="BQ31" s="418">
        <f t="shared" si="51"/>
        <v>35326</v>
      </c>
      <c r="BR31" s="418">
        <f t="shared" si="52"/>
        <v>58416</v>
      </c>
      <c r="BS31" s="419">
        <f t="shared" si="53"/>
        <v>6.3424999999999994</v>
      </c>
      <c r="BT31" s="419">
        <f t="shared" si="54"/>
        <v>4.9090999999999996</v>
      </c>
      <c r="BU31" s="421">
        <f t="shared" si="54"/>
        <v>1.4334</v>
      </c>
      <c r="BV31" s="420"/>
      <c r="BW31" s="415"/>
      <c r="BX31" s="415"/>
      <c r="BY31" s="415"/>
      <c r="BZ31" s="415"/>
      <c r="CA31" s="510"/>
    </row>
    <row r="32" spans="1:79" ht="12.95" customHeight="1" x14ac:dyDescent="0.25">
      <c r="A32" s="280">
        <v>5</v>
      </c>
      <c r="B32" s="321">
        <v>5402</v>
      </c>
      <c r="C32" s="322">
        <v>600098958</v>
      </c>
      <c r="D32" s="321">
        <v>70983623</v>
      </c>
      <c r="E32" s="348" t="s">
        <v>789</v>
      </c>
      <c r="F32" s="321">
        <v>3117</v>
      </c>
      <c r="G32" s="284" t="s">
        <v>291</v>
      </c>
      <c r="H32" s="645" t="s">
        <v>272</v>
      </c>
      <c r="I32" s="420">
        <v>736811</v>
      </c>
      <c r="J32" s="415">
        <v>546596</v>
      </c>
      <c r="K32" s="415">
        <v>546596</v>
      </c>
      <c r="L32" s="415">
        <v>0</v>
      </c>
      <c r="M32" s="415">
        <v>0</v>
      </c>
      <c r="N32" s="415">
        <v>0</v>
      </c>
      <c r="O32" s="415">
        <v>0</v>
      </c>
      <c r="P32" s="68">
        <v>184749</v>
      </c>
      <c r="Q32" s="68">
        <v>5466</v>
      </c>
      <c r="R32" s="415">
        <v>0</v>
      </c>
      <c r="S32" s="416">
        <v>1.78</v>
      </c>
      <c r="T32" s="417">
        <v>1.78</v>
      </c>
      <c r="U32" s="423">
        <v>0</v>
      </c>
      <c r="V32" s="424">
        <f t="shared" si="30"/>
        <v>0</v>
      </c>
      <c r="W32" s="418">
        <f t="shared" si="30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 t="shared" si="31"/>
        <v>0</v>
      </c>
      <c r="AE32" s="418">
        <f t="shared" si="32"/>
        <v>0</v>
      </c>
      <c r="AF32" s="418">
        <f t="shared" si="33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34"/>
        <v>0</v>
      </c>
      <c r="AM32" s="418">
        <f t="shared" si="35"/>
        <v>0</v>
      </c>
      <c r="AN32" s="418">
        <f t="shared" si="36"/>
        <v>0</v>
      </c>
      <c r="AO32" s="418">
        <f t="shared" si="37"/>
        <v>0</v>
      </c>
      <c r="AP32" s="418">
        <f t="shared" si="37"/>
        <v>0</v>
      </c>
      <c r="AQ32" s="418">
        <f t="shared" si="38"/>
        <v>0</v>
      </c>
      <c r="AR32" s="68">
        <f t="shared" si="39"/>
        <v>0</v>
      </c>
      <c r="AS32" s="68">
        <f t="shared" si="40"/>
        <v>0</v>
      </c>
      <c r="AT32" s="418">
        <v>0</v>
      </c>
      <c r="AU32" s="418">
        <v>0</v>
      </c>
      <c r="AV32" s="418">
        <f t="shared" si="41"/>
        <v>0</v>
      </c>
      <c r="AW32" s="418">
        <f t="shared" si="42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43"/>
        <v>0</v>
      </c>
      <c r="BG32" s="419">
        <f t="shared" si="44"/>
        <v>0</v>
      </c>
      <c r="BH32" s="421">
        <f t="shared" si="45"/>
        <v>0</v>
      </c>
      <c r="BI32" s="424">
        <f t="shared" si="46"/>
        <v>736811</v>
      </c>
      <c r="BJ32" s="780">
        <f t="shared" si="47"/>
        <v>546596</v>
      </c>
      <c r="BK32" s="418">
        <f t="shared" si="48"/>
        <v>546596</v>
      </c>
      <c r="BL32" s="418">
        <f t="shared" si="48"/>
        <v>0</v>
      </c>
      <c r="BM32" s="418">
        <f t="shared" si="49"/>
        <v>0</v>
      </c>
      <c r="BN32" s="418">
        <f t="shared" si="50"/>
        <v>0</v>
      </c>
      <c r="BO32" s="418">
        <f t="shared" si="50"/>
        <v>0</v>
      </c>
      <c r="BP32" s="418">
        <f t="shared" si="51"/>
        <v>184749</v>
      </c>
      <c r="BQ32" s="418">
        <f t="shared" si="51"/>
        <v>5466</v>
      </c>
      <c r="BR32" s="418">
        <f t="shared" si="52"/>
        <v>0</v>
      </c>
      <c r="BS32" s="419">
        <f t="shared" si="53"/>
        <v>1.78</v>
      </c>
      <c r="BT32" s="419">
        <f t="shared" si="54"/>
        <v>1.78</v>
      </c>
      <c r="BU32" s="421">
        <f t="shared" si="54"/>
        <v>0</v>
      </c>
      <c r="BV32" s="420"/>
      <c r="BW32" s="415"/>
      <c r="BX32" s="415"/>
      <c r="BY32" s="415"/>
      <c r="BZ32" s="415"/>
      <c r="CA32" s="510"/>
    </row>
    <row r="33" spans="1:79" ht="12.95" customHeight="1" x14ac:dyDescent="0.25">
      <c r="A33" s="280">
        <v>5</v>
      </c>
      <c r="B33" s="321">
        <v>5402</v>
      </c>
      <c r="C33" s="322">
        <v>600098958</v>
      </c>
      <c r="D33" s="321">
        <v>70983623</v>
      </c>
      <c r="E33" s="348" t="s">
        <v>789</v>
      </c>
      <c r="F33" s="321">
        <v>3141</v>
      </c>
      <c r="G33" s="345" t="s">
        <v>294</v>
      </c>
      <c r="H33" s="645" t="s">
        <v>272</v>
      </c>
      <c r="I33" s="420">
        <v>656001</v>
      </c>
      <c r="J33" s="415">
        <v>479646</v>
      </c>
      <c r="K33" s="415">
        <v>0</v>
      </c>
      <c r="L33" s="415">
        <v>479646</v>
      </c>
      <c r="M33" s="415">
        <v>5000</v>
      </c>
      <c r="N33" s="415">
        <v>0</v>
      </c>
      <c r="O33" s="415">
        <v>5000</v>
      </c>
      <c r="P33" s="68">
        <v>163810</v>
      </c>
      <c r="Q33" s="68">
        <v>4796</v>
      </c>
      <c r="R33" s="415">
        <v>2749</v>
      </c>
      <c r="S33" s="416">
        <v>1.4333</v>
      </c>
      <c r="T33" s="417">
        <v>0</v>
      </c>
      <c r="U33" s="423">
        <v>1.4333</v>
      </c>
      <c r="V33" s="424">
        <f t="shared" si="30"/>
        <v>0</v>
      </c>
      <c r="W33" s="418">
        <f t="shared" si="30"/>
        <v>0</v>
      </c>
      <c r="X33" s="418">
        <v>0</v>
      </c>
      <c r="Y33" s="418">
        <v>0</v>
      </c>
      <c r="Z33" s="418">
        <v>0</v>
      </c>
      <c r="AA33" s="418">
        <v>243473</v>
      </c>
      <c r="AB33" s="418">
        <v>0</v>
      </c>
      <c r="AC33" s="418">
        <v>0</v>
      </c>
      <c r="AD33" s="418">
        <f t="shared" si="31"/>
        <v>0</v>
      </c>
      <c r="AE33" s="418">
        <f t="shared" si="32"/>
        <v>243473</v>
      </c>
      <c r="AF33" s="418">
        <f t="shared" si="33"/>
        <v>243473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34"/>
        <v>0</v>
      </c>
      <c r="AM33" s="418">
        <f t="shared" si="35"/>
        <v>0</v>
      </c>
      <c r="AN33" s="418">
        <f t="shared" si="36"/>
        <v>0</v>
      </c>
      <c r="AO33" s="418">
        <f t="shared" si="37"/>
        <v>0</v>
      </c>
      <c r="AP33" s="418">
        <f t="shared" si="37"/>
        <v>243473</v>
      </c>
      <c r="AQ33" s="418">
        <f t="shared" si="38"/>
        <v>243473</v>
      </c>
      <c r="AR33" s="68">
        <f t="shared" si="39"/>
        <v>82294</v>
      </c>
      <c r="AS33" s="68">
        <f t="shared" si="40"/>
        <v>2435</v>
      </c>
      <c r="AT33" s="418">
        <v>0</v>
      </c>
      <c r="AU33" s="418">
        <v>1327</v>
      </c>
      <c r="AV33" s="418">
        <f t="shared" si="41"/>
        <v>1327</v>
      </c>
      <c r="AW33" s="418">
        <f t="shared" si="42"/>
        <v>329529</v>
      </c>
      <c r="AX33" s="419">
        <v>0</v>
      </c>
      <c r="AY33" s="419">
        <v>0</v>
      </c>
      <c r="AZ33" s="419">
        <v>0</v>
      </c>
      <c r="BA33" s="419">
        <v>0</v>
      </c>
      <c r="BB33" s="419">
        <v>0.73</v>
      </c>
      <c r="BC33" s="419">
        <v>0</v>
      </c>
      <c r="BD33" s="419">
        <v>0</v>
      </c>
      <c r="BE33" s="419">
        <v>0</v>
      </c>
      <c r="BF33" s="419">
        <f t="shared" si="43"/>
        <v>0</v>
      </c>
      <c r="BG33" s="419">
        <f t="shared" si="44"/>
        <v>0.73</v>
      </c>
      <c r="BH33" s="421">
        <f t="shared" si="45"/>
        <v>0.73</v>
      </c>
      <c r="BI33" s="424">
        <f t="shared" si="46"/>
        <v>985530</v>
      </c>
      <c r="BJ33" s="780">
        <f t="shared" si="47"/>
        <v>723119</v>
      </c>
      <c r="BK33" s="418">
        <f t="shared" si="48"/>
        <v>0</v>
      </c>
      <c r="BL33" s="418">
        <f t="shared" si="48"/>
        <v>723119</v>
      </c>
      <c r="BM33" s="418">
        <f t="shared" si="49"/>
        <v>5000</v>
      </c>
      <c r="BN33" s="418">
        <f t="shared" si="50"/>
        <v>0</v>
      </c>
      <c r="BO33" s="418">
        <f t="shared" si="50"/>
        <v>5000</v>
      </c>
      <c r="BP33" s="418">
        <f t="shared" si="51"/>
        <v>246104</v>
      </c>
      <c r="BQ33" s="418">
        <f t="shared" si="51"/>
        <v>7231</v>
      </c>
      <c r="BR33" s="418">
        <f t="shared" si="52"/>
        <v>4076</v>
      </c>
      <c r="BS33" s="419">
        <f t="shared" si="53"/>
        <v>2.1633</v>
      </c>
      <c r="BT33" s="419">
        <f t="shared" si="54"/>
        <v>0</v>
      </c>
      <c r="BU33" s="421">
        <f t="shared" si="54"/>
        <v>2.1633</v>
      </c>
      <c r="BV33" s="420"/>
      <c r="BW33" s="415"/>
      <c r="BX33" s="415"/>
      <c r="BY33" s="415"/>
      <c r="BZ33" s="415"/>
      <c r="CA33" s="510"/>
    </row>
    <row r="34" spans="1:79" ht="12.95" customHeight="1" x14ac:dyDescent="0.25">
      <c r="A34" s="280">
        <v>5</v>
      </c>
      <c r="B34" s="321">
        <v>5402</v>
      </c>
      <c r="C34" s="322">
        <v>600098958</v>
      </c>
      <c r="D34" s="321">
        <v>70983623</v>
      </c>
      <c r="E34" s="348" t="s">
        <v>789</v>
      </c>
      <c r="F34" s="321">
        <v>3143</v>
      </c>
      <c r="G34" s="284" t="s">
        <v>595</v>
      </c>
      <c r="H34" s="645" t="s">
        <v>271</v>
      </c>
      <c r="I34" s="420">
        <v>1324900</v>
      </c>
      <c r="J34" s="415">
        <v>982863</v>
      </c>
      <c r="K34" s="415">
        <v>982863</v>
      </c>
      <c r="L34" s="415">
        <v>0</v>
      </c>
      <c r="M34" s="415">
        <v>0</v>
      </c>
      <c r="N34" s="415">
        <v>0</v>
      </c>
      <c r="O34" s="415">
        <v>0</v>
      </c>
      <c r="P34" s="68">
        <v>332208</v>
      </c>
      <c r="Q34" s="68">
        <v>9829</v>
      </c>
      <c r="R34" s="415">
        <v>0</v>
      </c>
      <c r="S34" s="416">
        <v>2.0177</v>
      </c>
      <c r="T34" s="417">
        <v>2.0177</v>
      </c>
      <c r="U34" s="423">
        <v>0</v>
      </c>
      <c r="V34" s="424">
        <f t="shared" si="30"/>
        <v>0</v>
      </c>
      <c r="W34" s="418">
        <f t="shared" si="30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 t="shared" si="31"/>
        <v>0</v>
      </c>
      <c r="AE34" s="418">
        <f t="shared" si="32"/>
        <v>0</v>
      </c>
      <c r="AF34" s="418">
        <f t="shared" si="33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34"/>
        <v>0</v>
      </c>
      <c r="AM34" s="418">
        <f t="shared" si="35"/>
        <v>0</v>
      </c>
      <c r="AN34" s="418">
        <f t="shared" si="36"/>
        <v>0</v>
      </c>
      <c r="AO34" s="418">
        <f t="shared" si="37"/>
        <v>0</v>
      </c>
      <c r="AP34" s="418">
        <f t="shared" si="37"/>
        <v>0</v>
      </c>
      <c r="AQ34" s="418">
        <f t="shared" si="38"/>
        <v>0</v>
      </c>
      <c r="AR34" s="68">
        <f t="shared" si="39"/>
        <v>0</v>
      </c>
      <c r="AS34" s="68">
        <f t="shared" si="40"/>
        <v>0</v>
      </c>
      <c r="AT34" s="418">
        <v>0</v>
      </c>
      <c r="AU34" s="418">
        <v>0</v>
      </c>
      <c r="AV34" s="418">
        <f t="shared" si="41"/>
        <v>0</v>
      </c>
      <c r="AW34" s="418">
        <f t="shared" si="42"/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 t="shared" si="43"/>
        <v>0</v>
      </c>
      <c r="BG34" s="419">
        <f t="shared" si="44"/>
        <v>0</v>
      </c>
      <c r="BH34" s="421">
        <f t="shared" si="45"/>
        <v>0</v>
      </c>
      <c r="BI34" s="424">
        <f t="shared" si="46"/>
        <v>1324900</v>
      </c>
      <c r="BJ34" s="780">
        <f t="shared" si="47"/>
        <v>982863</v>
      </c>
      <c r="BK34" s="418">
        <f t="shared" si="48"/>
        <v>982863</v>
      </c>
      <c r="BL34" s="418">
        <f t="shared" si="48"/>
        <v>0</v>
      </c>
      <c r="BM34" s="418">
        <f t="shared" si="49"/>
        <v>0</v>
      </c>
      <c r="BN34" s="418">
        <f t="shared" si="50"/>
        <v>0</v>
      </c>
      <c r="BO34" s="418">
        <f t="shared" si="50"/>
        <v>0</v>
      </c>
      <c r="BP34" s="418">
        <f t="shared" si="51"/>
        <v>332208</v>
      </c>
      <c r="BQ34" s="418">
        <f t="shared" si="51"/>
        <v>9829</v>
      </c>
      <c r="BR34" s="418">
        <f t="shared" si="52"/>
        <v>0</v>
      </c>
      <c r="BS34" s="419">
        <f t="shared" si="53"/>
        <v>2.0177</v>
      </c>
      <c r="BT34" s="419">
        <f t="shared" si="54"/>
        <v>2.0177</v>
      </c>
      <c r="BU34" s="421">
        <f t="shared" si="54"/>
        <v>0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5</v>
      </c>
      <c r="B35" s="321">
        <v>5402</v>
      </c>
      <c r="C35" s="322">
        <v>600098958</v>
      </c>
      <c r="D35" s="321">
        <v>70983623</v>
      </c>
      <c r="E35" s="348" t="s">
        <v>789</v>
      </c>
      <c r="F35" s="321">
        <v>3143</v>
      </c>
      <c r="G35" s="284" t="s">
        <v>596</v>
      </c>
      <c r="H35" s="645" t="s">
        <v>272</v>
      </c>
      <c r="I35" s="420">
        <v>24084</v>
      </c>
      <c r="J35" s="415">
        <v>17239</v>
      </c>
      <c r="K35" s="415">
        <v>0</v>
      </c>
      <c r="L35" s="415">
        <v>17239</v>
      </c>
      <c r="M35" s="415">
        <v>0</v>
      </c>
      <c r="N35" s="415">
        <v>0</v>
      </c>
      <c r="O35" s="415">
        <v>0</v>
      </c>
      <c r="P35" s="68">
        <v>5827</v>
      </c>
      <c r="Q35" s="68">
        <v>172</v>
      </c>
      <c r="R35" s="415">
        <v>846</v>
      </c>
      <c r="S35" s="416">
        <v>6.5299999999999997E-2</v>
      </c>
      <c r="T35" s="417">
        <v>0</v>
      </c>
      <c r="U35" s="423">
        <v>6.5299999999999997E-2</v>
      </c>
      <c r="V35" s="424">
        <f t="shared" si="30"/>
        <v>0</v>
      </c>
      <c r="W35" s="418">
        <f t="shared" si="30"/>
        <v>0</v>
      </c>
      <c r="X35" s="418">
        <v>0</v>
      </c>
      <c r="Y35" s="418">
        <v>0</v>
      </c>
      <c r="Z35" s="418">
        <v>0</v>
      </c>
      <c r="AA35" s="418">
        <f>4950+3661</f>
        <v>8611</v>
      </c>
      <c r="AB35" s="418">
        <v>0</v>
      </c>
      <c r="AC35" s="418">
        <v>0</v>
      </c>
      <c r="AD35" s="418">
        <f t="shared" si="31"/>
        <v>0</v>
      </c>
      <c r="AE35" s="418">
        <f t="shared" si="32"/>
        <v>8611</v>
      </c>
      <c r="AF35" s="418">
        <f t="shared" si="33"/>
        <v>8611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34"/>
        <v>0</v>
      </c>
      <c r="AM35" s="418">
        <f t="shared" si="35"/>
        <v>0</v>
      </c>
      <c r="AN35" s="418">
        <f t="shared" si="36"/>
        <v>0</v>
      </c>
      <c r="AO35" s="418">
        <f t="shared" si="37"/>
        <v>0</v>
      </c>
      <c r="AP35" s="418">
        <f t="shared" si="37"/>
        <v>8611</v>
      </c>
      <c r="AQ35" s="418">
        <f t="shared" si="38"/>
        <v>8611</v>
      </c>
      <c r="AR35" s="68">
        <f t="shared" si="39"/>
        <v>2911</v>
      </c>
      <c r="AS35" s="68">
        <f t="shared" si="40"/>
        <v>86</v>
      </c>
      <c r="AT35" s="418">
        <v>0</v>
      </c>
      <c r="AU35" s="418">
        <v>423</v>
      </c>
      <c r="AV35" s="418">
        <f t="shared" si="41"/>
        <v>423</v>
      </c>
      <c r="AW35" s="418">
        <f t="shared" si="42"/>
        <v>12031</v>
      </c>
      <c r="AX35" s="419">
        <v>0</v>
      </c>
      <c r="AY35" s="419">
        <v>0</v>
      </c>
      <c r="AZ35" s="419">
        <v>0</v>
      </c>
      <c r="BA35" s="419">
        <v>0</v>
      </c>
      <c r="BB35" s="419">
        <v>0.03</v>
      </c>
      <c r="BC35" s="419">
        <v>0</v>
      </c>
      <c r="BD35" s="419">
        <v>0</v>
      </c>
      <c r="BE35" s="419">
        <v>0</v>
      </c>
      <c r="BF35" s="419">
        <f t="shared" si="43"/>
        <v>0</v>
      </c>
      <c r="BG35" s="419">
        <f t="shared" si="44"/>
        <v>0.03</v>
      </c>
      <c r="BH35" s="421">
        <f t="shared" si="45"/>
        <v>0.03</v>
      </c>
      <c r="BI35" s="424">
        <f t="shared" si="46"/>
        <v>36115</v>
      </c>
      <c r="BJ35" s="780">
        <f t="shared" si="47"/>
        <v>25850</v>
      </c>
      <c r="BK35" s="418">
        <f t="shared" si="48"/>
        <v>0</v>
      </c>
      <c r="BL35" s="418">
        <f t="shared" si="48"/>
        <v>25850</v>
      </c>
      <c r="BM35" s="418">
        <f t="shared" si="49"/>
        <v>0</v>
      </c>
      <c r="BN35" s="418">
        <f t="shared" si="50"/>
        <v>0</v>
      </c>
      <c r="BO35" s="418">
        <f t="shared" si="50"/>
        <v>0</v>
      </c>
      <c r="BP35" s="418">
        <f t="shared" si="51"/>
        <v>8738</v>
      </c>
      <c r="BQ35" s="418">
        <f t="shared" si="51"/>
        <v>258</v>
      </c>
      <c r="BR35" s="418">
        <f t="shared" si="52"/>
        <v>1269</v>
      </c>
      <c r="BS35" s="419">
        <f t="shared" si="53"/>
        <v>9.5299999999999996E-2</v>
      </c>
      <c r="BT35" s="419">
        <f t="shared" si="54"/>
        <v>0</v>
      </c>
      <c r="BU35" s="421">
        <f t="shared" si="54"/>
        <v>9.5299999999999996E-2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646">
        <v>5</v>
      </c>
      <c r="B36" s="325">
        <v>5402</v>
      </c>
      <c r="C36" s="326">
        <v>600098958</v>
      </c>
      <c r="D36" s="325">
        <v>70983623</v>
      </c>
      <c r="E36" s="349" t="s">
        <v>790</v>
      </c>
      <c r="F36" s="325"/>
      <c r="G36" s="350"/>
      <c r="H36" s="648"/>
      <c r="I36" s="478">
        <v>9284163</v>
      </c>
      <c r="J36" s="476">
        <v>6811792</v>
      </c>
      <c r="K36" s="476">
        <v>5769972</v>
      </c>
      <c r="L36" s="476">
        <v>1041820</v>
      </c>
      <c r="M36" s="476">
        <v>25000</v>
      </c>
      <c r="N36" s="476">
        <v>0</v>
      </c>
      <c r="O36" s="476">
        <v>25000</v>
      </c>
      <c r="P36" s="476">
        <v>2310835</v>
      </c>
      <c r="Q36" s="476">
        <v>68117</v>
      </c>
      <c r="R36" s="476">
        <v>68419</v>
      </c>
      <c r="S36" s="477">
        <v>13.845499999999999</v>
      </c>
      <c r="T36" s="477">
        <v>10.706799999999999</v>
      </c>
      <c r="U36" s="536">
        <v>3.1387</v>
      </c>
      <c r="V36" s="478">
        <f t="shared" ref="V36:CA36" si="55">SUM(V30:V35)</f>
        <v>0</v>
      </c>
      <c r="W36" s="476">
        <f t="shared" si="55"/>
        <v>0</v>
      </c>
      <c r="X36" s="476">
        <f t="shared" si="55"/>
        <v>0</v>
      </c>
      <c r="Y36" s="476">
        <f t="shared" si="55"/>
        <v>0</v>
      </c>
      <c r="Z36" s="476">
        <f t="shared" si="55"/>
        <v>0</v>
      </c>
      <c r="AA36" s="476">
        <f t="shared" si="55"/>
        <v>252084</v>
      </c>
      <c r="AB36" s="476">
        <f t="shared" si="55"/>
        <v>0</v>
      </c>
      <c r="AC36" s="476">
        <f t="shared" si="55"/>
        <v>0</v>
      </c>
      <c r="AD36" s="476">
        <f t="shared" si="55"/>
        <v>0</v>
      </c>
      <c r="AE36" s="476">
        <f t="shared" si="55"/>
        <v>252084</v>
      </c>
      <c r="AF36" s="476">
        <f t="shared" si="55"/>
        <v>252084</v>
      </c>
      <c r="AG36" s="476">
        <f t="shared" si="55"/>
        <v>0</v>
      </c>
      <c r="AH36" s="476">
        <f t="shared" si="55"/>
        <v>0</v>
      </c>
      <c r="AI36" s="476">
        <f t="shared" si="55"/>
        <v>0</v>
      </c>
      <c r="AJ36" s="476">
        <f t="shared" si="55"/>
        <v>0</v>
      </c>
      <c r="AK36" s="476">
        <f t="shared" si="55"/>
        <v>0</v>
      </c>
      <c r="AL36" s="476">
        <f t="shared" si="55"/>
        <v>0</v>
      </c>
      <c r="AM36" s="476">
        <f t="shared" si="55"/>
        <v>0</v>
      </c>
      <c r="AN36" s="476">
        <f t="shared" si="55"/>
        <v>0</v>
      </c>
      <c r="AO36" s="476">
        <f t="shared" si="55"/>
        <v>0</v>
      </c>
      <c r="AP36" s="476">
        <f t="shared" si="55"/>
        <v>252084</v>
      </c>
      <c r="AQ36" s="476">
        <f t="shared" si="55"/>
        <v>252084</v>
      </c>
      <c r="AR36" s="476">
        <f t="shared" si="55"/>
        <v>85205</v>
      </c>
      <c r="AS36" s="476">
        <f t="shared" si="55"/>
        <v>2521</v>
      </c>
      <c r="AT36" s="476">
        <f t="shared" si="55"/>
        <v>0</v>
      </c>
      <c r="AU36" s="476">
        <f t="shared" si="55"/>
        <v>1750</v>
      </c>
      <c r="AV36" s="476">
        <f t="shared" si="55"/>
        <v>1750</v>
      </c>
      <c r="AW36" s="476">
        <f t="shared" si="55"/>
        <v>341560</v>
      </c>
      <c r="AX36" s="477">
        <f t="shared" si="55"/>
        <v>0</v>
      </c>
      <c r="AY36" s="477">
        <f t="shared" si="55"/>
        <v>0</v>
      </c>
      <c r="AZ36" s="477">
        <f t="shared" si="55"/>
        <v>0</v>
      </c>
      <c r="BA36" s="477">
        <f t="shared" si="55"/>
        <v>0</v>
      </c>
      <c r="BB36" s="477">
        <f t="shared" ref="BB36" si="56">SUM(BB30:BB35)</f>
        <v>0.76</v>
      </c>
      <c r="BC36" s="477">
        <f t="shared" si="55"/>
        <v>0</v>
      </c>
      <c r="BD36" s="477">
        <f t="shared" si="55"/>
        <v>0</v>
      </c>
      <c r="BE36" s="477">
        <f t="shared" ref="BE36" si="57">SUM(BE30:BE35)</f>
        <v>0</v>
      </c>
      <c r="BF36" s="477">
        <f t="shared" si="55"/>
        <v>0</v>
      </c>
      <c r="BG36" s="477">
        <f t="shared" si="55"/>
        <v>0.76</v>
      </c>
      <c r="BH36" s="351">
        <f t="shared" si="55"/>
        <v>0.76</v>
      </c>
      <c r="BI36" s="478">
        <f t="shared" si="55"/>
        <v>9625723</v>
      </c>
      <c r="BJ36" s="782">
        <f t="shared" si="55"/>
        <v>7063876</v>
      </c>
      <c r="BK36" s="476">
        <f t="shared" si="55"/>
        <v>5769972</v>
      </c>
      <c r="BL36" s="476">
        <f t="shared" si="55"/>
        <v>1293904</v>
      </c>
      <c r="BM36" s="476">
        <f t="shared" si="55"/>
        <v>25000</v>
      </c>
      <c r="BN36" s="476">
        <f t="shared" si="55"/>
        <v>0</v>
      </c>
      <c r="BO36" s="476">
        <f t="shared" si="55"/>
        <v>25000</v>
      </c>
      <c r="BP36" s="476">
        <f t="shared" si="55"/>
        <v>2396040</v>
      </c>
      <c r="BQ36" s="476">
        <f t="shared" si="55"/>
        <v>70638</v>
      </c>
      <c r="BR36" s="476">
        <f t="shared" si="55"/>
        <v>70169</v>
      </c>
      <c r="BS36" s="477">
        <f t="shared" si="55"/>
        <v>14.605499999999997</v>
      </c>
      <c r="BT36" s="477">
        <f t="shared" si="55"/>
        <v>10.706799999999999</v>
      </c>
      <c r="BU36" s="351">
        <f t="shared" si="55"/>
        <v>3.8986999999999998</v>
      </c>
      <c r="BV36" s="864">
        <f t="shared" si="55"/>
        <v>0</v>
      </c>
      <c r="BW36" s="729">
        <f t="shared" si="55"/>
        <v>0</v>
      </c>
      <c r="BX36" s="729">
        <f t="shared" si="55"/>
        <v>0</v>
      </c>
      <c r="BY36" s="729">
        <f t="shared" si="55"/>
        <v>0</v>
      </c>
      <c r="BZ36" s="729">
        <f t="shared" si="55"/>
        <v>0</v>
      </c>
      <c r="CA36" s="865">
        <f t="shared" si="55"/>
        <v>0</v>
      </c>
    </row>
    <row r="37" spans="1:79" ht="12.95" customHeight="1" x14ac:dyDescent="0.25">
      <c r="A37" s="280">
        <v>6</v>
      </c>
      <c r="B37" s="281">
        <v>5405</v>
      </c>
      <c r="C37" s="330">
        <v>600099121</v>
      </c>
      <c r="D37" s="281">
        <v>70695521</v>
      </c>
      <c r="E37" s="283" t="s">
        <v>418</v>
      </c>
      <c r="F37" s="281">
        <v>3111</v>
      </c>
      <c r="G37" s="345" t="s">
        <v>304</v>
      </c>
      <c r="H37" s="645" t="s">
        <v>271</v>
      </c>
      <c r="I37" s="420">
        <v>1605205</v>
      </c>
      <c r="J37" s="415">
        <v>1186844</v>
      </c>
      <c r="K37" s="415">
        <v>1126940</v>
      </c>
      <c r="L37" s="415">
        <v>59904</v>
      </c>
      <c r="M37" s="415">
        <v>0</v>
      </c>
      <c r="N37" s="415">
        <v>0</v>
      </c>
      <c r="O37" s="415">
        <v>0</v>
      </c>
      <c r="P37" s="68">
        <v>401153</v>
      </c>
      <c r="Q37" s="68">
        <v>11868</v>
      </c>
      <c r="R37" s="415">
        <v>5340</v>
      </c>
      <c r="S37" s="416">
        <v>2.1755</v>
      </c>
      <c r="T37" s="417">
        <v>1.9355</v>
      </c>
      <c r="U37" s="423">
        <v>0.24</v>
      </c>
      <c r="V37" s="424">
        <f t="shared" ref="V37:W42" si="58">AG37*-1</f>
        <v>0</v>
      </c>
      <c r="W37" s="418">
        <f t="shared" si="58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ref="AD37:AD42" si="59">V37+X37+Y37+Z37+AB37</f>
        <v>0</v>
      </c>
      <c r="AE37" s="418">
        <f t="shared" ref="AE37:AE42" si="60">W37+AA37+AC37</f>
        <v>0</v>
      </c>
      <c r="AF37" s="418">
        <f t="shared" ref="AF37:AF42" si="61"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ref="AL37:AL42" si="62">AG37+AI37+AJ37</f>
        <v>0</v>
      </c>
      <c r="AM37" s="418">
        <f t="shared" ref="AM37:AM42" si="63">AH37+AK37</f>
        <v>0</v>
      </c>
      <c r="AN37" s="418">
        <f t="shared" ref="AN37:AN42" si="64">SUM(AL37:AM37)</f>
        <v>0</v>
      </c>
      <c r="AO37" s="418">
        <f t="shared" ref="AO37:AP42" si="65">AD37+AL37</f>
        <v>0</v>
      </c>
      <c r="AP37" s="418">
        <f t="shared" si="65"/>
        <v>0</v>
      </c>
      <c r="AQ37" s="418">
        <f t="shared" ref="AQ37:AQ42" si="66">SUM(AO37:AP37)</f>
        <v>0</v>
      </c>
      <c r="AR37" s="68">
        <f t="shared" ref="AR37:AR42" si="67">ROUND((AF37+AG37+AH37+AI37)*33.8%,0)</f>
        <v>0</v>
      </c>
      <c r="AS37" s="68">
        <f t="shared" ref="AS37:AS42" si="68">ROUND(AF37*1%,0)</f>
        <v>0</v>
      </c>
      <c r="AT37" s="418">
        <v>0</v>
      </c>
      <c r="AU37" s="418">
        <v>0</v>
      </c>
      <c r="AV37" s="418">
        <f t="shared" ref="AV37:AV42" si="69">AT37+AU37</f>
        <v>0</v>
      </c>
      <c r="AW37" s="418">
        <f t="shared" ref="AW37:AW42" si="70"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ref="BF37:BF42" si="71">AX37+AZ37+BA37+BC37+BD37</f>
        <v>0</v>
      </c>
      <c r="BG37" s="419">
        <f t="shared" ref="BG37:BG42" si="72">AY37+BB37+BE37</f>
        <v>0</v>
      </c>
      <c r="BH37" s="421">
        <f t="shared" ref="BH37:BH42" si="73">SUM(BF37:BG37)</f>
        <v>0</v>
      </c>
      <c r="BI37" s="424">
        <f t="shared" ref="BI37:BI42" si="74">I37+AW37</f>
        <v>1605205</v>
      </c>
      <c r="BJ37" s="780">
        <f t="shared" ref="BJ37:BJ42" si="75">J37+AF37</f>
        <v>1186844</v>
      </c>
      <c r="BK37" s="418">
        <f t="shared" ref="BK37:BL42" si="76">K37+AD37</f>
        <v>1126940</v>
      </c>
      <c r="BL37" s="418">
        <f t="shared" si="76"/>
        <v>59904</v>
      </c>
      <c r="BM37" s="418">
        <f t="shared" ref="BM37:BM42" si="77">M37+AN37</f>
        <v>0</v>
      </c>
      <c r="BN37" s="418">
        <f t="shared" ref="BN37:BO42" si="78">N37+AL37</f>
        <v>0</v>
      </c>
      <c r="BO37" s="418">
        <f t="shared" si="78"/>
        <v>0</v>
      </c>
      <c r="BP37" s="418">
        <f t="shared" ref="BP37:BQ42" si="79">P37+AR37</f>
        <v>401153</v>
      </c>
      <c r="BQ37" s="418">
        <f t="shared" si="79"/>
        <v>11868</v>
      </c>
      <c r="BR37" s="418">
        <f t="shared" ref="BR37:BR42" si="80">R37+AV37</f>
        <v>5340</v>
      </c>
      <c r="BS37" s="419">
        <f t="shared" ref="BS37:BS42" si="81">S37+BH37</f>
        <v>2.1755</v>
      </c>
      <c r="BT37" s="419">
        <f t="shared" ref="BT37:BU42" si="82">T37+BF37</f>
        <v>1.9355</v>
      </c>
      <c r="BU37" s="421">
        <f t="shared" si="82"/>
        <v>0.24</v>
      </c>
      <c r="BV37" s="420"/>
      <c r="BW37" s="415"/>
      <c r="BX37" s="415"/>
      <c r="BY37" s="415"/>
      <c r="BZ37" s="415"/>
      <c r="CA37" s="510"/>
    </row>
    <row r="38" spans="1:79" ht="12.95" customHeight="1" x14ac:dyDescent="0.25">
      <c r="A38" s="280">
        <v>6</v>
      </c>
      <c r="B38" s="321">
        <v>5405</v>
      </c>
      <c r="C38" s="322">
        <v>600099121</v>
      </c>
      <c r="D38" s="281">
        <v>70695521</v>
      </c>
      <c r="E38" s="348" t="s">
        <v>418</v>
      </c>
      <c r="F38" s="321">
        <v>3113</v>
      </c>
      <c r="G38" s="345" t="s">
        <v>308</v>
      </c>
      <c r="H38" s="645" t="s">
        <v>271</v>
      </c>
      <c r="I38" s="420">
        <v>8963738</v>
      </c>
      <c r="J38" s="415">
        <v>6542592</v>
      </c>
      <c r="K38" s="415">
        <v>5987211</v>
      </c>
      <c r="L38" s="415">
        <v>555381</v>
      </c>
      <c r="M38" s="415">
        <v>0</v>
      </c>
      <c r="N38" s="415">
        <v>0</v>
      </c>
      <c r="O38" s="415">
        <v>0</v>
      </c>
      <c r="P38" s="68">
        <v>2211396</v>
      </c>
      <c r="Q38" s="68">
        <v>65427</v>
      </c>
      <c r="R38" s="415">
        <v>144323</v>
      </c>
      <c r="S38" s="416">
        <v>11.488200000000001</v>
      </c>
      <c r="T38" s="417">
        <v>10.063800000000001</v>
      </c>
      <c r="U38" s="423">
        <v>1.4243999999999999</v>
      </c>
      <c r="V38" s="424">
        <f t="shared" si="58"/>
        <v>0</v>
      </c>
      <c r="W38" s="418">
        <f t="shared" si="58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59"/>
        <v>0</v>
      </c>
      <c r="AE38" s="418">
        <f t="shared" si="60"/>
        <v>0</v>
      </c>
      <c r="AF38" s="418">
        <f t="shared" si="61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62"/>
        <v>0</v>
      </c>
      <c r="AM38" s="418">
        <f t="shared" si="63"/>
        <v>0</v>
      </c>
      <c r="AN38" s="418">
        <f t="shared" si="64"/>
        <v>0</v>
      </c>
      <c r="AO38" s="418">
        <f t="shared" si="65"/>
        <v>0</v>
      </c>
      <c r="AP38" s="418">
        <f t="shared" si="65"/>
        <v>0</v>
      </c>
      <c r="AQ38" s="418">
        <f t="shared" si="66"/>
        <v>0</v>
      </c>
      <c r="AR38" s="68">
        <f t="shared" si="67"/>
        <v>0</v>
      </c>
      <c r="AS38" s="68">
        <f t="shared" si="68"/>
        <v>0</v>
      </c>
      <c r="AT38" s="418">
        <v>0</v>
      </c>
      <c r="AU38" s="418">
        <v>0</v>
      </c>
      <c r="AV38" s="418">
        <f t="shared" si="69"/>
        <v>0</v>
      </c>
      <c r="AW38" s="418">
        <f t="shared" si="70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71"/>
        <v>0</v>
      </c>
      <c r="BG38" s="419">
        <f t="shared" si="72"/>
        <v>0</v>
      </c>
      <c r="BH38" s="421">
        <f t="shared" si="73"/>
        <v>0</v>
      </c>
      <c r="BI38" s="424">
        <f t="shared" si="74"/>
        <v>8963738</v>
      </c>
      <c r="BJ38" s="780">
        <f t="shared" si="75"/>
        <v>6542592</v>
      </c>
      <c r="BK38" s="418">
        <f t="shared" si="76"/>
        <v>5987211</v>
      </c>
      <c r="BL38" s="418">
        <f t="shared" si="76"/>
        <v>555381</v>
      </c>
      <c r="BM38" s="418">
        <f t="shared" si="77"/>
        <v>0</v>
      </c>
      <c r="BN38" s="418">
        <f t="shared" si="78"/>
        <v>0</v>
      </c>
      <c r="BO38" s="418">
        <f t="shared" si="78"/>
        <v>0</v>
      </c>
      <c r="BP38" s="418">
        <f t="shared" si="79"/>
        <v>2211396</v>
      </c>
      <c r="BQ38" s="418">
        <f t="shared" si="79"/>
        <v>65427</v>
      </c>
      <c r="BR38" s="418">
        <f t="shared" si="80"/>
        <v>144323</v>
      </c>
      <c r="BS38" s="419">
        <f t="shared" si="81"/>
        <v>11.488200000000001</v>
      </c>
      <c r="BT38" s="419">
        <f t="shared" si="82"/>
        <v>10.063800000000001</v>
      </c>
      <c r="BU38" s="421">
        <f t="shared" si="82"/>
        <v>1.4243999999999999</v>
      </c>
      <c r="BV38" s="420"/>
      <c r="BW38" s="415"/>
      <c r="BX38" s="415"/>
      <c r="BY38" s="415"/>
      <c r="BZ38" s="415"/>
      <c r="CA38" s="510"/>
    </row>
    <row r="39" spans="1:79" ht="12.95" customHeight="1" x14ac:dyDescent="0.25">
      <c r="A39" s="280">
        <v>6</v>
      </c>
      <c r="B39" s="321">
        <v>5405</v>
      </c>
      <c r="C39" s="322">
        <v>600099121</v>
      </c>
      <c r="D39" s="281">
        <v>70695521</v>
      </c>
      <c r="E39" s="348" t="s">
        <v>418</v>
      </c>
      <c r="F39" s="321">
        <v>3113</v>
      </c>
      <c r="G39" s="284" t="s">
        <v>291</v>
      </c>
      <c r="H39" s="645" t="s">
        <v>272</v>
      </c>
      <c r="I39" s="420">
        <v>2788058</v>
      </c>
      <c r="J39" s="415">
        <v>2068292</v>
      </c>
      <c r="K39" s="415">
        <v>2068292</v>
      </c>
      <c r="L39" s="415">
        <v>0</v>
      </c>
      <c r="M39" s="415">
        <v>0</v>
      </c>
      <c r="N39" s="415">
        <v>0</v>
      </c>
      <c r="O39" s="415">
        <v>0</v>
      </c>
      <c r="P39" s="68">
        <v>699083</v>
      </c>
      <c r="Q39" s="68">
        <v>20683</v>
      </c>
      <c r="R39" s="415">
        <v>0</v>
      </c>
      <c r="S39" s="416">
        <v>5.83</v>
      </c>
      <c r="T39" s="417">
        <v>5.83</v>
      </c>
      <c r="U39" s="423">
        <v>0</v>
      </c>
      <c r="V39" s="424">
        <f t="shared" si="58"/>
        <v>0</v>
      </c>
      <c r="W39" s="418">
        <f t="shared" si="58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 t="shared" si="59"/>
        <v>0</v>
      </c>
      <c r="AE39" s="418">
        <f t="shared" si="60"/>
        <v>0</v>
      </c>
      <c r="AF39" s="418">
        <f t="shared" si="61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62"/>
        <v>0</v>
      </c>
      <c r="AM39" s="418">
        <f t="shared" si="63"/>
        <v>0</v>
      </c>
      <c r="AN39" s="418">
        <f t="shared" si="64"/>
        <v>0</v>
      </c>
      <c r="AO39" s="418">
        <f t="shared" si="65"/>
        <v>0</v>
      </c>
      <c r="AP39" s="418">
        <f t="shared" si="65"/>
        <v>0</v>
      </c>
      <c r="AQ39" s="418">
        <f t="shared" si="66"/>
        <v>0</v>
      </c>
      <c r="AR39" s="68">
        <f t="shared" si="67"/>
        <v>0</v>
      </c>
      <c r="AS39" s="68">
        <f t="shared" si="68"/>
        <v>0</v>
      </c>
      <c r="AT39" s="418">
        <v>0</v>
      </c>
      <c r="AU39" s="418">
        <v>0</v>
      </c>
      <c r="AV39" s="418">
        <f t="shared" si="69"/>
        <v>0</v>
      </c>
      <c r="AW39" s="418">
        <f t="shared" si="70"/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 t="shared" si="71"/>
        <v>0</v>
      </c>
      <c r="BG39" s="419">
        <f t="shared" si="72"/>
        <v>0</v>
      </c>
      <c r="BH39" s="421">
        <f t="shared" si="73"/>
        <v>0</v>
      </c>
      <c r="BI39" s="424">
        <f t="shared" si="74"/>
        <v>2788058</v>
      </c>
      <c r="BJ39" s="780">
        <f t="shared" si="75"/>
        <v>2068292</v>
      </c>
      <c r="BK39" s="418">
        <f t="shared" si="76"/>
        <v>2068292</v>
      </c>
      <c r="BL39" s="418">
        <f t="shared" si="76"/>
        <v>0</v>
      </c>
      <c r="BM39" s="418">
        <f t="shared" si="77"/>
        <v>0</v>
      </c>
      <c r="BN39" s="418">
        <f t="shared" si="78"/>
        <v>0</v>
      </c>
      <c r="BO39" s="418">
        <f t="shared" si="78"/>
        <v>0</v>
      </c>
      <c r="BP39" s="418">
        <f t="shared" si="79"/>
        <v>699083</v>
      </c>
      <c r="BQ39" s="418">
        <f t="shared" si="79"/>
        <v>20683</v>
      </c>
      <c r="BR39" s="418">
        <f t="shared" si="80"/>
        <v>0</v>
      </c>
      <c r="BS39" s="419">
        <f t="shared" si="81"/>
        <v>5.83</v>
      </c>
      <c r="BT39" s="419">
        <f t="shared" si="82"/>
        <v>5.83</v>
      </c>
      <c r="BU39" s="421">
        <f t="shared" si="82"/>
        <v>0</v>
      </c>
      <c r="BV39" s="420"/>
      <c r="BW39" s="415"/>
      <c r="BX39" s="415"/>
      <c r="BY39" s="415"/>
      <c r="BZ39" s="415"/>
      <c r="CA39" s="510"/>
    </row>
    <row r="40" spans="1:79" ht="12.95" customHeight="1" x14ac:dyDescent="0.25">
      <c r="A40" s="280">
        <v>6</v>
      </c>
      <c r="B40" s="321">
        <v>5405</v>
      </c>
      <c r="C40" s="322">
        <v>600099121</v>
      </c>
      <c r="D40" s="281">
        <v>70695521</v>
      </c>
      <c r="E40" s="348" t="s">
        <v>418</v>
      </c>
      <c r="F40" s="321">
        <v>3141</v>
      </c>
      <c r="G40" s="345" t="s">
        <v>294</v>
      </c>
      <c r="H40" s="645" t="s">
        <v>272</v>
      </c>
      <c r="I40" s="420">
        <v>758816</v>
      </c>
      <c r="J40" s="415">
        <v>560246</v>
      </c>
      <c r="K40" s="415">
        <v>0</v>
      </c>
      <c r="L40" s="415">
        <v>560246</v>
      </c>
      <c r="M40" s="415">
        <v>0</v>
      </c>
      <c r="N40" s="415">
        <v>0</v>
      </c>
      <c r="O40" s="415">
        <v>0</v>
      </c>
      <c r="P40" s="68">
        <v>189363</v>
      </c>
      <c r="Q40" s="68">
        <v>5602</v>
      </c>
      <c r="R40" s="415">
        <v>3605</v>
      </c>
      <c r="S40" s="416">
        <v>1.68</v>
      </c>
      <c r="T40" s="417">
        <v>0</v>
      </c>
      <c r="U40" s="423">
        <v>1.68</v>
      </c>
      <c r="V40" s="424">
        <f t="shared" si="58"/>
        <v>0</v>
      </c>
      <c r="W40" s="418">
        <f t="shared" si="58"/>
        <v>0</v>
      </c>
      <c r="X40" s="418">
        <v>0</v>
      </c>
      <c r="Y40" s="418">
        <v>0</v>
      </c>
      <c r="Z40" s="418">
        <v>0</v>
      </c>
      <c r="AA40" s="418">
        <v>279356</v>
      </c>
      <c r="AB40" s="418">
        <v>1751</v>
      </c>
      <c r="AC40" s="418">
        <v>0</v>
      </c>
      <c r="AD40" s="418">
        <f t="shared" si="59"/>
        <v>1751</v>
      </c>
      <c r="AE40" s="418">
        <f t="shared" si="60"/>
        <v>279356</v>
      </c>
      <c r="AF40" s="418">
        <f t="shared" si="61"/>
        <v>281107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62"/>
        <v>0</v>
      </c>
      <c r="AM40" s="418">
        <f t="shared" si="63"/>
        <v>0</v>
      </c>
      <c r="AN40" s="418">
        <f t="shared" si="64"/>
        <v>0</v>
      </c>
      <c r="AO40" s="418">
        <f t="shared" si="65"/>
        <v>1751</v>
      </c>
      <c r="AP40" s="418">
        <f t="shared" si="65"/>
        <v>279356</v>
      </c>
      <c r="AQ40" s="418">
        <f t="shared" si="66"/>
        <v>281107</v>
      </c>
      <c r="AR40" s="68">
        <f t="shared" si="67"/>
        <v>95014</v>
      </c>
      <c r="AS40" s="68">
        <f t="shared" si="68"/>
        <v>2811</v>
      </c>
      <c r="AT40" s="418">
        <v>0</v>
      </c>
      <c r="AU40" s="418">
        <v>1751</v>
      </c>
      <c r="AV40" s="418">
        <f t="shared" si="69"/>
        <v>1751</v>
      </c>
      <c r="AW40" s="418">
        <f t="shared" si="70"/>
        <v>380683</v>
      </c>
      <c r="AX40" s="419">
        <v>0</v>
      </c>
      <c r="AY40" s="419">
        <v>0</v>
      </c>
      <c r="AZ40" s="419">
        <v>0</v>
      </c>
      <c r="BA40" s="419">
        <v>0</v>
      </c>
      <c r="BB40" s="419">
        <v>0.84</v>
      </c>
      <c r="BC40" s="419">
        <v>0</v>
      </c>
      <c r="BD40" s="419">
        <v>0</v>
      </c>
      <c r="BE40" s="419">
        <v>0</v>
      </c>
      <c r="BF40" s="419">
        <f t="shared" si="71"/>
        <v>0</v>
      </c>
      <c r="BG40" s="419">
        <f t="shared" si="72"/>
        <v>0.84</v>
      </c>
      <c r="BH40" s="421">
        <f t="shared" si="73"/>
        <v>0.84</v>
      </c>
      <c r="BI40" s="424">
        <f t="shared" si="74"/>
        <v>1139499</v>
      </c>
      <c r="BJ40" s="780">
        <f t="shared" si="75"/>
        <v>841353</v>
      </c>
      <c r="BK40" s="418">
        <f t="shared" si="76"/>
        <v>1751</v>
      </c>
      <c r="BL40" s="418">
        <f t="shared" si="76"/>
        <v>839602</v>
      </c>
      <c r="BM40" s="418">
        <f t="shared" si="77"/>
        <v>0</v>
      </c>
      <c r="BN40" s="418">
        <f t="shared" si="78"/>
        <v>0</v>
      </c>
      <c r="BO40" s="418">
        <f t="shared" si="78"/>
        <v>0</v>
      </c>
      <c r="BP40" s="418">
        <f t="shared" si="79"/>
        <v>284377</v>
      </c>
      <c r="BQ40" s="418">
        <f t="shared" si="79"/>
        <v>8413</v>
      </c>
      <c r="BR40" s="418">
        <f t="shared" si="80"/>
        <v>5356</v>
      </c>
      <c r="BS40" s="419">
        <f t="shared" si="81"/>
        <v>2.52</v>
      </c>
      <c r="BT40" s="419">
        <f t="shared" si="82"/>
        <v>0</v>
      </c>
      <c r="BU40" s="421">
        <f t="shared" si="82"/>
        <v>2.52</v>
      </c>
      <c r="BV40" s="420"/>
      <c r="BW40" s="415"/>
      <c r="BX40" s="415"/>
      <c r="BY40" s="415"/>
      <c r="BZ40" s="415"/>
      <c r="CA40" s="510"/>
    </row>
    <row r="41" spans="1:79" ht="12.95" customHeight="1" x14ac:dyDescent="0.25">
      <c r="A41" s="280">
        <v>6</v>
      </c>
      <c r="B41" s="321">
        <v>5405</v>
      </c>
      <c r="C41" s="322">
        <v>600099121</v>
      </c>
      <c r="D41" s="281">
        <v>70695521</v>
      </c>
      <c r="E41" s="348" t="s">
        <v>418</v>
      </c>
      <c r="F41" s="321">
        <v>3143</v>
      </c>
      <c r="G41" s="284" t="s">
        <v>595</v>
      </c>
      <c r="H41" s="645" t="s">
        <v>271</v>
      </c>
      <c r="I41" s="420">
        <v>717992</v>
      </c>
      <c r="J41" s="415">
        <v>532635</v>
      </c>
      <c r="K41" s="415">
        <v>532635</v>
      </c>
      <c r="L41" s="415">
        <v>0</v>
      </c>
      <c r="M41" s="415">
        <v>0</v>
      </c>
      <c r="N41" s="415">
        <v>0</v>
      </c>
      <c r="O41" s="415">
        <v>0</v>
      </c>
      <c r="P41" s="68">
        <v>180031</v>
      </c>
      <c r="Q41" s="68">
        <v>5326</v>
      </c>
      <c r="R41" s="415">
        <v>0</v>
      </c>
      <c r="S41" s="416">
        <v>1</v>
      </c>
      <c r="T41" s="417">
        <v>1</v>
      </c>
      <c r="U41" s="423">
        <v>0</v>
      </c>
      <c r="V41" s="424">
        <f t="shared" si="58"/>
        <v>0</v>
      </c>
      <c r="W41" s="418">
        <f t="shared" si="58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 t="shared" si="59"/>
        <v>0</v>
      </c>
      <c r="AE41" s="418">
        <f t="shared" si="60"/>
        <v>0</v>
      </c>
      <c r="AF41" s="418">
        <f t="shared" si="61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62"/>
        <v>0</v>
      </c>
      <c r="AM41" s="418">
        <f t="shared" si="63"/>
        <v>0</v>
      </c>
      <c r="AN41" s="418">
        <f t="shared" si="64"/>
        <v>0</v>
      </c>
      <c r="AO41" s="418">
        <f t="shared" si="65"/>
        <v>0</v>
      </c>
      <c r="AP41" s="418">
        <f t="shared" si="65"/>
        <v>0</v>
      </c>
      <c r="AQ41" s="418">
        <f t="shared" si="66"/>
        <v>0</v>
      </c>
      <c r="AR41" s="68">
        <f t="shared" si="67"/>
        <v>0</v>
      </c>
      <c r="AS41" s="68">
        <f t="shared" si="68"/>
        <v>0</v>
      </c>
      <c r="AT41" s="418">
        <v>0</v>
      </c>
      <c r="AU41" s="418">
        <v>0</v>
      </c>
      <c r="AV41" s="418">
        <f t="shared" si="69"/>
        <v>0</v>
      </c>
      <c r="AW41" s="418">
        <f t="shared" si="70"/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 t="shared" si="71"/>
        <v>0</v>
      </c>
      <c r="BG41" s="419">
        <f t="shared" si="72"/>
        <v>0</v>
      </c>
      <c r="BH41" s="421">
        <f t="shared" si="73"/>
        <v>0</v>
      </c>
      <c r="BI41" s="424">
        <f t="shared" si="74"/>
        <v>717992</v>
      </c>
      <c r="BJ41" s="780">
        <f t="shared" si="75"/>
        <v>532635</v>
      </c>
      <c r="BK41" s="418">
        <f t="shared" si="76"/>
        <v>532635</v>
      </c>
      <c r="BL41" s="418">
        <f t="shared" si="76"/>
        <v>0</v>
      </c>
      <c r="BM41" s="418">
        <f t="shared" si="77"/>
        <v>0</v>
      </c>
      <c r="BN41" s="418">
        <f t="shared" si="78"/>
        <v>0</v>
      </c>
      <c r="BO41" s="418">
        <f t="shared" si="78"/>
        <v>0</v>
      </c>
      <c r="BP41" s="418">
        <f t="shared" si="79"/>
        <v>180031</v>
      </c>
      <c r="BQ41" s="418">
        <f t="shared" si="79"/>
        <v>5326</v>
      </c>
      <c r="BR41" s="418">
        <f t="shared" si="80"/>
        <v>0</v>
      </c>
      <c r="BS41" s="419">
        <f t="shared" si="81"/>
        <v>1</v>
      </c>
      <c r="BT41" s="419">
        <f t="shared" si="82"/>
        <v>1</v>
      </c>
      <c r="BU41" s="421">
        <f t="shared" si="82"/>
        <v>0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80">
        <v>6</v>
      </c>
      <c r="B42" s="321">
        <v>5405</v>
      </c>
      <c r="C42" s="322">
        <v>600099121</v>
      </c>
      <c r="D42" s="281">
        <v>70695521</v>
      </c>
      <c r="E42" s="348" t="s">
        <v>418</v>
      </c>
      <c r="F42" s="321">
        <v>3143</v>
      </c>
      <c r="G42" s="284" t="s">
        <v>596</v>
      </c>
      <c r="H42" s="645" t="s">
        <v>272</v>
      </c>
      <c r="I42" s="420">
        <v>12799</v>
      </c>
      <c r="J42" s="415">
        <v>9161</v>
      </c>
      <c r="K42" s="415">
        <v>0</v>
      </c>
      <c r="L42" s="415">
        <v>9161</v>
      </c>
      <c r="M42" s="415">
        <v>0</v>
      </c>
      <c r="N42" s="415">
        <v>0</v>
      </c>
      <c r="O42" s="415">
        <v>0</v>
      </c>
      <c r="P42" s="68">
        <v>3096</v>
      </c>
      <c r="Q42" s="68">
        <v>92</v>
      </c>
      <c r="R42" s="415">
        <v>450</v>
      </c>
      <c r="S42" s="416">
        <v>3.4700000000000002E-2</v>
      </c>
      <c r="T42" s="417">
        <v>0</v>
      </c>
      <c r="U42" s="423">
        <v>3.4700000000000002E-2</v>
      </c>
      <c r="V42" s="424">
        <f t="shared" si="58"/>
        <v>0</v>
      </c>
      <c r="W42" s="418">
        <f t="shared" si="58"/>
        <v>0</v>
      </c>
      <c r="X42" s="418">
        <v>0</v>
      </c>
      <c r="Y42" s="418">
        <v>0</v>
      </c>
      <c r="Z42" s="418">
        <v>0</v>
      </c>
      <c r="AA42" s="418">
        <v>4589</v>
      </c>
      <c r="AB42" s="418">
        <v>0</v>
      </c>
      <c r="AC42" s="418">
        <v>0</v>
      </c>
      <c r="AD42" s="418">
        <f t="shared" si="59"/>
        <v>0</v>
      </c>
      <c r="AE42" s="418">
        <f t="shared" si="60"/>
        <v>4589</v>
      </c>
      <c r="AF42" s="418">
        <f t="shared" si="61"/>
        <v>4589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62"/>
        <v>0</v>
      </c>
      <c r="AM42" s="418">
        <f t="shared" si="63"/>
        <v>0</v>
      </c>
      <c r="AN42" s="418">
        <f t="shared" si="64"/>
        <v>0</v>
      </c>
      <c r="AO42" s="418">
        <f t="shared" si="65"/>
        <v>0</v>
      </c>
      <c r="AP42" s="418">
        <f t="shared" si="65"/>
        <v>4589</v>
      </c>
      <c r="AQ42" s="418">
        <f t="shared" si="66"/>
        <v>4589</v>
      </c>
      <c r="AR42" s="68">
        <f t="shared" si="67"/>
        <v>1551</v>
      </c>
      <c r="AS42" s="68">
        <f t="shared" si="68"/>
        <v>46</v>
      </c>
      <c r="AT42" s="418">
        <v>0</v>
      </c>
      <c r="AU42" s="418">
        <v>225</v>
      </c>
      <c r="AV42" s="418">
        <f t="shared" si="69"/>
        <v>225</v>
      </c>
      <c r="AW42" s="418">
        <f t="shared" si="70"/>
        <v>6411</v>
      </c>
      <c r="AX42" s="419">
        <v>0</v>
      </c>
      <c r="AY42" s="419">
        <v>0</v>
      </c>
      <c r="AZ42" s="419">
        <v>0</v>
      </c>
      <c r="BA42" s="419">
        <v>0</v>
      </c>
      <c r="BB42" s="419">
        <v>0.02</v>
      </c>
      <c r="BC42" s="419">
        <v>0</v>
      </c>
      <c r="BD42" s="419">
        <v>0</v>
      </c>
      <c r="BE42" s="419">
        <v>0</v>
      </c>
      <c r="BF42" s="419">
        <f t="shared" si="71"/>
        <v>0</v>
      </c>
      <c r="BG42" s="419">
        <f t="shared" si="72"/>
        <v>0.02</v>
      </c>
      <c r="BH42" s="421">
        <f t="shared" si="73"/>
        <v>0.02</v>
      </c>
      <c r="BI42" s="424">
        <f t="shared" si="74"/>
        <v>19210</v>
      </c>
      <c r="BJ42" s="780">
        <f t="shared" si="75"/>
        <v>13750</v>
      </c>
      <c r="BK42" s="418">
        <f t="shared" si="76"/>
        <v>0</v>
      </c>
      <c r="BL42" s="418">
        <f t="shared" si="76"/>
        <v>13750</v>
      </c>
      <c r="BM42" s="418">
        <f t="shared" si="77"/>
        <v>0</v>
      </c>
      <c r="BN42" s="418">
        <f t="shared" si="78"/>
        <v>0</v>
      </c>
      <c r="BO42" s="418">
        <f t="shared" si="78"/>
        <v>0</v>
      </c>
      <c r="BP42" s="418">
        <f t="shared" si="79"/>
        <v>4647</v>
      </c>
      <c r="BQ42" s="418">
        <f t="shared" si="79"/>
        <v>138</v>
      </c>
      <c r="BR42" s="418">
        <f t="shared" si="80"/>
        <v>675</v>
      </c>
      <c r="BS42" s="419">
        <f t="shared" si="81"/>
        <v>5.4699999999999999E-2</v>
      </c>
      <c r="BT42" s="419">
        <f t="shared" si="82"/>
        <v>0</v>
      </c>
      <c r="BU42" s="421">
        <f t="shared" si="82"/>
        <v>5.4699999999999999E-2</v>
      </c>
      <c r="BV42" s="420"/>
      <c r="BW42" s="415"/>
      <c r="BX42" s="415"/>
      <c r="BY42" s="415"/>
      <c r="BZ42" s="415"/>
      <c r="CA42" s="510"/>
    </row>
    <row r="43" spans="1:79" ht="12.95" customHeight="1" x14ac:dyDescent="0.25">
      <c r="A43" s="646">
        <v>6</v>
      </c>
      <c r="B43" s="352">
        <v>5405</v>
      </c>
      <c r="C43" s="332">
        <v>600099121</v>
      </c>
      <c r="D43" s="352">
        <v>70695521</v>
      </c>
      <c r="E43" s="349" t="s">
        <v>419</v>
      </c>
      <c r="F43" s="352"/>
      <c r="G43" s="353"/>
      <c r="H43" s="649"/>
      <c r="I43" s="478">
        <v>14846608</v>
      </c>
      <c r="J43" s="476">
        <v>10899770</v>
      </c>
      <c r="K43" s="476">
        <v>9715078</v>
      </c>
      <c r="L43" s="476">
        <v>1184692</v>
      </c>
      <c r="M43" s="476">
        <v>0</v>
      </c>
      <c r="N43" s="476">
        <v>0</v>
      </c>
      <c r="O43" s="476">
        <v>0</v>
      </c>
      <c r="P43" s="476">
        <v>3684122</v>
      </c>
      <c r="Q43" s="476">
        <v>108998</v>
      </c>
      <c r="R43" s="476">
        <v>153718</v>
      </c>
      <c r="S43" s="477">
        <v>22.208400000000001</v>
      </c>
      <c r="T43" s="477">
        <v>18.8293</v>
      </c>
      <c r="U43" s="536">
        <v>3.3790999999999998</v>
      </c>
      <c r="V43" s="478">
        <f t="shared" ref="V43:CA43" si="83">SUM(V37:V42)</f>
        <v>0</v>
      </c>
      <c r="W43" s="476">
        <f t="shared" si="83"/>
        <v>0</v>
      </c>
      <c r="X43" s="476">
        <f t="shared" si="83"/>
        <v>0</v>
      </c>
      <c r="Y43" s="476">
        <f t="shared" si="83"/>
        <v>0</v>
      </c>
      <c r="Z43" s="476">
        <f t="shared" si="83"/>
        <v>0</v>
      </c>
      <c r="AA43" s="476">
        <f t="shared" si="83"/>
        <v>283945</v>
      </c>
      <c r="AB43" s="476">
        <f t="shared" si="83"/>
        <v>1751</v>
      </c>
      <c r="AC43" s="476">
        <f t="shared" si="83"/>
        <v>0</v>
      </c>
      <c r="AD43" s="476">
        <f t="shared" si="83"/>
        <v>1751</v>
      </c>
      <c r="AE43" s="476">
        <f t="shared" si="83"/>
        <v>283945</v>
      </c>
      <c r="AF43" s="476">
        <f t="shared" si="83"/>
        <v>285696</v>
      </c>
      <c r="AG43" s="476">
        <f t="shared" si="83"/>
        <v>0</v>
      </c>
      <c r="AH43" s="476">
        <f t="shared" si="83"/>
        <v>0</v>
      </c>
      <c r="AI43" s="476">
        <f t="shared" si="83"/>
        <v>0</v>
      </c>
      <c r="AJ43" s="476">
        <f t="shared" si="83"/>
        <v>0</v>
      </c>
      <c r="AK43" s="476">
        <f t="shared" si="83"/>
        <v>0</v>
      </c>
      <c r="AL43" s="476">
        <f t="shared" si="83"/>
        <v>0</v>
      </c>
      <c r="AM43" s="476">
        <f t="shared" si="83"/>
        <v>0</v>
      </c>
      <c r="AN43" s="476">
        <f t="shared" si="83"/>
        <v>0</v>
      </c>
      <c r="AO43" s="476">
        <f t="shared" si="83"/>
        <v>1751</v>
      </c>
      <c r="AP43" s="476">
        <f t="shared" si="83"/>
        <v>283945</v>
      </c>
      <c r="AQ43" s="476">
        <f t="shared" si="83"/>
        <v>285696</v>
      </c>
      <c r="AR43" s="476">
        <f t="shared" si="83"/>
        <v>96565</v>
      </c>
      <c r="AS43" s="476">
        <f t="shared" si="83"/>
        <v>2857</v>
      </c>
      <c r="AT43" s="476">
        <f t="shared" si="83"/>
        <v>0</v>
      </c>
      <c r="AU43" s="476">
        <f t="shared" si="83"/>
        <v>1976</v>
      </c>
      <c r="AV43" s="476">
        <f t="shared" si="83"/>
        <v>1976</v>
      </c>
      <c r="AW43" s="476">
        <f t="shared" si="83"/>
        <v>387094</v>
      </c>
      <c r="AX43" s="477">
        <f t="shared" si="83"/>
        <v>0</v>
      </c>
      <c r="AY43" s="477">
        <f t="shared" si="83"/>
        <v>0</v>
      </c>
      <c r="AZ43" s="477">
        <f t="shared" si="83"/>
        <v>0</v>
      </c>
      <c r="BA43" s="477">
        <f t="shared" si="83"/>
        <v>0</v>
      </c>
      <c r="BB43" s="477">
        <f t="shared" ref="BB43" si="84">SUM(BB37:BB42)</f>
        <v>0.86</v>
      </c>
      <c r="BC43" s="477">
        <f t="shared" si="83"/>
        <v>0</v>
      </c>
      <c r="BD43" s="477">
        <f t="shared" si="83"/>
        <v>0</v>
      </c>
      <c r="BE43" s="477">
        <f t="shared" ref="BE43" si="85">SUM(BE37:BE42)</f>
        <v>0</v>
      </c>
      <c r="BF43" s="477">
        <f t="shared" si="83"/>
        <v>0</v>
      </c>
      <c r="BG43" s="477">
        <f t="shared" si="83"/>
        <v>0.86</v>
      </c>
      <c r="BH43" s="351">
        <f t="shared" si="83"/>
        <v>0.86</v>
      </c>
      <c r="BI43" s="478">
        <f t="shared" si="83"/>
        <v>15233702</v>
      </c>
      <c r="BJ43" s="782">
        <f t="shared" si="83"/>
        <v>11185466</v>
      </c>
      <c r="BK43" s="476">
        <f t="shared" si="83"/>
        <v>9716829</v>
      </c>
      <c r="BL43" s="476">
        <f t="shared" si="83"/>
        <v>1468637</v>
      </c>
      <c r="BM43" s="476">
        <f t="shared" si="83"/>
        <v>0</v>
      </c>
      <c r="BN43" s="476">
        <f t="shared" si="83"/>
        <v>0</v>
      </c>
      <c r="BO43" s="476">
        <f t="shared" si="83"/>
        <v>0</v>
      </c>
      <c r="BP43" s="476">
        <f t="shared" si="83"/>
        <v>3780687</v>
      </c>
      <c r="BQ43" s="476">
        <f t="shared" si="83"/>
        <v>111855</v>
      </c>
      <c r="BR43" s="476">
        <f t="shared" si="83"/>
        <v>155694</v>
      </c>
      <c r="BS43" s="477">
        <f t="shared" si="83"/>
        <v>23.0684</v>
      </c>
      <c r="BT43" s="477">
        <f t="shared" si="83"/>
        <v>18.8293</v>
      </c>
      <c r="BU43" s="351">
        <f t="shared" si="83"/>
        <v>4.2391000000000005</v>
      </c>
      <c r="BV43" s="864">
        <f t="shared" si="83"/>
        <v>0</v>
      </c>
      <c r="BW43" s="729">
        <f t="shared" si="83"/>
        <v>0</v>
      </c>
      <c r="BX43" s="729">
        <f t="shared" si="83"/>
        <v>0</v>
      </c>
      <c r="BY43" s="729">
        <f t="shared" si="83"/>
        <v>0</v>
      </c>
      <c r="BZ43" s="729">
        <f t="shared" si="83"/>
        <v>0</v>
      </c>
      <c r="CA43" s="865">
        <f t="shared" si="83"/>
        <v>0</v>
      </c>
    </row>
    <row r="44" spans="1:79" ht="12.95" customHeight="1" x14ac:dyDescent="0.25">
      <c r="A44" s="280">
        <v>7</v>
      </c>
      <c r="B44" s="321">
        <v>5410</v>
      </c>
      <c r="C44" s="322">
        <v>600099318</v>
      </c>
      <c r="D44" s="281">
        <v>854778</v>
      </c>
      <c r="E44" s="348" t="s">
        <v>420</v>
      </c>
      <c r="F44" s="321">
        <v>3111</v>
      </c>
      <c r="G44" s="345" t="s">
        <v>304</v>
      </c>
      <c r="H44" s="645" t="s">
        <v>271</v>
      </c>
      <c r="I44" s="420">
        <v>3628494</v>
      </c>
      <c r="J44" s="415">
        <v>2652080</v>
      </c>
      <c r="K44" s="415">
        <v>2487368</v>
      </c>
      <c r="L44" s="415">
        <v>164712</v>
      </c>
      <c r="M44" s="415">
        <v>30000</v>
      </c>
      <c r="N44" s="415">
        <v>15000</v>
      </c>
      <c r="O44" s="415">
        <v>15000</v>
      </c>
      <c r="P44" s="68">
        <v>906543</v>
      </c>
      <c r="Q44" s="68">
        <v>26521</v>
      </c>
      <c r="R44" s="415">
        <v>13350</v>
      </c>
      <c r="S44" s="416">
        <v>5.45</v>
      </c>
      <c r="T44" s="417">
        <v>4.7300000000000004</v>
      </c>
      <c r="U44" s="423">
        <v>0.72</v>
      </c>
      <c r="V44" s="424">
        <f t="shared" ref="V44:W49" si="86">AG44*-1</f>
        <v>0</v>
      </c>
      <c r="W44" s="418">
        <f t="shared" si="86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ref="AD44:AD49" si="87">V44+X44+Y44+Z44+AB44</f>
        <v>0</v>
      </c>
      <c r="AE44" s="418">
        <f t="shared" ref="AE44:AE49" si="88">W44+AA44+AC44</f>
        <v>0</v>
      </c>
      <c r="AF44" s="418">
        <f t="shared" ref="AF44:AF49" si="89">SUM(AD44:AE44)</f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ref="AL44:AL49" si="90">AG44+AI44+AJ44</f>
        <v>0</v>
      </c>
      <c r="AM44" s="418">
        <f t="shared" ref="AM44:AM49" si="91">AH44+AK44</f>
        <v>0</v>
      </c>
      <c r="AN44" s="418">
        <f t="shared" ref="AN44:AN49" si="92">SUM(AL44:AM44)</f>
        <v>0</v>
      </c>
      <c r="AO44" s="418">
        <f t="shared" ref="AO44:AP49" si="93">AD44+AL44</f>
        <v>0</v>
      </c>
      <c r="AP44" s="418">
        <f t="shared" si="93"/>
        <v>0</v>
      </c>
      <c r="AQ44" s="418">
        <f t="shared" ref="AQ44:AQ49" si="94">SUM(AO44:AP44)</f>
        <v>0</v>
      </c>
      <c r="AR44" s="68">
        <f t="shared" ref="AR44:AR49" si="95">ROUND((AF44+AG44+AH44+AI44)*33.8%,0)</f>
        <v>0</v>
      </c>
      <c r="AS44" s="68">
        <f t="shared" ref="AS44:AS49" si="96">ROUND(AF44*1%,0)</f>
        <v>0</v>
      </c>
      <c r="AT44" s="418">
        <v>0</v>
      </c>
      <c r="AU44" s="418">
        <v>0</v>
      </c>
      <c r="AV44" s="418">
        <f t="shared" ref="AV44:AV49" si="97">AT44+AU44</f>
        <v>0</v>
      </c>
      <c r="AW44" s="418">
        <f t="shared" ref="AW44:AW49" si="98">AQ44+AR44+AS44+AV44</f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ref="BF44:BF49" si="99">AX44+AZ44+BA44+BC44+BD44</f>
        <v>0</v>
      </c>
      <c r="BG44" s="419">
        <f t="shared" ref="BG44:BG49" si="100">AY44+BB44+BE44</f>
        <v>0</v>
      </c>
      <c r="BH44" s="421">
        <f t="shared" ref="BH44:BH49" si="101">SUM(BF44:BG44)</f>
        <v>0</v>
      </c>
      <c r="BI44" s="424">
        <f t="shared" ref="BI44:BI49" si="102">I44+AW44</f>
        <v>3628494</v>
      </c>
      <c r="BJ44" s="780">
        <f t="shared" ref="BJ44:BJ49" si="103">J44+AF44</f>
        <v>2652080</v>
      </c>
      <c r="BK44" s="418">
        <f t="shared" ref="BK44:BL49" si="104">K44+AD44</f>
        <v>2487368</v>
      </c>
      <c r="BL44" s="418">
        <f t="shared" si="104"/>
        <v>164712</v>
      </c>
      <c r="BM44" s="418">
        <f t="shared" ref="BM44:BM49" si="105">M44+AN44</f>
        <v>30000</v>
      </c>
      <c r="BN44" s="418">
        <f t="shared" ref="BN44:BO49" si="106">N44+AL44</f>
        <v>15000</v>
      </c>
      <c r="BO44" s="418">
        <f t="shared" si="106"/>
        <v>15000</v>
      </c>
      <c r="BP44" s="418">
        <f t="shared" ref="BP44:BQ49" si="107">P44+AR44</f>
        <v>906543</v>
      </c>
      <c r="BQ44" s="418">
        <f t="shared" si="107"/>
        <v>26521</v>
      </c>
      <c r="BR44" s="418">
        <f t="shared" ref="BR44:BR49" si="108">R44+AV44</f>
        <v>13350</v>
      </c>
      <c r="BS44" s="419">
        <f t="shared" ref="BS44:BS49" si="109">S44+BH44</f>
        <v>5.45</v>
      </c>
      <c r="BT44" s="419">
        <f t="shared" ref="BT44:BU49" si="110">T44+BF44</f>
        <v>4.7300000000000004</v>
      </c>
      <c r="BU44" s="421">
        <f t="shared" si="110"/>
        <v>0.72</v>
      </c>
      <c r="BV44" s="420"/>
      <c r="BW44" s="415"/>
      <c r="BX44" s="415"/>
      <c r="BY44" s="415"/>
      <c r="BZ44" s="415"/>
      <c r="CA44" s="510"/>
    </row>
    <row r="45" spans="1:79" ht="12.95" customHeight="1" x14ac:dyDescent="0.25">
      <c r="A45" s="280">
        <v>7</v>
      </c>
      <c r="B45" s="321">
        <v>5410</v>
      </c>
      <c r="C45" s="322">
        <v>600099318</v>
      </c>
      <c r="D45" s="281">
        <v>854778</v>
      </c>
      <c r="E45" s="348" t="s">
        <v>420</v>
      </c>
      <c r="F45" s="321">
        <v>3113</v>
      </c>
      <c r="G45" s="345" t="s">
        <v>308</v>
      </c>
      <c r="H45" s="645" t="s">
        <v>271</v>
      </c>
      <c r="I45" s="420">
        <v>13373221</v>
      </c>
      <c r="J45" s="415">
        <v>9768776</v>
      </c>
      <c r="K45" s="415">
        <v>8719283</v>
      </c>
      <c r="L45" s="415">
        <v>1049493</v>
      </c>
      <c r="M45" s="415">
        <v>30000</v>
      </c>
      <c r="N45" s="415">
        <v>10000</v>
      </c>
      <c r="O45" s="415">
        <v>20000</v>
      </c>
      <c r="P45" s="68">
        <v>3311986</v>
      </c>
      <c r="Q45" s="68">
        <v>97687</v>
      </c>
      <c r="R45" s="415">
        <v>164772</v>
      </c>
      <c r="S45" s="416">
        <v>16.171099999999999</v>
      </c>
      <c r="T45" s="417">
        <v>13.018099999999999</v>
      </c>
      <c r="U45" s="423">
        <v>3.1530000000000005</v>
      </c>
      <c r="V45" s="424">
        <f t="shared" si="86"/>
        <v>0</v>
      </c>
      <c r="W45" s="418">
        <f t="shared" si="86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87"/>
        <v>0</v>
      </c>
      <c r="AE45" s="418">
        <f t="shared" si="88"/>
        <v>0</v>
      </c>
      <c r="AF45" s="418">
        <f t="shared" si="89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90"/>
        <v>0</v>
      </c>
      <c r="AM45" s="418">
        <f t="shared" si="91"/>
        <v>0</v>
      </c>
      <c r="AN45" s="418">
        <f t="shared" si="92"/>
        <v>0</v>
      </c>
      <c r="AO45" s="418">
        <f t="shared" si="93"/>
        <v>0</v>
      </c>
      <c r="AP45" s="418">
        <f t="shared" si="93"/>
        <v>0</v>
      </c>
      <c r="AQ45" s="418">
        <f t="shared" si="94"/>
        <v>0</v>
      </c>
      <c r="AR45" s="68">
        <f t="shared" si="95"/>
        <v>0</v>
      </c>
      <c r="AS45" s="68">
        <f t="shared" si="96"/>
        <v>0</v>
      </c>
      <c r="AT45" s="418">
        <v>0</v>
      </c>
      <c r="AU45" s="418">
        <v>0</v>
      </c>
      <c r="AV45" s="418">
        <f t="shared" si="97"/>
        <v>0</v>
      </c>
      <c r="AW45" s="418">
        <f t="shared" si="98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99"/>
        <v>0</v>
      </c>
      <c r="BG45" s="419">
        <f t="shared" si="100"/>
        <v>0</v>
      </c>
      <c r="BH45" s="421">
        <f t="shared" si="101"/>
        <v>0</v>
      </c>
      <c r="BI45" s="424">
        <f t="shared" si="102"/>
        <v>13373221</v>
      </c>
      <c r="BJ45" s="780">
        <f t="shared" si="103"/>
        <v>9768776</v>
      </c>
      <c r="BK45" s="418">
        <f t="shared" si="104"/>
        <v>8719283</v>
      </c>
      <c r="BL45" s="418">
        <f t="shared" si="104"/>
        <v>1049493</v>
      </c>
      <c r="BM45" s="418">
        <f t="shared" si="105"/>
        <v>30000</v>
      </c>
      <c r="BN45" s="418">
        <f t="shared" si="106"/>
        <v>10000</v>
      </c>
      <c r="BO45" s="418">
        <f t="shared" si="106"/>
        <v>20000</v>
      </c>
      <c r="BP45" s="418">
        <f t="shared" si="107"/>
        <v>3311986</v>
      </c>
      <c r="BQ45" s="418">
        <f t="shared" si="107"/>
        <v>97687</v>
      </c>
      <c r="BR45" s="418">
        <f t="shared" si="108"/>
        <v>164772</v>
      </c>
      <c r="BS45" s="419">
        <f t="shared" si="109"/>
        <v>16.171099999999999</v>
      </c>
      <c r="BT45" s="419">
        <f t="shared" si="110"/>
        <v>13.018099999999999</v>
      </c>
      <c r="BU45" s="421">
        <f t="shared" si="110"/>
        <v>3.1530000000000005</v>
      </c>
      <c r="BV45" s="420">
        <v>152054</v>
      </c>
      <c r="BW45" s="415">
        <v>112800</v>
      </c>
      <c r="BX45" s="415">
        <v>0</v>
      </c>
      <c r="BY45" s="415">
        <v>38126</v>
      </c>
      <c r="BZ45" s="415">
        <v>1128</v>
      </c>
      <c r="CA45" s="510">
        <v>0.2</v>
      </c>
    </row>
    <row r="46" spans="1:79" ht="12.95" customHeight="1" x14ac:dyDescent="0.25">
      <c r="A46" s="280">
        <v>7</v>
      </c>
      <c r="B46" s="321">
        <v>5410</v>
      </c>
      <c r="C46" s="322">
        <v>600099318</v>
      </c>
      <c r="D46" s="281">
        <v>854778</v>
      </c>
      <c r="E46" s="348" t="s">
        <v>420</v>
      </c>
      <c r="F46" s="321">
        <v>3113</v>
      </c>
      <c r="G46" s="284" t="s">
        <v>291</v>
      </c>
      <c r="H46" s="645" t="s">
        <v>272</v>
      </c>
      <c r="I46" s="420">
        <v>721683</v>
      </c>
      <c r="J46" s="415">
        <v>535373</v>
      </c>
      <c r="K46" s="415">
        <v>535373</v>
      </c>
      <c r="L46" s="415">
        <v>0</v>
      </c>
      <c r="M46" s="415">
        <v>0</v>
      </c>
      <c r="N46" s="415">
        <v>0</v>
      </c>
      <c r="O46" s="415">
        <v>0</v>
      </c>
      <c r="P46" s="68">
        <v>180956</v>
      </c>
      <c r="Q46" s="68">
        <v>5354</v>
      </c>
      <c r="R46" s="415">
        <v>0</v>
      </c>
      <c r="S46" s="416">
        <v>1.5</v>
      </c>
      <c r="T46" s="417">
        <v>1.5</v>
      </c>
      <c r="U46" s="423">
        <v>0</v>
      </c>
      <c r="V46" s="424">
        <f t="shared" si="86"/>
        <v>0</v>
      </c>
      <c r="W46" s="418">
        <f t="shared" si="86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87"/>
        <v>0</v>
      </c>
      <c r="AE46" s="418">
        <f t="shared" si="88"/>
        <v>0</v>
      </c>
      <c r="AF46" s="418">
        <f t="shared" si="89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90"/>
        <v>0</v>
      </c>
      <c r="AM46" s="418">
        <f t="shared" si="91"/>
        <v>0</v>
      </c>
      <c r="AN46" s="418">
        <f t="shared" si="92"/>
        <v>0</v>
      </c>
      <c r="AO46" s="418">
        <f t="shared" si="93"/>
        <v>0</v>
      </c>
      <c r="AP46" s="418">
        <f t="shared" si="93"/>
        <v>0</v>
      </c>
      <c r="AQ46" s="418">
        <f t="shared" si="94"/>
        <v>0</v>
      </c>
      <c r="AR46" s="68">
        <f t="shared" si="95"/>
        <v>0</v>
      </c>
      <c r="AS46" s="68">
        <f t="shared" si="96"/>
        <v>0</v>
      </c>
      <c r="AT46" s="418">
        <v>0</v>
      </c>
      <c r="AU46" s="418">
        <v>0</v>
      </c>
      <c r="AV46" s="418">
        <f t="shared" si="97"/>
        <v>0</v>
      </c>
      <c r="AW46" s="418">
        <f t="shared" si="98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99"/>
        <v>0</v>
      </c>
      <c r="BG46" s="419">
        <f t="shared" si="100"/>
        <v>0</v>
      </c>
      <c r="BH46" s="421">
        <f t="shared" si="101"/>
        <v>0</v>
      </c>
      <c r="BI46" s="424">
        <f t="shared" si="102"/>
        <v>721683</v>
      </c>
      <c r="BJ46" s="780">
        <f t="shared" si="103"/>
        <v>535373</v>
      </c>
      <c r="BK46" s="418">
        <f t="shared" si="104"/>
        <v>535373</v>
      </c>
      <c r="BL46" s="418">
        <f t="shared" si="104"/>
        <v>0</v>
      </c>
      <c r="BM46" s="418">
        <f t="shared" si="105"/>
        <v>0</v>
      </c>
      <c r="BN46" s="418">
        <f t="shared" si="106"/>
        <v>0</v>
      </c>
      <c r="BO46" s="418">
        <f t="shared" si="106"/>
        <v>0</v>
      </c>
      <c r="BP46" s="418">
        <f t="shared" si="107"/>
        <v>180956</v>
      </c>
      <c r="BQ46" s="418">
        <f t="shared" si="107"/>
        <v>5354</v>
      </c>
      <c r="BR46" s="418">
        <f t="shared" si="108"/>
        <v>0</v>
      </c>
      <c r="BS46" s="419">
        <f t="shared" si="109"/>
        <v>1.5</v>
      </c>
      <c r="BT46" s="419">
        <f t="shared" si="110"/>
        <v>1.5</v>
      </c>
      <c r="BU46" s="421">
        <f t="shared" si="110"/>
        <v>0</v>
      </c>
      <c r="BV46" s="420"/>
      <c r="BW46" s="415"/>
      <c r="BX46" s="415"/>
      <c r="BY46" s="415"/>
      <c r="BZ46" s="415"/>
      <c r="CA46" s="510"/>
    </row>
    <row r="47" spans="1:79" ht="12.95" customHeight="1" x14ac:dyDescent="0.25">
      <c r="A47" s="280">
        <v>7</v>
      </c>
      <c r="B47" s="321">
        <v>5410</v>
      </c>
      <c r="C47" s="322">
        <v>600099318</v>
      </c>
      <c r="D47" s="281">
        <v>854778</v>
      </c>
      <c r="E47" s="348" t="s">
        <v>420</v>
      </c>
      <c r="F47" s="321">
        <v>3141</v>
      </c>
      <c r="G47" s="345" t="s">
        <v>294</v>
      </c>
      <c r="H47" s="645" t="s">
        <v>272</v>
      </c>
      <c r="I47" s="420">
        <v>1326230</v>
      </c>
      <c r="J47" s="415">
        <v>978197</v>
      </c>
      <c r="K47" s="415">
        <v>0</v>
      </c>
      <c r="L47" s="415">
        <v>978197</v>
      </c>
      <c r="M47" s="415">
        <v>0</v>
      </c>
      <c r="N47" s="415">
        <v>0</v>
      </c>
      <c r="O47" s="415">
        <v>0</v>
      </c>
      <c r="P47" s="68">
        <v>330631</v>
      </c>
      <c r="Q47" s="68">
        <v>9782</v>
      </c>
      <c r="R47" s="415">
        <v>7620</v>
      </c>
      <c r="S47" s="416">
        <v>2.9333000000000005</v>
      </c>
      <c r="T47" s="417">
        <v>0</v>
      </c>
      <c r="U47" s="423">
        <v>2.9333000000000005</v>
      </c>
      <c r="V47" s="424">
        <f t="shared" si="86"/>
        <v>0</v>
      </c>
      <c r="W47" s="418">
        <f t="shared" si="86"/>
        <v>0</v>
      </c>
      <c r="X47" s="418">
        <v>0</v>
      </c>
      <c r="Y47" s="418">
        <v>0</v>
      </c>
      <c r="Z47" s="418">
        <v>0</v>
      </c>
      <c r="AA47" s="418">
        <f>407136+46385+35840</f>
        <v>489361</v>
      </c>
      <c r="AB47" s="418">
        <v>0</v>
      </c>
      <c r="AC47" s="418">
        <v>0</v>
      </c>
      <c r="AD47" s="418">
        <f t="shared" si="87"/>
        <v>0</v>
      </c>
      <c r="AE47" s="418">
        <f t="shared" si="88"/>
        <v>489361</v>
      </c>
      <c r="AF47" s="418">
        <f t="shared" si="89"/>
        <v>489361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90"/>
        <v>0</v>
      </c>
      <c r="AM47" s="418">
        <f t="shared" si="91"/>
        <v>0</v>
      </c>
      <c r="AN47" s="418">
        <f t="shared" si="92"/>
        <v>0</v>
      </c>
      <c r="AO47" s="418">
        <f t="shared" si="93"/>
        <v>0</v>
      </c>
      <c r="AP47" s="418">
        <f t="shared" si="93"/>
        <v>489361</v>
      </c>
      <c r="AQ47" s="418">
        <f t="shared" si="94"/>
        <v>489361</v>
      </c>
      <c r="AR47" s="68">
        <f t="shared" si="95"/>
        <v>165404</v>
      </c>
      <c r="AS47" s="68">
        <f t="shared" si="96"/>
        <v>4894</v>
      </c>
      <c r="AT47" s="418">
        <v>0</v>
      </c>
      <c r="AU47" s="418">
        <f>3134+319+231</f>
        <v>3684</v>
      </c>
      <c r="AV47" s="418">
        <f t="shared" si="97"/>
        <v>3684</v>
      </c>
      <c r="AW47" s="418">
        <f t="shared" si="98"/>
        <v>663343</v>
      </c>
      <c r="AX47" s="419">
        <v>0</v>
      </c>
      <c r="AY47" s="419">
        <v>0</v>
      </c>
      <c r="AZ47" s="419">
        <v>0</v>
      </c>
      <c r="BA47" s="419">
        <v>0</v>
      </c>
      <c r="BB47" s="419">
        <f>1.22+0.14+0.11</f>
        <v>1.47</v>
      </c>
      <c r="BC47" s="419">
        <v>0</v>
      </c>
      <c r="BD47" s="419">
        <v>0</v>
      </c>
      <c r="BE47" s="419">
        <v>0</v>
      </c>
      <c r="BF47" s="419">
        <f t="shared" si="99"/>
        <v>0</v>
      </c>
      <c r="BG47" s="419">
        <f t="shared" si="100"/>
        <v>1.47</v>
      </c>
      <c r="BH47" s="421">
        <f t="shared" si="101"/>
        <v>1.47</v>
      </c>
      <c r="BI47" s="424">
        <f t="shared" si="102"/>
        <v>1989573</v>
      </c>
      <c r="BJ47" s="780">
        <f t="shared" si="103"/>
        <v>1467558</v>
      </c>
      <c r="BK47" s="418">
        <f t="shared" si="104"/>
        <v>0</v>
      </c>
      <c r="BL47" s="418">
        <f t="shared" si="104"/>
        <v>1467558</v>
      </c>
      <c r="BM47" s="418">
        <f t="shared" si="105"/>
        <v>0</v>
      </c>
      <c r="BN47" s="418">
        <f t="shared" si="106"/>
        <v>0</v>
      </c>
      <c r="BO47" s="418">
        <f t="shared" si="106"/>
        <v>0</v>
      </c>
      <c r="BP47" s="418">
        <f t="shared" si="107"/>
        <v>496035</v>
      </c>
      <c r="BQ47" s="418">
        <f t="shared" si="107"/>
        <v>14676</v>
      </c>
      <c r="BR47" s="418">
        <f t="shared" si="108"/>
        <v>11304</v>
      </c>
      <c r="BS47" s="419">
        <f t="shared" si="109"/>
        <v>4.4033000000000007</v>
      </c>
      <c r="BT47" s="419">
        <f t="shared" si="110"/>
        <v>0</v>
      </c>
      <c r="BU47" s="421">
        <f t="shared" si="110"/>
        <v>4.4033000000000007</v>
      </c>
      <c r="BV47" s="420"/>
      <c r="BW47" s="415"/>
      <c r="BX47" s="415"/>
      <c r="BY47" s="415"/>
      <c r="BZ47" s="415"/>
      <c r="CA47" s="510"/>
    </row>
    <row r="48" spans="1:79" ht="12.95" customHeight="1" x14ac:dyDescent="0.25">
      <c r="A48" s="280">
        <v>7</v>
      </c>
      <c r="B48" s="321">
        <v>5410</v>
      </c>
      <c r="C48" s="322">
        <v>600099318</v>
      </c>
      <c r="D48" s="281">
        <v>854778</v>
      </c>
      <c r="E48" s="348" t="s">
        <v>420</v>
      </c>
      <c r="F48" s="321">
        <v>3143</v>
      </c>
      <c r="G48" s="284" t="s">
        <v>595</v>
      </c>
      <c r="H48" s="645" t="s">
        <v>271</v>
      </c>
      <c r="I48" s="420">
        <v>877268</v>
      </c>
      <c r="J48" s="415">
        <v>650792</v>
      </c>
      <c r="K48" s="415">
        <v>650792</v>
      </c>
      <c r="L48" s="415">
        <v>0</v>
      </c>
      <c r="M48" s="415">
        <v>0</v>
      </c>
      <c r="N48" s="415">
        <v>0</v>
      </c>
      <c r="O48" s="415">
        <v>0</v>
      </c>
      <c r="P48" s="68">
        <v>219968</v>
      </c>
      <c r="Q48" s="68">
        <v>6508</v>
      </c>
      <c r="R48" s="415">
        <v>0</v>
      </c>
      <c r="S48" s="416">
        <v>1.2942</v>
      </c>
      <c r="T48" s="417">
        <v>1.2942</v>
      </c>
      <c r="U48" s="423">
        <v>0</v>
      </c>
      <c r="V48" s="424">
        <f t="shared" si="86"/>
        <v>0</v>
      </c>
      <c r="W48" s="418">
        <f t="shared" si="86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87"/>
        <v>0</v>
      </c>
      <c r="AE48" s="418">
        <f t="shared" si="88"/>
        <v>0</v>
      </c>
      <c r="AF48" s="418">
        <f t="shared" si="89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90"/>
        <v>0</v>
      </c>
      <c r="AM48" s="418">
        <f t="shared" si="91"/>
        <v>0</v>
      </c>
      <c r="AN48" s="418">
        <f t="shared" si="92"/>
        <v>0</v>
      </c>
      <c r="AO48" s="418">
        <f t="shared" si="93"/>
        <v>0</v>
      </c>
      <c r="AP48" s="418">
        <f t="shared" si="93"/>
        <v>0</v>
      </c>
      <c r="AQ48" s="418">
        <f t="shared" si="94"/>
        <v>0</v>
      </c>
      <c r="AR48" s="68">
        <f t="shared" si="95"/>
        <v>0</v>
      </c>
      <c r="AS48" s="68">
        <f t="shared" si="96"/>
        <v>0</v>
      </c>
      <c r="AT48" s="418">
        <v>0</v>
      </c>
      <c r="AU48" s="418">
        <v>0</v>
      </c>
      <c r="AV48" s="418">
        <f t="shared" si="97"/>
        <v>0</v>
      </c>
      <c r="AW48" s="418">
        <f t="shared" si="98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99"/>
        <v>0</v>
      </c>
      <c r="BG48" s="419">
        <f t="shared" si="100"/>
        <v>0</v>
      </c>
      <c r="BH48" s="421">
        <f t="shared" si="101"/>
        <v>0</v>
      </c>
      <c r="BI48" s="424">
        <f t="shared" si="102"/>
        <v>877268</v>
      </c>
      <c r="BJ48" s="780">
        <f t="shared" si="103"/>
        <v>650792</v>
      </c>
      <c r="BK48" s="418">
        <f t="shared" si="104"/>
        <v>650792</v>
      </c>
      <c r="BL48" s="418">
        <f t="shared" si="104"/>
        <v>0</v>
      </c>
      <c r="BM48" s="418">
        <f t="shared" si="105"/>
        <v>0</v>
      </c>
      <c r="BN48" s="418">
        <f t="shared" si="106"/>
        <v>0</v>
      </c>
      <c r="BO48" s="418">
        <f t="shared" si="106"/>
        <v>0</v>
      </c>
      <c r="BP48" s="418">
        <f t="shared" si="107"/>
        <v>219968</v>
      </c>
      <c r="BQ48" s="418">
        <f t="shared" si="107"/>
        <v>6508</v>
      </c>
      <c r="BR48" s="418">
        <f t="shared" si="108"/>
        <v>0</v>
      </c>
      <c r="BS48" s="419">
        <f t="shared" si="109"/>
        <v>1.2942</v>
      </c>
      <c r="BT48" s="419">
        <f t="shared" si="110"/>
        <v>1.2942</v>
      </c>
      <c r="BU48" s="421">
        <f t="shared" si="110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7</v>
      </c>
      <c r="B49" s="321">
        <v>5410</v>
      </c>
      <c r="C49" s="322">
        <v>600099318</v>
      </c>
      <c r="D49" s="281">
        <v>854778</v>
      </c>
      <c r="E49" s="348" t="s">
        <v>420</v>
      </c>
      <c r="F49" s="321">
        <v>3143</v>
      </c>
      <c r="G49" s="284" t="s">
        <v>596</v>
      </c>
      <c r="H49" s="645" t="s">
        <v>272</v>
      </c>
      <c r="I49" s="420">
        <v>23052</v>
      </c>
      <c r="J49" s="415">
        <v>16500</v>
      </c>
      <c r="K49" s="415">
        <v>0</v>
      </c>
      <c r="L49" s="415">
        <v>16500</v>
      </c>
      <c r="M49" s="415">
        <v>0</v>
      </c>
      <c r="N49" s="415">
        <v>0</v>
      </c>
      <c r="O49" s="415">
        <v>0</v>
      </c>
      <c r="P49" s="68">
        <v>5577</v>
      </c>
      <c r="Q49" s="68">
        <v>165</v>
      </c>
      <c r="R49" s="415">
        <v>810</v>
      </c>
      <c r="S49" s="416">
        <v>6.25E-2</v>
      </c>
      <c r="T49" s="417">
        <v>0</v>
      </c>
      <c r="U49" s="423">
        <v>6.25E-2</v>
      </c>
      <c r="V49" s="424">
        <f t="shared" si="86"/>
        <v>0</v>
      </c>
      <c r="W49" s="418">
        <f t="shared" si="86"/>
        <v>0</v>
      </c>
      <c r="X49" s="418">
        <v>0</v>
      </c>
      <c r="Y49" s="418">
        <v>0</v>
      </c>
      <c r="Z49" s="418">
        <v>0</v>
      </c>
      <c r="AA49" s="418">
        <v>8250</v>
      </c>
      <c r="AB49" s="418">
        <v>405</v>
      </c>
      <c r="AC49" s="418">
        <v>0</v>
      </c>
      <c r="AD49" s="418">
        <f t="shared" si="87"/>
        <v>405</v>
      </c>
      <c r="AE49" s="418">
        <f t="shared" si="88"/>
        <v>8250</v>
      </c>
      <c r="AF49" s="418">
        <f t="shared" si="89"/>
        <v>8655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90"/>
        <v>0</v>
      </c>
      <c r="AM49" s="418">
        <f t="shared" si="91"/>
        <v>0</v>
      </c>
      <c r="AN49" s="418">
        <f t="shared" si="92"/>
        <v>0</v>
      </c>
      <c r="AO49" s="418">
        <f t="shared" si="93"/>
        <v>405</v>
      </c>
      <c r="AP49" s="418">
        <f t="shared" si="93"/>
        <v>8250</v>
      </c>
      <c r="AQ49" s="418">
        <f t="shared" si="94"/>
        <v>8655</v>
      </c>
      <c r="AR49" s="68">
        <f t="shared" si="95"/>
        <v>2925</v>
      </c>
      <c r="AS49" s="68">
        <f t="shared" si="96"/>
        <v>87</v>
      </c>
      <c r="AT49" s="418">
        <v>0</v>
      </c>
      <c r="AU49" s="418">
        <v>405</v>
      </c>
      <c r="AV49" s="418">
        <f t="shared" si="97"/>
        <v>405</v>
      </c>
      <c r="AW49" s="418">
        <f t="shared" si="98"/>
        <v>12072</v>
      </c>
      <c r="AX49" s="419">
        <v>0</v>
      </c>
      <c r="AY49" s="419">
        <v>0</v>
      </c>
      <c r="AZ49" s="419">
        <v>0</v>
      </c>
      <c r="BA49" s="419">
        <v>0</v>
      </c>
      <c r="BB49" s="419">
        <v>0.03</v>
      </c>
      <c r="BC49" s="419">
        <v>0</v>
      </c>
      <c r="BD49" s="419">
        <v>0</v>
      </c>
      <c r="BE49" s="419">
        <v>0</v>
      </c>
      <c r="BF49" s="419">
        <f t="shared" si="99"/>
        <v>0</v>
      </c>
      <c r="BG49" s="419">
        <f t="shared" si="100"/>
        <v>0.03</v>
      </c>
      <c r="BH49" s="421">
        <f t="shared" si="101"/>
        <v>0.03</v>
      </c>
      <c r="BI49" s="424">
        <f t="shared" si="102"/>
        <v>35124</v>
      </c>
      <c r="BJ49" s="780">
        <f t="shared" si="103"/>
        <v>25155</v>
      </c>
      <c r="BK49" s="418">
        <f t="shared" si="104"/>
        <v>405</v>
      </c>
      <c r="BL49" s="418">
        <f t="shared" si="104"/>
        <v>24750</v>
      </c>
      <c r="BM49" s="418">
        <f t="shared" si="105"/>
        <v>0</v>
      </c>
      <c r="BN49" s="418">
        <f t="shared" si="106"/>
        <v>0</v>
      </c>
      <c r="BO49" s="418">
        <f t="shared" si="106"/>
        <v>0</v>
      </c>
      <c r="BP49" s="418">
        <f t="shared" si="107"/>
        <v>8502</v>
      </c>
      <c r="BQ49" s="418">
        <f t="shared" si="107"/>
        <v>252</v>
      </c>
      <c r="BR49" s="418">
        <f t="shared" si="108"/>
        <v>1215</v>
      </c>
      <c r="BS49" s="419">
        <f t="shared" si="109"/>
        <v>9.2499999999999999E-2</v>
      </c>
      <c r="BT49" s="419">
        <f t="shared" si="110"/>
        <v>0</v>
      </c>
      <c r="BU49" s="421">
        <f t="shared" si="110"/>
        <v>9.2499999999999999E-2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646">
        <v>7</v>
      </c>
      <c r="B50" s="325">
        <v>5410</v>
      </c>
      <c r="C50" s="326">
        <v>600099318</v>
      </c>
      <c r="D50" s="325">
        <v>854778</v>
      </c>
      <c r="E50" s="349" t="s">
        <v>421</v>
      </c>
      <c r="F50" s="325"/>
      <c r="G50" s="350"/>
      <c r="H50" s="648"/>
      <c r="I50" s="465">
        <v>19949948</v>
      </c>
      <c r="J50" s="461">
        <v>14601718</v>
      </c>
      <c r="K50" s="461">
        <v>12392816</v>
      </c>
      <c r="L50" s="461">
        <v>2208902</v>
      </c>
      <c r="M50" s="461">
        <v>60000</v>
      </c>
      <c r="N50" s="461">
        <v>25000</v>
      </c>
      <c r="O50" s="461">
        <v>35000</v>
      </c>
      <c r="P50" s="461">
        <v>4955661</v>
      </c>
      <c r="Q50" s="461">
        <v>146017</v>
      </c>
      <c r="R50" s="461">
        <v>186552</v>
      </c>
      <c r="S50" s="462">
        <v>27.411099999999998</v>
      </c>
      <c r="T50" s="462">
        <v>20.542300000000001</v>
      </c>
      <c r="U50" s="535">
        <v>6.8688000000000002</v>
      </c>
      <c r="V50" s="465">
        <f t="shared" ref="V50:CA50" si="111">SUM(V44:V49)</f>
        <v>0</v>
      </c>
      <c r="W50" s="461">
        <f t="shared" si="111"/>
        <v>0</v>
      </c>
      <c r="X50" s="461">
        <f t="shared" si="111"/>
        <v>0</v>
      </c>
      <c r="Y50" s="461">
        <f t="shared" si="111"/>
        <v>0</v>
      </c>
      <c r="Z50" s="461">
        <f t="shared" si="111"/>
        <v>0</v>
      </c>
      <c r="AA50" s="461">
        <f t="shared" si="111"/>
        <v>497611</v>
      </c>
      <c r="AB50" s="461">
        <f t="shared" si="111"/>
        <v>405</v>
      </c>
      <c r="AC50" s="461">
        <f t="shared" si="111"/>
        <v>0</v>
      </c>
      <c r="AD50" s="461">
        <f t="shared" si="111"/>
        <v>405</v>
      </c>
      <c r="AE50" s="461">
        <f t="shared" si="111"/>
        <v>497611</v>
      </c>
      <c r="AF50" s="461">
        <f t="shared" si="111"/>
        <v>498016</v>
      </c>
      <c r="AG50" s="461">
        <f t="shared" si="111"/>
        <v>0</v>
      </c>
      <c r="AH50" s="461">
        <f t="shared" si="111"/>
        <v>0</v>
      </c>
      <c r="AI50" s="461">
        <f t="shared" si="111"/>
        <v>0</v>
      </c>
      <c r="AJ50" s="461">
        <f t="shared" si="111"/>
        <v>0</v>
      </c>
      <c r="AK50" s="461">
        <f t="shared" si="111"/>
        <v>0</v>
      </c>
      <c r="AL50" s="461">
        <f t="shared" si="111"/>
        <v>0</v>
      </c>
      <c r="AM50" s="461">
        <f t="shared" si="111"/>
        <v>0</v>
      </c>
      <c r="AN50" s="461">
        <f t="shared" si="111"/>
        <v>0</v>
      </c>
      <c r="AO50" s="461">
        <f t="shared" si="111"/>
        <v>405</v>
      </c>
      <c r="AP50" s="461">
        <f t="shared" si="111"/>
        <v>497611</v>
      </c>
      <c r="AQ50" s="461">
        <f t="shared" si="111"/>
        <v>498016</v>
      </c>
      <c r="AR50" s="461">
        <f t="shared" si="111"/>
        <v>168329</v>
      </c>
      <c r="AS50" s="461">
        <f t="shared" si="111"/>
        <v>4981</v>
      </c>
      <c r="AT50" s="461">
        <f t="shared" si="111"/>
        <v>0</v>
      </c>
      <c r="AU50" s="461">
        <f t="shared" si="111"/>
        <v>4089</v>
      </c>
      <c r="AV50" s="461">
        <f t="shared" si="111"/>
        <v>4089</v>
      </c>
      <c r="AW50" s="461">
        <f t="shared" si="111"/>
        <v>675415</v>
      </c>
      <c r="AX50" s="462">
        <f t="shared" si="111"/>
        <v>0</v>
      </c>
      <c r="AY50" s="462">
        <f t="shared" si="111"/>
        <v>0</v>
      </c>
      <c r="AZ50" s="462">
        <f t="shared" si="111"/>
        <v>0</v>
      </c>
      <c r="BA50" s="462">
        <f t="shared" si="111"/>
        <v>0</v>
      </c>
      <c r="BB50" s="462">
        <f t="shared" ref="BB50" si="112">SUM(BB44:BB49)</f>
        <v>1.5</v>
      </c>
      <c r="BC50" s="462">
        <f t="shared" si="111"/>
        <v>0</v>
      </c>
      <c r="BD50" s="462">
        <f t="shared" si="111"/>
        <v>0</v>
      </c>
      <c r="BE50" s="462">
        <f t="shared" ref="BE50" si="113">SUM(BE44:BE49)</f>
        <v>0</v>
      </c>
      <c r="BF50" s="462">
        <f t="shared" si="111"/>
        <v>0</v>
      </c>
      <c r="BG50" s="462">
        <f t="shared" si="111"/>
        <v>1.5</v>
      </c>
      <c r="BH50" s="279">
        <f t="shared" si="111"/>
        <v>1.5</v>
      </c>
      <c r="BI50" s="465">
        <f t="shared" si="111"/>
        <v>20625363</v>
      </c>
      <c r="BJ50" s="781">
        <f t="shared" si="111"/>
        <v>15099734</v>
      </c>
      <c r="BK50" s="461">
        <f t="shared" si="111"/>
        <v>12393221</v>
      </c>
      <c r="BL50" s="461">
        <f t="shared" si="111"/>
        <v>2706513</v>
      </c>
      <c r="BM50" s="461">
        <f t="shared" si="111"/>
        <v>60000</v>
      </c>
      <c r="BN50" s="461">
        <f t="shared" si="111"/>
        <v>25000</v>
      </c>
      <c r="BO50" s="461">
        <f t="shared" si="111"/>
        <v>35000</v>
      </c>
      <c r="BP50" s="461">
        <f t="shared" si="111"/>
        <v>5123990</v>
      </c>
      <c r="BQ50" s="461">
        <f t="shared" si="111"/>
        <v>150998</v>
      </c>
      <c r="BR50" s="461">
        <f t="shared" si="111"/>
        <v>190641</v>
      </c>
      <c r="BS50" s="462">
        <f t="shared" si="111"/>
        <v>28.911100000000001</v>
      </c>
      <c r="BT50" s="462">
        <f t="shared" si="111"/>
        <v>20.542300000000001</v>
      </c>
      <c r="BU50" s="279">
        <f t="shared" si="111"/>
        <v>8.3688000000000002</v>
      </c>
      <c r="BV50" s="850">
        <f t="shared" si="111"/>
        <v>152054</v>
      </c>
      <c r="BW50" s="713">
        <f t="shared" si="111"/>
        <v>112800</v>
      </c>
      <c r="BX50" s="713">
        <f t="shared" si="111"/>
        <v>0</v>
      </c>
      <c r="BY50" s="713">
        <f t="shared" si="111"/>
        <v>38126</v>
      </c>
      <c r="BZ50" s="713">
        <f t="shared" si="111"/>
        <v>1128</v>
      </c>
      <c r="CA50" s="851">
        <f t="shared" si="111"/>
        <v>0.2</v>
      </c>
    </row>
    <row r="51" spans="1:79" ht="12.95" customHeight="1" x14ac:dyDescent="0.25">
      <c r="A51" s="280">
        <v>8</v>
      </c>
      <c r="B51" s="321">
        <v>5476</v>
      </c>
      <c r="C51" s="322">
        <v>650046072</v>
      </c>
      <c r="D51" s="281">
        <v>71002723</v>
      </c>
      <c r="E51" s="348" t="s">
        <v>422</v>
      </c>
      <c r="F51" s="321">
        <v>3111</v>
      </c>
      <c r="G51" s="345" t="s">
        <v>304</v>
      </c>
      <c r="H51" s="645" t="s">
        <v>271</v>
      </c>
      <c r="I51" s="420">
        <v>2904852</v>
      </c>
      <c r="J51" s="415">
        <v>2146814</v>
      </c>
      <c r="K51" s="415">
        <v>2027006</v>
      </c>
      <c r="L51" s="415">
        <v>119808</v>
      </c>
      <c r="M51" s="415">
        <v>0</v>
      </c>
      <c r="N51" s="415">
        <v>0</v>
      </c>
      <c r="O51" s="415">
        <v>0</v>
      </c>
      <c r="P51" s="68">
        <v>725623</v>
      </c>
      <c r="Q51" s="68">
        <v>21468</v>
      </c>
      <c r="R51" s="415">
        <v>10947</v>
      </c>
      <c r="S51" s="416">
        <v>3.98</v>
      </c>
      <c r="T51" s="417">
        <v>3.5</v>
      </c>
      <c r="U51" s="423">
        <v>0.48</v>
      </c>
      <c r="V51" s="424">
        <f t="shared" ref="V51:W57" si="114">AG51*-1</f>
        <v>0</v>
      </c>
      <c r="W51" s="418">
        <f t="shared" si="114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ref="AD51:AD57" si="115">V51+X51+Y51+Z51+AB51</f>
        <v>0</v>
      </c>
      <c r="AE51" s="418">
        <f t="shared" ref="AE51:AE57" si="116">W51+AA51+AC51</f>
        <v>0</v>
      </c>
      <c r="AF51" s="418">
        <f t="shared" ref="AF51:AF57" si="117"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ref="AL51:AL57" si="118">AG51+AI51+AJ51</f>
        <v>0</v>
      </c>
      <c r="AM51" s="418">
        <f t="shared" ref="AM51:AM57" si="119">AH51+AK51</f>
        <v>0</v>
      </c>
      <c r="AN51" s="418">
        <f t="shared" ref="AN51:AN57" si="120">SUM(AL51:AM51)</f>
        <v>0</v>
      </c>
      <c r="AO51" s="418">
        <f t="shared" ref="AO51:AP57" si="121">AD51+AL51</f>
        <v>0</v>
      </c>
      <c r="AP51" s="418">
        <f t="shared" si="121"/>
        <v>0</v>
      </c>
      <c r="AQ51" s="418">
        <f t="shared" ref="AQ51:AQ57" si="122">SUM(AO51:AP51)</f>
        <v>0</v>
      </c>
      <c r="AR51" s="68">
        <f t="shared" ref="AR51:AR57" si="123">ROUND((AF51+AG51+AH51+AI51)*33.8%,0)</f>
        <v>0</v>
      </c>
      <c r="AS51" s="68">
        <f t="shared" ref="AS51:AS57" si="124">ROUND(AF51*1%,0)</f>
        <v>0</v>
      </c>
      <c r="AT51" s="418">
        <v>0</v>
      </c>
      <c r="AU51" s="418">
        <v>0</v>
      </c>
      <c r="AV51" s="418">
        <f t="shared" ref="AV51:AV57" si="125">AT51+AU51</f>
        <v>0</v>
      </c>
      <c r="AW51" s="418">
        <f t="shared" ref="AW51:AW57" si="126"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ref="BF51:BF57" si="127">AX51+AZ51+BA51+BC51+BD51</f>
        <v>0</v>
      </c>
      <c r="BG51" s="419">
        <f t="shared" ref="BG51:BG57" si="128">AY51+BB51+BE51</f>
        <v>0</v>
      </c>
      <c r="BH51" s="421">
        <f t="shared" ref="BH51:BH57" si="129">SUM(BF51:BG51)</f>
        <v>0</v>
      </c>
      <c r="BI51" s="424">
        <f t="shared" ref="BI51:BI57" si="130">I51+AW51</f>
        <v>2904852</v>
      </c>
      <c r="BJ51" s="780">
        <f t="shared" ref="BJ51:BJ57" si="131">J51+AF51</f>
        <v>2146814</v>
      </c>
      <c r="BK51" s="418">
        <f t="shared" ref="BK51:BL57" si="132">K51+AD51</f>
        <v>2027006</v>
      </c>
      <c r="BL51" s="418">
        <f t="shared" si="132"/>
        <v>119808</v>
      </c>
      <c r="BM51" s="418">
        <f t="shared" ref="BM51:BM57" si="133">M51+AN51</f>
        <v>0</v>
      </c>
      <c r="BN51" s="418">
        <f t="shared" ref="BN51:BO57" si="134">N51+AL51</f>
        <v>0</v>
      </c>
      <c r="BO51" s="418">
        <f t="shared" si="134"/>
        <v>0</v>
      </c>
      <c r="BP51" s="418">
        <f t="shared" ref="BP51:BQ57" si="135">P51+AR51</f>
        <v>725623</v>
      </c>
      <c r="BQ51" s="418">
        <f t="shared" si="135"/>
        <v>21468</v>
      </c>
      <c r="BR51" s="418">
        <f t="shared" ref="BR51:BR57" si="136">R51+AV51</f>
        <v>10947</v>
      </c>
      <c r="BS51" s="419">
        <f t="shared" ref="BS51:BS57" si="137">S51+BH51</f>
        <v>3.98</v>
      </c>
      <c r="BT51" s="419">
        <f t="shared" ref="BT51:BU57" si="138">T51+BF51</f>
        <v>3.5</v>
      </c>
      <c r="BU51" s="421">
        <f t="shared" si="138"/>
        <v>0.48</v>
      </c>
      <c r="BV51" s="420"/>
      <c r="BW51" s="415"/>
      <c r="BX51" s="415"/>
      <c r="BY51" s="415"/>
      <c r="BZ51" s="415"/>
      <c r="CA51" s="510"/>
    </row>
    <row r="52" spans="1:79" ht="12.95" customHeight="1" x14ac:dyDescent="0.25">
      <c r="A52" s="280">
        <v>8</v>
      </c>
      <c r="B52" s="321">
        <v>5476</v>
      </c>
      <c r="C52" s="322">
        <v>650046072</v>
      </c>
      <c r="D52" s="281">
        <v>71002723</v>
      </c>
      <c r="E52" s="348" t="s">
        <v>422</v>
      </c>
      <c r="F52" s="321">
        <v>3113</v>
      </c>
      <c r="G52" s="345" t="s">
        <v>308</v>
      </c>
      <c r="H52" s="645" t="s">
        <v>271</v>
      </c>
      <c r="I52" s="420">
        <v>12465824</v>
      </c>
      <c r="J52" s="415">
        <v>9057155</v>
      </c>
      <c r="K52" s="415">
        <v>8231355</v>
      </c>
      <c r="L52" s="415">
        <v>825800</v>
      </c>
      <c r="M52" s="415">
        <v>95000</v>
      </c>
      <c r="N52" s="415">
        <v>55000</v>
      </c>
      <c r="O52" s="415">
        <v>40000</v>
      </c>
      <c r="P52" s="68">
        <v>3093429</v>
      </c>
      <c r="Q52" s="68">
        <v>90572</v>
      </c>
      <c r="R52" s="415">
        <v>129668</v>
      </c>
      <c r="S52" s="416">
        <v>14.863199999999999</v>
      </c>
      <c r="T52" s="417">
        <v>12.567299999999999</v>
      </c>
      <c r="U52" s="423">
        <v>2.2958999999999996</v>
      </c>
      <c r="V52" s="424">
        <f t="shared" si="114"/>
        <v>0</v>
      </c>
      <c r="W52" s="418">
        <f t="shared" si="114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 t="shared" si="115"/>
        <v>0</v>
      </c>
      <c r="AE52" s="418">
        <f t="shared" si="116"/>
        <v>0</v>
      </c>
      <c r="AF52" s="418">
        <f t="shared" si="117"/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 t="shared" si="118"/>
        <v>0</v>
      </c>
      <c r="AM52" s="418">
        <f t="shared" si="119"/>
        <v>0</v>
      </c>
      <c r="AN52" s="418">
        <f t="shared" si="120"/>
        <v>0</v>
      </c>
      <c r="AO52" s="418">
        <f t="shared" si="121"/>
        <v>0</v>
      </c>
      <c r="AP52" s="418">
        <f t="shared" si="121"/>
        <v>0</v>
      </c>
      <c r="AQ52" s="418">
        <f t="shared" si="122"/>
        <v>0</v>
      </c>
      <c r="AR52" s="68">
        <f t="shared" si="123"/>
        <v>0</v>
      </c>
      <c r="AS52" s="68">
        <f t="shared" si="124"/>
        <v>0</v>
      </c>
      <c r="AT52" s="418">
        <v>0</v>
      </c>
      <c r="AU52" s="418">
        <v>0</v>
      </c>
      <c r="AV52" s="418">
        <f t="shared" si="125"/>
        <v>0</v>
      </c>
      <c r="AW52" s="418">
        <f t="shared" si="126"/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127"/>
        <v>0</v>
      </c>
      <c r="BG52" s="419">
        <f t="shared" si="128"/>
        <v>0</v>
      </c>
      <c r="BH52" s="421">
        <f t="shared" si="129"/>
        <v>0</v>
      </c>
      <c r="BI52" s="424">
        <f t="shared" si="130"/>
        <v>12465824</v>
      </c>
      <c r="BJ52" s="780">
        <f t="shared" si="131"/>
        <v>9057155</v>
      </c>
      <c r="BK52" s="418">
        <f t="shared" si="132"/>
        <v>8231355</v>
      </c>
      <c r="BL52" s="418">
        <f t="shared" si="132"/>
        <v>825800</v>
      </c>
      <c r="BM52" s="418">
        <f t="shared" si="133"/>
        <v>95000</v>
      </c>
      <c r="BN52" s="418">
        <f t="shared" si="134"/>
        <v>55000</v>
      </c>
      <c r="BO52" s="418">
        <f t="shared" si="134"/>
        <v>40000</v>
      </c>
      <c r="BP52" s="418">
        <f t="shared" si="135"/>
        <v>3093429</v>
      </c>
      <c r="BQ52" s="418">
        <f t="shared" si="135"/>
        <v>90572</v>
      </c>
      <c r="BR52" s="418">
        <f t="shared" si="136"/>
        <v>129668</v>
      </c>
      <c r="BS52" s="419">
        <f t="shared" si="137"/>
        <v>14.863199999999999</v>
      </c>
      <c r="BT52" s="419">
        <f t="shared" si="138"/>
        <v>12.567299999999999</v>
      </c>
      <c r="BU52" s="421">
        <f t="shared" si="138"/>
        <v>2.2958999999999996</v>
      </c>
      <c r="BV52" s="420">
        <v>304109</v>
      </c>
      <c r="BW52" s="415">
        <v>225600</v>
      </c>
      <c r="BX52" s="415">
        <v>0</v>
      </c>
      <c r="BY52" s="415">
        <v>76253</v>
      </c>
      <c r="BZ52" s="415">
        <v>2256</v>
      </c>
      <c r="CA52" s="510">
        <v>0.4</v>
      </c>
    </row>
    <row r="53" spans="1:79" ht="12.95" customHeight="1" x14ac:dyDescent="0.25">
      <c r="A53" s="280">
        <v>8</v>
      </c>
      <c r="B53" s="321">
        <v>5476</v>
      </c>
      <c r="C53" s="322">
        <v>650046072</v>
      </c>
      <c r="D53" s="281">
        <v>71002723</v>
      </c>
      <c r="E53" s="348" t="s">
        <v>422</v>
      </c>
      <c r="F53" s="321">
        <v>3113</v>
      </c>
      <c r="G53" s="284" t="s">
        <v>291</v>
      </c>
      <c r="H53" s="645" t="s">
        <v>272</v>
      </c>
      <c r="I53" s="420">
        <v>882385</v>
      </c>
      <c r="J53" s="415">
        <v>654588</v>
      </c>
      <c r="K53" s="415">
        <v>654588</v>
      </c>
      <c r="L53" s="415">
        <v>0</v>
      </c>
      <c r="M53" s="415">
        <v>0</v>
      </c>
      <c r="N53" s="415">
        <v>0</v>
      </c>
      <c r="O53" s="415">
        <v>0</v>
      </c>
      <c r="P53" s="68">
        <v>221251</v>
      </c>
      <c r="Q53" s="68">
        <v>6546</v>
      </c>
      <c r="R53" s="415">
        <v>0</v>
      </c>
      <c r="S53" s="416">
        <v>1.8199999999999998</v>
      </c>
      <c r="T53" s="417">
        <v>1.8199999999999998</v>
      </c>
      <c r="U53" s="423">
        <v>0</v>
      </c>
      <c r="V53" s="424">
        <f t="shared" si="114"/>
        <v>0</v>
      </c>
      <c r="W53" s="418">
        <f t="shared" si="114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 t="shared" si="115"/>
        <v>0</v>
      </c>
      <c r="AE53" s="418">
        <f t="shared" si="116"/>
        <v>0</v>
      </c>
      <c r="AF53" s="418">
        <f t="shared" si="117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118"/>
        <v>0</v>
      </c>
      <c r="AM53" s="418">
        <f t="shared" si="119"/>
        <v>0</v>
      </c>
      <c r="AN53" s="418">
        <f t="shared" si="120"/>
        <v>0</v>
      </c>
      <c r="AO53" s="418">
        <f t="shared" si="121"/>
        <v>0</v>
      </c>
      <c r="AP53" s="418">
        <f t="shared" si="121"/>
        <v>0</v>
      </c>
      <c r="AQ53" s="418">
        <f t="shared" si="122"/>
        <v>0</v>
      </c>
      <c r="AR53" s="68">
        <f t="shared" si="123"/>
        <v>0</v>
      </c>
      <c r="AS53" s="68">
        <f t="shared" si="124"/>
        <v>0</v>
      </c>
      <c r="AT53" s="418">
        <v>0</v>
      </c>
      <c r="AU53" s="418">
        <v>0</v>
      </c>
      <c r="AV53" s="418">
        <f t="shared" si="125"/>
        <v>0</v>
      </c>
      <c r="AW53" s="418">
        <f t="shared" si="126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27"/>
        <v>0</v>
      </c>
      <c r="BG53" s="419">
        <f t="shared" si="128"/>
        <v>0</v>
      </c>
      <c r="BH53" s="421">
        <f t="shared" si="129"/>
        <v>0</v>
      </c>
      <c r="BI53" s="424">
        <f t="shared" si="130"/>
        <v>882385</v>
      </c>
      <c r="BJ53" s="780">
        <f t="shared" si="131"/>
        <v>654588</v>
      </c>
      <c r="BK53" s="418">
        <f t="shared" si="132"/>
        <v>654588</v>
      </c>
      <c r="BL53" s="418">
        <f t="shared" si="132"/>
        <v>0</v>
      </c>
      <c r="BM53" s="418">
        <f t="shared" si="133"/>
        <v>0</v>
      </c>
      <c r="BN53" s="418">
        <f t="shared" si="134"/>
        <v>0</v>
      </c>
      <c r="BO53" s="418">
        <f t="shared" si="134"/>
        <v>0</v>
      </c>
      <c r="BP53" s="418">
        <f t="shared" si="135"/>
        <v>221251</v>
      </c>
      <c r="BQ53" s="418">
        <f t="shared" si="135"/>
        <v>6546</v>
      </c>
      <c r="BR53" s="418">
        <f t="shared" si="136"/>
        <v>0</v>
      </c>
      <c r="BS53" s="419">
        <f t="shared" si="137"/>
        <v>1.8199999999999998</v>
      </c>
      <c r="BT53" s="419">
        <f t="shared" si="138"/>
        <v>1.8199999999999998</v>
      </c>
      <c r="BU53" s="421">
        <f t="shared" si="138"/>
        <v>0</v>
      </c>
      <c r="BV53" s="420"/>
      <c r="BW53" s="415"/>
      <c r="BX53" s="415"/>
      <c r="BY53" s="415"/>
      <c r="BZ53" s="415"/>
      <c r="CA53" s="510"/>
    </row>
    <row r="54" spans="1:79" ht="12.95" customHeight="1" x14ac:dyDescent="0.25">
      <c r="A54" s="280">
        <v>8</v>
      </c>
      <c r="B54" s="321">
        <v>5476</v>
      </c>
      <c r="C54" s="322">
        <v>650046072</v>
      </c>
      <c r="D54" s="281">
        <v>71002723</v>
      </c>
      <c r="E54" s="348" t="s">
        <v>422</v>
      </c>
      <c r="F54" s="321">
        <v>3141</v>
      </c>
      <c r="G54" s="345" t="s">
        <v>294</v>
      </c>
      <c r="H54" s="645" t="s">
        <v>272</v>
      </c>
      <c r="I54" s="420">
        <v>1156960</v>
      </c>
      <c r="J54" s="415">
        <v>853709</v>
      </c>
      <c r="K54" s="415">
        <v>0</v>
      </c>
      <c r="L54" s="415">
        <v>853709</v>
      </c>
      <c r="M54" s="415">
        <v>0</v>
      </c>
      <c r="N54" s="415">
        <v>0</v>
      </c>
      <c r="O54" s="415">
        <v>0</v>
      </c>
      <c r="P54" s="68">
        <v>288554</v>
      </c>
      <c r="Q54" s="68">
        <v>8537</v>
      </c>
      <c r="R54" s="415">
        <v>6160</v>
      </c>
      <c r="S54" s="416">
        <v>2.56</v>
      </c>
      <c r="T54" s="417">
        <v>0</v>
      </c>
      <c r="U54" s="423">
        <v>2.56</v>
      </c>
      <c r="V54" s="424">
        <f t="shared" si="114"/>
        <v>0</v>
      </c>
      <c r="W54" s="418">
        <f t="shared" si="114"/>
        <v>0</v>
      </c>
      <c r="X54" s="418">
        <v>0</v>
      </c>
      <c r="Y54" s="418">
        <v>0</v>
      </c>
      <c r="Z54" s="418">
        <v>0</v>
      </c>
      <c r="AA54" s="418">
        <f>275937+151416</f>
        <v>427353</v>
      </c>
      <c r="AB54" s="418">
        <v>0</v>
      </c>
      <c r="AC54" s="418">
        <v>0</v>
      </c>
      <c r="AD54" s="418">
        <f t="shared" si="115"/>
        <v>0</v>
      </c>
      <c r="AE54" s="418">
        <f t="shared" si="116"/>
        <v>427353</v>
      </c>
      <c r="AF54" s="418">
        <f t="shared" si="117"/>
        <v>427353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118"/>
        <v>0</v>
      </c>
      <c r="AM54" s="418">
        <f t="shared" si="119"/>
        <v>0</v>
      </c>
      <c r="AN54" s="418">
        <f t="shared" si="120"/>
        <v>0</v>
      </c>
      <c r="AO54" s="418">
        <f t="shared" si="121"/>
        <v>0</v>
      </c>
      <c r="AP54" s="418">
        <f t="shared" si="121"/>
        <v>427353</v>
      </c>
      <c r="AQ54" s="418">
        <f t="shared" si="122"/>
        <v>427353</v>
      </c>
      <c r="AR54" s="68">
        <f t="shared" si="123"/>
        <v>144445</v>
      </c>
      <c r="AS54" s="68">
        <f t="shared" si="124"/>
        <v>4274</v>
      </c>
      <c r="AT54" s="418">
        <v>0</v>
      </c>
      <c r="AU54" s="418">
        <f>2278+714</f>
        <v>2992</v>
      </c>
      <c r="AV54" s="418">
        <f t="shared" si="125"/>
        <v>2992</v>
      </c>
      <c r="AW54" s="418">
        <f t="shared" si="126"/>
        <v>579064</v>
      </c>
      <c r="AX54" s="419">
        <v>0</v>
      </c>
      <c r="AY54" s="419">
        <v>0</v>
      </c>
      <c r="AZ54" s="419">
        <v>0</v>
      </c>
      <c r="BA54" s="419">
        <v>0</v>
      </c>
      <c r="BB54" s="419">
        <f>0.82+0.46</f>
        <v>1.28</v>
      </c>
      <c r="BC54" s="419">
        <v>0</v>
      </c>
      <c r="BD54" s="419">
        <v>0</v>
      </c>
      <c r="BE54" s="419">
        <v>0</v>
      </c>
      <c r="BF54" s="419">
        <f t="shared" si="127"/>
        <v>0</v>
      </c>
      <c r="BG54" s="419">
        <f t="shared" si="128"/>
        <v>1.28</v>
      </c>
      <c r="BH54" s="421">
        <f t="shared" si="129"/>
        <v>1.28</v>
      </c>
      <c r="BI54" s="424">
        <f t="shared" si="130"/>
        <v>1736024</v>
      </c>
      <c r="BJ54" s="780">
        <f t="shared" si="131"/>
        <v>1281062</v>
      </c>
      <c r="BK54" s="418">
        <f t="shared" si="132"/>
        <v>0</v>
      </c>
      <c r="BL54" s="418">
        <f t="shared" si="132"/>
        <v>1281062</v>
      </c>
      <c r="BM54" s="418">
        <f t="shared" si="133"/>
        <v>0</v>
      </c>
      <c r="BN54" s="418">
        <f t="shared" si="134"/>
        <v>0</v>
      </c>
      <c r="BO54" s="418">
        <f t="shared" si="134"/>
        <v>0</v>
      </c>
      <c r="BP54" s="418">
        <f t="shared" si="135"/>
        <v>432999</v>
      </c>
      <c r="BQ54" s="418">
        <f t="shared" si="135"/>
        <v>12811</v>
      </c>
      <c r="BR54" s="418">
        <f t="shared" si="136"/>
        <v>9152</v>
      </c>
      <c r="BS54" s="419">
        <f t="shared" si="137"/>
        <v>3.84</v>
      </c>
      <c r="BT54" s="419">
        <f t="shared" si="138"/>
        <v>0</v>
      </c>
      <c r="BU54" s="421">
        <f t="shared" si="138"/>
        <v>3.84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8</v>
      </c>
      <c r="B55" s="321">
        <v>5476</v>
      </c>
      <c r="C55" s="322">
        <v>650046072</v>
      </c>
      <c r="D55" s="281">
        <v>71002723</v>
      </c>
      <c r="E55" s="348" t="s">
        <v>422</v>
      </c>
      <c r="F55" s="321">
        <v>3143</v>
      </c>
      <c r="G55" s="284" t="s">
        <v>595</v>
      </c>
      <c r="H55" s="645" t="s">
        <v>271</v>
      </c>
      <c r="I55" s="420">
        <v>826634</v>
      </c>
      <c r="J55" s="415">
        <v>613230</v>
      </c>
      <c r="K55" s="415">
        <v>613230</v>
      </c>
      <c r="L55" s="415">
        <v>0</v>
      </c>
      <c r="M55" s="415">
        <v>0</v>
      </c>
      <c r="N55" s="415">
        <v>0</v>
      </c>
      <c r="O55" s="415">
        <v>0</v>
      </c>
      <c r="P55" s="68">
        <v>207272</v>
      </c>
      <c r="Q55" s="68">
        <v>6132</v>
      </c>
      <c r="R55" s="415">
        <v>0</v>
      </c>
      <c r="S55" s="416">
        <v>1.3</v>
      </c>
      <c r="T55" s="417">
        <v>1.3</v>
      </c>
      <c r="U55" s="423">
        <v>0</v>
      </c>
      <c r="V55" s="424">
        <f t="shared" si="114"/>
        <v>0</v>
      </c>
      <c r="W55" s="418">
        <f t="shared" si="114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15"/>
        <v>0</v>
      </c>
      <c r="AE55" s="418">
        <f t="shared" si="116"/>
        <v>0</v>
      </c>
      <c r="AF55" s="418">
        <f t="shared" si="117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18"/>
        <v>0</v>
      </c>
      <c r="AM55" s="418">
        <f t="shared" si="119"/>
        <v>0</v>
      </c>
      <c r="AN55" s="418">
        <f t="shared" si="120"/>
        <v>0</v>
      </c>
      <c r="AO55" s="418">
        <f t="shared" si="121"/>
        <v>0</v>
      </c>
      <c r="AP55" s="418">
        <f t="shared" si="121"/>
        <v>0</v>
      </c>
      <c r="AQ55" s="418">
        <f t="shared" si="122"/>
        <v>0</v>
      </c>
      <c r="AR55" s="68">
        <f t="shared" si="123"/>
        <v>0</v>
      </c>
      <c r="AS55" s="68">
        <f t="shared" si="124"/>
        <v>0</v>
      </c>
      <c r="AT55" s="418">
        <v>0</v>
      </c>
      <c r="AU55" s="418">
        <v>0</v>
      </c>
      <c r="AV55" s="418">
        <f t="shared" si="125"/>
        <v>0</v>
      </c>
      <c r="AW55" s="418">
        <f t="shared" si="126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27"/>
        <v>0</v>
      </c>
      <c r="BG55" s="419">
        <f t="shared" si="128"/>
        <v>0</v>
      </c>
      <c r="BH55" s="421">
        <f t="shared" si="129"/>
        <v>0</v>
      </c>
      <c r="BI55" s="424">
        <f t="shared" si="130"/>
        <v>826634</v>
      </c>
      <c r="BJ55" s="780">
        <f t="shared" si="131"/>
        <v>613230</v>
      </c>
      <c r="BK55" s="418">
        <f t="shared" si="132"/>
        <v>613230</v>
      </c>
      <c r="BL55" s="418">
        <f t="shared" si="132"/>
        <v>0</v>
      </c>
      <c r="BM55" s="418">
        <f t="shared" si="133"/>
        <v>0</v>
      </c>
      <c r="BN55" s="418">
        <f t="shared" si="134"/>
        <v>0</v>
      </c>
      <c r="BO55" s="418">
        <f t="shared" si="134"/>
        <v>0</v>
      </c>
      <c r="BP55" s="418">
        <f t="shared" si="135"/>
        <v>207272</v>
      </c>
      <c r="BQ55" s="418">
        <f t="shared" si="135"/>
        <v>6132</v>
      </c>
      <c r="BR55" s="418">
        <f t="shared" si="136"/>
        <v>0</v>
      </c>
      <c r="BS55" s="419">
        <f t="shared" si="137"/>
        <v>1.3</v>
      </c>
      <c r="BT55" s="419">
        <f t="shared" si="138"/>
        <v>1.3</v>
      </c>
      <c r="BU55" s="421">
        <f t="shared" si="138"/>
        <v>0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80">
        <v>8</v>
      </c>
      <c r="B56" s="321">
        <v>5476</v>
      </c>
      <c r="C56" s="322">
        <v>650046072</v>
      </c>
      <c r="D56" s="281">
        <v>71002723</v>
      </c>
      <c r="E56" s="348" t="s">
        <v>422</v>
      </c>
      <c r="F56" s="321">
        <v>3143</v>
      </c>
      <c r="G56" s="284" t="s">
        <v>596</v>
      </c>
      <c r="H56" s="645" t="s">
        <v>272</v>
      </c>
      <c r="I56" s="420">
        <v>24601</v>
      </c>
      <c r="J56" s="415">
        <v>17609</v>
      </c>
      <c r="K56" s="415">
        <v>0</v>
      </c>
      <c r="L56" s="415">
        <v>17609</v>
      </c>
      <c r="M56" s="415">
        <v>0</v>
      </c>
      <c r="N56" s="415">
        <v>0</v>
      </c>
      <c r="O56" s="415">
        <v>0</v>
      </c>
      <c r="P56" s="68">
        <v>5952</v>
      </c>
      <c r="Q56" s="68">
        <v>176</v>
      </c>
      <c r="R56" s="415">
        <v>864</v>
      </c>
      <c r="S56" s="416">
        <v>6.6699999999999995E-2</v>
      </c>
      <c r="T56" s="417">
        <v>0</v>
      </c>
      <c r="U56" s="423">
        <v>6.6699999999999995E-2</v>
      </c>
      <c r="V56" s="424">
        <f t="shared" si="114"/>
        <v>0</v>
      </c>
      <c r="W56" s="418">
        <f t="shared" si="114"/>
        <v>0</v>
      </c>
      <c r="X56" s="418">
        <v>0</v>
      </c>
      <c r="Y56" s="418">
        <v>0</v>
      </c>
      <c r="Z56" s="418">
        <v>0</v>
      </c>
      <c r="AA56" s="418">
        <v>8791</v>
      </c>
      <c r="AB56" s="418">
        <v>0</v>
      </c>
      <c r="AC56" s="418">
        <v>0</v>
      </c>
      <c r="AD56" s="418">
        <f t="shared" si="115"/>
        <v>0</v>
      </c>
      <c r="AE56" s="418">
        <f t="shared" si="116"/>
        <v>8791</v>
      </c>
      <c r="AF56" s="418">
        <f t="shared" si="117"/>
        <v>8791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118"/>
        <v>0</v>
      </c>
      <c r="AM56" s="418">
        <f t="shared" si="119"/>
        <v>0</v>
      </c>
      <c r="AN56" s="418">
        <f t="shared" si="120"/>
        <v>0</v>
      </c>
      <c r="AO56" s="418">
        <f t="shared" si="121"/>
        <v>0</v>
      </c>
      <c r="AP56" s="418">
        <f t="shared" si="121"/>
        <v>8791</v>
      </c>
      <c r="AQ56" s="418">
        <f t="shared" si="122"/>
        <v>8791</v>
      </c>
      <c r="AR56" s="68">
        <f t="shared" si="123"/>
        <v>2971</v>
      </c>
      <c r="AS56" s="68">
        <f t="shared" si="124"/>
        <v>88</v>
      </c>
      <c r="AT56" s="418">
        <v>0</v>
      </c>
      <c r="AU56" s="418">
        <v>432</v>
      </c>
      <c r="AV56" s="418">
        <f t="shared" si="125"/>
        <v>432</v>
      </c>
      <c r="AW56" s="418">
        <f t="shared" si="126"/>
        <v>12282</v>
      </c>
      <c r="AX56" s="419">
        <v>0</v>
      </c>
      <c r="AY56" s="419">
        <v>0</v>
      </c>
      <c r="AZ56" s="419">
        <v>0</v>
      </c>
      <c r="BA56" s="419">
        <v>0</v>
      </c>
      <c r="BB56" s="419">
        <v>0.03</v>
      </c>
      <c r="BC56" s="419">
        <v>0</v>
      </c>
      <c r="BD56" s="419">
        <v>0</v>
      </c>
      <c r="BE56" s="419">
        <v>0</v>
      </c>
      <c r="BF56" s="419">
        <f t="shared" si="127"/>
        <v>0</v>
      </c>
      <c r="BG56" s="419">
        <f t="shared" si="128"/>
        <v>0.03</v>
      </c>
      <c r="BH56" s="421">
        <f t="shared" si="129"/>
        <v>0.03</v>
      </c>
      <c r="BI56" s="424">
        <f t="shared" si="130"/>
        <v>36883</v>
      </c>
      <c r="BJ56" s="780">
        <f t="shared" si="131"/>
        <v>26400</v>
      </c>
      <c r="BK56" s="418">
        <f t="shared" si="132"/>
        <v>0</v>
      </c>
      <c r="BL56" s="418">
        <f t="shared" si="132"/>
        <v>26400</v>
      </c>
      <c r="BM56" s="418">
        <f t="shared" si="133"/>
        <v>0</v>
      </c>
      <c r="BN56" s="418">
        <f t="shared" si="134"/>
        <v>0</v>
      </c>
      <c r="BO56" s="418">
        <f t="shared" si="134"/>
        <v>0</v>
      </c>
      <c r="BP56" s="418">
        <f t="shared" si="135"/>
        <v>8923</v>
      </c>
      <c r="BQ56" s="418">
        <f t="shared" si="135"/>
        <v>264</v>
      </c>
      <c r="BR56" s="418">
        <f t="shared" si="136"/>
        <v>1296</v>
      </c>
      <c r="BS56" s="419">
        <f t="shared" si="137"/>
        <v>9.6699999999999994E-2</v>
      </c>
      <c r="BT56" s="419">
        <f t="shared" si="138"/>
        <v>0</v>
      </c>
      <c r="BU56" s="421">
        <f t="shared" si="138"/>
        <v>9.6699999999999994E-2</v>
      </c>
      <c r="BV56" s="420"/>
      <c r="BW56" s="415"/>
      <c r="BX56" s="415"/>
      <c r="BY56" s="415"/>
      <c r="BZ56" s="415"/>
      <c r="CA56" s="510"/>
    </row>
    <row r="57" spans="1:79" ht="12.95" customHeight="1" x14ac:dyDescent="0.25">
      <c r="A57" s="280">
        <v>8</v>
      </c>
      <c r="B57" s="321">
        <v>5476</v>
      </c>
      <c r="C57" s="322">
        <v>650046072</v>
      </c>
      <c r="D57" s="281">
        <v>71002723</v>
      </c>
      <c r="E57" s="348" t="s">
        <v>422</v>
      </c>
      <c r="F57" s="321">
        <v>3231</v>
      </c>
      <c r="G57" s="345" t="s">
        <v>295</v>
      </c>
      <c r="H57" s="645" t="s">
        <v>271</v>
      </c>
      <c r="I57" s="420">
        <v>7378016</v>
      </c>
      <c r="J57" s="415">
        <v>5466077</v>
      </c>
      <c r="K57" s="415">
        <v>5247323</v>
      </c>
      <c r="L57" s="415">
        <v>218754</v>
      </c>
      <c r="M57" s="415">
        <v>0</v>
      </c>
      <c r="N57" s="415">
        <v>0</v>
      </c>
      <c r="O57" s="415">
        <v>0</v>
      </c>
      <c r="P57" s="68">
        <v>1847534</v>
      </c>
      <c r="Q57" s="68">
        <v>54661</v>
      </c>
      <c r="R57" s="415">
        <v>9744</v>
      </c>
      <c r="S57" s="416">
        <v>8.9306999999999999</v>
      </c>
      <c r="T57" s="417">
        <v>8.3169000000000004</v>
      </c>
      <c r="U57" s="423">
        <v>0.61380000000000001</v>
      </c>
      <c r="V57" s="424">
        <f t="shared" si="114"/>
        <v>0</v>
      </c>
      <c r="W57" s="418">
        <f t="shared" si="114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si="115"/>
        <v>0</v>
      </c>
      <c r="AE57" s="418">
        <f t="shared" si="116"/>
        <v>0</v>
      </c>
      <c r="AF57" s="418">
        <f t="shared" si="117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118"/>
        <v>0</v>
      </c>
      <c r="AM57" s="418">
        <f t="shared" si="119"/>
        <v>0</v>
      </c>
      <c r="AN57" s="418">
        <f t="shared" si="120"/>
        <v>0</v>
      </c>
      <c r="AO57" s="418">
        <f t="shared" si="121"/>
        <v>0</v>
      </c>
      <c r="AP57" s="418">
        <f t="shared" si="121"/>
        <v>0</v>
      </c>
      <c r="AQ57" s="418">
        <f t="shared" si="122"/>
        <v>0</v>
      </c>
      <c r="AR57" s="68">
        <f t="shared" si="123"/>
        <v>0</v>
      </c>
      <c r="AS57" s="68">
        <f t="shared" si="124"/>
        <v>0</v>
      </c>
      <c r="AT57" s="418">
        <v>0</v>
      </c>
      <c r="AU57" s="418">
        <v>0</v>
      </c>
      <c r="AV57" s="418">
        <f t="shared" si="125"/>
        <v>0</v>
      </c>
      <c r="AW57" s="418">
        <f t="shared" si="126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27"/>
        <v>0</v>
      </c>
      <c r="BG57" s="419">
        <f t="shared" si="128"/>
        <v>0</v>
      </c>
      <c r="BH57" s="421">
        <f t="shared" si="129"/>
        <v>0</v>
      </c>
      <c r="BI57" s="424">
        <f t="shared" si="130"/>
        <v>7378016</v>
      </c>
      <c r="BJ57" s="780">
        <f t="shared" si="131"/>
        <v>5466077</v>
      </c>
      <c r="BK57" s="418">
        <f t="shared" si="132"/>
        <v>5247323</v>
      </c>
      <c r="BL57" s="418">
        <f t="shared" si="132"/>
        <v>218754</v>
      </c>
      <c r="BM57" s="418">
        <f t="shared" si="133"/>
        <v>0</v>
      </c>
      <c r="BN57" s="418">
        <f t="shared" si="134"/>
        <v>0</v>
      </c>
      <c r="BO57" s="418">
        <f t="shared" si="134"/>
        <v>0</v>
      </c>
      <c r="BP57" s="418">
        <f t="shared" si="135"/>
        <v>1847534</v>
      </c>
      <c r="BQ57" s="418">
        <f t="shared" si="135"/>
        <v>54661</v>
      </c>
      <c r="BR57" s="418">
        <f t="shared" si="136"/>
        <v>9744</v>
      </c>
      <c r="BS57" s="419">
        <f t="shared" si="137"/>
        <v>8.9306999999999999</v>
      </c>
      <c r="BT57" s="419">
        <f t="shared" si="138"/>
        <v>8.3169000000000004</v>
      </c>
      <c r="BU57" s="421">
        <f t="shared" si="138"/>
        <v>0.61380000000000001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646">
        <v>8</v>
      </c>
      <c r="B58" s="325">
        <v>5476</v>
      </c>
      <c r="C58" s="326">
        <v>650046072</v>
      </c>
      <c r="D58" s="325">
        <v>71002723</v>
      </c>
      <c r="E58" s="349" t="s">
        <v>423</v>
      </c>
      <c r="F58" s="325"/>
      <c r="G58" s="350"/>
      <c r="H58" s="648"/>
      <c r="I58" s="465">
        <v>25639272</v>
      </c>
      <c r="J58" s="461">
        <v>18809182</v>
      </c>
      <c r="K58" s="461">
        <v>16773502</v>
      </c>
      <c r="L58" s="461">
        <v>2035680</v>
      </c>
      <c r="M58" s="461">
        <v>95000</v>
      </c>
      <c r="N58" s="461">
        <v>55000</v>
      </c>
      <c r="O58" s="461">
        <v>40000</v>
      </c>
      <c r="P58" s="461">
        <v>6389615</v>
      </c>
      <c r="Q58" s="461">
        <v>188092</v>
      </c>
      <c r="R58" s="461">
        <v>157383</v>
      </c>
      <c r="S58" s="462">
        <v>33.520600000000002</v>
      </c>
      <c r="T58" s="462">
        <v>27.504200000000001</v>
      </c>
      <c r="U58" s="535">
        <v>6.0164</v>
      </c>
      <c r="V58" s="465">
        <f t="shared" ref="V58:CA58" si="139">SUM(V51:V57)</f>
        <v>0</v>
      </c>
      <c r="W58" s="461">
        <f t="shared" si="139"/>
        <v>0</v>
      </c>
      <c r="X58" s="461">
        <f t="shared" si="139"/>
        <v>0</v>
      </c>
      <c r="Y58" s="461">
        <f t="shared" si="139"/>
        <v>0</v>
      </c>
      <c r="Z58" s="461">
        <f t="shared" si="139"/>
        <v>0</v>
      </c>
      <c r="AA58" s="461">
        <f t="shared" si="139"/>
        <v>436144</v>
      </c>
      <c r="AB58" s="461">
        <f t="shared" si="139"/>
        <v>0</v>
      </c>
      <c r="AC58" s="461">
        <f t="shared" si="139"/>
        <v>0</v>
      </c>
      <c r="AD58" s="461">
        <f t="shared" si="139"/>
        <v>0</v>
      </c>
      <c r="AE58" s="461">
        <f t="shared" si="139"/>
        <v>436144</v>
      </c>
      <c r="AF58" s="461">
        <f t="shared" si="139"/>
        <v>436144</v>
      </c>
      <c r="AG58" s="461">
        <f t="shared" si="139"/>
        <v>0</v>
      </c>
      <c r="AH58" s="461">
        <f t="shared" si="139"/>
        <v>0</v>
      </c>
      <c r="AI58" s="461">
        <f t="shared" si="139"/>
        <v>0</v>
      </c>
      <c r="AJ58" s="461">
        <f t="shared" si="139"/>
        <v>0</v>
      </c>
      <c r="AK58" s="461">
        <f t="shared" si="139"/>
        <v>0</v>
      </c>
      <c r="AL58" s="461">
        <f t="shared" si="139"/>
        <v>0</v>
      </c>
      <c r="AM58" s="461">
        <f t="shared" si="139"/>
        <v>0</v>
      </c>
      <c r="AN58" s="461">
        <f t="shared" si="139"/>
        <v>0</v>
      </c>
      <c r="AO58" s="461">
        <f t="shared" si="139"/>
        <v>0</v>
      </c>
      <c r="AP58" s="461">
        <f t="shared" si="139"/>
        <v>436144</v>
      </c>
      <c r="AQ58" s="461">
        <f t="shared" si="139"/>
        <v>436144</v>
      </c>
      <c r="AR58" s="461">
        <f t="shared" si="139"/>
        <v>147416</v>
      </c>
      <c r="AS58" s="461">
        <f t="shared" si="139"/>
        <v>4362</v>
      </c>
      <c r="AT58" s="461">
        <f t="shared" si="139"/>
        <v>0</v>
      </c>
      <c r="AU58" s="461">
        <f t="shared" si="139"/>
        <v>3424</v>
      </c>
      <c r="AV58" s="461">
        <f t="shared" si="139"/>
        <v>3424</v>
      </c>
      <c r="AW58" s="461">
        <f t="shared" si="139"/>
        <v>591346</v>
      </c>
      <c r="AX58" s="462">
        <f t="shared" si="139"/>
        <v>0</v>
      </c>
      <c r="AY58" s="462">
        <f t="shared" si="139"/>
        <v>0</v>
      </c>
      <c r="AZ58" s="462">
        <f t="shared" si="139"/>
        <v>0</v>
      </c>
      <c r="BA58" s="462">
        <f t="shared" si="139"/>
        <v>0</v>
      </c>
      <c r="BB58" s="462">
        <f t="shared" ref="BB58" si="140">SUM(BB51:BB57)</f>
        <v>1.31</v>
      </c>
      <c r="BC58" s="462">
        <f t="shared" si="139"/>
        <v>0</v>
      </c>
      <c r="BD58" s="462">
        <f t="shared" si="139"/>
        <v>0</v>
      </c>
      <c r="BE58" s="462">
        <f t="shared" ref="BE58" si="141">SUM(BE51:BE57)</f>
        <v>0</v>
      </c>
      <c r="BF58" s="462">
        <f t="shared" si="139"/>
        <v>0</v>
      </c>
      <c r="BG58" s="462">
        <f t="shared" si="139"/>
        <v>1.31</v>
      </c>
      <c r="BH58" s="279">
        <f t="shared" si="139"/>
        <v>1.31</v>
      </c>
      <c r="BI58" s="465">
        <f t="shared" si="139"/>
        <v>26230618</v>
      </c>
      <c r="BJ58" s="781">
        <f t="shared" si="139"/>
        <v>19245326</v>
      </c>
      <c r="BK58" s="461">
        <f t="shared" si="139"/>
        <v>16773502</v>
      </c>
      <c r="BL58" s="461">
        <f t="shared" si="139"/>
        <v>2471824</v>
      </c>
      <c r="BM58" s="461">
        <f t="shared" si="139"/>
        <v>95000</v>
      </c>
      <c r="BN58" s="461">
        <f t="shared" si="139"/>
        <v>55000</v>
      </c>
      <c r="BO58" s="461">
        <f t="shared" si="139"/>
        <v>40000</v>
      </c>
      <c r="BP58" s="461">
        <f t="shared" si="139"/>
        <v>6537031</v>
      </c>
      <c r="BQ58" s="461">
        <f t="shared" si="139"/>
        <v>192454</v>
      </c>
      <c r="BR58" s="461">
        <f t="shared" si="139"/>
        <v>160807</v>
      </c>
      <c r="BS58" s="462">
        <f t="shared" si="139"/>
        <v>34.830599999999997</v>
      </c>
      <c r="BT58" s="462">
        <f t="shared" si="139"/>
        <v>27.504200000000001</v>
      </c>
      <c r="BU58" s="279">
        <f t="shared" si="139"/>
        <v>7.3264000000000005</v>
      </c>
      <c r="BV58" s="850">
        <f t="shared" si="139"/>
        <v>304109</v>
      </c>
      <c r="BW58" s="713">
        <f t="shared" si="139"/>
        <v>225600</v>
      </c>
      <c r="BX58" s="713">
        <f t="shared" si="139"/>
        <v>0</v>
      </c>
      <c r="BY58" s="713">
        <f t="shared" si="139"/>
        <v>76253</v>
      </c>
      <c r="BZ58" s="713">
        <f t="shared" si="139"/>
        <v>2256</v>
      </c>
      <c r="CA58" s="851">
        <f t="shared" si="139"/>
        <v>0.4</v>
      </c>
    </row>
    <row r="59" spans="1:79" ht="12.95" customHeight="1" x14ac:dyDescent="0.25">
      <c r="A59" s="280">
        <v>9</v>
      </c>
      <c r="B59" s="321">
        <v>5414</v>
      </c>
      <c r="C59" s="322">
        <v>600099008</v>
      </c>
      <c r="D59" s="281">
        <v>70695555</v>
      </c>
      <c r="E59" s="348" t="s">
        <v>424</v>
      </c>
      <c r="F59" s="321">
        <v>3111</v>
      </c>
      <c r="G59" s="345" t="s">
        <v>304</v>
      </c>
      <c r="H59" s="645" t="s">
        <v>271</v>
      </c>
      <c r="I59" s="420">
        <v>1790914</v>
      </c>
      <c r="J59" s="415">
        <v>1324214</v>
      </c>
      <c r="K59" s="415">
        <v>1206673</v>
      </c>
      <c r="L59" s="415">
        <v>117541</v>
      </c>
      <c r="M59" s="415">
        <v>0</v>
      </c>
      <c r="N59" s="415">
        <v>0</v>
      </c>
      <c r="O59" s="415">
        <v>0</v>
      </c>
      <c r="P59" s="68">
        <v>447584</v>
      </c>
      <c r="Q59" s="68">
        <v>13242</v>
      </c>
      <c r="R59" s="415">
        <v>5874</v>
      </c>
      <c r="S59" s="416">
        <v>2.4</v>
      </c>
      <c r="T59" s="417">
        <v>2</v>
      </c>
      <c r="U59" s="423">
        <v>0.4</v>
      </c>
      <c r="V59" s="424">
        <f>AG59*-1</f>
        <v>0</v>
      </c>
      <c r="W59" s="418">
        <f>AH59*-1</f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>V59+X59+Y59+Z59+AB59</f>
        <v>0</v>
      </c>
      <c r="AE59" s="418">
        <f>W59+AA59+AC59</f>
        <v>0</v>
      </c>
      <c r="AF59" s="418">
        <f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>AG59+AI59+AJ59</f>
        <v>0</v>
      </c>
      <c r="AM59" s="418">
        <f>AH59+AK59</f>
        <v>0</v>
      </c>
      <c r="AN59" s="418">
        <f>SUM(AL59:AM59)</f>
        <v>0</v>
      </c>
      <c r="AO59" s="418">
        <f>AD59+AL59</f>
        <v>0</v>
      </c>
      <c r="AP59" s="418">
        <f>AE59+AM59</f>
        <v>0</v>
      </c>
      <c r="AQ59" s="418">
        <f>SUM(AO59:AP59)</f>
        <v>0</v>
      </c>
      <c r="AR59" s="68">
        <f>ROUND((AF59+AG59+AH59+AI59)*33.8%,0)</f>
        <v>0</v>
      </c>
      <c r="AS59" s="68">
        <f>ROUND(AF59*1%,0)</f>
        <v>0</v>
      </c>
      <c r="AT59" s="418">
        <v>0</v>
      </c>
      <c r="AU59" s="418">
        <v>0</v>
      </c>
      <c r="AV59" s="418">
        <f>AT59+AU59</f>
        <v>0</v>
      </c>
      <c r="AW59" s="418">
        <f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>AX59+AZ59+BA59+BC59+BD59</f>
        <v>0</v>
      </c>
      <c r="BG59" s="419">
        <f>AY59+BB59+BE59</f>
        <v>0</v>
      </c>
      <c r="BH59" s="421">
        <f>SUM(BF59:BG59)</f>
        <v>0</v>
      </c>
      <c r="BI59" s="424">
        <f>I59+AW59</f>
        <v>1790914</v>
      </c>
      <c r="BJ59" s="780">
        <f>J59+AF59</f>
        <v>1324214</v>
      </c>
      <c r="BK59" s="418">
        <f>K59+AD59</f>
        <v>1206673</v>
      </c>
      <c r="BL59" s="418">
        <f>L59+AE59</f>
        <v>117541</v>
      </c>
      <c r="BM59" s="418">
        <f>M59+AN59</f>
        <v>0</v>
      </c>
      <c r="BN59" s="418">
        <f>N59+AL59</f>
        <v>0</v>
      </c>
      <c r="BO59" s="418">
        <f>O59+AM59</f>
        <v>0</v>
      </c>
      <c r="BP59" s="418">
        <f>P59+AR59</f>
        <v>447584</v>
      </c>
      <c r="BQ59" s="418">
        <f>Q59+AS59</f>
        <v>13242</v>
      </c>
      <c r="BR59" s="418">
        <f>R59+AV59</f>
        <v>5874</v>
      </c>
      <c r="BS59" s="419">
        <f>S59+BH59</f>
        <v>2.4</v>
      </c>
      <c r="BT59" s="419">
        <f>T59+BF59</f>
        <v>2</v>
      </c>
      <c r="BU59" s="421">
        <f>U59+BG59</f>
        <v>0.4</v>
      </c>
      <c r="BV59" s="420"/>
      <c r="BW59" s="415"/>
      <c r="BX59" s="415"/>
      <c r="BY59" s="415"/>
      <c r="BZ59" s="415"/>
      <c r="CA59" s="510"/>
    </row>
    <row r="60" spans="1:79" ht="12.95" customHeight="1" x14ac:dyDescent="0.25">
      <c r="A60" s="280">
        <v>9</v>
      </c>
      <c r="B60" s="321">
        <v>5414</v>
      </c>
      <c r="C60" s="322">
        <v>600099008</v>
      </c>
      <c r="D60" s="281">
        <v>70695555</v>
      </c>
      <c r="E60" s="348" t="s">
        <v>424</v>
      </c>
      <c r="F60" s="321">
        <v>3141</v>
      </c>
      <c r="G60" s="345" t="s">
        <v>294</v>
      </c>
      <c r="H60" s="645" t="s">
        <v>272</v>
      </c>
      <c r="I60" s="420">
        <v>102415</v>
      </c>
      <c r="J60" s="415">
        <v>75600</v>
      </c>
      <c r="K60" s="415">
        <v>0</v>
      </c>
      <c r="L60" s="415">
        <v>75600</v>
      </c>
      <c r="M60" s="415">
        <v>0</v>
      </c>
      <c r="N60" s="415">
        <v>0</v>
      </c>
      <c r="O60" s="415">
        <v>0</v>
      </c>
      <c r="P60" s="68">
        <v>25553</v>
      </c>
      <c r="Q60" s="68">
        <v>756</v>
      </c>
      <c r="R60" s="415">
        <v>506</v>
      </c>
      <c r="S60" s="416">
        <v>0.22670000000000001</v>
      </c>
      <c r="T60" s="417">
        <v>0</v>
      </c>
      <c r="U60" s="423">
        <v>0.22670000000000001</v>
      </c>
      <c r="V60" s="424">
        <f>AG60*-1</f>
        <v>0</v>
      </c>
      <c r="W60" s="418">
        <f>AH60*-1</f>
        <v>0</v>
      </c>
      <c r="X60" s="418">
        <v>0</v>
      </c>
      <c r="Y60" s="418">
        <v>0</v>
      </c>
      <c r="Z60" s="418">
        <v>0</v>
      </c>
      <c r="AA60" s="418">
        <v>37658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37658</v>
      </c>
      <c r="AF60" s="418">
        <f>SUM(AD60:AE60)</f>
        <v>37658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>AD60+AL60</f>
        <v>0</v>
      </c>
      <c r="AP60" s="418">
        <f>AE60+AM60</f>
        <v>37658</v>
      </c>
      <c r="AQ60" s="418">
        <f>SUM(AO60:AP60)</f>
        <v>37658</v>
      </c>
      <c r="AR60" s="68">
        <f>ROUND((AF60+AG60+AH60+AI60)*33.8%,0)</f>
        <v>12728</v>
      </c>
      <c r="AS60" s="68">
        <f>ROUND(AF60*1%,0)</f>
        <v>377</v>
      </c>
      <c r="AT60" s="418">
        <v>0</v>
      </c>
      <c r="AU60" s="418">
        <v>242</v>
      </c>
      <c r="AV60" s="418">
        <f>AT60+AU60</f>
        <v>242</v>
      </c>
      <c r="AW60" s="418">
        <f>AQ60+AR60+AS60+AV60</f>
        <v>51005</v>
      </c>
      <c r="AX60" s="419">
        <v>0</v>
      </c>
      <c r="AY60" s="419">
        <v>0</v>
      </c>
      <c r="AZ60" s="419">
        <v>0</v>
      </c>
      <c r="BA60" s="419">
        <v>0</v>
      </c>
      <c r="BB60" s="419">
        <v>0.11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0.11</v>
      </c>
      <c r="BH60" s="421">
        <f>SUM(BF60:BG60)</f>
        <v>0.11</v>
      </c>
      <c r="BI60" s="424">
        <f>I60+AW60</f>
        <v>153420</v>
      </c>
      <c r="BJ60" s="780">
        <f>J60+AF60</f>
        <v>113258</v>
      </c>
      <c r="BK60" s="418">
        <f>K60+AD60</f>
        <v>0</v>
      </c>
      <c r="BL60" s="418">
        <f>L60+AE60</f>
        <v>113258</v>
      </c>
      <c r="BM60" s="418">
        <f>M60+AN60</f>
        <v>0</v>
      </c>
      <c r="BN60" s="418">
        <f>N60+AL60</f>
        <v>0</v>
      </c>
      <c r="BO60" s="418">
        <f>O60+AM60</f>
        <v>0</v>
      </c>
      <c r="BP60" s="418">
        <f>P60+AR60</f>
        <v>38281</v>
      </c>
      <c r="BQ60" s="418">
        <f>Q60+AS60</f>
        <v>1133</v>
      </c>
      <c r="BR60" s="418">
        <f>R60+AV60</f>
        <v>748</v>
      </c>
      <c r="BS60" s="419">
        <f>S60+BH60</f>
        <v>0.3367</v>
      </c>
      <c r="BT60" s="419">
        <f>T60+BF60</f>
        <v>0</v>
      </c>
      <c r="BU60" s="421">
        <f>U60+BG60</f>
        <v>0.3367</v>
      </c>
      <c r="BV60" s="420"/>
      <c r="BW60" s="415"/>
      <c r="BX60" s="415"/>
      <c r="BY60" s="415"/>
      <c r="BZ60" s="415"/>
      <c r="CA60" s="510"/>
    </row>
    <row r="61" spans="1:79" ht="12.95" customHeight="1" x14ac:dyDescent="0.25">
      <c r="A61" s="650">
        <v>9</v>
      </c>
      <c r="B61" s="325">
        <v>5414</v>
      </c>
      <c r="C61" s="326">
        <v>600099008</v>
      </c>
      <c r="D61" s="325">
        <v>70695555</v>
      </c>
      <c r="E61" s="349" t="s">
        <v>425</v>
      </c>
      <c r="F61" s="325"/>
      <c r="G61" s="350"/>
      <c r="H61" s="648"/>
      <c r="I61" s="465">
        <v>1893329</v>
      </c>
      <c r="J61" s="461">
        <v>1399814</v>
      </c>
      <c r="K61" s="461">
        <v>1206673</v>
      </c>
      <c r="L61" s="461">
        <v>193141</v>
      </c>
      <c r="M61" s="461">
        <v>0</v>
      </c>
      <c r="N61" s="461">
        <v>0</v>
      </c>
      <c r="O61" s="461">
        <v>0</v>
      </c>
      <c r="P61" s="461">
        <v>473137</v>
      </c>
      <c r="Q61" s="461">
        <v>13998</v>
      </c>
      <c r="R61" s="461">
        <v>6380</v>
      </c>
      <c r="S61" s="462">
        <v>2.6267</v>
      </c>
      <c r="T61" s="462">
        <v>2</v>
      </c>
      <c r="U61" s="535">
        <v>0.62670000000000003</v>
      </c>
      <c r="V61" s="465">
        <f t="shared" ref="V61:CA61" si="142">SUM(V59:V60)</f>
        <v>0</v>
      </c>
      <c r="W61" s="461">
        <f t="shared" si="142"/>
        <v>0</v>
      </c>
      <c r="X61" s="461">
        <f t="shared" si="142"/>
        <v>0</v>
      </c>
      <c r="Y61" s="461">
        <f t="shared" si="142"/>
        <v>0</v>
      </c>
      <c r="Z61" s="461">
        <f t="shared" si="142"/>
        <v>0</v>
      </c>
      <c r="AA61" s="461">
        <f t="shared" si="142"/>
        <v>37658</v>
      </c>
      <c r="AB61" s="461">
        <f t="shared" si="142"/>
        <v>0</v>
      </c>
      <c r="AC61" s="461">
        <f t="shared" si="142"/>
        <v>0</v>
      </c>
      <c r="AD61" s="461">
        <f t="shared" si="142"/>
        <v>0</v>
      </c>
      <c r="AE61" s="461">
        <f t="shared" si="142"/>
        <v>37658</v>
      </c>
      <c r="AF61" s="461">
        <f t="shared" si="142"/>
        <v>37658</v>
      </c>
      <c r="AG61" s="461">
        <f t="shared" si="142"/>
        <v>0</v>
      </c>
      <c r="AH61" s="461">
        <f t="shared" si="142"/>
        <v>0</v>
      </c>
      <c r="AI61" s="461">
        <f t="shared" si="142"/>
        <v>0</v>
      </c>
      <c r="AJ61" s="461">
        <f t="shared" si="142"/>
        <v>0</v>
      </c>
      <c r="AK61" s="461">
        <f t="shared" si="142"/>
        <v>0</v>
      </c>
      <c r="AL61" s="461">
        <f t="shared" si="142"/>
        <v>0</v>
      </c>
      <c r="AM61" s="461">
        <f t="shared" si="142"/>
        <v>0</v>
      </c>
      <c r="AN61" s="461">
        <f t="shared" si="142"/>
        <v>0</v>
      </c>
      <c r="AO61" s="461">
        <f t="shared" si="142"/>
        <v>0</v>
      </c>
      <c r="AP61" s="461">
        <f t="shared" si="142"/>
        <v>37658</v>
      </c>
      <c r="AQ61" s="461">
        <f t="shared" si="142"/>
        <v>37658</v>
      </c>
      <c r="AR61" s="461">
        <f t="shared" si="142"/>
        <v>12728</v>
      </c>
      <c r="AS61" s="461">
        <f t="shared" si="142"/>
        <v>377</v>
      </c>
      <c r="AT61" s="461">
        <f t="shared" si="142"/>
        <v>0</v>
      </c>
      <c r="AU61" s="461">
        <f t="shared" si="142"/>
        <v>242</v>
      </c>
      <c r="AV61" s="461">
        <f t="shared" si="142"/>
        <v>242</v>
      </c>
      <c r="AW61" s="461">
        <f t="shared" si="142"/>
        <v>51005</v>
      </c>
      <c r="AX61" s="462">
        <f t="shared" si="142"/>
        <v>0</v>
      </c>
      <c r="AY61" s="462">
        <f t="shared" si="142"/>
        <v>0</v>
      </c>
      <c r="AZ61" s="462">
        <f t="shared" si="142"/>
        <v>0</v>
      </c>
      <c r="BA61" s="462">
        <f t="shared" si="142"/>
        <v>0</v>
      </c>
      <c r="BB61" s="462">
        <f t="shared" ref="BB61" si="143">SUM(BB59:BB60)</f>
        <v>0.11</v>
      </c>
      <c r="BC61" s="462">
        <f t="shared" si="142"/>
        <v>0</v>
      </c>
      <c r="BD61" s="462">
        <f t="shared" si="142"/>
        <v>0</v>
      </c>
      <c r="BE61" s="462">
        <f t="shared" ref="BE61" si="144">SUM(BE59:BE60)</f>
        <v>0</v>
      </c>
      <c r="BF61" s="462">
        <f t="shared" si="142"/>
        <v>0</v>
      </c>
      <c r="BG61" s="462">
        <f t="shared" si="142"/>
        <v>0.11</v>
      </c>
      <c r="BH61" s="279">
        <f t="shared" si="142"/>
        <v>0.11</v>
      </c>
      <c r="BI61" s="465">
        <f t="shared" si="142"/>
        <v>1944334</v>
      </c>
      <c r="BJ61" s="781">
        <f t="shared" si="142"/>
        <v>1437472</v>
      </c>
      <c r="BK61" s="461">
        <f t="shared" si="142"/>
        <v>1206673</v>
      </c>
      <c r="BL61" s="461">
        <f t="shared" si="142"/>
        <v>230799</v>
      </c>
      <c r="BM61" s="461">
        <f t="shared" si="142"/>
        <v>0</v>
      </c>
      <c r="BN61" s="461">
        <f t="shared" si="142"/>
        <v>0</v>
      </c>
      <c r="BO61" s="461">
        <f t="shared" si="142"/>
        <v>0</v>
      </c>
      <c r="BP61" s="461">
        <f t="shared" si="142"/>
        <v>485865</v>
      </c>
      <c r="BQ61" s="461">
        <f t="shared" si="142"/>
        <v>14375</v>
      </c>
      <c r="BR61" s="461">
        <f t="shared" si="142"/>
        <v>6622</v>
      </c>
      <c r="BS61" s="462">
        <f t="shared" si="142"/>
        <v>2.7366999999999999</v>
      </c>
      <c r="BT61" s="462">
        <f t="shared" si="142"/>
        <v>2</v>
      </c>
      <c r="BU61" s="279">
        <f t="shared" si="142"/>
        <v>0.73670000000000002</v>
      </c>
      <c r="BV61" s="850">
        <f t="shared" si="142"/>
        <v>0</v>
      </c>
      <c r="BW61" s="713">
        <f t="shared" si="142"/>
        <v>0</v>
      </c>
      <c r="BX61" s="713">
        <f t="shared" si="142"/>
        <v>0</v>
      </c>
      <c r="BY61" s="713">
        <f t="shared" si="142"/>
        <v>0</v>
      </c>
      <c r="BZ61" s="713">
        <f t="shared" si="142"/>
        <v>0</v>
      </c>
      <c r="CA61" s="851">
        <f t="shared" si="142"/>
        <v>0</v>
      </c>
    </row>
    <row r="62" spans="1:79" ht="12.95" customHeight="1" x14ac:dyDescent="0.25">
      <c r="A62" s="280">
        <v>10</v>
      </c>
      <c r="B62" s="321">
        <v>5483</v>
      </c>
      <c r="C62" s="322">
        <v>600098460</v>
      </c>
      <c r="D62" s="281">
        <v>72745207</v>
      </c>
      <c r="E62" s="348" t="s">
        <v>426</v>
      </c>
      <c r="F62" s="321">
        <v>3111</v>
      </c>
      <c r="G62" s="345" t="s">
        <v>304</v>
      </c>
      <c r="H62" s="645" t="s">
        <v>271</v>
      </c>
      <c r="I62" s="420">
        <v>1809992</v>
      </c>
      <c r="J62" s="415">
        <v>1276032</v>
      </c>
      <c r="K62" s="415">
        <v>1172355</v>
      </c>
      <c r="L62" s="415">
        <v>103677</v>
      </c>
      <c r="M62" s="415">
        <v>63200</v>
      </c>
      <c r="N62" s="415">
        <v>56000</v>
      </c>
      <c r="O62" s="415">
        <v>7200</v>
      </c>
      <c r="P62" s="68">
        <v>452660</v>
      </c>
      <c r="Q62" s="68">
        <v>12760</v>
      </c>
      <c r="R62" s="415">
        <v>5340</v>
      </c>
      <c r="S62" s="416">
        <v>2.4151000000000002</v>
      </c>
      <c r="T62" s="417">
        <v>2.0718000000000001</v>
      </c>
      <c r="U62" s="423">
        <v>0.34329999999999994</v>
      </c>
      <c r="V62" s="424">
        <f t="shared" ref="V62:W64" si="145">AG62*-1</f>
        <v>0</v>
      </c>
      <c r="W62" s="418">
        <f t="shared" si="145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ref="AO62:AP64" si="146">AD62+AL62</f>
        <v>0</v>
      </c>
      <c r="AP62" s="418">
        <f t="shared" si="146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424">
        <f>I62+AW62</f>
        <v>1809992</v>
      </c>
      <c r="BJ62" s="780">
        <f>J62+AF62</f>
        <v>1276032</v>
      </c>
      <c r="BK62" s="418">
        <f t="shared" ref="BK62:BL64" si="147">K62+AD62</f>
        <v>1172355</v>
      </c>
      <c r="BL62" s="418">
        <f t="shared" si="147"/>
        <v>103677</v>
      </c>
      <c r="BM62" s="418">
        <f>M62+AN62</f>
        <v>63200</v>
      </c>
      <c r="BN62" s="418">
        <f t="shared" ref="BN62:BO64" si="148">N62+AL62</f>
        <v>56000</v>
      </c>
      <c r="BO62" s="418">
        <f t="shared" si="148"/>
        <v>7200</v>
      </c>
      <c r="BP62" s="418">
        <f t="shared" ref="BP62:BQ64" si="149">P62+AR62</f>
        <v>452660</v>
      </c>
      <c r="BQ62" s="418">
        <f t="shared" si="149"/>
        <v>12760</v>
      </c>
      <c r="BR62" s="418">
        <f>R62+AV62</f>
        <v>5340</v>
      </c>
      <c r="BS62" s="419">
        <f>S62+BH62</f>
        <v>2.4151000000000002</v>
      </c>
      <c r="BT62" s="419">
        <f t="shared" ref="BT62:BU64" si="150">T62+BF62</f>
        <v>2.0718000000000001</v>
      </c>
      <c r="BU62" s="421">
        <f t="shared" si="150"/>
        <v>0.34329999999999994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10</v>
      </c>
      <c r="B63" s="321">
        <v>5483</v>
      </c>
      <c r="C63" s="322">
        <v>600098460</v>
      </c>
      <c r="D63" s="281">
        <v>72745207</v>
      </c>
      <c r="E63" s="348" t="s">
        <v>426</v>
      </c>
      <c r="F63" s="321">
        <v>3111</v>
      </c>
      <c r="G63" s="284" t="s">
        <v>291</v>
      </c>
      <c r="H63" s="645" t="s">
        <v>272</v>
      </c>
      <c r="I63" s="420">
        <v>0</v>
      </c>
      <c r="J63" s="415">
        <v>0</v>
      </c>
      <c r="K63" s="415">
        <v>0</v>
      </c>
      <c r="L63" s="415">
        <v>0</v>
      </c>
      <c r="M63" s="415">
        <v>0</v>
      </c>
      <c r="N63" s="415">
        <v>0</v>
      </c>
      <c r="O63" s="415">
        <v>0</v>
      </c>
      <c r="P63" s="68">
        <v>0</v>
      </c>
      <c r="Q63" s="68">
        <v>0</v>
      </c>
      <c r="R63" s="415">
        <v>0</v>
      </c>
      <c r="S63" s="416">
        <v>0</v>
      </c>
      <c r="T63" s="417">
        <v>0</v>
      </c>
      <c r="U63" s="423">
        <v>0</v>
      </c>
      <c r="V63" s="424">
        <f t="shared" si="145"/>
        <v>0</v>
      </c>
      <c r="W63" s="418">
        <f t="shared" si="145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146"/>
        <v>0</v>
      </c>
      <c r="AP63" s="418">
        <f t="shared" si="146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8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421">
        <f>SUM(BF63:BG63)</f>
        <v>0</v>
      </c>
      <c r="BI63" s="424">
        <f>I63+AW63</f>
        <v>0</v>
      </c>
      <c r="BJ63" s="780">
        <f>J63+AF63</f>
        <v>0</v>
      </c>
      <c r="BK63" s="418">
        <f t="shared" si="147"/>
        <v>0</v>
      </c>
      <c r="BL63" s="418">
        <f t="shared" si="147"/>
        <v>0</v>
      </c>
      <c r="BM63" s="418">
        <f>M63+AN63</f>
        <v>0</v>
      </c>
      <c r="BN63" s="418">
        <f t="shared" si="148"/>
        <v>0</v>
      </c>
      <c r="BO63" s="418">
        <f t="shared" si="148"/>
        <v>0</v>
      </c>
      <c r="BP63" s="418">
        <f t="shared" si="149"/>
        <v>0</v>
      </c>
      <c r="BQ63" s="418">
        <f t="shared" si="149"/>
        <v>0</v>
      </c>
      <c r="BR63" s="418">
        <f>R63+AV63</f>
        <v>0</v>
      </c>
      <c r="BS63" s="419">
        <f>S63+BH63</f>
        <v>0</v>
      </c>
      <c r="BT63" s="419">
        <f t="shared" si="150"/>
        <v>0</v>
      </c>
      <c r="BU63" s="421">
        <f t="shared" si="150"/>
        <v>0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80">
        <v>10</v>
      </c>
      <c r="B64" s="321">
        <v>5483</v>
      </c>
      <c r="C64" s="322">
        <v>600098460</v>
      </c>
      <c r="D64" s="281">
        <v>72745207</v>
      </c>
      <c r="E64" s="348" t="s">
        <v>426</v>
      </c>
      <c r="F64" s="321">
        <v>3141</v>
      </c>
      <c r="G64" s="345" t="s">
        <v>294</v>
      </c>
      <c r="H64" s="645" t="s">
        <v>272</v>
      </c>
      <c r="I64" s="420">
        <v>237468</v>
      </c>
      <c r="J64" s="415">
        <v>175644</v>
      </c>
      <c r="K64" s="415">
        <v>0</v>
      </c>
      <c r="L64" s="415">
        <v>175644</v>
      </c>
      <c r="M64" s="415">
        <v>0</v>
      </c>
      <c r="N64" s="415">
        <v>0</v>
      </c>
      <c r="O64" s="415">
        <v>0</v>
      </c>
      <c r="P64" s="68">
        <v>59368</v>
      </c>
      <c r="Q64" s="68">
        <v>1756</v>
      </c>
      <c r="R64" s="415">
        <v>700</v>
      </c>
      <c r="S64" s="416">
        <v>0.52669999999999995</v>
      </c>
      <c r="T64" s="417">
        <v>0</v>
      </c>
      <c r="U64" s="423">
        <v>0.52669999999999995</v>
      </c>
      <c r="V64" s="424">
        <f t="shared" si="145"/>
        <v>0</v>
      </c>
      <c r="W64" s="418">
        <f t="shared" si="145"/>
        <v>0</v>
      </c>
      <c r="X64" s="418">
        <v>0</v>
      </c>
      <c r="Y64" s="418">
        <v>0</v>
      </c>
      <c r="Z64" s="418">
        <v>0</v>
      </c>
      <c r="AA64" s="418">
        <v>87055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87055</v>
      </c>
      <c r="AF64" s="418">
        <f>SUM(AD64:AE64)</f>
        <v>87055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si="146"/>
        <v>0</v>
      </c>
      <c r="AP64" s="418">
        <f t="shared" si="146"/>
        <v>87055</v>
      </c>
      <c r="AQ64" s="418">
        <f>SUM(AO64:AP64)</f>
        <v>87055</v>
      </c>
      <c r="AR64" s="68">
        <f>ROUND((AF64+AG64+AH64+AI64)*33.8%,0)</f>
        <v>29425</v>
      </c>
      <c r="AS64" s="68">
        <f>ROUND(AF64*1%,0)</f>
        <v>871</v>
      </c>
      <c r="AT64" s="418">
        <v>0</v>
      </c>
      <c r="AU64" s="418">
        <v>340</v>
      </c>
      <c r="AV64" s="418">
        <f>AT64+AU64</f>
        <v>340</v>
      </c>
      <c r="AW64" s="418">
        <f>AQ64+AR64+AS64+AV64</f>
        <v>117691</v>
      </c>
      <c r="AX64" s="419">
        <v>0</v>
      </c>
      <c r="AY64" s="419">
        <v>0</v>
      </c>
      <c r="AZ64" s="419">
        <v>0</v>
      </c>
      <c r="BA64" s="419">
        <v>0</v>
      </c>
      <c r="BB64" s="419">
        <v>0.26</v>
      </c>
      <c r="BC64" s="41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0.26</v>
      </c>
      <c r="BH64" s="421">
        <f>SUM(BF64:BG64)</f>
        <v>0.26</v>
      </c>
      <c r="BI64" s="424">
        <f>I64+AW64</f>
        <v>355159</v>
      </c>
      <c r="BJ64" s="780">
        <f>J64+AF64</f>
        <v>262699</v>
      </c>
      <c r="BK64" s="418">
        <f t="shared" si="147"/>
        <v>0</v>
      </c>
      <c r="BL64" s="418">
        <f t="shared" si="147"/>
        <v>262699</v>
      </c>
      <c r="BM64" s="418">
        <f>M64+AN64</f>
        <v>0</v>
      </c>
      <c r="BN64" s="418">
        <f t="shared" si="148"/>
        <v>0</v>
      </c>
      <c r="BO64" s="418">
        <f t="shared" si="148"/>
        <v>0</v>
      </c>
      <c r="BP64" s="418">
        <f t="shared" si="149"/>
        <v>88793</v>
      </c>
      <c r="BQ64" s="418">
        <f t="shared" si="149"/>
        <v>2627</v>
      </c>
      <c r="BR64" s="418">
        <f>R64+AV64</f>
        <v>1040</v>
      </c>
      <c r="BS64" s="419">
        <f>S64+BH64</f>
        <v>0.78669999999999995</v>
      </c>
      <c r="BT64" s="419">
        <f t="shared" si="150"/>
        <v>0</v>
      </c>
      <c r="BU64" s="421">
        <f t="shared" si="150"/>
        <v>0.78669999999999995</v>
      </c>
      <c r="BV64" s="420"/>
      <c r="BW64" s="415"/>
      <c r="BX64" s="415"/>
      <c r="BY64" s="415"/>
      <c r="BZ64" s="415"/>
      <c r="CA64" s="510"/>
    </row>
    <row r="65" spans="1:79" ht="12.95" customHeight="1" x14ac:dyDescent="0.25">
      <c r="A65" s="646">
        <v>10</v>
      </c>
      <c r="B65" s="325">
        <v>5483</v>
      </c>
      <c r="C65" s="326">
        <v>600098460</v>
      </c>
      <c r="D65" s="325">
        <v>72745207</v>
      </c>
      <c r="E65" s="349" t="s">
        <v>427</v>
      </c>
      <c r="F65" s="325"/>
      <c r="G65" s="350"/>
      <c r="H65" s="648"/>
      <c r="I65" s="465">
        <v>2047460</v>
      </c>
      <c r="J65" s="461">
        <v>1451676</v>
      </c>
      <c r="K65" s="461">
        <v>1172355</v>
      </c>
      <c r="L65" s="461">
        <v>279321</v>
      </c>
      <c r="M65" s="461">
        <v>63200</v>
      </c>
      <c r="N65" s="461">
        <v>56000</v>
      </c>
      <c r="O65" s="461">
        <v>7200</v>
      </c>
      <c r="P65" s="461">
        <v>512028</v>
      </c>
      <c r="Q65" s="461">
        <v>14516</v>
      </c>
      <c r="R65" s="461">
        <v>6040</v>
      </c>
      <c r="S65" s="462">
        <v>2.9418000000000002</v>
      </c>
      <c r="T65" s="462">
        <v>2.0718000000000001</v>
      </c>
      <c r="U65" s="535">
        <v>0.86999999999999988</v>
      </c>
      <c r="V65" s="465">
        <f t="shared" ref="V65:CA65" si="151">SUM(V62:V64)</f>
        <v>0</v>
      </c>
      <c r="W65" s="461">
        <f t="shared" si="151"/>
        <v>0</v>
      </c>
      <c r="X65" s="461">
        <f t="shared" si="151"/>
        <v>0</v>
      </c>
      <c r="Y65" s="461">
        <f t="shared" si="151"/>
        <v>0</v>
      </c>
      <c r="Z65" s="461">
        <f t="shared" si="151"/>
        <v>0</v>
      </c>
      <c r="AA65" s="461">
        <f t="shared" si="151"/>
        <v>87055</v>
      </c>
      <c r="AB65" s="461">
        <f t="shared" si="151"/>
        <v>0</v>
      </c>
      <c r="AC65" s="461">
        <f t="shared" si="151"/>
        <v>0</v>
      </c>
      <c r="AD65" s="461">
        <f t="shared" si="151"/>
        <v>0</v>
      </c>
      <c r="AE65" s="461">
        <f t="shared" si="151"/>
        <v>87055</v>
      </c>
      <c r="AF65" s="461">
        <f t="shared" si="151"/>
        <v>87055</v>
      </c>
      <c r="AG65" s="461">
        <f t="shared" si="151"/>
        <v>0</v>
      </c>
      <c r="AH65" s="461">
        <f t="shared" si="151"/>
        <v>0</v>
      </c>
      <c r="AI65" s="461">
        <f t="shared" si="151"/>
        <v>0</v>
      </c>
      <c r="AJ65" s="461">
        <f t="shared" si="151"/>
        <v>0</v>
      </c>
      <c r="AK65" s="461">
        <f t="shared" si="151"/>
        <v>0</v>
      </c>
      <c r="AL65" s="461">
        <f t="shared" si="151"/>
        <v>0</v>
      </c>
      <c r="AM65" s="461">
        <f t="shared" si="151"/>
        <v>0</v>
      </c>
      <c r="AN65" s="461">
        <f t="shared" si="151"/>
        <v>0</v>
      </c>
      <c r="AO65" s="461">
        <f t="shared" si="151"/>
        <v>0</v>
      </c>
      <c r="AP65" s="461">
        <f t="shared" si="151"/>
        <v>87055</v>
      </c>
      <c r="AQ65" s="461">
        <f t="shared" si="151"/>
        <v>87055</v>
      </c>
      <c r="AR65" s="461">
        <f t="shared" si="151"/>
        <v>29425</v>
      </c>
      <c r="AS65" s="461">
        <f t="shared" si="151"/>
        <v>871</v>
      </c>
      <c r="AT65" s="461">
        <f t="shared" si="151"/>
        <v>0</v>
      </c>
      <c r="AU65" s="461">
        <f t="shared" si="151"/>
        <v>340</v>
      </c>
      <c r="AV65" s="461">
        <f t="shared" si="151"/>
        <v>340</v>
      </c>
      <c r="AW65" s="461">
        <f t="shared" si="151"/>
        <v>117691</v>
      </c>
      <c r="AX65" s="462">
        <f t="shared" si="151"/>
        <v>0</v>
      </c>
      <c r="AY65" s="462">
        <f t="shared" si="151"/>
        <v>0</v>
      </c>
      <c r="AZ65" s="462">
        <f t="shared" si="151"/>
        <v>0</v>
      </c>
      <c r="BA65" s="462">
        <f t="shared" si="151"/>
        <v>0</v>
      </c>
      <c r="BB65" s="462">
        <f t="shared" ref="BB65" si="152">SUM(BB62:BB64)</f>
        <v>0.26</v>
      </c>
      <c r="BC65" s="462">
        <f t="shared" si="151"/>
        <v>0</v>
      </c>
      <c r="BD65" s="462">
        <f t="shared" si="151"/>
        <v>0</v>
      </c>
      <c r="BE65" s="462">
        <f t="shared" ref="BE65" si="153">SUM(BE62:BE64)</f>
        <v>0</v>
      </c>
      <c r="BF65" s="462">
        <f t="shared" si="151"/>
        <v>0</v>
      </c>
      <c r="BG65" s="462">
        <f t="shared" si="151"/>
        <v>0.26</v>
      </c>
      <c r="BH65" s="279">
        <f t="shared" si="151"/>
        <v>0.26</v>
      </c>
      <c r="BI65" s="465">
        <f t="shared" si="151"/>
        <v>2165151</v>
      </c>
      <c r="BJ65" s="781">
        <f t="shared" si="151"/>
        <v>1538731</v>
      </c>
      <c r="BK65" s="461">
        <f t="shared" si="151"/>
        <v>1172355</v>
      </c>
      <c r="BL65" s="461">
        <f t="shared" si="151"/>
        <v>366376</v>
      </c>
      <c r="BM65" s="461">
        <f t="shared" si="151"/>
        <v>63200</v>
      </c>
      <c r="BN65" s="461">
        <f t="shared" si="151"/>
        <v>56000</v>
      </c>
      <c r="BO65" s="461">
        <f t="shared" si="151"/>
        <v>7200</v>
      </c>
      <c r="BP65" s="461">
        <f t="shared" si="151"/>
        <v>541453</v>
      </c>
      <c r="BQ65" s="461">
        <f t="shared" si="151"/>
        <v>15387</v>
      </c>
      <c r="BR65" s="461">
        <f t="shared" si="151"/>
        <v>6380</v>
      </c>
      <c r="BS65" s="462">
        <f t="shared" si="151"/>
        <v>3.2018000000000004</v>
      </c>
      <c r="BT65" s="462">
        <f t="shared" si="151"/>
        <v>2.0718000000000001</v>
      </c>
      <c r="BU65" s="279">
        <f t="shared" si="151"/>
        <v>1.1299999999999999</v>
      </c>
      <c r="BV65" s="850">
        <f t="shared" si="151"/>
        <v>0</v>
      </c>
      <c r="BW65" s="713">
        <f t="shared" si="151"/>
        <v>0</v>
      </c>
      <c r="BX65" s="713">
        <f t="shared" si="151"/>
        <v>0</v>
      </c>
      <c r="BY65" s="713">
        <f t="shared" si="151"/>
        <v>0</v>
      </c>
      <c r="BZ65" s="713">
        <f t="shared" si="151"/>
        <v>0</v>
      </c>
      <c r="CA65" s="851">
        <f t="shared" si="151"/>
        <v>0</v>
      </c>
    </row>
    <row r="66" spans="1:79" ht="12.95" customHeight="1" x14ac:dyDescent="0.25">
      <c r="A66" s="280">
        <v>11</v>
      </c>
      <c r="B66" s="321">
        <v>5430</v>
      </c>
      <c r="C66" s="322">
        <v>650026144</v>
      </c>
      <c r="D66" s="281">
        <v>70695148</v>
      </c>
      <c r="E66" s="348" t="s">
        <v>428</v>
      </c>
      <c r="F66" s="321">
        <v>3111</v>
      </c>
      <c r="G66" s="345" t="s">
        <v>304</v>
      </c>
      <c r="H66" s="645" t="s">
        <v>271</v>
      </c>
      <c r="I66" s="420">
        <v>2332487</v>
      </c>
      <c r="J66" s="415">
        <v>1704340</v>
      </c>
      <c r="K66" s="415">
        <v>1584532</v>
      </c>
      <c r="L66" s="415">
        <v>119808</v>
      </c>
      <c r="M66" s="415">
        <v>20000</v>
      </c>
      <c r="N66" s="415">
        <v>20000</v>
      </c>
      <c r="O66" s="415">
        <v>0</v>
      </c>
      <c r="P66" s="68">
        <v>582827</v>
      </c>
      <c r="Q66" s="68">
        <v>17043</v>
      </c>
      <c r="R66" s="415">
        <v>8277</v>
      </c>
      <c r="S66" s="416">
        <v>3.45</v>
      </c>
      <c r="T66" s="417">
        <v>2.97</v>
      </c>
      <c r="U66" s="423">
        <v>0.48</v>
      </c>
      <c r="V66" s="424">
        <f t="shared" ref="V66:W71" si="154">AG66*-1</f>
        <v>0</v>
      </c>
      <c r="W66" s="418">
        <f t="shared" si="154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ref="AD66:AD71" si="155">V66+X66+Y66+Z66+AB66</f>
        <v>0</v>
      </c>
      <c r="AE66" s="418">
        <f t="shared" ref="AE66:AE71" si="156">W66+AA66+AC66</f>
        <v>0</v>
      </c>
      <c r="AF66" s="418">
        <f t="shared" ref="AF66:AF71" si="157"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ref="AL66:AL71" si="158">AG66+AI66+AJ66</f>
        <v>0</v>
      </c>
      <c r="AM66" s="418">
        <f t="shared" ref="AM66:AM71" si="159">AH66+AK66</f>
        <v>0</v>
      </c>
      <c r="AN66" s="418">
        <f t="shared" ref="AN66:AN71" si="160">SUM(AL66:AM66)</f>
        <v>0</v>
      </c>
      <c r="AO66" s="418">
        <f t="shared" ref="AO66:AP71" si="161">AD66+AL66</f>
        <v>0</v>
      </c>
      <c r="AP66" s="418">
        <f t="shared" si="161"/>
        <v>0</v>
      </c>
      <c r="AQ66" s="418">
        <f t="shared" ref="AQ66:AQ71" si="162">SUM(AO66:AP66)</f>
        <v>0</v>
      </c>
      <c r="AR66" s="68">
        <f t="shared" ref="AR66:AR71" si="163">ROUND((AF66+AG66+AH66+AI66)*33.8%,0)</f>
        <v>0</v>
      </c>
      <c r="AS66" s="68">
        <f t="shared" ref="AS66:AS71" si="164">ROUND(AF66*1%,0)</f>
        <v>0</v>
      </c>
      <c r="AT66" s="418">
        <v>0</v>
      </c>
      <c r="AU66" s="418">
        <v>0</v>
      </c>
      <c r="AV66" s="418">
        <f t="shared" ref="AV66:AV71" si="165">AT66+AU66</f>
        <v>0</v>
      </c>
      <c r="AW66" s="418">
        <f t="shared" ref="AW66:AW71" si="166"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ref="BF66:BF71" si="167">AX66+AZ66+BA66+BC66+BD66</f>
        <v>0</v>
      </c>
      <c r="BG66" s="419">
        <f t="shared" ref="BG66:BG71" si="168">AY66+BB66+BE66</f>
        <v>0</v>
      </c>
      <c r="BH66" s="421">
        <f t="shared" ref="BH66:BH71" si="169">SUM(BF66:BG66)</f>
        <v>0</v>
      </c>
      <c r="BI66" s="424">
        <f t="shared" ref="BI66:BI71" si="170">I66+AW66</f>
        <v>2332487</v>
      </c>
      <c r="BJ66" s="780">
        <f t="shared" ref="BJ66:BJ71" si="171">J66+AF66</f>
        <v>1704340</v>
      </c>
      <c r="BK66" s="418">
        <f t="shared" ref="BK66:BL71" si="172">K66+AD66</f>
        <v>1584532</v>
      </c>
      <c r="BL66" s="418">
        <f t="shared" si="172"/>
        <v>119808</v>
      </c>
      <c r="BM66" s="418">
        <f t="shared" ref="BM66:BM71" si="173">M66+AN66</f>
        <v>20000</v>
      </c>
      <c r="BN66" s="418">
        <f t="shared" ref="BN66:BO71" si="174">N66+AL66</f>
        <v>20000</v>
      </c>
      <c r="BO66" s="418">
        <f t="shared" si="174"/>
        <v>0</v>
      </c>
      <c r="BP66" s="418">
        <f t="shared" ref="BP66:BQ71" si="175">P66+AR66</f>
        <v>582827</v>
      </c>
      <c r="BQ66" s="418">
        <f t="shared" si="175"/>
        <v>17043</v>
      </c>
      <c r="BR66" s="418">
        <f t="shared" ref="BR66:BR71" si="176">R66+AV66</f>
        <v>8277</v>
      </c>
      <c r="BS66" s="419">
        <f t="shared" ref="BS66:BS71" si="177">S66+BH66</f>
        <v>3.45</v>
      </c>
      <c r="BT66" s="419">
        <f t="shared" ref="BT66:BU71" si="178">T66+BF66</f>
        <v>2.97</v>
      </c>
      <c r="BU66" s="421">
        <f t="shared" si="178"/>
        <v>0.48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280">
        <v>11</v>
      </c>
      <c r="B67" s="321">
        <v>5430</v>
      </c>
      <c r="C67" s="322">
        <v>650026144</v>
      </c>
      <c r="D67" s="281">
        <v>70695148</v>
      </c>
      <c r="E67" s="348" t="s">
        <v>428</v>
      </c>
      <c r="F67" s="321">
        <v>3117</v>
      </c>
      <c r="G67" s="345" t="s">
        <v>308</v>
      </c>
      <c r="H67" s="645" t="s">
        <v>271</v>
      </c>
      <c r="I67" s="420">
        <v>3498897</v>
      </c>
      <c r="J67" s="415">
        <v>2560813</v>
      </c>
      <c r="K67" s="415">
        <v>2174139</v>
      </c>
      <c r="L67" s="415">
        <v>386674</v>
      </c>
      <c r="M67" s="415">
        <v>9600</v>
      </c>
      <c r="N67" s="415">
        <v>0</v>
      </c>
      <c r="O67" s="415">
        <v>9600</v>
      </c>
      <c r="P67" s="68">
        <v>868800</v>
      </c>
      <c r="Q67" s="68">
        <v>25608</v>
      </c>
      <c r="R67" s="415">
        <v>34076</v>
      </c>
      <c r="S67" s="416">
        <v>4.4269000000000007</v>
      </c>
      <c r="T67" s="417">
        <v>3.3635999999999999</v>
      </c>
      <c r="U67" s="423">
        <v>1.0632999999999999</v>
      </c>
      <c r="V67" s="424">
        <f t="shared" si="154"/>
        <v>0</v>
      </c>
      <c r="W67" s="418">
        <f t="shared" si="154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155"/>
        <v>0</v>
      </c>
      <c r="AE67" s="418">
        <f t="shared" si="156"/>
        <v>0</v>
      </c>
      <c r="AF67" s="418">
        <f t="shared" si="157"/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158"/>
        <v>0</v>
      </c>
      <c r="AM67" s="418">
        <f t="shared" si="159"/>
        <v>0</v>
      </c>
      <c r="AN67" s="418">
        <f t="shared" si="160"/>
        <v>0</v>
      </c>
      <c r="AO67" s="418">
        <f t="shared" si="161"/>
        <v>0</v>
      </c>
      <c r="AP67" s="418">
        <f t="shared" si="161"/>
        <v>0</v>
      </c>
      <c r="AQ67" s="418">
        <f t="shared" si="162"/>
        <v>0</v>
      </c>
      <c r="AR67" s="68">
        <f t="shared" si="163"/>
        <v>0</v>
      </c>
      <c r="AS67" s="68">
        <f t="shared" si="164"/>
        <v>0</v>
      </c>
      <c r="AT67" s="418">
        <v>0</v>
      </c>
      <c r="AU67" s="418">
        <v>0</v>
      </c>
      <c r="AV67" s="418">
        <f t="shared" si="165"/>
        <v>0</v>
      </c>
      <c r="AW67" s="418">
        <f t="shared" si="166"/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167"/>
        <v>0</v>
      </c>
      <c r="BG67" s="419">
        <f t="shared" si="168"/>
        <v>0</v>
      </c>
      <c r="BH67" s="421">
        <f t="shared" si="169"/>
        <v>0</v>
      </c>
      <c r="BI67" s="424">
        <f t="shared" si="170"/>
        <v>3498897</v>
      </c>
      <c r="BJ67" s="780">
        <f t="shared" si="171"/>
        <v>2560813</v>
      </c>
      <c r="BK67" s="418">
        <f t="shared" si="172"/>
        <v>2174139</v>
      </c>
      <c r="BL67" s="418">
        <f t="shared" si="172"/>
        <v>386674</v>
      </c>
      <c r="BM67" s="418">
        <f t="shared" si="173"/>
        <v>9600</v>
      </c>
      <c r="BN67" s="418">
        <f t="shared" si="174"/>
        <v>0</v>
      </c>
      <c r="BO67" s="418">
        <f t="shared" si="174"/>
        <v>9600</v>
      </c>
      <c r="BP67" s="418">
        <f t="shared" si="175"/>
        <v>868800</v>
      </c>
      <c r="BQ67" s="418">
        <f t="shared" si="175"/>
        <v>25608</v>
      </c>
      <c r="BR67" s="418">
        <f t="shared" si="176"/>
        <v>34076</v>
      </c>
      <c r="BS67" s="419">
        <f t="shared" si="177"/>
        <v>4.4269000000000007</v>
      </c>
      <c r="BT67" s="419">
        <f t="shared" si="178"/>
        <v>3.3635999999999999</v>
      </c>
      <c r="BU67" s="421">
        <f t="shared" si="178"/>
        <v>1.0632999999999999</v>
      </c>
      <c r="BV67" s="420"/>
      <c r="BW67" s="415"/>
      <c r="BX67" s="415"/>
      <c r="BY67" s="415"/>
      <c r="BZ67" s="415"/>
      <c r="CA67" s="510"/>
    </row>
    <row r="68" spans="1:79" ht="12.95" customHeight="1" x14ac:dyDescent="0.25">
      <c r="A68" s="280">
        <v>11</v>
      </c>
      <c r="B68" s="321">
        <v>5430</v>
      </c>
      <c r="C68" s="322">
        <v>650026144</v>
      </c>
      <c r="D68" s="281">
        <v>70695148</v>
      </c>
      <c r="E68" s="348" t="s">
        <v>428</v>
      </c>
      <c r="F68" s="321">
        <v>3117</v>
      </c>
      <c r="G68" s="284" t="s">
        <v>291</v>
      </c>
      <c r="H68" s="645" t="s">
        <v>272</v>
      </c>
      <c r="I68" s="420">
        <v>33373</v>
      </c>
      <c r="J68" s="415">
        <v>24757</v>
      </c>
      <c r="K68" s="415">
        <v>24757</v>
      </c>
      <c r="L68" s="415">
        <v>0</v>
      </c>
      <c r="M68" s="415">
        <v>0</v>
      </c>
      <c r="N68" s="415">
        <v>0</v>
      </c>
      <c r="O68" s="415">
        <v>0</v>
      </c>
      <c r="P68" s="68">
        <v>8368</v>
      </c>
      <c r="Q68" s="68">
        <v>248</v>
      </c>
      <c r="R68" s="415">
        <v>0</v>
      </c>
      <c r="S68" s="416">
        <v>0.05</v>
      </c>
      <c r="T68" s="417">
        <v>0.05</v>
      </c>
      <c r="U68" s="423">
        <v>0</v>
      </c>
      <c r="V68" s="424">
        <f t="shared" si="154"/>
        <v>0</v>
      </c>
      <c r="W68" s="418">
        <f t="shared" si="154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55"/>
        <v>0</v>
      </c>
      <c r="AE68" s="418">
        <f t="shared" si="156"/>
        <v>0</v>
      </c>
      <c r="AF68" s="418">
        <f t="shared" si="157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58"/>
        <v>0</v>
      </c>
      <c r="AM68" s="418">
        <f t="shared" si="159"/>
        <v>0</v>
      </c>
      <c r="AN68" s="418">
        <f t="shared" si="160"/>
        <v>0</v>
      </c>
      <c r="AO68" s="418">
        <f t="shared" si="161"/>
        <v>0</v>
      </c>
      <c r="AP68" s="418">
        <f t="shared" si="161"/>
        <v>0</v>
      </c>
      <c r="AQ68" s="418">
        <f t="shared" si="162"/>
        <v>0</v>
      </c>
      <c r="AR68" s="68">
        <f t="shared" si="163"/>
        <v>0</v>
      </c>
      <c r="AS68" s="68">
        <f t="shared" si="164"/>
        <v>0</v>
      </c>
      <c r="AT68" s="418">
        <v>0</v>
      </c>
      <c r="AU68" s="418">
        <v>0</v>
      </c>
      <c r="AV68" s="418">
        <f t="shared" si="165"/>
        <v>0</v>
      </c>
      <c r="AW68" s="418">
        <f t="shared" si="166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67"/>
        <v>0</v>
      </c>
      <c r="BG68" s="419">
        <f t="shared" si="168"/>
        <v>0</v>
      </c>
      <c r="BH68" s="421">
        <f t="shared" si="169"/>
        <v>0</v>
      </c>
      <c r="BI68" s="424">
        <f t="shared" si="170"/>
        <v>33373</v>
      </c>
      <c r="BJ68" s="780">
        <f t="shared" si="171"/>
        <v>24757</v>
      </c>
      <c r="BK68" s="418">
        <f t="shared" si="172"/>
        <v>24757</v>
      </c>
      <c r="BL68" s="418">
        <f t="shared" si="172"/>
        <v>0</v>
      </c>
      <c r="BM68" s="418">
        <f t="shared" si="173"/>
        <v>0</v>
      </c>
      <c r="BN68" s="418">
        <f t="shared" si="174"/>
        <v>0</v>
      </c>
      <c r="BO68" s="418">
        <f t="shared" si="174"/>
        <v>0</v>
      </c>
      <c r="BP68" s="418">
        <f t="shared" si="175"/>
        <v>8368</v>
      </c>
      <c r="BQ68" s="418">
        <f t="shared" si="175"/>
        <v>248</v>
      </c>
      <c r="BR68" s="418">
        <f t="shared" si="176"/>
        <v>0</v>
      </c>
      <c r="BS68" s="419">
        <f t="shared" si="177"/>
        <v>0.05</v>
      </c>
      <c r="BT68" s="419">
        <f t="shared" si="178"/>
        <v>0.05</v>
      </c>
      <c r="BU68" s="421">
        <f t="shared" si="178"/>
        <v>0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80">
        <v>11</v>
      </c>
      <c r="B69" s="281">
        <v>5430</v>
      </c>
      <c r="C69" s="330">
        <v>650026144</v>
      </c>
      <c r="D69" s="281">
        <v>70695148</v>
      </c>
      <c r="E69" s="283" t="s">
        <v>428</v>
      </c>
      <c r="F69" s="281">
        <v>3141</v>
      </c>
      <c r="G69" s="345" t="s">
        <v>294</v>
      </c>
      <c r="H69" s="645" t="s">
        <v>272</v>
      </c>
      <c r="I69" s="420">
        <v>559483</v>
      </c>
      <c r="J69" s="415">
        <v>413515</v>
      </c>
      <c r="K69" s="415">
        <v>0</v>
      </c>
      <c r="L69" s="415">
        <v>413515</v>
      </c>
      <c r="M69" s="415">
        <v>0</v>
      </c>
      <c r="N69" s="415">
        <v>0</v>
      </c>
      <c r="O69" s="415">
        <v>0</v>
      </c>
      <c r="P69" s="68">
        <v>139768</v>
      </c>
      <c r="Q69" s="68">
        <v>4135</v>
      </c>
      <c r="R69" s="415">
        <v>2065</v>
      </c>
      <c r="S69" s="416">
        <v>1.24</v>
      </c>
      <c r="T69" s="417">
        <v>0</v>
      </c>
      <c r="U69" s="423">
        <v>1.24</v>
      </c>
      <c r="V69" s="424">
        <f t="shared" si="154"/>
        <v>0</v>
      </c>
      <c r="W69" s="418">
        <f t="shared" si="154"/>
        <v>0</v>
      </c>
      <c r="X69" s="418">
        <v>0</v>
      </c>
      <c r="Y69" s="418">
        <v>0</v>
      </c>
      <c r="Z69" s="418">
        <v>0</v>
      </c>
      <c r="AA69" s="418">
        <v>206846</v>
      </c>
      <c r="AB69" s="418">
        <v>0</v>
      </c>
      <c r="AC69" s="418">
        <v>0</v>
      </c>
      <c r="AD69" s="418">
        <f t="shared" si="155"/>
        <v>0</v>
      </c>
      <c r="AE69" s="418">
        <f t="shared" si="156"/>
        <v>206846</v>
      </c>
      <c r="AF69" s="418">
        <f t="shared" si="157"/>
        <v>206846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58"/>
        <v>0</v>
      </c>
      <c r="AM69" s="418">
        <f t="shared" si="159"/>
        <v>0</v>
      </c>
      <c r="AN69" s="418">
        <f t="shared" si="160"/>
        <v>0</v>
      </c>
      <c r="AO69" s="418">
        <f t="shared" si="161"/>
        <v>0</v>
      </c>
      <c r="AP69" s="418">
        <f t="shared" si="161"/>
        <v>206846</v>
      </c>
      <c r="AQ69" s="418">
        <f t="shared" si="162"/>
        <v>206846</v>
      </c>
      <c r="AR69" s="68">
        <f t="shared" si="163"/>
        <v>69914</v>
      </c>
      <c r="AS69" s="68">
        <f t="shared" si="164"/>
        <v>2068</v>
      </c>
      <c r="AT69" s="418">
        <v>0</v>
      </c>
      <c r="AU69" s="418">
        <v>1003</v>
      </c>
      <c r="AV69" s="418">
        <f t="shared" si="165"/>
        <v>1003</v>
      </c>
      <c r="AW69" s="418">
        <f t="shared" si="166"/>
        <v>279831</v>
      </c>
      <c r="AX69" s="419">
        <v>0</v>
      </c>
      <c r="AY69" s="419">
        <v>0</v>
      </c>
      <c r="AZ69" s="419">
        <v>0</v>
      </c>
      <c r="BA69" s="419">
        <v>0</v>
      </c>
      <c r="BB69" s="419">
        <v>0.62</v>
      </c>
      <c r="BC69" s="419">
        <v>0</v>
      </c>
      <c r="BD69" s="419">
        <v>0</v>
      </c>
      <c r="BE69" s="419">
        <v>0</v>
      </c>
      <c r="BF69" s="419">
        <f t="shared" si="167"/>
        <v>0</v>
      </c>
      <c r="BG69" s="419">
        <f t="shared" si="168"/>
        <v>0.62</v>
      </c>
      <c r="BH69" s="421">
        <f t="shared" si="169"/>
        <v>0.62</v>
      </c>
      <c r="BI69" s="424">
        <f t="shared" si="170"/>
        <v>839314</v>
      </c>
      <c r="BJ69" s="780">
        <f t="shared" si="171"/>
        <v>620361</v>
      </c>
      <c r="BK69" s="418">
        <f t="shared" si="172"/>
        <v>0</v>
      </c>
      <c r="BL69" s="418">
        <f t="shared" si="172"/>
        <v>620361</v>
      </c>
      <c r="BM69" s="418">
        <f t="shared" si="173"/>
        <v>0</v>
      </c>
      <c r="BN69" s="418">
        <f t="shared" si="174"/>
        <v>0</v>
      </c>
      <c r="BO69" s="418">
        <f t="shared" si="174"/>
        <v>0</v>
      </c>
      <c r="BP69" s="418">
        <f t="shared" si="175"/>
        <v>209682</v>
      </c>
      <c r="BQ69" s="418">
        <f t="shared" si="175"/>
        <v>6203</v>
      </c>
      <c r="BR69" s="418">
        <f t="shared" si="176"/>
        <v>3068</v>
      </c>
      <c r="BS69" s="419">
        <f t="shared" si="177"/>
        <v>1.8599999999999999</v>
      </c>
      <c r="BT69" s="419">
        <f t="shared" si="178"/>
        <v>0</v>
      </c>
      <c r="BU69" s="421">
        <f t="shared" si="178"/>
        <v>1.8599999999999999</v>
      </c>
      <c r="BV69" s="420"/>
      <c r="BW69" s="415"/>
      <c r="BX69" s="415"/>
      <c r="BY69" s="415"/>
      <c r="BZ69" s="415"/>
      <c r="CA69" s="510"/>
    </row>
    <row r="70" spans="1:79" ht="12.95" customHeight="1" x14ac:dyDescent="0.25">
      <c r="A70" s="280">
        <v>11</v>
      </c>
      <c r="B70" s="321">
        <v>5430</v>
      </c>
      <c r="C70" s="322">
        <v>650026144</v>
      </c>
      <c r="D70" s="281">
        <v>70695148</v>
      </c>
      <c r="E70" s="348" t="s">
        <v>428</v>
      </c>
      <c r="F70" s="321">
        <v>3143</v>
      </c>
      <c r="G70" s="284" t="s">
        <v>595</v>
      </c>
      <c r="H70" s="645" t="s">
        <v>271</v>
      </c>
      <c r="I70" s="420">
        <v>637155</v>
      </c>
      <c r="J70" s="415">
        <v>472667</v>
      </c>
      <c r="K70" s="415">
        <v>472667</v>
      </c>
      <c r="L70" s="415">
        <v>0</v>
      </c>
      <c r="M70" s="415">
        <v>0</v>
      </c>
      <c r="N70" s="415">
        <v>0</v>
      </c>
      <c r="O70" s="415">
        <v>0</v>
      </c>
      <c r="P70" s="68">
        <v>159761</v>
      </c>
      <c r="Q70" s="68">
        <v>4727</v>
      </c>
      <c r="R70" s="415">
        <v>0</v>
      </c>
      <c r="S70" s="416">
        <v>0.88070000000000004</v>
      </c>
      <c r="T70" s="417">
        <v>0.88070000000000004</v>
      </c>
      <c r="U70" s="423">
        <v>0</v>
      </c>
      <c r="V70" s="424">
        <f t="shared" si="154"/>
        <v>0</v>
      </c>
      <c r="W70" s="418">
        <f t="shared" si="154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55"/>
        <v>0</v>
      </c>
      <c r="AE70" s="418">
        <f t="shared" si="156"/>
        <v>0</v>
      </c>
      <c r="AF70" s="418">
        <f t="shared" si="157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58"/>
        <v>0</v>
      </c>
      <c r="AM70" s="418">
        <f t="shared" si="159"/>
        <v>0</v>
      </c>
      <c r="AN70" s="418">
        <f t="shared" si="160"/>
        <v>0</v>
      </c>
      <c r="AO70" s="418">
        <f t="shared" si="161"/>
        <v>0</v>
      </c>
      <c r="AP70" s="418">
        <f t="shared" si="161"/>
        <v>0</v>
      </c>
      <c r="AQ70" s="418">
        <f t="shared" si="162"/>
        <v>0</v>
      </c>
      <c r="AR70" s="68">
        <f t="shared" si="163"/>
        <v>0</v>
      </c>
      <c r="AS70" s="68">
        <f t="shared" si="164"/>
        <v>0</v>
      </c>
      <c r="AT70" s="418">
        <v>0</v>
      </c>
      <c r="AU70" s="418">
        <v>0</v>
      </c>
      <c r="AV70" s="418">
        <f t="shared" si="165"/>
        <v>0</v>
      </c>
      <c r="AW70" s="418">
        <f t="shared" si="166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67"/>
        <v>0</v>
      </c>
      <c r="BG70" s="419">
        <f t="shared" si="168"/>
        <v>0</v>
      </c>
      <c r="BH70" s="421">
        <f t="shared" si="169"/>
        <v>0</v>
      </c>
      <c r="BI70" s="424">
        <f t="shared" si="170"/>
        <v>637155</v>
      </c>
      <c r="BJ70" s="780">
        <f t="shared" si="171"/>
        <v>472667</v>
      </c>
      <c r="BK70" s="418">
        <f t="shared" si="172"/>
        <v>472667</v>
      </c>
      <c r="BL70" s="418">
        <f t="shared" si="172"/>
        <v>0</v>
      </c>
      <c r="BM70" s="418">
        <f t="shared" si="173"/>
        <v>0</v>
      </c>
      <c r="BN70" s="418">
        <f t="shared" si="174"/>
        <v>0</v>
      </c>
      <c r="BO70" s="418">
        <f t="shared" si="174"/>
        <v>0</v>
      </c>
      <c r="BP70" s="418">
        <f t="shared" si="175"/>
        <v>159761</v>
      </c>
      <c r="BQ70" s="418">
        <f t="shared" si="175"/>
        <v>4727</v>
      </c>
      <c r="BR70" s="418">
        <f t="shared" si="176"/>
        <v>0</v>
      </c>
      <c r="BS70" s="419">
        <f t="shared" si="177"/>
        <v>0.88070000000000004</v>
      </c>
      <c r="BT70" s="419">
        <f t="shared" si="178"/>
        <v>0.88070000000000004</v>
      </c>
      <c r="BU70" s="421">
        <f t="shared" si="178"/>
        <v>0</v>
      </c>
      <c r="BV70" s="420"/>
      <c r="BW70" s="415"/>
      <c r="BX70" s="415"/>
      <c r="BY70" s="415"/>
      <c r="BZ70" s="415"/>
      <c r="CA70" s="510"/>
    </row>
    <row r="71" spans="1:79" ht="12.95" customHeight="1" x14ac:dyDescent="0.25">
      <c r="A71" s="280">
        <v>11</v>
      </c>
      <c r="B71" s="321">
        <v>5430</v>
      </c>
      <c r="C71" s="322">
        <v>650026144</v>
      </c>
      <c r="D71" s="281">
        <v>70695148</v>
      </c>
      <c r="E71" s="348" t="s">
        <v>428</v>
      </c>
      <c r="F71" s="321">
        <v>3143</v>
      </c>
      <c r="G71" s="284" t="s">
        <v>596</v>
      </c>
      <c r="H71" s="645" t="s">
        <v>272</v>
      </c>
      <c r="I71" s="420">
        <v>13314</v>
      </c>
      <c r="J71" s="415">
        <v>9530</v>
      </c>
      <c r="K71" s="415">
        <v>0</v>
      </c>
      <c r="L71" s="415">
        <v>9530</v>
      </c>
      <c r="M71" s="415">
        <v>0</v>
      </c>
      <c r="N71" s="415">
        <v>0</v>
      </c>
      <c r="O71" s="415">
        <v>0</v>
      </c>
      <c r="P71" s="68">
        <v>3221</v>
      </c>
      <c r="Q71" s="68">
        <v>95</v>
      </c>
      <c r="R71" s="415">
        <v>468</v>
      </c>
      <c r="S71" s="416">
        <v>3.61E-2</v>
      </c>
      <c r="T71" s="417">
        <v>0</v>
      </c>
      <c r="U71" s="423">
        <v>3.61E-2</v>
      </c>
      <c r="V71" s="424">
        <f t="shared" si="154"/>
        <v>0</v>
      </c>
      <c r="W71" s="418">
        <f t="shared" si="154"/>
        <v>0</v>
      </c>
      <c r="X71" s="418">
        <v>0</v>
      </c>
      <c r="Y71" s="418">
        <v>0</v>
      </c>
      <c r="Z71" s="418">
        <v>0</v>
      </c>
      <c r="AA71" s="418">
        <v>4770</v>
      </c>
      <c r="AB71" s="418">
        <v>0</v>
      </c>
      <c r="AC71" s="418">
        <v>0</v>
      </c>
      <c r="AD71" s="418">
        <f t="shared" si="155"/>
        <v>0</v>
      </c>
      <c r="AE71" s="418">
        <f t="shared" si="156"/>
        <v>4770</v>
      </c>
      <c r="AF71" s="418">
        <f t="shared" si="157"/>
        <v>4770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58"/>
        <v>0</v>
      </c>
      <c r="AM71" s="418">
        <f t="shared" si="159"/>
        <v>0</v>
      </c>
      <c r="AN71" s="418">
        <f t="shared" si="160"/>
        <v>0</v>
      </c>
      <c r="AO71" s="418">
        <f t="shared" si="161"/>
        <v>0</v>
      </c>
      <c r="AP71" s="418">
        <f t="shared" si="161"/>
        <v>4770</v>
      </c>
      <c r="AQ71" s="418">
        <f t="shared" si="162"/>
        <v>4770</v>
      </c>
      <c r="AR71" s="68">
        <f t="shared" si="163"/>
        <v>1612</v>
      </c>
      <c r="AS71" s="68">
        <f t="shared" si="164"/>
        <v>48</v>
      </c>
      <c r="AT71" s="418">
        <v>0</v>
      </c>
      <c r="AU71" s="418">
        <v>234</v>
      </c>
      <c r="AV71" s="418">
        <f t="shared" si="165"/>
        <v>234</v>
      </c>
      <c r="AW71" s="418">
        <f t="shared" si="166"/>
        <v>6664</v>
      </c>
      <c r="AX71" s="419">
        <v>0</v>
      </c>
      <c r="AY71" s="419">
        <v>0</v>
      </c>
      <c r="AZ71" s="419">
        <v>0</v>
      </c>
      <c r="BA71" s="419">
        <v>0</v>
      </c>
      <c r="BB71" s="419">
        <v>0.02</v>
      </c>
      <c r="BC71" s="419">
        <v>0</v>
      </c>
      <c r="BD71" s="419">
        <v>0</v>
      </c>
      <c r="BE71" s="419">
        <v>0</v>
      </c>
      <c r="BF71" s="419">
        <f t="shared" si="167"/>
        <v>0</v>
      </c>
      <c r="BG71" s="419">
        <f t="shared" si="168"/>
        <v>0.02</v>
      </c>
      <c r="BH71" s="421">
        <f t="shared" si="169"/>
        <v>0.02</v>
      </c>
      <c r="BI71" s="424">
        <f t="shared" si="170"/>
        <v>19978</v>
      </c>
      <c r="BJ71" s="780">
        <f t="shared" si="171"/>
        <v>14300</v>
      </c>
      <c r="BK71" s="418">
        <f t="shared" si="172"/>
        <v>0</v>
      </c>
      <c r="BL71" s="418">
        <f t="shared" si="172"/>
        <v>14300</v>
      </c>
      <c r="BM71" s="418">
        <f t="shared" si="173"/>
        <v>0</v>
      </c>
      <c r="BN71" s="418">
        <f t="shared" si="174"/>
        <v>0</v>
      </c>
      <c r="BO71" s="418">
        <f t="shared" si="174"/>
        <v>0</v>
      </c>
      <c r="BP71" s="418">
        <f t="shared" si="175"/>
        <v>4833</v>
      </c>
      <c r="BQ71" s="418">
        <f t="shared" si="175"/>
        <v>143</v>
      </c>
      <c r="BR71" s="418">
        <f t="shared" si="176"/>
        <v>702</v>
      </c>
      <c r="BS71" s="419">
        <f t="shared" si="177"/>
        <v>5.6099999999999997E-2</v>
      </c>
      <c r="BT71" s="419">
        <f t="shared" si="178"/>
        <v>0</v>
      </c>
      <c r="BU71" s="421">
        <f t="shared" si="178"/>
        <v>5.6099999999999997E-2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646">
        <v>11</v>
      </c>
      <c r="B72" s="325">
        <v>5430</v>
      </c>
      <c r="C72" s="326">
        <v>650026144</v>
      </c>
      <c r="D72" s="325">
        <v>70695148</v>
      </c>
      <c r="E72" s="349" t="s">
        <v>429</v>
      </c>
      <c r="F72" s="325"/>
      <c r="G72" s="350"/>
      <c r="H72" s="648"/>
      <c r="I72" s="465">
        <v>7074709</v>
      </c>
      <c r="J72" s="461">
        <v>5185622</v>
      </c>
      <c r="K72" s="461">
        <v>4256095</v>
      </c>
      <c r="L72" s="461">
        <v>929527</v>
      </c>
      <c r="M72" s="461">
        <v>29600</v>
      </c>
      <c r="N72" s="461">
        <v>20000</v>
      </c>
      <c r="O72" s="461">
        <v>9600</v>
      </c>
      <c r="P72" s="461">
        <v>1762745</v>
      </c>
      <c r="Q72" s="461">
        <v>51856</v>
      </c>
      <c r="R72" s="461">
        <v>44886</v>
      </c>
      <c r="S72" s="462">
        <v>10.083699999999999</v>
      </c>
      <c r="T72" s="462">
        <v>7.2643000000000004</v>
      </c>
      <c r="U72" s="535">
        <v>2.8193999999999995</v>
      </c>
      <c r="V72" s="465">
        <f t="shared" ref="V72:CA72" si="179">SUM(V66:V71)</f>
        <v>0</v>
      </c>
      <c r="W72" s="461">
        <f t="shared" si="179"/>
        <v>0</v>
      </c>
      <c r="X72" s="461">
        <f t="shared" si="179"/>
        <v>0</v>
      </c>
      <c r="Y72" s="461">
        <f t="shared" si="179"/>
        <v>0</v>
      </c>
      <c r="Z72" s="461">
        <f t="shared" si="179"/>
        <v>0</v>
      </c>
      <c r="AA72" s="461">
        <f t="shared" si="179"/>
        <v>211616</v>
      </c>
      <c r="AB72" s="461">
        <f t="shared" si="179"/>
        <v>0</v>
      </c>
      <c r="AC72" s="461">
        <f t="shared" si="179"/>
        <v>0</v>
      </c>
      <c r="AD72" s="461">
        <f t="shared" si="179"/>
        <v>0</v>
      </c>
      <c r="AE72" s="461">
        <f t="shared" si="179"/>
        <v>211616</v>
      </c>
      <c r="AF72" s="461">
        <f t="shared" si="179"/>
        <v>211616</v>
      </c>
      <c r="AG72" s="461">
        <f t="shared" si="179"/>
        <v>0</v>
      </c>
      <c r="AH72" s="461">
        <f t="shared" si="179"/>
        <v>0</v>
      </c>
      <c r="AI72" s="461">
        <f t="shared" si="179"/>
        <v>0</v>
      </c>
      <c r="AJ72" s="461">
        <f t="shared" si="179"/>
        <v>0</v>
      </c>
      <c r="AK72" s="461">
        <f t="shared" si="179"/>
        <v>0</v>
      </c>
      <c r="AL72" s="461">
        <f t="shared" si="179"/>
        <v>0</v>
      </c>
      <c r="AM72" s="461">
        <f t="shared" si="179"/>
        <v>0</v>
      </c>
      <c r="AN72" s="461">
        <f t="shared" si="179"/>
        <v>0</v>
      </c>
      <c r="AO72" s="461">
        <f t="shared" si="179"/>
        <v>0</v>
      </c>
      <c r="AP72" s="461">
        <f t="shared" si="179"/>
        <v>211616</v>
      </c>
      <c r="AQ72" s="461">
        <f t="shared" si="179"/>
        <v>211616</v>
      </c>
      <c r="AR72" s="461">
        <f t="shared" si="179"/>
        <v>71526</v>
      </c>
      <c r="AS72" s="461">
        <f t="shared" si="179"/>
        <v>2116</v>
      </c>
      <c r="AT72" s="461">
        <f t="shared" si="179"/>
        <v>0</v>
      </c>
      <c r="AU72" s="461">
        <f t="shared" si="179"/>
        <v>1237</v>
      </c>
      <c r="AV72" s="461">
        <f t="shared" si="179"/>
        <v>1237</v>
      </c>
      <c r="AW72" s="461">
        <f t="shared" si="179"/>
        <v>286495</v>
      </c>
      <c r="AX72" s="462">
        <f t="shared" si="179"/>
        <v>0</v>
      </c>
      <c r="AY72" s="462">
        <f t="shared" si="179"/>
        <v>0</v>
      </c>
      <c r="AZ72" s="462">
        <f t="shared" si="179"/>
        <v>0</v>
      </c>
      <c r="BA72" s="462">
        <f t="shared" si="179"/>
        <v>0</v>
      </c>
      <c r="BB72" s="462">
        <f t="shared" ref="BB72" si="180">SUM(BB66:BB71)</f>
        <v>0.64</v>
      </c>
      <c r="BC72" s="462">
        <f t="shared" si="179"/>
        <v>0</v>
      </c>
      <c r="BD72" s="462">
        <f t="shared" si="179"/>
        <v>0</v>
      </c>
      <c r="BE72" s="462">
        <f t="shared" ref="BE72" si="181">SUM(BE66:BE71)</f>
        <v>0</v>
      </c>
      <c r="BF72" s="462">
        <f t="shared" si="179"/>
        <v>0</v>
      </c>
      <c r="BG72" s="462">
        <f t="shared" si="179"/>
        <v>0.64</v>
      </c>
      <c r="BH72" s="279">
        <f t="shared" si="179"/>
        <v>0.64</v>
      </c>
      <c r="BI72" s="465">
        <f t="shared" si="179"/>
        <v>7361204</v>
      </c>
      <c r="BJ72" s="781">
        <f t="shared" si="179"/>
        <v>5397238</v>
      </c>
      <c r="BK72" s="461">
        <f t="shared" si="179"/>
        <v>4256095</v>
      </c>
      <c r="BL72" s="461">
        <f t="shared" si="179"/>
        <v>1141143</v>
      </c>
      <c r="BM72" s="461">
        <f t="shared" si="179"/>
        <v>29600</v>
      </c>
      <c r="BN72" s="461">
        <f t="shared" si="179"/>
        <v>20000</v>
      </c>
      <c r="BO72" s="461">
        <f t="shared" si="179"/>
        <v>9600</v>
      </c>
      <c r="BP72" s="461">
        <f t="shared" si="179"/>
        <v>1834271</v>
      </c>
      <c r="BQ72" s="461">
        <f t="shared" si="179"/>
        <v>53972</v>
      </c>
      <c r="BR72" s="461">
        <f t="shared" si="179"/>
        <v>46123</v>
      </c>
      <c r="BS72" s="462">
        <f t="shared" si="179"/>
        <v>10.723700000000001</v>
      </c>
      <c r="BT72" s="462">
        <f t="shared" si="179"/>
        <v>7.2643000000000004</v>
      </c>
      <c r="BU72" s="279">
        <f t="shared" si="179"/>
        <v>3.4593999999999996</v>
      </c>
      <c r="BV72" s="850">
        <f t="shared" si="179"/>
        <v>0</v>
      </c>
      <c r="BW72" s="713">
        <f t="shared" si="179"/>
        <v>0</v>
      </c>
      <c r="BX72" s="713">
        <f t="shared" si="179"/>
        <v>0</v>
      </c>
      <c r="BY72" s="713">
        <f t="shared" si="179"/>
        <v>0</v>
      </c>
      <c r="BZ72" s="713">
        <f t="shared" si="179"/>
        <v>0</v>
      </c>
      <c r="CA72" s="851">
        <f t="shared" si="179"/>
        <v>0</v>
      </c>
    </row>
    <row r="73" spans="1:79" ht="12.95" customHeight="1" x14ac:dyDescent="0.25">
      <c r="A73" s="280">
        <v>12</v>
      </c>
      <c r="B73" s="321">
        <v>5431</v>
      </c>
      <c r="C73" s="322">
        <v>600099016</v>
      </c>
      <c r="D73" s="281">
        <v>70698112</v>
      </c>
      <c r="E73" s="348" t="s">
        <v>430</v>
      </c>
      <c r="F73" s="321">
        <v>3111</v>
      </c>
      <c r="G73" s="345" t="s">
        <v>304</v>
      </c>
      <c r="H73" s="645" t="s">
        <v>271</v>
      </c>
      <c r="I73" s="420">
        <v>1650849</v>
      </c>
      <c r="J73" s="415">
        <v>1214949</v>
      </c>
      <c r="K73" s="415">
        <v>1148381</v>
      </c>
      <c r="L73" s="415">
        <v>66568</v>
      </c>
      <c r="M73" s="415">
        <v>5000</v>
      </c>
      <c r="N73" s="415">
        <v>5000</v>
      </c>
      <c r="O73" s="415">
        <v>0</v>
      </c>
      <c r="P73" s="68">
        <v>412343</v>
      </c>
      <c r="Q73" s="68">
        <v>12149</v>
      </c>
      <c r="R73" s="415">
        <v>6408</v>
      </c>
      <c r="S73" s="416">
        <v>2.2667000000000002</v>
      </c>
      <c r="T73" s="417">
        <v>2</v>
      </c>
      <c r="U73" s="423">
        <v>0.26669999999999999</v>
      </c>
      <c r="V73" s="424">
        <f t="shared" ref="V73:W78" si="182">AG73*-1</f>
        <v>0</v>
      </c>
      <c r="W73" s="418">
        <f t="shared" si="182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ref="AD73:AD78" si="183">V73+X73+Y73+Z73+AB73</f>
        <v>0</v>
      </c>
      <c r="AE73" s="418">
        <f t="shared" ref="AE73:AE78" si="184">W73+AA73+AC73</f>
        <v>0</v>
      </c>
      <c r="AF73" s="418">
        <f t="shared" ref="AF73:AF78" si="185"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ref="AL73:AL78" si="186">AG73+AI73+AJ73</f>
        <v>0</v>
      </c>
      <c r="AM73" s="418">
        <f t="shared" ref="AM73:AM78" si="187">AH73+AK73</f>
        <v>0</v>
      </c>
      <c r="AN73" s="418">
        <f t="shared" ref="AN73:AN78" si="188">SUM(AL73:AM73)</f>
        <v>0</v>
      </c>
      <c r="AO73" s="418">
        <f t="shared" ref="AO73:AP78" si="189">AD73+AL73</f>
        <v>0</v>
      </c>
      <c r="AP73" s="418">
        <f t="shared" si="189"/>
        <v>0</v>
      </c>
      <c r="AQ73" s="418">
        <f t="shared" ref="AQ73:AQ78" si="190">SUM(AO73:AP73)</f>
        <v>0</v>
      </c>
      <c r="AR73" s="68">
        <f t="shared" ref="AR73:AR78" si="191">ROUND((AF73+AG73+AH73+AI73)*33.8%,0)</f>
        <v>0</v>
      </c>
      <c r="AS73" s="68">
        <f t="shared" ref="AS73:AS78" si="192">ROUND(AF73*1%,0)</f>
        <v>0</v>
      </c>
      <c r="AT73" s="418">
        <v>0</v>
      </c>
      <c r="AU73" s="418">
        <v>0</v>
      </c>
      <c r="AV73" s="418">
        <f t="shared" ref="AV73:AV78" si="193">AT73+AU73</f>
        <v>0</v>
      </c>
      <c r="AW73" s="418">
        <f t="shared" ref="AW73:AW78" si="194"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ref="BF73:BF78" si="195">AX73+AZ73+BA73+BC73+BD73</f>
        <v>0</v>
      </c>
      <c r="BG73" s="419">
        <f t="shared" ref="BG73:BG78" si="196">AY73+BB73+BE73</f>
        <v>0</v>
      </c>
      <c r="BH73" s="421">
        <f t="shared" ref="BH73:BH78" si="197">SUM(BF73:BG73)</f>
        <v>0</v>
      </c>
      <c r="BI73" s="424">
        <f t="shared" ref="BI73:BI78" si="198">I73+AW73</f>
        <v>1650849</v>
      </c>
      <c r="BJ73" s="780">
        <f t="shared" ref="BJ73:BJ78" si="199">J73+AF73</f>
        <v>1214949</v>
      </c>
      <c r="BK73" s="418">
        <f t="shared" ref="BK73:BL78" si="200">K73+AD73</f>
        <v>1148381</v>
      </c>
      <c r="BL73" s="418">
        <f t="shared" si="200"/>
        <v>66568</v>
      </c>
      <c r="BM73" s="418">
        <f t="shared" ref="BM73:BM78" si="201">M73+AN73</f>
        <v>5000</v>
      </c>
      <c r="BN73" s="418">
        <f t="shared" ref="BN73:BO78" si="202">N73+AL73</f>
        <v>5000</v>
      </c>
      <c r="BO73" s="418">
        <f t="shared" si="202"/>
        <v>0</v>
      </c>
      <c r="BP73" s="418">
        <f t="shared" ref="BP73:BQ78" si="203">P73+AR73</f>
        <v>412343</v>
      </c>
      <c r="BQ73" s="418">
        <f t="shared" si="203"/>
        <v>12149</v>
      </c>
      <c r="BR73" s="418">
        <f t="shared" ref="BR73:BR78" si="204">R73+AV73</f>
        <v>6408</v>
      </c>
      <c r="BS73" s="419">
        <f t="shared" ref="BS73:BS78" si="205">S73+BH73</f>
        <v>2.2667000000000002</v>
      </c>
      <c r="BT73" s="419">
        <f t="shared" ref="BT73:BU78" si="206">T73+BF73</f>
        <v>2</v>
      </c>
      <c r="BU73" s="421">
        <f t="shared" si="206"/>
        <v>0.26669999999999999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280">
        <v>12</v>
      </c>
      <c r="B74" s="321">
        <v>5431</v>
      </c>
      <c r="C74" s="322">
        <v>600099016</v>
      </c>
      <c r="D74" s="281">
        <v>70698112</v>
      </c>
      <c r="E74" s="348" t="s">
        <v>430</v>
      </c>
      <c r="F74" s="321">
        <v>3117</v>
      </c>
      <c r="G74" s="345" t="s">
        <v>308</v>
      </c>
      <c r="H74" s="645" t="s">
        <v>271</v>
      </c>
      <c r="I74" s="420">
        <v>3156261</v>
      </c>
      <c r="J74" s="415">
        <v>2313907</v>
      </c>
      <c r="K74" s="415">
        <v>2042091</v>
      </c>
      <c r="L74" s="415">
        <v>271816</v>
      </c>
      <c r="M74" s="415">
        <v>5000</v>
      </c>
      <c r="N74" s="415">
        <v>5000</v>
      </c>
      <c r="O74" s="415">
        <v>0</v>
      </c>
      <c r="P74" s="68">
        <v>783790</v>
      </c>
      <c r="Q74" s="68">
        <v>23139</v>
      </c>
      <c r="R74" s="415">
        <v>30425</v>
      </c>
      <c r="S74" s="416">
        <v>4.1926999999999994</v>
      </c>
      <c r="T74" s="417">
        <v>3.4998999999999998</v>
      </c>
      <c r="U74" s="423">
        <v>0.69279999999999997</v>
      </c>
      <c r="V74" s="424">
        <f t="shared" si="182"/>
        <v>0</v>
      </c>
      <c r="W74" s="418">
        <f t="shared" si="182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83"/>
        <v>0</v>
      </c>
      <c r="AE74" s="418">
        <f t="shared" si="184"/>
        <v>0</v>
      </c>
      <c r="AF74" s="418">
        <f t="shared" si="185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86"/>
        <v>0</v>
      </c>
      <c r="AM74" s="418">
        <f t="shared" si="187"/>
        <v>0</v>
      </c>
      <c r="AN74" s="418">
        <f t="shared" si="188"/>
        <v>0</v>
      </c>
      <c r="AO74" s="418">
        <f t="shared" si="189"/>
        <v>0</v>
      </c>
      <c r="AP74" s="418">
        <f t="shared" si="189"/>
        <v>0</v>
      </c>
      <c r="AQ74" s="418">
        <f t="shared" si="190"/>
        <v>0</v>
      </c>
      <c r="AR74" s="68">
        <f t="shared" si="191"/>
        <v>0</v>
      </c>
      <c r="AS74" s="68">
        <f t="shared" si="192"/>
        <v>0</v>
      </c>
      <c r="AT74" s="418">
        <v>0</v>
      </c>
      <c r="AU74" s="418">
        <v>0</v>
      </c>
      <c r="AV74" s="418">
        <f t="shared" si="193"/>
        <v>0</v>
      </c>
      <c r="AW74" s="418">
        <f t="shared" si="194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95"/>
        <v>0</v>
      </c>
      <c r="BG74" s="419">
        <f t="shared" si="196"/>
        <v>0</v>
      </c>
      <c r="BH74" s="421">
        <f t="shared" si="197"/>
        <v>0</v>
      </c>
      <c r="BI74" s="424">
        <f t="shared" si="198"/>
        <v>3156261</v>
      </c>
      <c r="BJ74" s="780">
        <f t="shared" si="199"/>
        <v>2313907</v>
      </c>
      <c r="BK74" s="418">
        <f t="shared" si="200"/>
        <v>2042091</v>
      </c>
      <c r="BL74" s="418">
        <f t="shared" si="200"/>
        <v>271816</v>
      </c>
      <c r="BM74" s="418">
        <f t="shared" si="201"/>
        <v>5000</v>
      </c>
      <c r="BN74" s="418">
        <f t="shared" si="202"/>
        <v>5000</v>
      </c>
      <c r="BO74" s="418">
        <f t="shared" si="202"/>
        <v>0</v>
      </c>
      <c r="BP74" s="418">
        <f t="shared" si="203"/>
        <v>783790</v>
      </c>
      <c r="BQ74" s="418">
        <f t="shared" si="203"/>
        <v>23139</v>
      </c>
      <c r="BR74" s="418">
        <f t="shared" si="204"/>
        <v>30425</v>
      </c>
      <c r="BS74" s="419">
        <f t="shared" si="205"/>
        <v>4.1926999999999994</v>
      </c>
      <c r="BT74" s="419">
        <f t="shared" si="206"/>
        <v>3.4998999999999998</v>
      </c>
      <c r="BU74" s="421">
        <f t="shared" si="206"/>
        <v>0.69279999999999997</v>
      </c>
      <c r="BV74" s="420"/>
      <c r="BW74" s="415"/>
      <c r="BX74" s="415"/>
      <c r="BY74" s="415"/>
      <c r="BZ74" s="415"/>
      <c r="CA74" s="510"/>
    </row>
    <row r="75" spans="1:79" ht="12.95" customHeight="1" x14ac:dyDescent="0.25">
      <c r="A75" s="280">
        <v>12</v>
      </c>
      <c r="B75" s="321">
        <v>5431</v>
      </c>
      <c r="C75" s="322">
        <v>600099016</v>
      </c>
      <c r="D75" s="281">
        <v>70698112</v>
      </c>
      <c r="E75" s="348" t="s">
        <v>430</v>
      </c>
      <c r="F75" s="321">
        <v>3117</v>
      </c>
      <c r="G75" s="284" t="s">
        <v>291</v>
      </c>
      <c r="H75" s="645" t="s">
        <v>272</v>
      </c>
      <c r="I75" s="420">
        <v>745597</v>
      </c>
      <c r="J75" s="415">
        <v>553113</v>
      </c>
      <c r="K75" s="415">
        <v>553113</v>
      </c>
      <c r="L75" s="415">
        <v>0</v>
      </c>
      <c r="M75" s="415">
        <v>0</v>
      </c>
      <c r="N75" s="415">
        <v>0</v>
      </c>
      <c r="O75" s="415">
        <v>0</v>
      </c>
      <c r="P75" s="68">
        <v>186952</v>
      </c>
      <c r="Q75" s="68">
        <v>5532</v>
      </c>
      <c r="R75" s="415">
        <v>0</v>
      </c>
      <c r="S75" s="416">
        <v>1.63</v>
      </c>
      <c r="T75" s="417">
        <v>1.63</v>
      </c>
      <c r="U75" s="423">
        <v>0</v>
      </c>
      <c r="V75" s="424">
        <f t="shared" si="182"/>
        <v>0</v>
      </c>
      <c r="W75" s="418">
        <f t="shared" si="182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83"/>
        <v>0</v>
      </c>
      <c r="AE75" s="418">
        <f t="shared" si="184"/>
        <v>0</v>
      </c>
      <c r="AF75" s="418">
        <f t="shared" si="185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86"/>
        <v>0</v>
      </c>
      <c r="AM75" s="418">
        <f t="shared" si="187"/>
        <v>0</v>
      </c>
      <c r="AN75" s="418">
        <f t="shared" si="188"/>
        <v>0</v>
      </c>
      <c r="AO75" s="418">
        <f t="shared" si="189"/>
        <v>0</v>
      </c>
      <c r="AP75" s="418">
        <f t="shared" si="189"/>
        <v>0</v>
      </c>
      <c r="AQ75" s="418">
        <f t="shared" si="190"/>
        <v>0</v>
      </c>
      <c r="AR75" s="68">
        <f t="shared" si="191"/>
        <v>0</v>
      </c>
      <c r="AS75" s="68">
        <f t="shared" si="192"/>
        <v>0</v>
      </c>
      <c r="AT75" s="418">
        <v>0</v>
      </c>
      <c r="AU75" s="418">
        <v>0</v>
      </c>
      <c r="AV75" s="418">
        <f t="shared" si="193"/>
        <v>0</v>
      </c>
      <c r="AW75" s="418">
        <f t="shared" si="194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95"/>
        <v>0</v>
      </c>
      <c r="BG75" s="419">
        <f t="shared" si="196"/>
        <v>0</v>
      </c>
      <c r="BH75" s="421">
        <f t="shared" si="197"/>
        <v>0</v>
      </c>
      <c r="BI75" s="424">
        <f t="shared" si="198"/>
        <v>745597</v>
      </c>
      <c r="BJ75" s="780">
        <f t="shared" si="199"/>
        <v>553113</v>
      </c>
      <c r="BK75" s="418">
        <f t="shared" si="200"/>
        <v>553113</v>
      </c>
      <c r="BL75" s="418">
        <f t="shared" si="200"/>
        <v>0</v>
      </c>
      <c r="BM75" s="418">
        <f t="shared" si="201"/>
        <v>0</v>
      </c>
      <c r="BN75" s="418">
        <f t="shared" si="202"/>
        <v>0</v>
      </c>
      <c r="BO75" s="418">
        <f t="shared" si="202"/>
        <v>0</v>
      </c>
      <c r="BP75" s="418">
        <f t="shared" si="203"/>
        <v>186952</v>
      </c>
      <c r="BQ75" s="418">
        <f t="shared" si="203"/>
        <v>5532</v>
      </c>
      <c r="BR75" s="418">
        <f t="shared" si="204"/>
        <v>0</v>
      </c>
      <c r="BS75" s="419">
        <f t="shared" si="205"/>
        <v>1.63</v>
      </c>
      <c r="BT75" s="419">
        <f t="shared" si="206"/>
        <v>1.63</v>
      </c>
      <c r="BU75" s="421">
        <f t="shared" si="206"/>
        <v>0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80">
        <v>12</v>
      </c>
      <c r="B76" s="321">
        <v>5431</v>
      </c>
      <c r="C76" s="322">
        <v>600099016</v>
      </c>
      <c r="D76" s="281">
        <v>70698112</v>
      </c>
      <c r="E76" s="348" t="s">
        <v>430</v>
      </c>
      <c r="F76" s="321">
        <v>3141</v>
      </c>
      <c r="G76" s="345" t="s">
        <v>294</v>
      </c>
      <c r="H76" s="645" t="s">
        <v>272</v>
      </c>
      <c r="I76" s="420">
        <v>478118</v>
      </c>
      <c r="J76" s="415">
        <v>343489</v>
      </c>
      <c r="K76" s="415">
        <v>0</v>
      </c>
      <c r="L76" s="415">
        <v>343489</v>
      </c>
      <c r="M76" s="415">
        <v>10000</v>
      </c>
      <c r="N76" s="415">
        <v>0</v>
      </c>
      <c r="O76" s="415">
        <v>10000</v>
      </c>
      <c r="P76" s="68">
        <v>119479</v>
      </c>
      <c r="Q76" s="68">
        <v>3435</v>
      </c>
      <c r="R76" s="415">
        <v>1715</v>
      </c>
      <c r="S76" s="416">
        <v>1.06</v>
      </c>
      <c r="T76" s="417">
        <v>0</v>
      </c>
      <c r="U76" s="423">
        <v>1.06</v>
      </c>
      <c r="V76" s="424">
        <f t="shared" si="182"/>
        <v>0</v>
      </c>
      <c r="W76" s="418">
        <f t="shared" si="182"/>
        <v>0</v>
      </c>
      <c r="X76" s="418">
        <v>0</v>
      </c>
      <c r="Y76" s="418">
        <v>0</v>
      </c>
      <c r="Z76" s="418">
        <v>0</v>
      </c>
      <c r="AA76" s="418">
        <v>175578</v>
      </c>
      <c r="AB76" s="418">
        <v>0</v>
      </c>
      <c r="AC76" s="418">
        <v>0</v>
      </c>
      <c r="AD76" s="418">
        <f t="shared" si="183"/>
        <v>0</v>
      </c>
      <c r="AE76" s="418">
        <f t="shared" si="184"/>
        <v>175578</v>
      </c>
      <c r="AF76" s="418">
        <f t="shared" si="185"/>
        <v>175578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86"/>
        <v>0</v>
      </c>
      <c r="AM76" s="418">
        <f t="shared" si="187"/>
        <v>0</v>
      </c>
      <c r="AN76" s="418">
        <f t="shared" si="188"/>
        <v>0</v>
      </c>
      <c r="AO76" s="418">
        <f t="shared" si="189"/>
        <v>0</v>
      </c>
      <c r="AP76" s="418">
        <f t="shared" si="189"/>
        <v>175578</v>
      </c>
      <c r="AQ76" s="418">
        <f t="shared" si="190"/>
        <v>175578</v>
      </c>
      <c r="AR76" s="68">
        <f t="shared" si="191"/>
        <v>59345</v>
      </c>
      <c r="AS76" s="68">
        <f t="shared" si="192"/>
        <v>1756</v>
      </c>
      <c r="AT76" s="418">
        <v>0</v>
      </c>
      <c r="AU76" s="418">
        <v>833</v>
      </c>
      <c r="AV76" s="418">
        <f t="shared" si="193"/>
        <v>833</v>
      </c>
      <c r="AW76" s="418">
        <f t="shared" si="194"/>
        <v>237512</v>
      </c>
      <c r="AX76" s="419">
        <v>0</v>
      </c>
      <c r="AY76" s="419">
        <v>0</v>
      </c>
      <c r="AZ76" s="419">
        <v>0</v>
      </c>
      <c r="BA76" s="419">
        <v>0</v>
      </c>
      <c r="BB76" s="419">
        <v>0.53</v>
      </c>
      <c r="BC76" s="419">
        <v>0</v>
      </c>
      <c r="BD76" s="419">
        <v>0</v>
      </c>
      <c r="BE76" s="419">
        <v>0</v>
      </c>
      <c r="BF76" s="419">
        <f t="shared" si="195"/>
        <v>0</v>
      </c>
      <c r="BG76" s="419">
        <f t="shared" si="196"/>
        <v>0.53</v>
      </c>
      <c r="BH76" s="421">
        <f t="shared" si="197"/>
        <v>0.53</v>
      </c>
      <c r="BI76" s="424">
        <f t="shared" si="198"/>
        <v>715630</v>
      </c>
      <c r="BJ76" s="780">
        <f t="shared" si="199"/>
        <v>519067</v>
      </c>
      <c r="BK76" s="418">
        <f t="shared" si="200"/>
        <v>0</v>
      </c>
      <c r="BL76" s="418">
        <f t="shared" si="200"/>
        <v>519067</v>
      </c>
      <c r="BM76" s="418">
        <f t="shared" si="201"/>
        <v>10000</v>
      </c>
      <c r="BN76" s="418">
        <f t="shared" si="202"/>
        <v>0</v>
      </c>
      <c r="BO76" s="418">
        <f t="shared" si="202"/>
        <v>10000</v>
      </c>
      <c r="BP76" s="418">
        <f t="shared" si="203"/>
        <v>178824</v>
      </c>
      <c r="BQ76" s="418">
        <f t="shared" si="203"/>
        <v>5191</v>
      </c>
      <c r="BR76" s="418">
        <f t="shared" si="204"/>
        <v>2548</v>
      </c>
      <c r="BS76" s="419">
        <f t="shared" si="205"/>
        <v>1.59</v>
      </c>
      <c r="BT76" s="419">
        <f t="shared" si="206"/>
        <v>0</v>
      </c>
      <c r="BU76" s="421">
        <f t="shared" si="206"/>
        <v>1.59</v>
      </c>
      <c r="BV76" s="420"/>
      <c r="BW76" s="415"/>
      <c r="BX76" s="415"/>
      <c r="BY76" s="415"/>
      <c r="BZ76" s="415"/>
      <c r="CA76" s="510"/>
    </row>
    <row r="77" spans="1:79" ht="12.95" customHeight="1" x14ac:dyDescent="0.25">
      <c r="A77" s="280">
        <v>12</v>
      </c>
      <c r="B77" s="321">
        <v>5431</v>
      </c>
      <c r="C77" s="322">
        <v>600099016</v>
      </c>
      <c r="D77" s="281">
        <v>70698112</v>
      </c>
      <c r="E77" s="348" t="s">
        <v>430</v>
      </c>
      <c r="F77" s="321">
        <v>3143</v>
      </c>
      <c r="G77" s="284" t="s">
        <v>595</v>
      </c>
      <c r="H77" s="645" t="s">
        <v>271</v>
      </c>
      <c r="I77" s="420">
        <v>421186</v>
      </c>
      <c r="J77" s="415">
        <v>312452</v>
      </c>
      <c r="K77" s="415">
        <v>312452</v>
      </c>
      <c r="L77" s="415">
        <v>0</v>
      </c>
      <c r="M77" s="415">
        <v>0</v>
      </c>
      <c r="N77" s="415">
        <v>0</v>
      </c>
      <c r="O77" s="415">
        <v>0</v>
      </c>
      <c r="P77" s="68">
        <v>105609</v>
      </c>
      <c r="Q77" s="68">
        <v>3125</v>
      </c>
      <c r="R77" s="415">
        <v>0</v>
      </c>
      <c r="S77" s="416">
        <v>0.67800000000000005</v>
      </c>
      <c r="T77" s="417">
        <v>0.67800000000000005</v>
      </c>
      <c r="U77" s="423">
        <v>0</v>
      </c>
      <c r="V77" s="424">
        <f t="shared" si="182"/>
        <v>0</v>
      </c>
      <c r="W77" s="418">
        <f t="shared" si="182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83"/>
        <v>0</v>
      </c>
      <c r="AE77" s="418">
        <f t="shared" si="184"/>
        <v>0</v>
      </c>
      <c r="AF77" s="418">
        <f t="shared" si="185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86"/>
        <v>0</v>
      </c>
      <c r="AM77" s="418">
        <f t="shared" si="187"/>
        <v>0</v>
      </c>
      <c r="AN77" s="418">
        <f t="shared" si="188"/>
        <v>0</v>
      </c>
      <c r="AO77" s="418">
        <f t="shared" si="189"/>
        <v>0</v>
      </c>
      <c r="AP77" s="418">
        <f t="shared" si="189"/>
        <v>0</v>
      </c>
      <c r="AQ77" s="418">
        <f t="shared" si="190"/>
        <v>0</v>
      </c>
      <c r="AR77" s="68">
        <f t="shared" si="191"/>
        <v>0</v>
      </c>
      <c r="AS77" s="68">
        <f t="shared" si="192"/>
        <v>0</v>
      </c>
      <c r="AT77" s="418">
        <v>0</v>
      </c>
      <c r="AU77" s="418">
        <v>0</v>
      </c>
      <c r="AV77" s="418">
        <f t="shared" si="193"/>
        <v>0</v>
      </c>
      <c r="AW77" s="418">
        <f t="shared" si="194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95"/>
        <v>0</v>
      </c>
      <c r="BG77" s="419">
        <f t="shared" si="196"/>
        <v>0</v>
      </c>
      <c r="BH77" s="421">
        <f t="shared" si="197"/>
        <v>0</v>
      </c>
      <c r="BI77" s="424">
        <f t="shared" si="198"/>
        <v>421186</v>
      </c>
      <c r="BJ77" s="780">
        <f t="shared" si="199"/>
        <v>312452</v>
      </c>
      <c r="BK77" s="418">
        <f t="shared" si="200"/>
        <v>312452</v>
      </c>
      <c r="BL77" s="418">
        <f t="shared" si="200"/>
        <v>0</v>
      </c>
      <c r="BM77" s="418">
        <f t="shared" si="201"/>
        <v>0</v>
      </c>
      <c r="BN77" s="418">
        <f t="shared" si="202"/>
        <v>0</v>
      </c>
      <c r="BO77" s="418">
        <f t="shared" si="202"/>
        <v>0</v>
      </c>
      <c r="BP77" s="418">
        <f t="shared" si="203"/>
        <v>105609</v>
      </c>
      <c r="BQ77" s="418">
        <f t="shared" si="203"/>
        <v>3125</v>
      </c>
      <c r="BR77" s="418">
        <f t="shared" si="204"/>
        <v>0</v>
      </c>
      <c r="BS77" s="419">
        <f t="shared" si="205"/>
        <v>0.67800000000000005</v>
      </c>
      <c r="BT77" s="419">
        <f t="shared" si="206"/>
        <v>0.67800000000000005</v>
      </c>
      <c r="BU77" s="421">
        <f t="shared" si="206"/>
        <v>0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80">
        <v>12</v>
      </c>
      <c r="B78" s="321">
        <v>5431</v>
      </c>
      <c r="C78" s="322">
        <v>600099016</v>
      </c>
      <c r="D78" s="281">
        <v>70698112</v>
      </c>
      <c r="E78" s="348" t="s">
        <v>430</v>
      </c>
      <c r="F78" s="321">
        <v>3143</v>
      </c>
      <c r="G78" s="284" t="s">
        <v>596</v>
      </c>
      <c r="H78" s="645" t="s">
        <v>272</v>
      </c>
      <c r="I78" s="420">
        <v>10253</v>
      </c>
      <c r="J78" s="415">
        <v>7339</v>
      </c>
      <c r="K78" s="415">
        <v>0</v>
      </c>
      <c r="L78" s="415">
        <v>7339</v>
      </c>
      <c r="M78" s="415">
        <v>0</v>
      </c>
      <c r="N78" s="415">
        <v>0</v>
      </c>
      <c r="O78" s="415">
        <v>0</v>
      </c>
      <c r="P78" s="68">
        <v>2481</v>
      </c>
      <c r="Q78" s="68">
        <v>73</v>
      </c>
      <c r="R78" s="415">
        <v>360</v>
      </c>
      <c r="S78" s="416">
        <v>2.7799999999999998E-2</v>
      </c>
      <c r="T78" s="417">
        <v>0</v>
      </c>
      <c r="U78" s="423">
        <v>2.7799999999999998E-2</v>
      </c>
      <c r="V78" s="424">
        <f t="shared" si="182"/>
        <v>0</v>
      </c>
      <c r="W78" s="418">
        <f t="shared" si="182"/>
        <v>0</v>
      </c>
      <c r="X78" s="418">
        <v>0</v>
      </c>
      <c r="Y78" s="418">
        <v>0</v>
      </c>
      <c r="Z78" s="418">
        <v>0</v>
      </c>
      <c r="AA78" s="418">
        <v>3661</v>
      </c>
      <c r="AB78" s="418">
        <v>0</v>
      </c>
      <c r="AC78" s="418">
        <v>0</v>
      </c>
      <c r="AD78" s="418">
        <f t="shared" si="183"/>
        <v>0</v>
      </c>
      <c r="AE78" s="418">
        <f t="shared" si="184"/>
        <v>3661</v>
      </c>
      <c r="AF78" s="418">
        <f t="shared" si="185"/>
        <v>3661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86"/>
        <v>0</v>
      </c>
      <c r="AM78" s="418">
        <f t="shared" si="187"/>
        <v>0</v>
      </c>
      <c r="AN78" s="418">
        <f t="shared" si="188"/>
        <v>0</v>
      </c>
      <c r="AO78" s="418">
        <f t="shared" si="189"/>
        <v>0</v>
      </c>
      <c r="AP78" s="418">
        <f t="shared" si="189"/>
        <v>3661</v>
      </c>
      <c r="AQ78" s="418">
        <f t="shared" si="190"/>
        <v>3661</v>
      </c>
      <c r="AR78" s="68">
        <f t="shared" si="191"/>
        <v>1237</v>
      </c>
      <c r="AS78" s="68">
        <f t="shared" si="192"/>
        <v>37</v>
      </c>
      <c r="AT78" s="418">
        <v>0</v>
      </c>
      <c r="AU78" s="418">
        <v>180</v>
      </c>
      <c r="AV78" s="418">
        <f t="shared" si="193"/>
        <v>180</v>
      </c>
      <c r="AW78" s="418">
        <f t="shared" si="194"/>
        <v>5115</v>
      </c>
      <c r="AX78" s="419">
        <v>0</v>
      </c>
      <c r="AY78" s="419">
        <v>0</v>
      </c>
      <c r="AZ78" s="419">
        <v>0</v>
      </c>
      <c r="BA78" s="419">
        <v>0</v>
      </c>
      <c r="BB78" s="419">
        <v>0.01</v>
      </c>
      <c r="BC78" s="419">
        <v>0</v>
      </c>
      <c r="BD78" s="419">
        <v>0</v>
      </c>
      <c r="BE78" s="419">
        <v>0</v>
      </c>
      <c r="BF78" s="419">
        <f t="shared" si="195"/>
        <v>0</v>
      </c>
      <c r="BG78" s="419">
        <f t="shared" si="196"/>
        <v>0.01</v>
      </c>
      <c r="BH78" s="421">
        <f t="shared" si="197"/>
        <v>0.01</v>
      </c>
      <c r="BI78" s="424">
        <f t="shared" si="198"/>
        <v>15368</v>
      </c>
      <c r="BJ78" s="780">
        <f t="shared" si="199"/>
        <v>11000</v>
      </c>
      <c r="BK78" s="418">
        <f t="shared" si="200"/>
        <v>0</v>
      </c>
      <c r="BL78" s="418">
        <f t="shared" si="200"/>
        <v>11000</v>
      </c>
      <c r="BM78" s="418">
        <f t="shared" si="201"/>
        <v>0</v>
      </c>
      <c r="BN78" s="418">
        <f t="shared" si="202"/>
        <v>0</v>
      </c>
      <c r="BO78" s="418">
        <f t="shared" si="202"/>
        <v>0</v>
      </c>
      <c r="BP78" s="418">
        <f t="shared" si="203"/>
        <v>3718</v>
      </c>
      <c r="BQ78" s="418">
        <f t="shared" si="203"/>
        <v>110</v>
      </c>
      <c r="BR78" s="418">
        <f t="shared" si="204"/>
        <v>540</v>
      </c>
      <c r="BS78" s="419">
        <f t="shared" si="205"/>
        <v>3.78E-2</v>
      </c>
      <c r="BT78" s="419">
        <f t="shared" si="206"/>
        <v>0</v>
      </c>
      <c r="BU78" s="421">
        <f t="shared" si="206"/>
        <v>3.78E-2</v>
      </c>
      <c r="BV78" s="420"/>
      <c r="BW78" s="415"/>
      <c r="BX78" s="415"/>
      <c r="BY78" s="415"/>
      <c r="BZ78" s="415"/>
      <c r="CA78" s="510"/>
    </row>
    <row r="79" spans="1:79" ht="12.95" customHeight="1" x14ac:dyDescent="0.25">
      <c r="A79" s="646">
        <v>12</v>
      </c>
      <c r="B79" s="325">
        <v>5431</v>
      </c>
      <c r="C79" s="326">
        <v>600099016</v>
      </c>
      <c r="D79" s="325">
        <v>70698112</v>
      </c>
      <c r="E79" s="349" t="s">
        <v>431</v>
      </c>
      <c r="F79" s="352"/>
      <c r="G79" s="353"/>
      <c r="H79" s="649"/>
      <c r="I79" s="478">
        <v>6462264</v>
      </c>
      <c r="J79" s="476">
        <v>4745249</v>
      </c>
      <c r="K79" s="476">
        <v>4056037</v>
      </c>
      <c r="L79" s="476">
        <v>689212</v>
      </c>
      <c r="M79" s="476">
        <v>20000</v>
      </c>
      <c r="N79" s="476">
        <v>10000</v>
      </c>
      <c r="O79" s="476">
        <v>10000</v>
      </c>
      <c r="P79" s="476">
        <v>1610654</v>
      </c>
      <c r="Q79" s="476">
        <v>47453</v>
      </c>
      <c r="R79" s="476">
        <v>38908</v>
      </c>
      <c r="S79" s="477">
        <v>9.8552</v>
      </c>
      <c r="T79" s="477">
        <v>7.8079000000000001</v>
      </c>
      <c r="U79" s="536">
        <v>2.0472999999999999</v>
      </c>
      <c r="V79" s="478">
        <f t="shared" ref="V79:CA79" si="207">SUM(V73:V78)</f>
        <v>0</v>
      </c>
      <c r="W79" s="476">
        <f t="shared" si="207"/>
        <v>0</v>
      </c>
      <c r="X79" s="476">
        <f t="shared" si="207"/>
        <v>0</v>
      </c>
      <c r="Y79" s="476">
        <f t="shared" si="207"/>
        <v>0</v>
      </c>
      <c r="Z79" s="476">
        <f t="shared" si="207"/>
        <v>0</v>
      </c>
      <c r="AA79" s="476">
        <f t="shared" si="207"/>
        <v>179239</v>
      </c>
      <c r="AB79" s="476">
        <f t="shared" si="207"/>
        <v>0</v>
      </c>
      <c r="AC79" s="476">
        <f t="shared" si="207"/>
        <v>0</v>
      </c>
      <c r="AD79" s="476">
        <f t="shared" si="207"/>
        <v>0</v>
      </c>
      <c r="AE79" s="476">
        <f t="shared" si="207"/>
        <v>179239</v>
      </c>
      <c r="AF79" s="476">
        <f t="shared" si="207"/>
        <v>179239</v>
      </c>
      <c r="AG79" s="476">
        <f t="shared" si="207"/>
        <v>0</v>
      </c>
      <c r="AH79" s="476">
        <f t="shared" si="207"/>
        <v>0</v>
      </c>
      <c r="AI79" s="476">
        <f t="shared" si="207"/>
        <v>0</v>
      </c>
      <c r="AJ79" s="476">
        <f t="shared" si="207"/>
        <v>0</v>
      </c>
      <c r="AK79" s="476">
        <f t="shared" si="207"/>
        <v>0</v>
      </c>
      <c r="AL79" s="476">
        <f t="shared" si="207"/>
        <v>0</v>
      </c>
      <c r="AM79" s="476">
        <f t="shared" si="207"/>
        <v>0</v>
      </c>
      <c r="AN79" s="476">
        <f t="shared" si="207"/>
        <v>0</v>
      </c>
      <c r="AO79" s="476">
        <f t="shared" si="207"/>
        <v>0</v>
      </c>
      <c r="AP79" s="476">
        <f t="shared" si="207"/>
        <v>179239</v>
      </c>
      <c r="AQ79" s="476">
        <f t="shared" si="207"/>
        <v>179239</v>
      </c>
      <c r="AR79" s="476">
        <f t="shared" si="207"/>
        <v>60582</v>
      </c>
      <c r="AS79" s="476">
        <f t="shared" si="207"/>
        <v>1793</v>
      </c>
      <c r="AT79" s="476">
        <f t="shared" si="207"/>
        <v>0</v>
      </c>
      <c r="AU79" s="476">
        <f t="shared" si="207"/>
        <v>1013</v>
      </c>
      <c r="AV79" s="476">
        <f t="shared" si="207"/>
        <v>1013</v>
      </c>
      <c r="AW79" s="476">
        <f t="shared" si="207"/>
        <v>242627</v>
      </c>
      <c r="AX79" s="477">
        <f t="shared" si="207"/>
        <v>0</v>
      </c>
      <c r="AY79" s="477">
        <f t="shared" si="207"/>
        <v>0</v>
      </c>
      <c r="AZ79" s="477">
        <f t="shared" si="207"/>
        <v>0</v>
      </c>
      <c r="BA79" s="477">
        <f t="shared" si="207"/>
        <v>0</v>
      </c>
      <c r="BB79" s="477">
        <f t="shared" ref="BB79" si="208">SUM(BB73:BB78)</f>
        <v>0.54</v>
      </c>
      <c r="BC79" s="477">
        <f t="shared" si="207"/>
        <v>0</v>
      </c>
      <c r="BD79" s="477">
        <f t="shared" si="207"/>
        <v>0</v>
      </c>
      <c r="BE79" s="477">
        <f t="shared" ref="BE79" si="209">SUM(BE73:BE78)</f>
        <v>0</v>
      </c>
      <c r="BF79" s="477">
        <f t="shared" si="207"/>
        <v>0</v>
      </c>
      <c r="BG79" s="477">
        <f t="shared" si="207"/>
        <v>0.54</v>
      </c>
      <c r="BH79" s="351">
        <f t="shared" si="207"/>
        <v>0.54</v>
      </c>
      <c r="BI79" s="478">
        <f t="shared" si="207"/>
        <v>6704891</v>
      </c>
      <c r="BJ79" s="782">
        <f t="shared" si="207"/>
        <v>4924488</v>
      </c>
      <c r="BK79" s="476">
        <f t="shared" si="207"/>
        <v>4056037</v>
      </c>
      <c r="BL79" s="476">
        <f t="shared" si="207"/>
        <v>868451</v>
      </c>
      <c r="BM79" s="476">
        <f t="shared" si="207"/>
        <v>20000</v>
      </c>
      <c r="BN79" s="476">
        <f t="shared" si="207"/>
        <v>10000</v>
      </c>
      <c r="BO79" s="476">
        <f t="shared" si="207"/>
        <v>10000</v>
      </c>
      <c r="BP79" s="476">
        <f t="shared" si="207"/>
        <v>1671236</v>
      </c>
      <c r="BQ79" s="476">
        <f t="shared" si="207"/>
        <v>49246</v>
      </c>
      <c r="BR79" s="476">
        <f t="shared" si="207"/>
        <v>39921</v>
      </c>
      <c r="BS79" s="477">
        <f t="shared" si="207"/>
        <v>10.395200000000001</v>
      </c>
      <c r="BT79" s="477">
        <f t="shared" si="207"/>
        <v>7.8079000000000001</v>
      </c>
      <c r="BU79" s="351">
        <f t="shared" si="207"/>
        <v>2.5872999999999999</v>
      </c>
      <c r="BV79" s="864">
        <f t="shared" si="207"/>
        <v>0</v>
      </c>
      <c r="BW79" s="729">
        <f t="shared" si="207"/>
        <v>0</v>
      </c>
      <c r="BX79" s="729">
        <f t="shared" si="207"/>
        <v>0</v>
      </c>
      <c r="BY79" s="729">
        <f t="shared" si="207"/>
        <v>0</v>
      </c>
      <c r="BZ79" s="729">
        <f t="shared" si="207"/>
        <v>0</v>
      </c>
      <c r="CA79" s="865">
        <f t="shared" si="207"/>
        <v>0</v>
      </c>
    </row>
    <row r="80" spans="1:79" ht="12.95" customHeight="1" x14ac:dyDescent="0.25">
      <c r="A80" s="280">
        <v>13</v>
      </c>
      <c r="B80" s="321">
        <v>5487</v>
      </c>
      <c r="C80" s="322">
        <v>600098796</v>
      </c>
      <c r="D80" s="281">
        <v>71006753</v>
      </c>
      <c r="E80" s="348" t="s">
        <v>432</v>
      </c>
      <c r="F80" s="321">
        <v>3111</v>
      </c>
      <c r="G80" s="345" t="s">
        <v>304</v>
      </c>
      <c r="H80" s="645" t="s">
        <v>271</v>
      </c>
      <c r="I80" s="420">
        <v>1205426</v>
      </c>
      <c r="J80" s="415">
        <v>859695</v>
      </c>
      <c r="K80" s="415">
        <v>800250</v>
      </c>
      <c r="L80" s="415">
        <v>59445</v>
      </c>
      <c r="M80" s="415">
        <v>33000</v>
      </c>
      <c r="N80" s="415">
        <v>0</v>
      </c>
      <c r="O80" s="415">
        <v>33000</v>
      </c>
      <c r="P80" s="68">
        <v>301731</v>
      </c>
      <c r="Q80" s="68">
        <v>8597</v>
      </c>
      <c r="R80" s="415">
        <v>2403</v>
      </c>
      <c r="S80" s="416">
        <v>1.7874999999999999</v>
      </c>
      <c r="T80" s="417">
        <v>1.5980000000000001</v>
      </c>
      <c r="U80" s="423">
        <v>0.18949999999999997</v>
      </c>
      <c r="V80" s="424">
        <f t="shared" ref="V80:W82" si="210">AG80*-1</f>
        <v>0</v>
      </c>
      <c r="W80" s="418">
        <f t="shared" si="210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ref="AO80:AP82" si="211">AD80+AL80</f>
        <v>0</v>
      </c>
      <c r="AP80" s="418">
        <f t="shared" si="211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8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421">
        <f>SUM(BF80:BG80)</f>
        <v>0</v>
      </c>
      <c r="BI80" s="424">
        <f>I80+AW80</f>
        <v>1205426</v>
      </c>
      <c r="BJ80" s="780">
        <f>J80+AF80</f>
        <v>859695</v>
      </c>
      <c r="BK80" s="418">
        <f t="shared" ref="BK80:BL82" si="212">K80+AD80</f>
        <v>800250</v>
      </c>
      <c r="BL80" s="418">
        <f t="shared" si="212"/>
        <v>59445</v>
      </c>
      <c r="BM80" s="418">
        <f>M80+AN80</f>
        <v>33000</v>
      </c>
      <c r="BN80" s="418">
        <f t="shared" ref="BN80:BO82" si="213">N80+AL80</f>
        <v>0</v>
      </c>
      <c r="BO80" s="418">
        <f t="shared" si="213"/>
        <v>33000</v>
      </c>
      <c r="BP80" s="418">
        <f t="shared" ref="BP80:BQ82" si="214">P80+AR80</f>
        <v>301731</v>
      </c>
      <c r="BQ80" s="418">
        <f t="shared" si="214"/>
        <v>8597</v>
      </c>
      <c r="BR80" s="418">
        <f>R80+AV80</f>
        <v>2403</v>
      </c>
      <c r="BS80" s="419">
        <f>S80+BH80</f>
        <v>1.7874999999999999</v>
      </c>
      <c r="BT80" s="419">
        <f t="shared" ref="BT80:BU82" si="215">T80+BF80</f>
        <v>1.5980000000000001</v>
      </c>
      <c r="BU80" s="421">
        <f t="shared" si="215"/>
        <v>0.18949999999999997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280">
        <v>13</v>
      </c>
      <c r="B81" s="321">
        <v>5487</v>
      </c>
      <c r="C81" s="322">
        <v>600098796</v>
      </c>
      <c r="D81" s="281">
        <v>71006753</v>
      </c>
      <c r="E81" s="348" t="s">
        <v>432</v>
      </c>
      <c r="F81" s="321">
        <v>3111</v>
      </c>
      <c r="G81" s="284" t="s">
        <v>291</v>
      </c>
      <c r="H81" s="645" t="s">
        <v>272</v>
      </c>
      <c r="I81" s="420">
        <v>0</v>
      </c>
      <c r="J81" s="415">
        <v>0</v>
      </c>
      <c r="K81" s="415">
        <v>0</v>
      </c>
      <c r="L81" s="415">
        <v>0</v>
      </c>
      <c r="M81" s="415">
        <v>0</v>
      </c>
      <c r="N81" s="415">
        <v>0</v>
      </c>
      <c r="O81" s="415">
        <v>0</v>
      </c>
      <c r="P81" s="68">
        <v>0</v>
      </c>
      <c r="Q81" s="68">
        <v>0</v>
      </c>
      <c r="R81" s="415">
        <v>0</v>
      </c>
      <c r="S81" s="416">
        <v>0</v>
      </c>
      <c r="T81" s="417">
        <v>0</v>
      </c>
      <c r="U81" s="423">
        <v>0</v>
      </c>
      <c r="V81" s="424">
        <f t="shared" si="210"/>
        <v>0</v>
      </c>
      <c r="W81" s="418">
        <f t="shared" si="210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>AG81+AI81+AJ81</f>
        <v>0</v>
      </c>
      <c r="AM81" s="418">
        <f>AH81+AK81</f>
        <v>0</v>
      </c>
      <c r="AN81" s="418">
        <f>SUM(AL81:AM81)</f>
        <v>0</v>
      </c>
      <c r="AO81" s="418">
        <f t="shared" si="211"/>
        <v>0</v>
      </c>
      <c r="AP81" s="418">
        <f t="shared" si="211"/>
        <v>0</v>
      </c>
      <c r="AQ81" s="418">
        <f>SUM(AO81:AP81)</f>
        <v>0</v>
      </c>
      <c r="AR81" s="68">
        <f>ROUND((AF81+AG81+AH81+AI81)*33.8%,0)</f>
        <v>0</v>
      </c>
      <c r="AS81" s="68">
        <f>ROUND(AF81*1%,0)</f>
        <v>0</v>
      </c>
      <c r="AT81" s="418">
        <v>0</v>
      </c>
      <c r="AU81" s="418">
        <v>0</v>
      </c>
      <c r="AV81" s="418">
        <f>AT81+AU81</f>
        <v>0</v>
      </c>
      <c r="AW81" s="418">
        <f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>AX81+AZ81+BA81+BC81+BD81</f>
        <v>0</v>
      </c>
      <c r="BG81" s="419">
        <f>AY81+BB81+BE81</f>
        <v>0</v>
      </c>
      <c r="BH81" s="421">
        <f>SUM(BF81:BG81)</f>
        <v>0</v>
      </c>
      <c r="BI81" s="424">
        <f>I81+AW81</f>
        <v>0</v>
      </c>
      <c r="BJ81" s="780">
        <f>J81+AF81</f>
        <v>0</v>
      </c>
      <c r="BK81" s="418">
        <f t="shared" si="212"/>
        <v>0</v>
      </c>
      <c r="BL81" s="418">
        <f t="shared" si="212"/>
        <v>0</v>
      </c>
      <c r="BM81" s="418">
        <f>M81+AN81</f>
        <v>0</v>
      </c>
      <c r="BN81" s="418">
        <f t="shared" si="213"/>
        <v>0</v>
      </c>
      <c r="BO81" s="418">
        <f t="shared" si="213"/>
        <v>0</v>
      </c>
      <c r="BP81" s="418">
        <f t="shared" si="214"/>
        <v>0</v>
      </c>
      <c r="BQ81" s="418">
        <f t="shared" si="214"/>
        <v>0</v>
      </c>
      <c r="BR81" s="418">
        <f>R81+AV81</f>
        <v>0</v>
      </c>
      <c r="BS81" s="419">
        <f>S81+BH81</f>
        <v>0</v>
      </c>
      <c r="BT81" s="419">
        <f t="shared" si="215"/>
        <v>0</v>
      </c>
      <c r="BU81" s="421">
        <f t="shared" si="215"/>
        <v>0</v>
      </c>
      <c r="BV81" s="420"/>
      <c r="BW81" s="415"/>
      <c r="BX81" s="415"/>
      <c r="BY81" s="415"/>
      <c r="BZ81" s="415"/>
      <c r="CA81" s="510"/>
    </row>
    <row r="82" spans="1:79" ht="12.95" customHeight="1" x14ac:dyDescent="0.25">
      <c r="A82" s="280">
        <v>13</v>
      </c>
      <c r="B82" s="321">
        <v>5487</v>
      </c>
      <c r="C82" s="322">
        <v>600098796</v>
      </c>
      <c r="D82" s="281">
        <v>71006753</v>
      </c>
      <c r="E82" s="348" t="s">
        <v>432</v>
      </c>
      <c r="F82" s="321">
        <v>3141</v>
      </c>
      <c r="G82" s="345" t="s">
        <v>294</v>
      </c>
      <c r="H82" s="645" t="s">
        <v>272</v>
      </c>
      <c r="I82" s="420">
        <v>114181</v>
      </c>
      <c r="J82" s="415">
        <v>84470</v>
      </c>
      <c r="K82" s="415">
        <v>0</v>
      </c>
      <c r="L82" s="415">
        <v>84470</v>
      </c>
      <c r="M82" s="415">
        <v>0</v>
      </c>
      <c r="N82" s="415">
        <v>0</v>
      </c>
      <c r="O82" s="415">
        <v>0</v>
      </c>
      <c r="P82" s="68">
        <v>28551</v>
      </c>
      <c r="Q82" s="68">
        <v>845</v>
      </c>
      <c r="R82" s="415">
        <v>315</v>
      </c>
      <c r="S82" s="416">
        <v>0.25330000000000003</v>
      </c>
      <c r="T82" s="417">
        <v>0</v>
      </c>
      <c r="U82" s="423">
        <v>0.25330000000000003</v>
      </c>
      <c r="V82" s="424">
        <f t="shared" si="210"/>
        <v>0</v>
      </c>
      <c r="W82" s="418">
        <f t="shared" si="210"/>
        <v>0</v>
      </c>
      <c r="X82" s="418">
        <v>0</v>
      </c>
      <c r="Y82" s="418">
        <v>0</v>
      </c>
      <c r="Z82" s="418">
        <v>0</v>
      </c>
      <c r="AA82" s="418">
        <v>42106</v>
      </c>
      <c r="AB82" s="418">
        <v>833</v>
      </c>
      <c r="AC82" s="418">
        <v>0</v>
      </c>
      <c r="AD82" s="418">
        <f>V82+X82+Y82+Z82+AB82</f>
        <v>833</v>
      </c>
      <c r="AE82" s="418">
        <f>W82+AA82+AC82</f>
        <v>42106</v>
      </c>
      <c r="AF82" s="418">
        <f>SUM(AD82:AE82)</f>
        <v>42939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si="211"/>
        <v>833</v>
      </c>
      <c r="AP82" s="418">
        <f t="shared" si="211"/>
        <v>42106</v>
      </c>
      <c r="AQ82" s="418">
        <f>SUM(AO82:AP82)</f>
        <v>42939</v>
      </c>
      <c r="AR82" s="68">
        <f>ROUND((AF82+AG82+AH82+AI82)*33.8%,0)</f>
        <v>14513</v>
      </c>
      <c r="AS82" s="68">
        <f>ROUND(AF82*1%,0)</f>
        <v>429</v>
      </c>
      <c r="AT82" s="418">
        <v>0</v>
      </c>
      <c r="AU82" s="418">
        <v>153</v>
      </c>
      <c r="AV82" s="418">
        <f>AT82+AU82</f>
        <v>153</v>
      </c>
      <c r="AW82" s="418">
        <f>AQ82+AR82+AS82+AV82</f>
        <v>58034</v>
      </c>
      <c r="AX82" s="419">
        <v>0</v>
      </c>
      <c r="AY82" s="419">
        <v>0</v>
      </c>
      <c r="AZ82" s="419">
        <v>0</v>
      </c>
      <c r="BA82" s="419">
        <v>0</v>
      </c>
      <c r="BB82" s="419">
        <v>0.13</v>
      </c>
      <c r="BC82" s="41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0.13</v>
      </c>
      <c r="BH82" s="421">
        <f>SUM(BF82:BG82)</f>
        <v>0.13</v>
      </c>
      <c r="BI82" s="424">
        <f>I82+AW82</f>
        <v>172215</v>
      </c>
      <c r="BJ82" s="780">
        <f>J82+AF82</f>
        <v>127409</v>
      </c>
      <c r="BK82" s="418">
        <f t="shared" si="212"/>
        <v>833</v>
      </c>
      <c r="BL82" s="418">
        <f t="shared" si="212"/>
        <v>126576</v>
      </c>
      <c r="BM82" s="418">
        <f>M82+AN82</f>
        <v>0</v>
      </c>
      <c r="BN82" s="418">
        <f t="shared" si="213"/>
        <v>0</v>
      </c>
      <c r="BO82" s="418">
        <f t="shared" si="213"/>
        <v>0</v>
      </c>
      <c r="BP82" s="418">
        <f t="shared" si="214"/>
        <v>43064</v>
      </c>
      <c r="BQ82" s="418">
        <f t="shared" si="214"/>
        <v>1274</v>
      </c>
      <c r="BR82" s="418">
        <f>R82+AV82</f>
        <v>468</v>
      </c>
      <c r="BS82" s="419">
        <f>S82+BH82</f>
        <v>0.38330000000000003</v>
      </c>
      <c r="BT82" s="419">
        <f t="shared" si="215"/>
        <v>0</v>
      </c>
      <c r="BU82" s="421">
        <f t="shared" si="215"/>
        <v>0.38330000000000003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646">
        <v>13</v>
      </c>
      <c r="B83" s="325">
        <v>5487</v>
      </c>
      <c r="C83" s="326">
        <v>600098796</v>
      </c>
      <c r="D83" s="325">
        <v>71006753</v>
      </c>
      <c r="E83" s="349" t="s">
        <v>433</v>
      </c>
      <c r="F83" s="325"/>
      <c r="G83" s="350"/>
      <c r="H83" s="648"/>
      <c r="I83" s="465">
        <v>1319607</v>
      </c>
      <c r="J83" s="461">
        <v>944165</v>
      </c>
      <c r="K83" s="461">
        <v>800250</v>
      </c>
      <c r="L83" s="461">
        <v>143915</v>
      </c>
      <c r="M83" s="461">
        <v>33000</v>
      </c>
      <c r="N83" s="461">
        <v>0</v>
      </c>
      <c r="O83" s="461">
        <v>33000</v>
      </c>
      <c r="P83" s="461">
        <v>330282</v>
      </c>
      <c r="Q83" s="461">
        <v>9442</v>
      </c>
      <c r="R83" s="461">
        <v>2718</v>
      </c>
      <c r="S83" s="462">
        <v>2.0407999999999999</v>
      </c>
      <c r="T83" s="462">
        <v>1.5980000000000001</v>
      </c>
      <c r="U83" s="535">
        <v>0.44279999999999997</v>
      </c>
      <c r="V83" s="465">
        <f t="shared" ref="V83:CA83" si="216">SUM(V80:V82)</f>
        <v>0</v>
      </c>
      <c r="W83" s="461">
        <f t="shared" si="216"/>
        <v>0</v>
      </c>
      <c r="X83" s="461">
        <f t="shared" si="216"/>
        <v>0</v>
      </c>
      <c r="Y83" s="461">
        <f t="shared" si="216"/>
        <v>0</v>
      </c>
      <c r="Z83" s="461">
        <f t="shared" si="216"/>
        <v>0</v>
      </c>
      <c r="AA83" s="461">
        <f t="shared" si="216"/>
        <v>42106</v>
      </c>
      <c r="AB83" s="461">
        <f t="shared" si="216"/>
        <v>833</v>
      </c>
      <c r="AC83" s="461">
        <f t="shared" si="216"/>
        <v>0</v>
      </c>
      <c r="AD83" s="461">
        <f t="shared" si="216"/>
        <v>833</v>
      </c>
      <c r="AE83" s="461">
        <f t="shared" si="216"/>
        <v>42106</v>
      </c>
      <c r="AF83" s="461">
        <f t="shared" si="216"/>
        <v>42939</v>
      </c>
      <c r="AG83" s="461">
        <f t="shared" si="216"/>
        <v>0</v>
      </c>
      <c r="AH83" s="461">
        <f t="shared" si="216"/>
        <v>0</v>
      </c>
      <c r="AI83" s="461">
        <f t="shared" si="216"/>
        <v>0</v>
      </c>
      <c r="AJ83" s="461">
        <f t="shared" si="216"/>
        <v>0</v>
      </c>
      <c r="AK83" s="461">
        <f t="shared" si="216"/>
        <v>0</v>
      </c>
      <c r="AL83" s="461">
        <f t="shared" si="216"/>
        <v>0</v>
      </c>
      <c r="AM83" s="461">
        <f t="shared" si="216"/>
        <v>0</v>
      </c>
      <c r="AN83" s="461">
        <f t="shared" si="216"/>
        <v>0</v>
      </c>
      <c r="AO83" s="461">
        <f t="shared" si="216"/>
        <v>833</v>
      </c>
      <c r="AP83" s="461">
        <f t="shared" si="216"/>
        <v>42106</v>
      </c>
      <c r="AQ83" s="461">
        <f t="shared" si="216"/>
        <v>42939</v>
      </c>
      <c r="AR83" s="461">
        <f t="shared" si="216"/>
        <v>14513</v>
      </c>
      <c r="AS83" s="461">
        <f t="shared" si="216"/>
        <v>429</v>
      </c>
      <c r="AT83" s="461">
        <f t="shared" si="216"/>
        <v>0</v>
      </c>
      <c r="AU83" s="461">
        <f t="shared" si="216"/>
        <v>153</v>
      </c>
      <c r="AV83" s="461">
        <f t="shared" si="216"/>
        <v>153</v>
      </c>
      <c r="AW83" s="461">
        <f t="shared" si="216"/>
        <v>58034</v>
      </c>
      <c r="AX83" s="462">
        <f t="shared" si="216"/>
        <v>0</v>
      </c>
      <c r="AY83" s="462">
        <f t="shared" si="216"/>
        <v>0</v>
      </c>
      <c r="AZ83" s="462">
        <f t="shared" si="216"/>
        <v>0</v>
      </c>
      <c r="BA83" s="462">
        <f t="shared" si="216"/>
        <v>0</v>
      </c>
      <c r="BB83" s="462">
        <f t="shared" ref="BB83" si="217">SUM(BB80:BB82)</f>
        <v>0.13</v>
      </c>
      <c r="BC83" s="462">
        <f t="shared" si="216"/>
        <v>0</v>
      </c>
      <c r="BD83" s="462">
        <f t="shared" si="216"/>
        <v>0</v>
      </c>
      <c r="BE83" s="462">
        <f t="shared" ref="BE83" si="218">SUM(BE80:BE82)</f>
        <v>0</v>
      </c>
      <c r="BF83" s="462">
        <f t="shared" si="216"/>
        <v>0</v>
      </c>
      <c r="BG83" s="462">
        <f t="shared" si="216"/>
        <v>0.13</v>
      </c>
      <c r="BH83" s="279">
        <f t="shared" si="216"/>
        <v>0.13</v>
      </c>
      <c r="BI83" s="465">
        <f t="shared" si="216"/>
        <v>1377641</v>
      </c>
      <c r="BJ83" s="781">
        <f t="shared" si="216"/>
        <v>987104</v>
      </c>
      <c r="BK83" s="461">
        <f t="shared" si="216"/>
        <v>801083</v>
      </c>
      <c r="BL83" s="461">
        <f t="shared" si="216"/>
        <v>186021</v>
      </c>
      <c r="BM83" s="461">
        <f t="shared" si="216"/>
        <v>33000</v>
      </c>
      <c r="BN83" s="461">
        <f t="shared" si="216"/>
        <v>0</v>
      </c>
      <c r="BO83" s="461">
        <f t="shared" si="216"/>
        <v>33000</v>
      </c>
      <c r="BP83" s="461">
        <f t="shared" si="216"/>
        <v>344795</v>
      </c>
      <c r="BQ83" s="461">
        <f t="shared" si="216"/>
        <v>9871</v>
      </c>
      <c r="BR83" s="461">
        <f t="shared" si="216"/>
        <v>2871</v>
      </c>
      <c r="BS83" s="462">
        <f t="shared" si="216"/>
        <v>2.1707999999999998</v>
      </c>
      <c r="BT83" s="462">
        <f t="shared" si="216"/>
        <v>1.5980000000000001</v>
      </c>
      <c r="BU83" s="279">
        <f t="shared" si="216"/>
        <v>0.57279999999999998</v>
      </c>
      <c r="BV83" s="850">
        <f t="shared" si="216"/>
        <v>0</v>
      </c>
      <c r="BW83" s="713">
        <f t="shared" si="216"/>
        <v>0</v>
      </c>
      <c r="BX83" s="713">
        <f t="shared" si="216"/>
        <v>0</v>
      </c>
      <c r="BY83" s="713">
        <f t="shared" si="216"/>
        <v>0</v>
      </c>
      <c r="BZ83" s="713">
        <f t="shared" si="216"/>
        <v>0</v>
      </c>
      <c r="CA83" s="851">
        <f t="shared" si="216"/>
        <v>0</v>
      </c>
    </row>
    <row r="84" spans="1:79" ht="12.95" customHeight="1" x14ac:dyDescent="0.25">
      <c r="A84" s="280">
        <v>14</v>
      </c>
      <c r="B84" s="321">
        <v>5436</v>
      </c>
      <c r="C84" s="322">
        <v>600098800</v>
      </c>
      <c r="D84" s="281">
        <v>72742992</v>
      </c>
      <c r="E84" s="348" t="s">
        <v>434</v>
      </c>
      <c r="F84" s="321">
        <v>3111</v>
      </c>
      <c r="G84" s="345" t="s">
        <v>304</v>
      </c>
      <c r="H84" s="645" t="s">
        <v>271</v>
      </c>
      <c r="I84" s="420">
        <v>3811423</v>
      </c>
      <c r="J84" s="415">
        <v>2788378</v>
      </c>
      <c r="K84" s="415">
        <v>2583258</v>
      </c>
      <c r="L84" s="415">
        <v>205120</v>
      </c>
      <c r="M84" s="415">
        <v>30000</v>
      </c>
      <c r="N84" s="415">
        <v>0</v>
      </c>
      <c r="O84" s="415">
        <v>30000</v>
      </c>
      <c r="P84" s="68">
        <v>952612</v>
      </c>
      <c r="Q84" s="68">
        <v>27884</v>
      </c>
      <c r="R84" s="415">
        <v>12549</v>
      </c>
      <c r="S84" s="416">
        <v>4.8836000000000004</v>
      </c>
      <c r="T84" s="417">
        <v>4.1935000000000002</v>
      </c>
      <c r="U84" s="423">
        <v>0.69009999999999994</v>
      </c>
      <c r="V84" s="424">
        <f t="shared" ref="V84:W86" si="219">AG84*-1</f>
        <v>0</v>
      </c>
      <c r="W84" s="418">
        <f t="shared" si="219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0</v>
      </c>
      <c r="AF84" s="418">
        <f>SUM(AD84:AE84)</f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>AG84+AI84+AJ84</f>
        <v>0</v>
      </c>
      <c r="AM84" s="418">
        <f>AH84+AK84</f>
        <v>0</v>
      </c>
      <c r="AN84" s="418">
        <f>SUM(AL84:AM84)</f>
        <v>0</v>
      </c>
      <c r="AO84" s="418">
        <f t="shared" ref="AO84:AP86" si="220">AD84+AL84</f>
        <v>0</v>
      </c>
      <c r="AP84" s="418">
        <f t="shared" si="220"/>
        <v>0</v>
      </c>
      <c r="AQ84" s="418">
        <f>SUM(AO84:AP84)</f>
        <v>0</v>
      </c>
      <c r="AR84" s="68">
        <f>ROUND((AF84+AG84+AH84+AI84)*33.8%,0)</f>
        <v>0</v>
      </c>
      <c r="AS84" s="68">
        <f>ROUND(AF84*1%,0)</f>
        <v>0</v>
      </c>
      <c r="AT84" s="418">
        <v>0</v>
      </c>
      <c r="AU84" s="418">
        <v>0</v>
      </c>
      <c r="AV84" s="418">
        <f>AT84+AU84</f>
        <v>0</v>
      </c>
      <c r="AW84" s="418">
        <f>AQ84+AR84+AS84+AV84</f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>AX84+AZ84+BA84+BC84+BD84</f>
        <v>0</v>
      </c>
      <c r="BG84" s="419">
        <f>AY84+BB84+BE84</f>
        <v>0</v>
      </c>
      <c r="BH84" s="421">
        <f>SUM(BF84:BG84)</f>
        <v>0</v>
      </c>
      <c r="BI84" s="424">
        <f>I84+AW84</f>
        <v>3811423</v>
      </c>
      <c r="BJ84" s="780">
        <f>J84+AF84</f>
        <v>2788378</v>
      </c>
      <c r="BK84" s="418">
        <f t="shared" ref="BK84:BL86" si="221">K84+AD84</f>
        <v>2583258</v>
      </c>
      <c r="BL84" s="418">
        <f t="shared" si="221"/>
        <v>205120</v>
      </c>
      <c r="BM84" s="418">
        <f>M84+AN84</f>
        <v>30000</v>
      </c>
      <c r="BN84" s="418">
        <f t="shared" ref="BN84:BO86" si="222">N84+AL84</f>
        <v>0</v>
      </c>
      <c r="BO84" s="418">
        <f t="shared" si="222"/>
        <v>30000</v>
      </c>
      <c r="BP84" s="418">
        <f t="shared" ref="BP84:BQ86" si="223">P84+AR84</f>
        <v>952612</v>
      </c>
      <c r="BQ84" s="418">
        <f t="shared" si="223"/>
        <v>27884</v>
      </c>
      <c r="BR84" s="418">
        <f>R84+AV84</f>
        <v>12549</v>
      </c>
      <c r="BS84" s="419">
        <f>S84+BH84</f>
        <v>4.8836000000000004</v>
      </c>
      <c r="BT84" s="419">
        <f t="shared" ref="BT84:BU86" si="224">T84+BF84</f>
        <v>4.1935000000000002</v>
      </c>
      <c r="BU84" s="421">
        <f t="shared" si="224"/>
        <v>0.69009999999999994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80">
        <v>14</v>
      </c>
      <c r="B85" s="321">
        <v>5436</v>
      </c>
      <c r="C85" s="322">
        <v>600098800</v>
      </c>
      <c r="D85" s="281">
        <v>72742992</v>
      </c>
      <c r="E85" s="348" t="s">
        <v>434</v>
      </c>
      <c r="F85" s="321">
        <v>3111</v>
      </c>
      <c r="G85" s="345" t="s">
        <v>291</v>
      </c>
      <c r="H85" s="645" t="s">
        <v>272</v>
      </c>
      <c r="I85" s="420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68">
        <v>0</v>
      </c>
      <c r="Q85" s="68">
        <v>0</v>
      </c>
      <c r="R85" s="415">
        <v>0</v>
      </c>
      <c r="S85" s="416">
        <v>0</v>
      </c>
      <c r="T85" s="417">
        <v>0</v>
      </c>
      <c r="U85" s="423">
        <v>0</v>
      </c>
      <c r="V85" s="424">
        <f t="shared" si="219"/>
        <v>0</v>
      </c>
      <c r="W85" s="418">
        <f t="shared" si="219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si="220"/>
        <v>0</v>
      </c>
      <c r="AP85" s="418">
        <f t="shared" si="220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424">
        <f>I85+AW85</f>
        <v>0</v>
      </c>
      <c r="BJ85" s="780">
        <f>J85+AF85</f>
        <v>0</v>
      </c>
      <c r="BK85" s="418">
        <f t="shared" si="221"/>
        <v>0</v>
      </c>
      <c r="BL85" s="418">
        <f t="shared" si="221"/>
        <v>0</v>
      </c>
      <c r="BM85" s="418">
        <f>M85+AN85</f>
        <v>0</v>
      </c>
      <c r="BN85" s="418">
        <f t="shared" si="222"/>
        <v>0</v>
      </c>
      <c r="BO85" s="418">
        <f t="shared" si="222"/>
        <v>0</v>
      </c>
      <c r="BP85" s="418">
        <f t="shared" si="223"/>
        <v>0</v>
      </c>
      <c r="BQ85" s="418">
        <f t="shared" si="223"/>
        <v>0</v>
      </c>
      <c r="BR85" s="418">
        <f>R85+AV85</f>
        <v>0</v>
      </c>
      <c r="BS85" s="419">
        <f>S85+BH85</f>
        <v>0</v>
      </c>
      <c r="BT85" s="419">
        <f t="shared" si="224"/>
        <v>0</v>
      </c>
      <c r="BU85" s="421">
        <f t="shared" si="224"/>
        <v>0</v>
      </c>
      <c r="BV85" s="420"/>
      <c r="BW85" s="415"/>
      <c r="BX85" s="415"/>
      <c r="BY85" s="415"/>
      <c r="BZ85" s="415"/>
      <c r="CA85" s="510"/>
    </row>
    <row r="86" spans="1:79" ht="12.95" customHeight="1" x14ac:dyDescent="0.25">
      <c r="A86" s="280">
        <v>14</v>
      </c>
      <c r="B86" s="281">
        <v>5436</v>
      </c>
      <c r="C86" s="330">
        <v>600098800</v>
      </c>
      <c r="D86" s="281">
        <v>72742992</v>
      </c>
      <c r="E86" s="283" t="s">
        <v>434</v>
      </c>
      <c r="F86" s="281">
        <v>3141</v>
      </c>
      <c r="G86" s="345" t="s">
        <v>294</v>
      </c>
      <c r="H86" s="645" t="s">
        <v>272</v>
      </c>
      <c r="I86" s="420">
        <v>445197</v>
      </c>
      <c r="J86" s="415">
        <v>329045</v>
      </c>
      <c r="K86" s="415">
        <v>0</v>
      </c>
      <c r="L86" s="415">
        <v>329045</v>
      </c>
      <c r="M86" s="415">
        <v>0</v>
      </c>
      <c r="N86" s="415">
        <v>0</v>
      </c>
      <c r="O86" s="415">
        <v>0</v>
      </c>
      <c r="P86" s="68">
        <v>111217</v>
      </c>
      <c r="Q86" s="68">
        <v>3290</v>
      </c>
      <c r="R86" s="415">
        <v>1645</v>
      </c>
      <c r="S86" s="416">
        <v>0.98670000000000002</v>
      </c>
      <c r="T86" s="417">
        <v>0</v>
      </c>
      <c r="U86" s="423">
        <v>0.98670000000000002</v>
      </c>
      <c r="V86" s="424">
        <f t="shared" si="219"/>
        <v>0</v>
      </c>
      <c r="W86" s="418">
        <f t="shared" si="219"/>
        <v>0</v>
      </c>
      <c r="X86" s="418">
        <v>0</v>
      </c>
      <c r="Y86" s="418">
        <v>0</v>
      </c>
      <c r="Z86" s="418">
        <v>0</v>
      </c>
      <c r="AA86" s="418">
        <v>163841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163841</v>
      </c>
      <c r="AF86" s="418">
        <f>SUM(AD86:AE86)</f>
        <v>163841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220"/>
        <v>0</v>
      </c>
      <c r="AP86" s="418">
        <f t="shared" si="220"/>
        <v>163841</v>
      </c>
      <c r="AQ86" s="418">
        <f>SUM(AO86:AP86)</f>
        <v>163841</v>
      </c>
      <c r="AR86" s="68">
        <f>ROUND((AF86+AG86+AH86+AI86)*33.8%,0)</f>
        <v>55378</v>
      </c>
      <c r="AS86" s="68">
        <f>ROUND(AF86*1%,0)</f>
        <v>1638</v>
      </c>
      <c r="AT86" s="418">
        <v>0</v>
      </c>
      <c r="AU86" s="418">
        <v>799</v>
      </c>
      <c r="AV86" s="418">
        <f>AT86+AU86</f>
        <v>799</v>
      </c>
      <c r="AW86" s="418">
        <f>AQ86+AR86+AS86+AV86</f>
        <v>221656</v>
      </c>
      <c r="AX86" s="419">
        <v>0</v>
      </c>
      <c r="AY86" s="419">
        <v>0</v>
      </c>
      <c r="AZ86" s="419">
        <v>0</v>
      </c>
      <c r="BA86" s="419">
        <v>0</v>
      </c>
      <c r="BB86" s="419">
        <v>0.49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0.49</v>
      </c>
      <c r="BH86" s="421">
        <f>SUM(BF86:BG86)</f>
        <v>0.49</v>
      </c>
      <c r="BI86" s="424">
        <f>I86+AW86</f>
        <v>666853</v>
      </c>
      <c r="BJ86" s="780">
        <f>J86+AF86</f>
        <v>492886</v>
      </c>
      <c r="BK86" s="418">
        <f t="shared" si="221"/>
        <v>0</v>
      </c>
      <c r="BL86" s="418">
        <f t="shared" si="221"/>
        <v>492886</v>
      </c>
      <c r="BM86" s="418">
        <f>M86+AN86</f>
        <v>0</v>
      </c>
      <c r="BN86" s="418">
        <f t="shared" si="222"/>
        <v>0</v>
      </c>
      <c r="BO86" s="418">
        <f t="shared" si="222"/>
        <v>0</v>
      </c>
      <c r="BP86" s="418">
        <f t="shared" si="223"/>
        <v>166595</v>
      </c>
      <c r="BQ86" s="418">
        <f t="shared" si="223"/>
        <v>4928</v>
      </c>
      <c r="BR86" s="418">
        <f>R86+AV86</f>
        <v>2444</v>
      </c>
      <c r="BS86" s="419">
        <f>S86+BH86</f>
        <v>1.4767000000000001</v>
      </c>
      <c r="BT86" s="419">
        <f t="shared" si="224"/>
        <v>0</v>
      </c>
      <c r="BU86" s="421">
        <f t="shared" si="224"/>
        <v>1.4767000000000001</v>
      </c>
      <c r="BV86" s="420"/>
      <c r="BW86" s="415"/>
      <c r="BX86" s="415"/>
      <c r="BY86" s="415"/>
      <c r="BZ86" s="415"/>
      <c r="CA86" s="510"/>
    </row>
    <row r="87" spans="1:79" ht="12.95" customHeight="1" x14ac:dyDescent="0.25">
      <c r="A87" s="646">
        <v>14</v>
      </c>
      <c r="B87" s="275">
        <v>5436</v>
      </c>
      <c r="C87" s="346">
        <v>600098800</v>
      </c>
      <c r="D87" s="275">
        <v>72742992</v>
      </c>
      <c r="E87" s="288" t="s">
        <v>435</v>
      </c>
      <c r="F87" s="275"/>
      <c r="G87" s="347"/>
      <c r="H87" s="647"/>
      <c r="I87" s="465">
        <v>4256620</v>
      </c>
      <c r="J87" s="461">
        <v>3117423</v>
      </c>
      <c r="K87" s="461">
        <v>2583258</v>
      </c>
      <c r="L87" s="461">
        <v>534165</v>
      </c>
      <c r="M87" s="461">
        <v>30000</v>
      </c>
      <c r="N87" s="461">
        <v>0</v>
      </c>
      <c r="O87" s="461">
        <v>30000</v>
      </c>
      <c r="P87" s="461">
        <v>1063829</v>
      </c>
      <c r="Q87" s="461">
        <v>31174</v>
      </c>
      <c r="R87" s="461">
        <v>14194</v>
      </c>
      <c r="S87" s="462">
        <v>5.8703000000000003</v>
      </c>
      <c r="T87" s="462">
        <v>4.1935000000000002</v>
      </c>
      <c r="U87" s="535">
        <v>1.6768000000000001</v>
      </c>
      <c r="V87" s="465">
        <f t="shared" ref="V87:CA87" si="225">SUM(V84:V86)</f>
        <v>0</v>
      </c>
      <c r="W87" s="461">
        <f t="shared" si="225"/>
        <v>0</v>
      </c>
      <c r="X87" s="461">
        <f t="shared" si="225"/>
        <v>0</v>
      </c>
      <c r="Y87" s="461">
        <f t="shared" si="225"/>
        <v>0</v>
      </c>
      <c r="Z87" s="461">
        <f t="shared" si="225"/>
        <v>0</v>
      </c>
      <c r="AA87" s="461">
        <f t="shared" si="225"/>
        <v>163841</v>
      </c>
      <c r="AB87" s="461">
        <f t="shared" si="225"/>
        <v>0</v>
      </c>
      <c r="AC87" s="461">
        <f t="shared" si="225"/>
        <v>0</v>
      </c>
      <c r="AD87" s="461">
        <f t="shared" si="225"/>
        <v>0</v>
      </c>
      <c r="AE87" s="461">
        <f t="shared" si="225"/>
        <v>163841</v>
      </c>
      <c r="AF87" s="461">
        <f t="shared" si="225"/>
        <v>163841</v>
      </c>
      <c r="AG87" s="461">
        <f t="shared" si="225"/>
        <v>0</v>
      </c>
      <c r="AH87" s="461">
        <f t="shared" si="225"/>
        <v>0</v>
      </c>
      <c r="AI87" s="461">
        <f t="shared" si="225"/>
        <v>0</v>
      </c>
      <c r="AJ87" s="461">
        <f t="shared" si="225"/>
        <v>0</v>
      </c>
      <c r="AK87" s="461">
        <f t="shared" si="225"/>
        <v>0</v>
      </c>
      <c r="AL87" s="461">
        <f t="shared" si="225"/>
        <v>0</v>
      </c>
      <c r="AM87" s="461">
        <f t="shared" si="225"/>
        <v>0</v>
      </c>
      <c r="AN87" s="461">
        <f t="shared" si="225"/>
        <v>0</v>
      </c>
      <c r="AO87" s="461">
        <f t="shared" si="225"/>
        <v>0</v>
      </c>
      <c r="AP87" s="461">
        <f t="shared" si="225"/>
        <v>163841</v>
      </c>
      <c r="AQ87" s="461">
        <f t="shared" si="225"/>
        <v>163841</v>
      </c>
      <c r="AR87" s="461">
        <f t="shared" si="225"/>
        <v>55378</v>
      </c>
      <c r="AS87" s="461">
        <f t="shared" si="225"/>
        <v>1638</v>
      </c>
      <c r="AT87" s="461">
        <f t="shared" si="225"/>
        <v>0</v>
      </c>
      <c r="AU87" s="461">
        <f t="shared" si="225"/>
        <v>799</v>
      </c>
      <c r="AV87" s="461">
        <f t="shared" si="225"/>
        <v>799</v>
      </c>
      <c r="AW87" s="461">
        <f t="shared" si="225"/>
        <v>221656</v>
      </c>
      <c r="AX87" s="462">
        <f t="shared" si="225"/>
        <v>0</v>
      </c>
      <c r="AY87" s="462">
        <f t="shared" si="225"/>
        <v>0</v>
      </c>
      <c r="AZ87" s="462">
        <f t="shared" si="225"/>
        <v>0</v>
      </c>
      <c r="BA87" s="462">
        <f t="shared" si="225"/>
        <v>0</v>
      </c>
      <c r="BB87" s="462">
        <f t="shared" ref="BB87" si="226">SUM(BB84:BB86)</f>
        <v>0.49</v>
      </c>
      <c r="BC87" s="462">
        <f t="shared" si="225"/>
        <v>0</v>
      </c>
      <c r="BD87" s="462">
        <f t="shared" si="225"/>
        <v>0</v>
      </c>
      <c r="BE87" s="462">
        <f t="shared" ref="BE87" si="227">SUM(BE84:BE86)</f>
        <v>0</v>
      </c>
      <c r="BF87" s="462">
        <f t="shared" si="225"/>
        <v>0</v>
      </c>
      <c r="BG87" s="462">
        <f t="shared" si="225"/>
        <v>0.49</v>
      </c>
      <c r="BH87" s="279">
        <f t="shared" si="225"/>
        <v>0.49</v>
      </c>
      <c r="BI87" s="465">
        <f t="shared" si="225"/>
        <v>4478276</v>
      </c>
      <c r="BJ87" s="781">
        <f t="shared" si="225"/>
        <v>3281264</v>
      </c>
      <c r="BK87" s="461">
        <f t="shared" si="225"/>
        <v>2583258</v>
      </c>
      <c r="BL87" s="461">
        <f t="shared" si="225"/>
        <v>698006</v>
      </c>
      <c r="BM87" s="461">
        <f t="shared" si="225"/>
        <v>30000</v>
      </c>
      <c r="BN87" s="461">
        <f t="shared" si="225"/>
        <v>0</v>
      </c>
      <c r="BO87" s="461">
        <f t="shared" si="225"/>
        <v>30000</v>
      </c>
      <c r="BP87" s="461">
        <f t="shared" si="225"/>
        <v>1119207</v>
      </c>
      <c r="BQ87" s="461">
        <f t="shared" si="225"/>
        <v>32812</v>
      </c>
      <c r="BR87" s="461">
        <f t="shared" si="225"/>
        <v>14993</v>
      </c>
      <c r="BS87" s="462">
        <f t="shared" si="225"/>
        <v>6.3603000000000005</v>
      </c>
      <c r="BT87" s="462">
        <f t="shared" si="225"/>
        <v>4.1935000000000002</v>
      </c>
      <c r="BU87" s="279">
        <f t="shared" si="225"/>
        <v>2.1668000000000003</v>
      </c>
      <c r="BV87" s="850">
        <f t="shared" si="225"/>
        <v>0</v>
      </c>
      <c r="BW87" s="713">
        <f t="shared" si="225"/>
        <v>0</v>
      </c>
      <c r="BX87" s="713">
        <f t="shared" si="225"/>
        <v>0</v>
      </c>
      <c r="BY87" s="713">
        <f t="shared" si="225"/>
        <v>0</v>
      </c>
      <c r="BZ87" s="713">
        <f t="shared" si="225"/>
        <v>0</v>
      </c>
      <c r="CA87" s="851">
        <f t="shared" si="225"/>
        <v>0</v>
      </c>
    </row>
    <row r="88" spans="1:79" ht="12.95" customHeight="1" x14ac:dyDescent="0.25">
      <c r="A88" s="280">
        <v>15</v>
      </c>
      <c r="B88" s="321">
        <v>5435</v>
      </c>
      <c r="C88" s="322">
        <v>600099199</v>
      </c>
      <c r="D88" s="281">
        <v>72743077</v>
      </c>
      <c r="E88" s="348" t="s">
        <v>436</v>
      </c>
      <c r="F88" s="321">
        <v>3113</v>
      </c>
      <c r="G88" s="345" t="s">
        <v>308</v>
      </c>
      <c r="H88" s="645" t="s">
        <v>271</v>
      </c>
      <c r="I88" s="420">
        <v>9827651</v>
      </c>
      <c r="J88" s="415">
        <v>6930627</v>
      </c>
      <c r="K88" s="415">
        <v>6297539</v>
      </c>
      <c r="L88" s="415">
        <v>633088</v>
      </c>
      <c r="M88" s="415">
        <v>277840</v>
      </c>
      <c r="N88" s="415">
        <v>227840</v>
      </c>
      <c r="O88" s="415">
        <v>50000</v>
      </c>
      <c r="P88" s="68">
        <v>2436462</v>
      </c>
      <c r="Q88" s="68">
        <v>69306</v>
      </c>
      <c r="R88" s="415">
        <v>113416</v>
      </c>
      <c r="S88" s="416">
        <v>11.4918</v>
      </c>
      <c r="T88" s="417">
        <v>9.7927</v>
      </c>
      <c r="U88" s="423">
        <v>1.6990999999999998</v>
      </c>
      <c r="V88" s="424">
        <f t="shared" ref="V88:W92" si="228">AG88*-1</f>
        <v>0</v>
      </c>
      <c r="W88" s="418">
        <f t="shared" si="228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ref="AO88:AP92" si="229">AD88+AL88</f>
        <v>0</v>
      </c>
      <c r="AP88" s="418">
        <f t="shared" si="229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8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424">
        <f>I88+AW88</f>
        <v>9827651</v>
      </c>
      <c r="BJ88" s="780">
        <f>J88+AF88</f>
        <v>6930627</v>
      </c>
      <c r="BK88" s="418">
        <f t="shared" ref="BK88:BL92" si="230">K88+AD88</f>
        <v>6297539</v>
      </c>
      <c r="BL88" s="418">
        <f t="shared" si="230"/>
        <v>633088</v>
      </c>
      <c r="BM88" s="418">
        <f>M88+AN88</f>
        <v>277840</v>
      </c>
      <c r="BN88" s="418">
        <f t="shared" ref="BN88:BO92" si="231">N88+AL88</f>
        <v>227840</v>
      </c>
      <c r="BO88" s="418">
        <f t="shared" si="231"/>
        <v>50000</v>
      </c>
      <c r="BP88" s="418">
        <f t="shared" ref="BP88:BQ92" si="232">P88+AR88</f>
        <v>2436462</v>
      </c>
      <c r="BQ88" s="418">
        <f t="shared" si="232"/>
        <v>69306</v>
      </c>
      <c r="BR88" s="418">
        <f>R88+AV88</f>
        <v>113416</v>
      </c>
      <c r="BS88" s="419">
        <f>S88+BH88</f>
        <v>11.4918</v>
      </c>
      <c r="BT88" s="419">
        <f t="shared" ref="BT88:BU92" si="233">T88+BF88</f>
        <v>9.7927</v>
      </c>
      <c r="BU88" s="421">
        <f t="shared" si="233"/>
        <v>1.6990999999999998</v>
      </c>
      <c r="BV88" s="420"/>
      <c r="BW88" s="415"/>
      <c r="BX88" s="415"/>
      <c r="BY88" s="415"/>
      <c r="BZ88" s="415"/>
      <c r="CA88" s="510"/>
    </row>
    <row r="89" spans="1:79" ht="12.95" customHeight="1" x14ac:dyDescent="0.25">
      <c r="A89" s="280">
        <v>15</v>
      </c>
      <c r="B89" s="321">
        <v>5435</v>
      </c>
      <c r="C89" s="322">
        <v>600099199</v>
      </c>
      <c r="D89" s="281">
        <v>72743077</v>
      </c>
      <c r="E89" s="348" t="s">
        <v>436</v>
      </c>
      <c r="F89" s="321">
        <v>3113</v>
      </c>
      <c r="G89" s="284" t="s">
        <v>291</v>
      </c>
      <c r="H89" s="645" t="s">
        <v>272</v>
      </c>
      <c r="I89" s="420">
        <v>624801</v>
      </c>
      <c r="J89" s="415">
        <v>463502</v>
      </c>
      <c r="K89" s="415">
        <v>463502</v>
      </c>
      <c r="L89" s="415">
        <v>0</v>
      </c>
      <c r="M89" s="415">
        <v>0</v>
      </c>
      <c r="N89" s="415">
        <v>0</v>
      </c>
      <c r="O89" s="415">
        <v>0</v>
      </c>
      <c r="P89" s="68">
        <v>156664</v>
      </c>
      <c r="Q89" s="68">
        <v>4635</v>
      </c>
      <c r="R89" s="415">
        <v>0</v>
      </c>
      <c r="S89" s="416">
        <v>1.25</v>
      </c>
      <c r="T89" s="417">
        <v>1.25</v>
      </c>
      <c r="U89" s="423">
        <v>0</v>
      </c>
      <c r="V89" s="424">
        <f t="shared" si="228"/>
        <v>0</v>
      </c>
      <c r="W89" s="418">
        <f t="shared" si="228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229"/>
        <v>0</v>
      </c>
      <c r="AP89" s="418">
        <f t="shared" si="229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21">
        <f>SUM(BF89:BG89)</f>
        <v>0</v>
      </c>
      <c r="BI89" s="424">
        <f>I89+AW89</f>
        <v>624801</v>
      </c>
      <c r="BJ89" s="780">
        <f>J89+AF89</f>
        <v>463502</v>
      </c>
      <c r="BK89" s="418">
        <f t="shared" si="230"/>
        <v>463502</v>
      </c>
      <c r="BL89" s="418">
        <f t="shared" si="230"/>
        <v>0</v>
      </c>
      <c r="BM89" s="418">
        <f>M89+AN89</f>
        <v>0</v>
      </c>
      <c r="BN89" s="418">
        <f t="shared" si="231"/>
        <v>0</v>
      </c>
      <c r="BO89" s="418">
        <f t="shared" si="231"/>
        <v>0</v>
      </c>
      <c r="BP89" s="418">
        <f t="shared" si="232"/>
        <v>156664</v>
      </c>
      <c r="BQ89" s="418">
        <f t="shared" si="232"/>
        <v>4635</v>
      </c>
      <c r="BR89" s="418">
        <f>R89+AV89</f>
        <v>0</v>
      </c>
      <c r="BS89" s="419">
        <f>S89+BH89</f>
        <v>1.25</v>
      </c>
      <c r="BT89" s="419">
        <f t="shared" si="233"/>
        <v>1.25</v>
      </c>
      <c r="BU89" s="421">
        <f t="shared" si="233"/>
        <v>0</v>
      </c>
      <c r="BV89" s="420"/>
      <c r="BW89" s="415"/>
      <c r="BX89" s="415"/>
      <c r="BY89" s="415"/>
      <c r="BZ89" s="415"/>
      <c r="CA89" s="510"/>
    </row>
    <row r="90" spans="1:79" ht="12.95" customHeight="1" x14ac:dyDescent="0.25">
      <c r="A90" s="280">
        <v>15</v>
      </c>
      <c r="B90" s="321">
        <v>5435</v>
      </c>
      <c r="C90" s="322">
        <v>600099199</v>
      </c>
      <c r="D90" s="281">
        <v>72743077</v>
      </c>
      <c r="E90" s="348" t="s">
        <v>436</v>
      </c>
      <c r="F90" s="321">
        <v>3141</v>
      </c>
      <c r="G90" s="345" t="s">
        <v>294</v>
      </c>
      <c r="H90" s="645" t="s">
        <v>272</v>
      </c>
      <c r="I90" s="420">
        <v>672413</v>
      </c>
      <c r="J90" s="415">
        <v>495785</v>
      </c>
      <c r="K90" s="415">
        <v>0</v>
      </c>
      <c r="L90" s="415">
        <v>495785</v>
      </c>
      <c r="M90" s="415">
        <v>0</v>
      </c>
      <c r="N90" s="415">
        <v>0</v>
      </c>
      <c r="O90" s="415">
        <v>0</v>
      </c>
      <c r="P90" s="68">
        <v>167575</v>
      </c>
      <c r="Q90" s="68">
        <v>4958</v>
      </c>
      <c r="R90" s="415">
        <v>4095</v>
      </c>
      <c r="S90" s="416">
        <v>1.4866999999999999</v>
      </c>
      <c r="T90" s="417">
        <v>0</v>
      </c>
      <c r="U90" s="423">
        <v>1.4866999999999999</v>
      </c>
      <c r="V90" s="424">
        <f t="shared" si="228"/>
        <v>0</v>
      </c>
      <c r="W90" s="418">
        <f t="shared" si="228"/>
        <v>0</v>
      </c>
      <c r="X90" s="418">
        <v>0</v>
      </c>
      <c r="Y90" s="418">
        <v>0</v>
      </c>
      <c r="Z90" s="418">
        <v>0</v>
      </c>
      <c r="AA90" s="418">
        <v>247154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247154</v>
      </c>
      <c r="AF90" s="418">
        <f>SUM(AD90:AE90)</f>
        <v>247154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29"/>
        <v>0</v>
      </c>
      <c r="AP90" s="418">
        <f t="shared" si="229"/>
        <v>247154</v>
      </c>
      <c r="AQ90" s="418">
        <f>SUM(AO90:AP90)</f>
        <v>247154</v>
      </c>
      <c r="AR90" s="68">
        <f>ROUND((AF90+AG90+AH90+AI90)*33.8%,0)</f>
        <v>83538</v>
      </c>
      <c r="AS90" s="68">
        <f>ROUND(AF90*1%,0)</f>
        <v>2472</v>
      </c>
      <c r="AT90" s="418">
        <v>0</v>
      </c>
      <c r="AU90" s="418">
        <v>1989</v>
      </c>
      <c r="AV90" s="418">
        <f>AT90+AU90</f>
        <v>1989</v>
      </c>
      <c r="AW90" s="418">
        <f>AQ90+AR90+AS90+AV90</f>
        <v>335153</v>
      </c>
      <c r="AX90" s="419">
        <v>0</v>
      </c>
      <c r="AY90" s="419">
        <v>0</v>
      </c>
      <c r="AZ90" s="419">
        <v>0</v>
      </c>
      <c r="BA90" s="419">
        <v>0</v>
      </c>
      <c r="BB90" s="419">
        <v>0.74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0.74</v>
      </c>
      <c r="BH90" s="421">
        <f>SUM(BF90:BG90)</f>
        <v>0.74</v>
      </c>
      <c r="BI90" s="424">
        <f>I90+AW90</f>
        <v>1007566</v>
      </c>
      <c r="BJ90" s="780">
        <f>J90+AF90</f>
        <v>742939</v>
      </c>
      <c r="BK90" s="418">
        <f t="shared" si="230"/>
        <v>0</v>
      </c>
      <c r="BL90" s="418">
        <f t="shared" si="230"/>
        <v>742939</v>
      </c>
      <c r="BM90" s="418">
        <f>M90+AN90</f>
        <v>0</v>
      </c>
      <c r="BN90" s="418">
        <f t="shared" si="231"/>
        <v>0</v>
      </c>
      <c r="BO90" s="418">
        <f t="shared" si="231"/>
        <v>0</v>
      </c>
      <c r="BP90" s="418">
        <f t="shared" si="232"/>
        <v>251113</v>
      </c>
      <c r="BQ90" s="418">
        <f t="shared" si="232"/>
        <v>7430</v>
      </c>
      <c r="BR90" s="418">
        <f>R90+AV90</f>
        <v>6084</v>
      </c>
      <c r="BS90" s="419">
        <f>S90+BH90</f>
        <v>2.2267000000000001</v>
      </c>
      <c r="BT90" s="419">
        <f t="shared" si="233"/>
        <v>0</v>
      </c>
      <c r="BU90" s="421">
        <f t="shared" si="233"/>
        <v>2.2267000000000001</v>
      </c>
      <c r="BV90" s="420"/>
      <c r="BW90" s="415"/>
      <c r="BX90" s="415"/>
      <c r="BY90" s="415"/>
      <c r="BZ90" s="415"/>
      <c r="CA90" s="510"/>
    </row>
    <row r="91" spans="1:79" ht="12.95" customHeight="1" x14ac:dyDescent="0.25">
      <c r="A91" s="280">
        <v>15</v>
      </c>
      <c r="B91" s="321">
        <v>5435</v>
      </c>
      <c r="C91" s="322">
        <v>600099199</v>
      </c>
      <c r="D91" s="281">
        <v>72743077</v>
      </c>
      <c r="E91" s="348" t="s">
        <v>436</v>
      </c>
      <c r="F91" s="321">
        <v>3143</v>
      </c>
      <c r="G91" s="284" t="s">
        <v>595</v>
      </c>
      <c r="H91" s="645" t="s">
        <v>271</v>
      </c>
      <c r="I91" s="420">
        <v>658019</v>
      </c>
      <c r="J91" s="415">
        <v>488145</v>
      </c>
      <c r="K91" s="415">
        <v>488145</v>
      </c>
      <c r="L91" s="415">
        <v>0</v>
      </c>
      <c r="M91" s="415">
        <v>0</v>
      </c>
      <c r="N91" s="415">
        <v>0</v>
      </c>
      <c r="O91" s="415">
        <v>0</v>
      </c>
      <c r="P91" s="68">
        <v>164993</v>
      </c>
      <c r="Q91" s="68">
        <v>4881</v>
      </c>
      <c r="R91" s="415">
        <v>0</v>
      </c>
      <c r="S91" s="416">
        <v>0.96430000000000005</v>
      </c>
      <c r="T91" s="417">
        <v>0.96430000000000005</v>
      </c>
      <c r="U91" s="423">
        <v>0</v>
      </c>
      <c r="V91" s="424">
        <f t="shared" si="228"/>
        <v>0</v>
      </c>
      <c r="W91" s="418">
        <f t="shared" si="228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29"/>
        <v>0</v>
      </c>
      <c r="AP91" s="418">
        <f t="shared" si="229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424">
        <f>I91+AW91</f>
        <v>658019</v>
      </c>
      <c r="BJ91" s="780">
        <f>J91+AF91</f>
        <v>488145</v>
      </c>
      <c r="BK91" s="418">
        <f t="shared" si="230"/>
        <v>488145</v>
      </c>
      <c r="BL91" s="418">
        <f t="shared" si="230"/>
        <v>0</v>
      </c>
      <c r="BM91" s="418">
        <f>M91+AN91</f>
        <v>0</v>
      </c>
      <c r="BN91" s="418">
        <f t="shared" si="231"/>
        <v>0</v>
      </c>
      <c r="BO91" s="418">
        <f t="shared" si="231"/>
        <v>0</v>
      </c>
      <c r="BP91" s="418">
        <f t="shared" si="232"/>
        <v>164993</v>
      </c>
      <c r="BQ91" s="418">
        <f t="shared" si="232"/>
        <v>4881</v>
      </c>
      <c r="BR91" s="418">
        <f>R91+AV91</f>
        <v>0</v>
      </c>
      <c r="BS91" s="419">
        <f>S91+BH91</f>
        <v>0.96430000000000005</v>
      </c>
      <c r="BT91" s="419">
        <f t="shared" si="233"/>
        <v>0.96430000000000005</v>
      </c>
      <c r="BU91" s="421">
        <f t="shared" si="233"/>
        <v>0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280">
        <v>15</v>
      </c>
      <c r="B92" s="321">
        <v>5435</v>
      </c>
      <c r="C92" s="322">
        <v>600099199</v>
      </c>
      <c r="D92" s="281">
        <v>72743077</v>
      </c>
      <c r="E92" s="348" t="s">
        <v>436</v>
      </c>
      <c r="F92" s="321">
        <v>3143</v>
      </c>
      <c r="G92" s="284" t="s">
        <v>596</v>
      </c>
      <c r="H92" s="645" t="s">
        <v>272</v>
      </c>
      <c r="I92" s="420">
        <v>15380</v>
      </c>
      <c r="J92" s="415">
        <v>11009</v>
      </c>
      <c r="K92" s="415">
        <v>0</v>
      </c>
      <c r="L92" s="415">
        <v>11009</v>
      </c>
      <c r="M92" s="415">
        <v>0</v>
      </c>
      <c r="N92" s="415">
        <v>0</v>
      </c>
      <c r="O92" s="415">
        <v>0</v>
      </c>
      <c r="P92" s="68">
        <v>3721</v>
      </c>
      <c r="Q92" s="68">
        <v>110</v>
      </c>
      <c r="R92" s="415">
        <v>540</v>
      </c>
      <c r="S92" s="416">
        <v>4.1700000000000001E-2</v>
      </c>
      <c r="T92" s="417">
        <v>0</v>
      </c>
      <c r="U92" s="423">
        <v>4.1700000000000001E-2</v>
      </c>
      <c r="V92" s="424">
        <f t="shared" si="228"/>
        <v>0</v>
      </c>
      <c r="W92" s="418">
        <f t="shared" si="228"/>
        <v>0</v>
      </c>
      <c r="X92" s="418">
        <v>0</v>
      </c>
      <c r="Y92" s="418">
        <v>0</v>
      </c>
      <c r="Z92" s="418">
        <v>0</v>
      </c>
      <c r="AA92" s="418">
        <v>5491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5491</v>
      </c>
      <c r="AF92" s="418">
        <f>SUM(AD92:AE92)</f>
        <v>5491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229"/>
        <v>0</v>
      </c>
      <c r="AP92" s="418">
        <f t="shared" si="229"/>
        <v>5491</v>
      </c>
      <c r="AQ92" s="418">
        <f>SUM(AO92:AP92)</f>
        <v>5491</v>
      </c>
      <c r="AR92" s="68">
        <f>ROUND((AF92+AG92+AH92+AI92)*33.8%,0)</f>
        <v>1856</v>
      </c>
      <c r="AS92" s="68">
        <f>ROUND(AF92*1%,0)</f>
        <v>55</v>
      </c>
      <c r="AT92" s="418">
        <v>0</v>
      </c>
      <c r="AU92" s="418">
        <v>270</v>
      </c>
      <c r="AV92" s="418">
        <f>AT92+AU92</f>
        <v>270</v>
      </c>
      <c r="AW92" s="418">
        <f>AQ92+AR92+AS92+AV92</f>
        <v>7672</v>
      </c>
      <c r="AX92" s="419">
        <v>0</v>
      </c>
      <c r="AY92" s="419">
        <v>0</v>
      </c>
      <c r="AZ92" s="419">
        <v>0</v>
      </c>
      <c r="BA92" s="419">
        <v>0</v>
      </c>
      <c r="BB92" s="419">
        <v>0.02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0.02</v>
      </c>
      <c r="BH92" s="421">
        <f>SUM(BF92:BG92)</f>
        <v>0.02</v>
      </c>
      <c r="BI92" s="424">
        <f>I92+AW92</f>
        <v>23052</v>
      </c>
      <c r="BJ92" s="780">
        <f>J92+AF92</f>
        <v>16500</v>
      </c>
      <c r="BK92" s="418">
        <f t="shared" si="230"/>
        <v>0</v>
      </c>
      <c r="BL92" s="418">
        <f t="shared" si="230"/>
        <v>16500</v>
      </c>
      <c r="BM92" s="418">
        <f>M92+AN92</f>
        <v>0</v>
      </c>
      <c r="BN92" s="418">
        <f t="shared" si="231"/>
        <v>0</v>
      </c>
      <c r="BO92" s="418">
        <f t="shared" si="231"/>
        <v>0</v>
      </c>
      <c r="BP92" s="418">
        <f t="shared" si="232"/>
        <v>5577</v>
      </c>
      <c r="BQ92" s="418">
        <f t="shared" si="232"/>
        <v>165</v>
      </c>
      <c r="BR92" s="418">
        <f>R92+AV92</f>
        <v>810</v>
      </c>
      <c r="BS92" s="419">
        <f>S92+BH92</f>
        <v>6.1700000000000005E-2</v>
      </c>
      <c r="BT92" s="419">
        <f t="shared" si="233"/>
        <v>0</v>
      </c>
      <c r="BU92" s="421">
        <f t="shared" si="233"/>
        <v>6.1700000000000005E-2</v>
      </c>
      <c r="BV92" s="420"/>
      <c r="BW92" s="415"/>
      <c r="BX92" s="415"/>
      <c r="BY92" s="415"/>
      <c r="BZ92" s="415"/>
      <c r="CA92" s="510"/>
    </row>
    <row r="93" spans="1:79" ht="12.95" customHeight="1" x14ac:dyDescent="0.25">
      <c r="A93" s="646">
        <v>15</v>
      </c>
      <c r="B93" s="325">
        <v>5435</v>
      </c>
      <c r="C93" s="326">
        <v>600099199</v>
      </c>
      <c r="D93" s="325">
        <v>72743077</v>
      </c>
      <c r="E93" s="349" t="s">
        <v>437</v>
      </c>
      <c r="F93" s="325"/>
      <c r="G93" s="350"/>
      <c r="H93" s="648"/>
      <c r="I93" s="465">
        <v>11798264</v>
      </c>
      <c r="J93" s="461">
        <v>8389068</v>
      </c>
      <c r="K93" s="461">
        <v>7249186</v>
      </c>
      <c r="L93" s="461">
        <v>1139882</v>
      </c>
      <c r="M93" s="461">
        <v>277840</v>
      </c>
      <c r="N93" s="461">
        <v>227840</v>
      </c>
      <c r="O93" s="461">
        <v>50000</v>
      </c>
      <c r="P93" s="461">
        <v>2929415</v>
      </c>
      <c r="Q93" s="461">
        <v>83890</v>
      </c>
      <c r="R93" s="461">
        <v>118051</v>
      </c>
      <c r="S93" s="462">
        <v>15.234500000000001</v>
      </c>
      <c r="T93" s="462">
        <v>12.007</v>
      </c>
      <c r="U93" s="535">
        <v>3.2274999999999996</v>
      </c>
      <c r="V93" s="465">
        <f t="shared" ref="V93:CA93" si="234">SUM(V88:V92)</f>
        <v>0</v>
      </c>
      <c r="W93" s="461">
        <f t="shared" si="234"/>
        <v>0</v>
      </c>
      <c r="X93" s="461">
        <f t="shared" si="234"/>
        <v>0</v>
      </c>
      <c r="Y93" s="461">
        <f t="shared" si="234"/>
        <v>0</v>
      </c>
      <c r="Z93" s="461">
        <f t="shared" si="234"/>
        <v>0</v>
      </c>
      <c r="AA93" s="461">
        <f t="shared" si="234"/>
        <v>252645</v>
      </c>
      <c r="AB93" s="461">
        <f t="shared" si="234"/>
        <v>0</v>
      </c>
      <c r="AC93" s="461">
        <f t="shared" si="234"/>
        <v>0</v>
      </c>
      <c r="AD93" s="461">
        <f t="shared" si="234"/>
        <v>0</v>
      </c>
      <c r="AE93" s="461">
        <f t="shared" si="234"/>
        <v>252645</v>
      </c>
      <c r="AF93" s="461">
        <f t="shared" si="234"/>
        <v>252645</v>
      </c>
      <c r="AG93" s="461">
        <f t="shared" si="234"/>
        <v>0</v>
      </c>
      <c r="AH93" s="461">
        <f t="shared" si="234"/>
        <v>0</v>
      </c>
      <c r="AI93" s="461">
        <f t="shared" si="234"/>
        <v>0</v>
      </c>
      <c r="AJ93" s="461">
        <f t="shared" si="234"/>
        <v>0</v>
      </c>
      <c r="AK93" s="461">
        <f t="shared" si="234"/>
        <v>0</v>
      </c>
      <c r="AL93" s="461">
        <f t="shared" si="234"/>
        <v>0</v>
      </c>
      <c r="AM93" s="461">
        <f t="shared" si="234"/>
        <v>0</v>
      </c>
      <c r="AN93" s="461">
        <f t="shared" si="234"/>
        <v>0</v>
      </c>
      <c r="AO93" s="461">
        <f t="shared" si="234"/>
        <v>0</v>
      </c>
      <c r="AP93" s="461">
        <f t="shared" si="234"/>
        <v>252645</v>
      </c>
      <c r="AQ93" s="461">
        <f t="shared" si="234"/>
        <v>252645</v>
      </c>
      <c r="AR93" s="461">
        <f t="shared" si="234"/>
        <v>85394</v>
      </c>
      <c r="AS93" s="461">
        <f t="shared" si="234"/>
        <v>2527</v>
      </c>
      <c r="AT93" s="461">
        <f t="shared" si="234"/>
        <v>0</v>
      </c>
      <c r="AU93" s="461">
        <f t="shared" si="234"/>
        <v>2259</v>
      </c>
      <c r="AV93" s="461">
        <f t="shared" si="234"/>
        <v>2259</v>
      </c>
      <c r="AW93" s="461">
        <f t="shared" si="234"/>
        <v>342825</v>
      </c>
      <c r="AX93" s="462">
        <f t="shared" si="234"/>
        <v>0</v>
      </c>
      <c r="AY93" s="462">
        <f t="shared" si="234"/>
        <v>0</v>
      </c>
      <c r="AZ93" s="462">
        <f t="shared" si="234"/>
        <v>0</v>
      </c>
      <c r="BA93" s="462">
        <f t="shared" si="234"/>
        <v>0</v>
      </c>
      <c r="BB93" s="462">
        <f t="shared" ref="BB93" si="235">SUM(BB88:BB92)</f>
        <v>0.76</v>
      </c>
      <c r="BC93" s="462">
        <f t="shared" si="234"/>
        <v>0</v>
      </c>
      <c r="BD93" s="462">
        <f t="shared" si="234"/>
        <v>0</v>
      </c>
      <c r="BE93" s="462">
        <f t="shared" ref="BE93" si="236">SUM(BE88:BE92)</f>
        <v>0</v>
      </c>
      <c r="BF93" s="462">
        <f t="shared" si="234"/>
        <v>0</v>
      </c>
      <c r="BG93" s="462">
        <f t="shared" si="234"/>
        <v>0.76</v>
      </c>
      <c r="BH93" s="279">
        <f t="shared" si="234"/>
        <v>0.76</v>
      </c>
      <c r="BI93" s="465">
        <f t="shared" si="234"/>
        <v>12141089</v>
      </c>
      <c r="BJ93" s="781">
        <f t="shared" si="234"/>
        <v>8641713</v>
      </c>
      <c r="BK93" s="461">
        <f t="shared" si="234"/>
        <v>7249186</v>
      </c>
      <c r="BL93" s="461">
        <f t="shared" si="234"/>
        <v>1392527</v>
      </c>
      <c r="BM93" s="461">
        <f t="shared" si="234"/>
        <v>277840</v>
      </c>
      <c r="BN93" s="461">
        <f t="shared" si="234"/>
        <v>227840</v>
      </c>
      <c r="BO93" s="461">
        <f t="shared" si="234"/>
        <v>50000</v>
      </c>
      <c r="BP93" s="461">
        <f t="shared" si="234"/>
        <v>3014809</v>
      </c>
      <c r="BQ93" s="461">
        <f t="shared" si="234"/>
        <v>86417</v>
      </c>
      <c r="BR93" s="461">
        <f t="shared" si="234"/>
        <v>120310</v>
      </c>
      <c r="BS93" s="462">
        <f t="shared" si="234"/>
        <v>15.994499999999999</v>
      </c>
      <c r="BT93" s="462">
        <f t="shared" si="234"/>
        <v>12.007</v>
      </c>
      <c r="BU93" s="279">
        <f t="shared" si="234"/>
        <v>3.9874999999999998</v>
      </c>
      <c r="BV93" s="850">
        <f t="shared" si="234"/>
        <v>0</v>
      </c>
      <c r="BW93" s="713">
        <f t="shared" si="234"/>
        <v>0</v>
      </c>
      <c r="BX93" s="713">
        <f t="shared" si="234"/>
        <v>0</v>
      </c>
      <c r="BY93" s="713">
        <f t="shared" si="234"/>
        <v>0</v>
      </c>
      <c r="BZ93" s="713">
        <f t="shared" si="234"/>
        <v>0</v>
      </c>
      <c r="CA93" s="851">
        <f t="shared" si="234"/>
        <v>0</v>
      </c>
    </row>
    <row r="94" spans="1:79" ht="12.95" customHeight="1" x14ac:dyDescent="0.25">
      <c r="A94" s="280">
        <v>16</v>
      </c>
      <c r="B94" s="321">
        <v>5478</v>
      </c>
      <c r="C94" s="322">
        <v>600098818</v>
      </c>
      <c r="D94" s="281">
        <v>70698031</v>
      </c>
      <c r="E94" s="777" t="s">
        <v>836</v>
      </c>
      <c r="F94" s="321">
        <v>3111</v>
      </c>
      <c r="G94" s="345" t="s">
        <v>304</v>
      </c>
      <c r="H94" s="645" t="s">
        <v>271</v>
      </c>
      <c r="I94" s="420">
        <v>8652993</v>
      </c>
      <c r="J94" s="415">
        <v>6267280</v>
      </c>
      <c r="K94" s="415">
        <v>5610835</v>
      </c>
      <c r="L94" s="415">
        <v>656445</v>
      </c>
      <c r="M94" s="415">
        <v>180669</v>
      </c>
      <c r="N94" s="415">
        <v>180669</v>
      </c>
      <c r="O94" s="415">
        <v>0</v>
      </c>
      <c r="P94" s="68">
        <v>2118341</v>
      </c>
      <c r="Q94" s="68">
        <v>62673</v>
      </c>
      <c r="R94" s="415">
        <v>24030</v>
      </c>
      <c r="S94" s="416">
        <v>11.8711</v>
      </c>
      <c r="T94" s="417">
        <v>9.7343999999999991</v>
      </c>
      <c r="U94" s="423">
        <v>2.1367000000000003</v>
      </c>
      <c r="V94" s="424">
        <f t="shared" ref="V94:W96" si="237">AG94*-1</f>
        <v>0</v>
      </c>
      <c r="W94" s="418">
        <f t="shared" si="23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ref="AO94:AP96" si="238">AD94+AL94</f>
        <v>0</v>
      </c>
      <c r="AP94" s="418">
        <f t="shared" si="23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424">
        <f>I94+AW94</f>
        <v>8652993</v>
      </c>
      <c r="BJ94" s="780">
        <f>J94+AF94</f>
        <v>6267280</v>
      </c>
      <c r="BK94" s="418">
        <f t="shared" ref="BK94:BL96" si="239">K94+AD94</f>
        <v>5610835</v>
      </c>
      <c r="BL94" s="418">
        <f t="shared" si="239"/>
        <v>656445</v>
      </c>
      <c r="BM94" s="418">
        <f>M94+AN94</f>
        <v>180669</v>
      </c>
      <c r="BN94" s="418">
        <f t="shared" ref="BN94:BO96" si="240">N94+AL94</f>
        <v>180669</v>
      </c>
      <c r="BO94" s="418">
        <f t="shared" si="240"/>
        <v>0</v>
      </c>
      <c r="BP94" s="418">
        <f t="shared" ref="BP94:BQ96" si="241">P94+AR94</f>
        <v>2118341</v>
      </c>
      <c r="BQ94" s="418">
        <f t="shared" si="241"/>
        <v>62673</v>
      </c>
      <c r="BR94" s="418">
        <f>R94+AV94</f>
        <v>24030</v>
      </c>
      <c r="BS94" s="419">
        <f>S94+BH94</f>
        <v>11.8711</v>
      </c>
      <c r="BT94" s="419">
        <f t="shared" ref="BT94:BU96" si="242">T94+BF94</f>
        <v>9.7343999999999991</v>
      </c>
      <c r="BU94" s="421">
        <f t="shared" si="242"/>
        <v>2.1367000000000003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80">
        <v>16</v>
      </c>
      <c r="B95" s="321">
        <v>5478</v>
      </c>
      <c r="C95" s="322">
        <v>600098818</v>
      </c>
      <c r="D95" s="281">
        <v>70698031</v>
      </c>
      <c r="E95" s="777" t="s">
        <v>438</v>
      </c>
      <c r="F95" s="321">
        <v>3111</v>
      </c>
      <c r="G95" s="345" t="s">
        <v>291</v>
      </c>
      <c r="H95" s="645" t="s">
        <v>272</v>
      </c>
      <c r="I95" s="420">
        <v>1149682</v>
      </c>
      <c r="J95" s="415">
        <v>852880</v>
      </c>
      <c r="K95" s="415">
        <v>852880</v>
      </c>
      <c r="L95" s="415">
        <v>0</v>
      </c>
      <c r="M95" s="415">
        <v>0</v>
      </c>
      <c r="N95" s="415">
        <v>0</v>
      </c>
      <c r="O95" s="415">
        <v>0</v>
      </c>
      <c r="P95" s="68">
        <v>288273</v>
      </c>
      <c r="Q95" s="68">
        <v>8529</v>
      </c>
      <c r="R95" s="415">
        <v>0</v>
      </c>
      <c r="S95" s="416">
        <v>2.5499999999999998</v>
      </c>
      <c r="T95" s="417">
        <v>2.5499999999999998</v>
      </c>
      <c r="U95" s="423">
        <v>0</v>
      </c>
      <c r="V95" s="424">
        <f t="shared" si="237"/>
        <v>0</v>
      </c>
      <c r="W95" s="418">
        <f t="shared" si="23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38"/>
        <v>0</v>
      </c>
      <c r="AP95" s="418">
        <f t="shared" si="238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21">
        <f>SUM(BF95:BG95)</f>
        <v>0</v>
      </c>
      <c r="BI95" s="424">
        <f>I95+AW95</f>
        <v>1149682</v>
      </c>
      <c r="BJ95" s="780">
        <f>J95+AF95</f>
        <v>852880</v>
      </c>
      <c r="BK95" s="418">
        <f t="shared" si="239"/>
        <v>852880</v>
      </c>
      <c r="BL95" s="418">
        <f t="shared" si="239"/>
        <v>0</v>
      </c>
      <c r="BM95" s="418">
        <f>M95+AN95</f>
        <v>0</v>
      </c>
      <c r="BN95" s="418">
        <f t="shared" si="240"/>
        <v>0</v>
      </c>
      <c r="BO95" s="418">
        <f t="shared" si="240"/>
        <v>0</v>
      </c>
      <c r="BP95" s="418">
        <f t="shared" si="241"/>
        <v>288273</v>
      </c>
      <c r="BQ95" s="418">
        <f t="shared" si="241"/>
        <v>8529</v>
      </c>
      <c r="BR95" s="418">
        <f>R95+AV95</f>
        <v>0</v>
      </c>
      <c r="BS95" s="419">
        <f>S95+BH95</f>
        <v>2.5499999999999998</v>
      </c>
      <c r="BT95" s="419">
        <f t="shared" si="242"/>
        <v>2.5499999999999998</v>
      </c>
      <c r="BU95" s="421">
        <f t="shared" si="242"/>
        <v>0</v>
      </c>
      <c r="BV95" s="420"/>
      <c r="BW95" s="415"/>
      <c r="BX95" s="415"/>
      <c r="BY95" s="415"/>
      <c r="BZ95" s="415"/>
      <c r="CA95" s="510"/>
    </row>
    <row r="96" spans="1:79" ht="12.95" customHeight="1" x14ac:dyDescent="0.25">
      <c r="A96" s="280">
        <v>16</v>
      </c>
      <c r="B96" s="281">
        <v>5478</v>
      </c>
      <c r="C96" s="330">
        <v>600098818</v>
      </c>
      <c r="D96" s="281">
        <v>70698031</v>
      </c>
      <c r="E96" s="778" t="s">
        <v>438</v>
      </c>
      <c r="F96" s="281">
        <v>3141</v>
      </c>
      <c r="G96" s="345" t="s">
        <v>294</v>
      </c>
      <c r="H96" s="645" t="s">
        <v>272</v>
      </c>
      <c r="I96" s="420">
        <v>857259</v>
      </c>
      <c r="J96" s="415">
        <v>633612</v>
      </c>
      <c r="K96" s="415">
        <v>0</v>
      </c>
      <c r="L96" s="415">
        <v>633612</v>
      </c>
      <c r="M96" s="415">
        <v>0</v>
      </c>
      <c r="N96" s="415">
        <v>0</v>
      </c>
      <c r="O96" s="415">
        <v>0</v>
      </c>
      <c r="P96" s="68">
        <v>214161</v>
      </c>
      <c r="Q96" s="68">
        <v>6336</v>
      </c>
      <c r="R96" s="415">
        <v>3150</v>
      </c>
      <c r="S96" s="416">
        <v>1.9000000000000001</v>
      </c>
      <c r="T96" s="417">
        <v>0</v>
      </c>
      <c r="U96" s="423">
        <v>1.9000000000000001</v>
      </c>
      <c r="V96" s="424">
        <f t="shared" si="237"/>
        <v>0</v>
      </c>
      <c r="W96" s="418">
        <f t="shared" si="237"/>
        <v>0</v>
      </c>
      <c r="X96" s="418">
        <v>0</v>
      </c>
      <c r="Y96" s="418">
        <v>0</v>
      </c>
      <c r="Z96" s="418">
        <v>0</v>
      </c>
      <c r="AA96" s="418">
        <v>315778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315778</v>
      </c>
      <c r="AF96" s="418">
        <f>SUM(AD96:AE96)</f>
        <v>315778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38"/>
        <v>0</v>
      </c>
      <c r="AP96" s="418">
        <f t="shared" si="238"/>
        <v>315778</v>
      </c>
      <c r="AQ96" s="418">
        <f>SUM(AO96:AP96)</f>
        <v>315778</v>
      </c>
      <c r="AR96" s="68">
        <f>ROUND((AF96+AG96+AH96+AI96)*33.8%,0)</f>
        <v>106733</v>
      </c>
      <c r="AS96" s="68">
        <f>ROUND(AF96*1%,0)</f>
        <v>3158</v>
      </c>
      <c r="AT96" s="418">
        <v>0</v>
      </c>
      <c r="AU96" s="418">
        <v>1530</v>
      </c>
      <c r="AV96" s="418">
        <f>AT96+AU96</f>
        <v>1530</v>
      </c>
      <c r="AW96" s="418">
        <f>AQ96+AR96+AS96+AV96</f>
        <v>427199</v>
      </c>
      <c r="AX96" s="419">
        <v>0</v>
      </c>
      <c r="AY96" s="419">
        <v>0</v>
      </c>
      <c r="AZ96" s="419">
        <v>0</v>
      </c>
      <c r="BA96" s="419">
        <v>0</v>
      </c>
      <c r="BB96" s="419">
        <v>0.95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0.95</v>
      </c>
      <c r="BH96" s="421">
        <f>SUM(BF96:BG96)</f>
        <v>0.95</v>
      </c>
      <c r="BI96" s="424">
        <f>I96+AW96</f>
        <v>1284458</v>
      </c>
      <c r="BJ96" s="780">
        <f>J96+AF96</f>
        <v>949390</v>
      </c>
      <c r="BK96" s="418">
        <f t="shared" si="239"/>
        <v>0</v>
      </c>
      <c r="BL96" s="418">
        <f t="shared" si="239"/>
        <v>949390</v>
      </c>
      <c r="BM96" s="418">
        <f>M96+AN96</f>
        <v>0</v>
      </c>
      <c r="BN96" s="418">
        <f t="shared" si="240"/>
        <v>0</v>
      </c>
      <c r="BO96" s="418">
        <f t="shared" si="240"/>
        <v>0</v>
      </c>
      <c r="BP96" s="418">
        <f t="shared" si="241"/>
        <v>320894</v>
      </c>
      <c r="BQ96" s="418">
        <f t="shared" si="241"/>
        <v>9494</v>
      </c>
      <c r="BR96" s="418">
        <f>R96+AV96</f>
        <v>4680</v>
      </c>
      <c r="BS96" s="419">
        <f>S96+BH96</f>
        <v>2.85</v>
      </c>
      <c r="BT96" s="419">
        <f t="shared" si="242"/>
        <v>0</v>
      </c>
      <c r="BU96" s="421">
        <f t="shared" si="242"/>
        <v>2.85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646">
        <v>16</v>
      </c>
      <c r="B97" s="275">
        <v>5478</v>
      </c>
      <c r="C97" s="346">
        <v>600098818</v>
      </c>
      <c r="D97" s="275">
        <v>70698031</v>
      </c>
      <c r="E97" s="288" t="s">
        <v>439</v>
      </c>
      <c r="F97" s="275"/>
      <c r="G97" s="347"/>
      <c r="H97" s="647"/>
      <c r="I97" s="478">
        <v>10659934</v>
      </c>
      <c r="J97" s="476">
        <v>7753772</v>
      </c>
      <c r="K97" s="476">
        <v>6463715</v>
      </c>
      <c r="L97" s="476">
        <v>1290057</v>
      </c>
      <c r="M97" s="476">
        <v>180669</v>
      </c>
      <c r="N97" s="476">
        <v>180669</v>
      </c>
      <c r="O97" s="476">
        <v>0</v>
      </c>
      <c r="P97" s="476">
        <v>2620775</v>
      </c>
      <c r="Q97" s="476">
        <v>77538</v>
      </c>
      <c r="R97" s="476">
        <v>27180</v>
      </c>
      <c r="S97" s="477">
        <v>16.321099999999998</v>
      </c>
      <c r="T97" s="477">
        <v>12.284399999999998</v>
      </c>
      <c r="U97" s="536">
        <v>4.0367000000000006</v>
      </c>
      <c r="V97" s="478">
        <f t="shared" ref="V97:CA97" si="243">SUM(V94:V96)</f>
        <v>0</v>
      </c>
      <c r="W97" s="476">
        <f t="shared" si="243"/>
        <v>0</v>
      </c>
      <c r="X97" s="476">
        <f t="shared" si="243"/>
        <v>0</v>
      </c>
      <c r="Y97" s="476">
        <f t="shared" si="243"/>
        <v>0</v>
      </c>
      <c r="Z97" s="476">
        <f t="shared" si="243"/>
        <v>0</v>
      </c>
      <c r="AA97" s="476">
        <f t="shared" si="243"/>
        <v>315778</v>
      </c>
      <c r="AB97" s="476">
        <f t="shared" si="243"/>
        <v>0</v>
      </c>
      <c r="AC97" s="476">
        <f t="shared" si="243"/>
        <v>0</v>
      </c>
      <c r="AD97" s="476">
        <f t="shared" si="243"/>
        <v>0</v>
      </c>
      <c r="AE97" s="476">
        <f t="shared" si="243"/>
        <v>315778</v>
      </c>
      <c r="AF97" s="476">
        <f t="shared" si="243"/>
        <v>315778</v>
      </c>
      <c r="AG97" s="476">
        <f t="shared" si="243"/>
        <v>0</v>
      </c>
      <c r="AH97" s="476">
        <f t="shared" si="243"/>
        <v>0</v>
      </c>
      <c r="AI97" s="476">
        <f t="shared" si="243"/>
        <v>0</v>
      </c>
      <c r="AJ97" s="476">
        <f t="shared" si="243"/>
        <v>0</v>
      </c>
      <c r="AK97" s="476">
        <f t="shared" si="243"/>
        <v>0</v>
      </c>
      <c r="AL97" s="476">
        <f t="shared" si="243"/>
        <v>0</v>
      </c>
      <c r="AM97" s="476">
        <f t="shared" si="243"/>
        <v>0</v>
      </c>
      <c r="AN97" s="476">
        <f t="shared" si="243"/>
        <v>0</v>
      </c>
      <c r="AO97" s="476">
        <f t="shared" si="243"/>
        <v>0</v>
      </c>
      <c r="AP97" s="476">
        <f t="shared" si="243"/>
        <v>315778</v>
      </c>
      <c r="AQ97" s="476">
        <f t="shared" si="243"/>
        <v>315778</v>
      </c>
      <c r="AR97" s="476">
        <f t="shared" si="243"/>
        <v>106733</v>
      </c>
      <c r="AS97" s="476">
        <f t="shared" si="243"/>
        <v>3158</v>
      </c>
      <c r="AT97" s="476">
        <f t="shared" si="243"/>
        <v>0</v>
      </c>
      <c r="AU97" s="476">
        <f t="shared" si="243"/>
        <v>1530</v>
      </c>
      <c r="AV97" s="476">
        <f t="shared" si="243"/>
        <v>1530</v>
      </c>
      <c r="AW97" s="476">
        <f t="shared" si="243"/>
        <v>427199</v>
      </c>
      <c r="AX97" s="477">
        <f t="shared" si="243"/>
        <v>0</v>
      </c>
      <c r="AY97" s="477">
        <f t="shared" si="243"/>
        <v>0</v>
      </c>
      <c r="AZ97" s="477">
        <f t="shared" si="243"/>
        <v>0</v>
      </c>
      <c r="BA97" s="477">
        <f t="shared" si="243"/>
        <v>0</v>
      </c>
      <c r="BB97" s="477">
        <f t="shared" ref="BB97" si="244">SUM(BB94:BB96)</f>
        <v>0.95</v>
      </c>
      <c r="BC97" s="477">
        <f t="shared" si="243"/>
        <v>0</v>
      </c>
      <c r="BD97" s="477">
        <f t="shared" si="243"/>
        <v>0</v>
      </c>
      <c r="BE97" s="477">
        <f t="shared" ref="BE97" si="245">SUM(BE94:BE96)</f>
        <v>0</v>
      </c>
      <c r="BF97" s="477">
        <f t="shared" si="243"/>
        <v>0</v>
      </c>
      <c r="BG97" s="477">
        <f t="shared" si="243"/>
        <v>0.95</v>
      </c>
      <c r="BH97" s="351">
        <f t="shared" si="243"/>
        <v>0.95</v>
      </c>
      <c r="BI97" s="478">
        <f t="shared" si="243"/>
        <v>11087133</v>
      </c>
      <c r="BJ97" s="782">
        <f t="shared" si="243"/>
        <v>8069550</v>
      </c>
      <c r="BK97" s="476">
        <f t="shared" si="243"/>
        <v>6463715</v>
      </c>
      <c r="BL97" s="476">
        <f t="shared" si="243"/>
        <v>1605835</v>
      </c>
      <c r="BM97" s="476">
        <f t="shared" si="243"/>
        <v>180669</v>
      </c>
      <c r="BN97" s="476">
        <f t="shared" si="243"/>
        <v>180669</v>
      </c>
      <c r="BO97" s="476">
        <f t="shared" si="243"/>
        <v>0</v>
      </c>
      <c r="BP97" s="476">
        <f t="shared" si="243"/>
        <v>2727508</v>
      </c>
      <c r="BQ97" s="476">
        <f t="shared" si="243"/>
        <v>80696</v>
      </c>
      <c r="BR97" s="476">
        <f t="shared" si="243"/>
        <v>28710</v>
      </c>
      <c r="BS97" s="477">
        <f t="shared" si="243"/>
        <v>17.271100000000001</v>
      </c>
      <c r="BT97" s="477">
        <f t="shared" si="243"/>
        <v>12.284399999999998</v>
      </c>
      <c r="BU97" s="351">
        <f t="shared" si="243"/>
        <v>4.9867000000000008</v>
      </c>
      <c r="BV97" s="864">
        <f t="shared" si="243"/>
        <v>0</v>
      </c>
      <c r="BW97" s="729">
        <f t="shared" si="243"/>
        <v>0</v>
      </c>
      <c r="BX97" s="729">
        <f t="shared" si="243"/>
        <v>0</v>
      </c>
      <c r="BY97" s="729">
        <f t="shared" si="243"/>
        <v>0</v>
      </c>
      <c r="BZ97" s="729">
        <f t="shared" si="243"/>
        <v>0</v>
      </c>
      <c r="CA97" s="865">
        <f t="shared" si="243"/>
        <v>0</v>
      </c>
    </row>
    <row r="98" spans="1:79" ht="12.95" customHeight="1" x14ac:dyDescent="0.25">
      <c r="A98" s="280">
        <v>17</v>
      </c>
      <c r="B98" s="321">
        <v>5479</v>
      </c>
      <c r="C98" s="322">
        <v>600099105</v>
      </c>
      <c r="D98" s="281">
        <v>70910600</v>
      </c>
      <c r="E98" s="526" t="s">
        <v>794</v>
      </c>
      <c r="F98" s="321">
        <v>3113</v>
      </c>
      <c r="G98" s="345" t="s">
        <v>308</v>
      </c>
      <c r="H98" s="645" t="s">
        <v>271</v>
      </c>
      <c r="I98" s="420">
        <v>16373745</v>
      </c>
      <c r="J98" s="415">
        <v>11945391</v>
      </c>
      <c r="K98" s="415">
        <v>10997753</v>
      </c>
      <c r="L98" s="415">
        <v>947638</v>
      </c>
      <c r="M98" s="415">
        <v>50000</v>
      </c>
      <c r="N98" s="415">
        <v>50000</v>
      </c>
      <c r="O98" s="415">
        <v>0</v>
      </c>
      <c r="P98" s="68">
        <v>4054442</v>
      </c>
      <c r="Q98" s="68">
        <v>119454</v>
      </c>
      <c r="R98" s="415">
        <v>204458</v>
      </c>
      <c r="S98" s="416">
        <v>18.277000000000001</v>
      </c>
      <c r="T98" s="417">
        <v>15.550600000000001</v>
      </c>
      <c r="U98" s="423">
        <v>2.7263999999999999</v>
      </c>
      <c r="V98" s="424">
        <f t="shared" ref="V98:W104" si="246">AG98*-1</f>
        <v>0</v>
      </c>
      <c r="W98" s="418">
        <f t="shared" si="246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ref="AD98:AD104" si="247">V98+X98+Y98+Z98+AB98</f>
        <v>0</v>
      </c>
      <c r="AE98" s="418">
        <f t="shared" ref="AE98:AE104" si="248">W98+AA98+AC98</f>
        <v>0</v>
      </c>
      <c r="AF98" s="418">
        <f t="shared" ref="AF98:AF104" si="249">SUM(AD98:AE98)</f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ref="AL98:AL104" si="250">AG98+AI98+AJ98</f>
        <v>0</v>
      </c>
      <c r="AM98" s="418">
        <f t="shared" ref="AM98:AM104" si="251">AH98+AK98</f>
        <v>0</v>
      </c>
      <c r="AN98" s="418">
        <f t="shared" ref="AN98:AN104" si="252">SUM(AL98:AM98)</f>
        <v>0</v>
      </c>
      <c r="AO98" s="418">
        <f t="shared" ref="AO98:AP104" si="253">AD98+AL98</f>
        <v>0</v>
      </c>
      <c r="AP98" s="418">
        <f t="shared" si="253"/>
        <v>0</v>
      </c>
      <c r="AQ98" s="418">
        <f t="shared" ref="AQ98:AQ104" si="254">SUM(AO98:AP98)</f>
        <v>0</v>
      </c>
      <c r="AR98" s="68">
        <f t="shared" ref="AR98:AR104" si="255">ROUND((AF98+AG98+AH98+AI98)*33.8%,0)</f>
        <v>0</v>
      </c>
      <c r="AS98" s="68">
        <f t="shared" ref="AS98:AS104" si="256">ROUND(AF98*1%,0)</f>
        <v>0</v>
      </c>
      <c r="AT98" s="418">
        <v>0</v>
      </c>
      <c r="AU98" s="418">
        <v>0</v>
      </c>
      <c r="AV98" s="418">
        <f t="shared" ref="AV98:AV104" si="257">AT98+AU98</f>
        <v>0</v>
      </c>
      <c r="AW98" s="418">
        <f t="shared" ref="AW98:AW104" si="258">AQ98+AR98+AS98+AV98</f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ref="BF98:BF104" si="259">AX98+AZ98+BA98+BC98+BD98</f>
        <v>0</v>
      </c>
      <c r="BG98" s="419">
        <f t="shared" ref="BG98:BG104" si="260">AY98+BB98+BE98</f>
        <v>0</v>
      </c>
      <c r="BH98" s="421">
        <f t="shared" ref="BH98:BH104" si="261">SUM(BF98:BG98)</f>
        <v>0</v>
      </c>
      <c r="BI98" s="424">
        <f t="shared" ref="BI98:BI104" si="262">I98+AW98</f>
        <v>16373745</v>
      </c>
      <c r="BJ98" s="780">
        <f t="shared" ref="BJ98:BJ104" si="263">J98+AF98</f>
        <v>11945391</v>
      </c>
      <c r="BK98" s="418">
        <f t="shared" ref="BK98:BL104" si="264">K98+AD98</f>
        <v>10997753</v>
      </c>
      <c r="BL98" s="418">
        <f t="shared" si="264"/>
        <v>947638</v>
      </c>
      <c r="BM98" s="418">
        <f t="shared" ref="BM98:BM104" si="265">M98+AN98</f>
        <v>50000</v>
      </c>
      <c r="BN98" s="418">
        <f t="shared" ref="BN98:BO104" si="266">N98+AL98</f>
        <v>50000</v>
      </c>
      <c r="BO98" s="418">
        <f t="shared" si="266"/>
        <v>0</v>
      </c>
      <c r="BP98" s="418">
        <f t="shared" ref="BP98:BQ104" si="267">P98+AR98</f>
        <v>4054442</v>
      </c>
      <c r="BQ98" s="418">
        <f t="shared" si="267"/>
        <v>119454</v>
      </c>
      <c r="BR98" s="418">
        <f t="shared" ref="BR98:BR104" si="268">R98+AV98</f>
        <v>204458</v>
      </c>
      <c r="BS98" s="419">
        <f t="shared" ref="BS98:BS104" si="269">S98+BH98</f>
        <v>18.277000000000001</v>
      </c>
      <c r="BT98" s="419">
        <f t="shared" ref="BT98:BU104" si="270">T98+BF98</f>
        <v>15.550600000000001</v>
      </c>
      <c r="BU98" s="421">
        <f t="shared" si="270"/>
        <v>2.7263999999999999</v>
      </c>
      <c r="BV98" s="420"/>
      <c r="BW98" s="415"/>
      <c r="BX98" s="415"/>
      <c r="BY98" s="415"/>
      <c r="BZ98" s="415"/>
      <c r="CA98" s="510"/>
    </row>
    <row r="99" spans="1:79" ht="12.95" customHeight="1" x14ac:dyDescent="0.25">
      <c r="A99" s="280">
        <v>17</v>
      </c>
      <c r="B99" s="321">
        <v>5479</v>
      </c>
      <c r="C99" s="322">
        <v>600099105</v>
      </c>
      <c r="D99" s="281">
        <v>70910600</v>
      </c>
      <c r="E99" s="526" t="s">
        <v>794</v>
      </c>
      <c r="F99" s="321">
        <v>3113</v>
      </c>
      <c r="G99" s="286" t="s">
        <v>292</v>
      </c>
      <c r="H99" s="645" t="s">
        <v>271</v>
      </c>
      <c r="I99" s="420">
        <v>485783</v>
      </c>
      <c r="J99" s="415">
        <v>360373</v>
      </c>
      <c r="K99" s="415">
        <v>360373</v>
      </c>
      <c r="L99" s="415">
        <v>0</v>
      </c>
      <c r="M99" s="415">
        <v>0</v>
      </c>
      <c r="N99" s="415">
        <v>0</v>
      </c>
      <c r="O99" s="415">
        <v>0</v>
      </c>
      <c r="P99" s="68">
        <v>121806</v>
      </c>
      <c r="Q99" s="68">
        <v>3604</v>
      </c>
      <c r="R99" s="415">
        <v>0</v>
      </c>
      <c r="S99" s="416">
        <v>0.80559999999999998</v>
      </c>
      <c r="T99" s="417">
        <v>0.80559999999999998</v>
      </c>
      <c r="U99" s="423">
        <v>0</v>
      </c>
      <c r="V99" s="424">
        <f t="shared" si="246"/>
        <v>0</v>
      </c>
      <c r="W99" s="418">
        <f t="shared" si="246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 t="shared" si="247"/>
        <v>0</v>
      </c>
      <c r="AE99" s="418">
        <f t="shared" si="248"/>
        <v>0</v>
      </c>
      <c r="AF99" s="418">
        <f t="shared" si="249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250"/>
        <v>0</v>
      </c>
      <c r="AM99" s="418">
        <f t="shared" si="251"/>
        <v>0</v>
      </c>
      <c r="AN99" s="418">
        <f t="shared" si="252"/>
        <v>0</v>
      </c>
      <c r="AO99" s="418">
        <f t="shared" si="253"/>
        <v>0</v>
      </c>
      <c r="AP99" s="418">
        <f t="shared" si="253"/>
        <v>0</v>
      </c>
      <c r="AQ99" s="418">
        <f t="shared" si="254"/>
        <v>0</v>
      </c>
      <c r="AR99" s="68">
        <f t="shared" si="255"/>
        <v>0</v>
      </c>
      <c r="AS99" s="68">
        <f t="shared" si="256"/>
        <v>0</v>
      </c>
      <c r="AT99" s="418">
        <v>0</v>
      </c>
      <c r="AU99" s="418">
        <v>0</v>
      </c>
      <c r="AV99" s="418">
        <f t="shared" si="257"/>
        <v>0</v>
      </c>
      <c r="AW99" s="418">
        <f t="shared" si="258"/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 t="shared" si="259"/>
        <v>0</v>
      </c>
      <c r="BG99" s="419">
        <f t="shared" si="260"/>
        <v>0</v>
      </c>
      <c r="BH99" s="421">
        <f t="shared" si="261"/>
        <v>0</v>
      </c>
      <c r="BI99" s="424">
        <f t="shared" si="262"/>
        <v>485783</v>
      </c>
      <c r="BJ99" s="780">
        <f t="shared" si="263"/>
        <v>360373</v>
      </c>
      <c r="BK99" s="418">
        <f t="shared" si="264"/>
        <v>360373</v>
      </c>
      <c r="BL99" s="418">
        <f t="shared" si="264"/>
        <v>0</v>
      </c>
      <c r="BM99" s="418">
        <f t="shared" si="265"/>
        <v>0</v>
      </c>
      <c r="BN99" s="418">
        <f t="shared" si="266"/>
        <v>0</v>
      </c>
      <c r="BO99" s="418">
        <f t="shared" si="266"/>
        <v>0</v>
      </c>
      <c r="BP99" s="418">
        <f t="shared" si="267"/>
        <v>121806</v>
      </c>
      <c r="BQ99" s="418">
        <f t="shared" si="267"/>
        <v>3604</v>
      </c>
      <c r="BR99" s="418">
        <f t="shared" si="268"/>
        <v>0</v>
      </c>
      <c r="BS99" s="419">
        <f t="shared" si="269"/>
        <v>0.80559999999999998</v>
      </c>
      <c r="BT99" s="419">
        <f t="shared" si="270"/>
        <v>0.80559999999999998</v>
      </c>
      <c r="BU99" s="421">
        <f t="shared" si="270"/>
        <v>0</v>
      </c>
      <c r="BV99" s="420"/>
      <c r="BW99" s="415"/>
      <c r="BX99" s="415"/>
      <c r="BY99" s="415"/>
      <c r="BZ99" s="415"/>
      <c r="CA99" s="510"/>
    </row>
    <row r="100" spans="1:79" ht="12.95" customHeight="1" x14ac:dyDescent="0.25">
      <c r="A100" s="280">
        <v>17</v>
      </c>
      <c r="B100" s="321">
        <v>5479</v>
      </c>
      <c r="C100" s="322">
        <v>600099105</v>
      </c>
      <c r="D100" s="281">
        <v>70910600</v>
      </c>
      <c r="E100" s="526" t="s">
        <v>794</v>
      </c>
      <c r="F100" s="321">
        <v>3113</v>
      </c>
      <c r="G100" s="284" t="s">
        <v>291</v>
      </c>
      <c r="H100" s="645" t="s">
        <v>272</v>
      </c>
      <c r="I100" s="420">
        <v>2153698</v>
      </c>
      <c r="J100" s="415">
        <v>1597699</v>
      </c>
      <c r="K100" s="415">
        <v>1597699</v>
      </c>
      <c r="L100" s="415">
        <v>0</v>
      </c>
      <c r="M100" s="415">
        <v>0</v>
      </c>
      <c r="N100" s="415">
        <v>0</v>
      </c>
      <c r="O100" s="415">
        <v>0</v>
      </c>
      <c r="P100" s="68">
        <v>540022</v>
      </c>
      <c r="Q100" s="68">
        <v>15977</v>
      </c>
      <c r="R100" s="415">
        <v>0</v>
      </c>
      <c r="S100" s="416">
        <v>3.79</v>
      </c>
      <c r="T100" s="417">
        <v>3.79</v>
      </c>
      <c r="U100" s="423">
        <v>0</v>
      </c>
      <c r="V100" s="424">
        <f t="shared" si="246"/>
        <v>0</v>
      </c>
      <c r="W100" s="418">
        <f t="shared" si="246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 t="shared" si="247"/>
        <v>0</v>
      </c>
      <c r="AE100" s="418">
        <f t="shared" si="248"/>
        <v>0</v>
      </c>
      <c r="AF100" s="418">
        <f t="shared" si="249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250"/>
        <v>0</v>
      </c>
      <c r="AM100" s="418">
        <f t="shared" si="251"/>
        <v>0</v>
      </c>
      <c r="AN100" s="418">
        <f t="shared" si="252"/>
        <v>0</v>
      </c>
      <c r="AO100" s="418">
        <f t="shared" si="253"/>
        <v>0</v>
      </c>
      <c r="AP100" s="418">
        <f t="shared" si="253"/>
        <v>0</v>
      </c>
      <c r="AQ100" s="418">
        <f t="shared" si="254"/>
        <v>0</v>
      </c>
      <c r="AR100" s="68">
        <f t="shared" si="255"/>
        <v>0</v>
      </c>
      <c r="AS100" s="68">
        <f t="shared" si="256"/>
        <v>0</v>
      </c>
      <c r="AT100" s="418">
        <v>0</v>
      </c>
      <c r="AU100" s="418">
        <v>0</v>
      </c>
      <c r="AV100" s="418">
        <f t="shared" si="257"/>
        <v>0</v>
      </c>
      <c r="AW100" s="418">
        <f t="shared" si="258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259"/>
        <v>0</v>
      </c>
      <c r="BG100" s="419">
        <f t="shared" si="260"/>
        <v>0</v>
      </c>
      <c r="BH100" s="421">
        <f t="shared" si="261"/>
        <v>0</v>
      </c>
      <c r="BI100" s="424">
        <f t="shared" si="262"/>
        <v>2153698</v>
      </c>
      <c r="BJ100" s="780">
        <f t="shared" si="263"/>
        <v>1597699</v>
      </c>
      <c r="BK100" s="418">
        <f t="shared" si="264"/>
        <v>1597699</v>
      </c>
      <c r="BL100" s="418">
        <f t="shared" si="264"/>
        <v>0</v>
      </c>
      <c r="BM100" s="418">
        <f t="shared" si="265"/>
        <v>0</v>
      </c>
      <c r="BN100" s="418">
        <f t="shared" si="266"/>
        <v>0</v>
      </c>
      <c r="BO100" s="418">
        <f t="shared" si="266"/>
        <v>0</v>
      </c>
      <c r="BP100" s="418">
        <f t="shared" si="267"/>
        <v>540022</v>
      </c>
      <c r="BQ100" s="418">
        <f t="shared" si="267"/>
        <v>15977</v>
      </c>
      <c r="BR100" s="418">
        <f t="shared" si="268"/>
        <v>0</v>
      </c>
      <c r="BS100" s="419">
        <f t="shared" si="269"/>
        <v>3.79</v>
      </c>
      <c r="BT100" s="419">
        <f t="shared" si="270"/>
        <v>3.79</v>
      </c>
      <c r="BU100" s="421">
        <f t="shared" si="270"/>
        <v>0</v>
      </c>
      <c r="BV100" s="420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17</v>
      </c>
      <c r="B101" s="321">
        <v>5479</v>
      </c>
      <c r="C101" s="322">
        <v>600099105</v>
      </c>
      <c r="D101" s="281">
        <v>70910600</v>
      </c>
      <c r="E101" s="526" t="s">
        <v>794</v>
      </c>
      <c r="F101" s="321">
        <v>3141</v>
      </c>
      <c r="G101" s="345" t="s">
        <v>294</v>
      </c>
      <c r="H101" s="645" t="s">
        <v>272</v>
      </c>
      <c r="I101" s="420">
        <v>989710</v>
      </c>
      <c r="J101" s="415">
        <v>729221</v>
      </c>
      <c r="K101" s="415">
        <v>0</v>
      </c>
      <c r="L101" s="415">
        <v>729221</v>
      </c>
      <c r="M101" s="415">
        <v>0</v>
      </c>
      <c r="N101" s="415">
        <v>0</v>
      </c>
      <c r="O101" s="415">
        <v>0</v>
      </c>
      <c r="P101" s="68">
        <v>246477</v>
      </c>
      <c r="Q101" s="68">
        <v>7292</v>
      </c>
      <c r="R101" s="415">
        <v>6720</v>
      </c>
      <c r="S101" s="416">
        <v>2.1867000000000001</v>
      </c>
      <c r="T101" s="417">
        <v>0</v>
      </c>
      <c r="U101" s="423">
        <v>2.1867000000000001</v>
      </c>
      <c r="V101" s="424">
        <f t="shared" si="246"/>
        <v>0</v>
      </c>
      <c r="W101" s="418">
        <f t="shared" si="246"/>
        <v>0</v>
      </c>
      <c r="X101" s="418">
        <v>0</v>
      </c>
      <c r="Y101" s="418">
        <v>0</v>
      </c>
      <c r="Z101" s="418">
        <v>0</v>
      </c>
      <c r="AA101" s="418">
        <v>363727</v>
      </c>
      <c r="AB101" s="418">
        <v>0</v>
      </c>
      <c r="AC101" s="418">
        <v>0</v>
      </c>
      <c r="AD101" s="418">
        <f t="shared" si="247"/>
        <v>0</v>
      </c>
      <c r="AE101" s="418">
        <f t="shared" si="248"/>
        <v>363727</v>
      </c>
      <c r="AF101" s="418">
        <f t="shared" si="249"/>
        <v>363727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250"/>
        <v>0</v>
      </c>
      <c r="AM101" s="418">
        <f t="shared" si="251"/>
        <v>0</v>
      </c>
      <c r="AN101" s="418">
        <f t="shared" si="252"/>
        <v>0</v>
      </c>
      <c r="AO101" s="418">
        <f t="shared" si="253"/>
        <v>0</v>
      </c>
      <c r="AP101" s="418">
        <f t="shared" si="253"/>
        <v>363727</v>
      </c>
      <c r="AQ101" s="418">
        <f t="shared" si="254"/>
        <v>363727</v>
      </c>
      <c r="AR101" s="68">
        <f t="shared" si="255"/>
        <v>122940</v>
      </c>
      <c r="AS101" s="68">
        <f t="shared" si="256"/>
        <v>3637</v>
      </c>
      <c r="AT101" s="418">
        <v>0</v>
      </c>
      <c r="AU101" s="418">
        <v>3264</v>
      </c>
      <c r="AV101" s="418">
        <f t="shared" si="257"/>
        <v>3264</v>
      </c>
      <c r="AW101" s="418">
        <f t="shared" si="258"/>
        <v>493568</v>
      </c>
      <c r="AX101" s="419">
        <v>0</v>
      </c>
      <c r="AY101" s="419">
        <v>0</v>
      </c>
      <c r="AZ101" s="419">
        <v>0</v>
      </c>
      <c r="BA101" s="419">
        <v>0</v>
      </c>
      <c r="BB101" s="419">
        <v>1.0900000000000001</v>
      </c>
      <c r="BC101" s="419">
        <v>0</v>
      </c>
      <c r="BD101" s="419">
        <v>0</v>
      </c>
      <c r="BE101" s="419">
        <v>0</v>
      </c>
      <c r="BF101" s="419">
        <f t="shared" si="259"/>
        <v>0</v>
      </c>
      <c r="BG101" s="419">
        <f t="shared" si="260"/>
        <v>1.0900000000000001</v>
      </c>
      <c r="BH101" s="421">
        <f t="shared" si="261"/>
        <v>1.0900000000000001</v>
      </c>
      <c r="BI101" s="424">
        <f t="shared" si="262"/>
        <v>1483278</v>
      </c>
      <c r="BJ101" s="780">
        <f t="shared" si="263"/>
        <v>1092948</v>
      </c>
      <c r="BK101" s="418">
        <f t="shared" si="264"/>
        <v>0</v>
      </c>
      <c r="BL101" s="418">
        <f t="shared" si="264"/>
        <v>1092948</v>
      </c>
      <c r="BM101" s="418">
        <f t="shared" si="265"/>
        <v>0</v>
      </c>
      <c r="BN101" s="418">
        <f t="shared" si="266"/>
        <v>0</v>
      </c>
      <c r="BO101" s="418">
        <f t="shared" si="266"/>
        <v>0</v>
      </c>
      <c r="BP101" s="418">
        <f t="shared" si="267"/>
        <v>369417</v>
      </c>
      <c r="BQ101" s="418">
        <f t="shared" si="267"/>
        <v>10929</v>
      </c>
      <c r="BR101" s="418">
        <f t="shared" si="268"/>
        <v>9984</v>
      </c>
      <c r="BS101" s="419">
        <f t="shared" si="269"/>
        <v>3.2766999999999999</v>
      </c>
      <c r="BT101" s="419">
        <f t="shared" si="270"/>
        <v>0</v>
      </c>
      <c r="BU101" s="421">
        <f t="shared" si="270"/>
        <v>3.2766999999999999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17</v>
      </c>
      <c r="B102" s="321">
        <v>5479</v>
      </c>
      <c r="C102" s="322">
        <v>600099105</v>
      </c>
      <c r="D102" s="281">
        <v>70910600</v>
      </c>
      <c r="E102" s="526" t="s">
        <v>794</v>
      </c>
      <c r="F102" s="321">
        <v>3143</v>
      </c>
      <c r="G102" s="284" t="s">
        <v>595</v>
      </c>
      <c r="H102" s="645" t="s">
        <v>271</v>
      </c>
      <c r="I102" s="420">
        <v>1549705</v>
      </c>
      <c r="J102" s="415">
        <v>1149633</v>
      </c>
      <c r="K102" s="415">
        <v>1149633</v>
      </c>
      <c r="L102" s="415">
        <v>0</v>
      </c>
      <c r="M102" s="415">
        <v>0</v>
      </c>
      <c r="N102" s="415">
        <v>0</v>
      </c>
      <c r="O102" s="415">
        <v>0</v>
      </c>
      <c r="P102" s="68">
        <v>388576</v>
      </c>
      <c r="Q102" s="68">
        <v>11496</v>
      </c>
      <c r="R102" s="415">
        <v>0</v>
      </c>
      <c r="S102" s="416">
        <v>2.1667000000000001</v>
      </c>
      <c r="T102" s="417">
        <v>2.1667000000000001</v>
      </c>
      <c r="U102" s="423">
        <v>0</v>
      </c>
      <c r="V102" s="424">
        <f t="shared" si="246"/>
        <v>0</v>
      </c>
      <c r="W102" s="418">
        <f t="shared" si="246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247"/>
        <v>0</v>
      </c>
      <c r="AE102" s="418">
        <f t="shared" si="248"/>
        <v>0</v>
      </c>
      <c r="AF102" s="418">
        <f t="shared" si="249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250"/>
        <v>0</v>
      </c>
      <c r="AM102" s="418">
        <f t="shared" si="251"/>
        <v>0</v>
      </c>
      <c r="AN102" s="418">
        <f t="shared" si="252"/>
        <v>0</v>
      </c>
      <c r="AO102" s="418">
        <f t="shared" si="253"/>
        <v>0</v>
      </c>
      <c r="AP102" s="418">
        <f t="shared" si="253"/>
        <v>0</v>
      </c>
      <c r="AQ102" s="418">
        <f t="shared" si="254"/>
        <v>0</v>
      </c>
      <c r="AR102" s="68">
        <f t="shared" si="255"/>
        <v>0</v>
      </c>
      <c r="AS102" s="68">
        <f t="shared" si="256"/>
        <v>0</v>
      </c>
      <c r="AT102" s="418">
        <v>0</v>
      </c>
      <c r="AU102" s="418">
        <v>0</v>
      </c>
      <c r="AV102" s="418">
        <f t="shared" si="257"/>
        <v>0</v>
      </c>
      <c r="AW102" s="418">
        <f t="shared" si="258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259"/>
        <v>0</v>
      </c>
      <c r="BG102" s="419">
        <f t="shared" si="260"/>
        <v>0</v>
      </c>
      <c r="BH102" s="421">
        <f t="shared" si="261"/>
        <v>0</v>
      </c>
      <c r="BI102" s="424">
        <f t="shared" si="262"/>
        <v>1549705</v>
      </c>
      <c r="BJ102" s="780">
        <f t="shared" si="263"/>
        <v>1149633</v>
      </c>
      <c r="BK102" s="418">
        <f t="shared" si="264"/>
        <v>1149633</v>
      </c>
      <c r="BL102" s="418">
        <f t="shared" si="264"/>
        <v>0</v>
      </c>
      <c r="BM102" s="418">
        <f t="shared" si="265"/>
        <v>0</v>
      </c>
      <c r="BN102" s="418">
        <f t="shared" si="266"/>
        <v>0</v>
      </c>
      <c r="BO102" s="418">
        <f t="shared" si="266"/>
        <v>0</v>
      </c>
      <c r="BP102" s="418">
        <f t="shared" si="267"/>
        <v>388576</v>
      </c>
      <c r="BQ102" s="418">
        <f t="shared" si="267"/>
        <v>11496</v>
      </c>
      <c r="BR102" s="418">
        <f t="shared" si="268"/>
        <v>0</v>
      </c>
      <c r="BS102" s="419">
        <f t="shared" si="269"/>
        <v>2.1667000000000001</v>
      </c>
      <c r="BT102" s="419">
        <f t="shared" si="270"/>
        <v>2.1667000000000001</v>
      </c>
      <c r="BU102" s="421">
        <f t="shared" si="270"/>
        <v>0</v>
      </c>
      <c r="BV102" s="420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17</v>
      </c>
      <c r="B103" s="321">
        <v>5479</v>
      </c>
      <c r="C103" s="322">
        <v>600099105</v>
      </c>
      <c r="D103" s="281">
        <v>70910600</v>
      </c>
      <c r="E103" s="526" t="s">
        <v>794</v>
      </c>
      <c r="F103" s="321">
        <v>3143</v>
      </c>
      <c r="G103" s="284" t="s">
        <v>596</v>
      </c>
      <c r="H103" s="645" t="s">
        <v>272</v>
      </c>
      <c r="I103" s="420">
        <v>33822</v>
      </c>
      <c r="J103" s="415">
        <v>24209</v>
      </c>
      <c r="K103" s="415">
        <v>0</v>
      </c>
      <c r="L103" s="415">
        <v>24209</v>
      </c>
      <c r="M103" s="415">
        <v>0</v>
      </c>
      <c r="N103" s="415">
        <v>0</v>
      </c>
      <c r="O103" s="415">
        <v>0</v>
      </c>
      <c r="P103" s="68">
        <v>8183</v>
      </c>
      <c r="Q103" s="68">
        <v>242</v>
      </c>
      <c r="R103" s="415">
        <v>1188</v>
      </c>
      <c r="S103" s="416">
        <v>9.1700000000000004E-2</v>
      </c>
      <c r="T103" s="417">
        <v>0</v>
      </c>
      <c r="U103" s="423">
        <v>9.1700000000000004E-2</v>
      </c>
      <c r="V103" s="424">
        <f t="shared" si="246"/>
        <v>0</v>
      </c>
      <c r="W103" s="418">
        <f t="shared" si="246"/>
        <v>0</v>
      </c>
      <c r="X103" s="418">
        <v>0</v>
      </c>
      <c r="Y103" s="418">
        <v>0</v>
      </c>
      <c r="Z103" s="418">
        <v>0</v>
      </c>
      <c r="AA103" s="418">
        <v>12091</v>
      </c>
      <c r="AB103" s="418">
        <v>0</v>
      </c>
      <c r="AC103" s="418">
        <v>0</v>
      </c>
      <c r="AD103" s="418">
        <f t="shared" si="247"/>
        <v>0</v>
      </c>
      <c r="AE103" s="418">
        <f t="shared" si="248"/>
        <v>12091</v>
      </c>
      <c r="AF103" s="418">
        <f t="shared" si="249"/>
        <v>12091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250"/>
        <v>0</v>
      </c>
      <c r="AM103" s="418">
        <f t="shared" si="251"/>
        <v>0</v>
      </c>
      <c r="AN103" s="418">
        <f t="shared" si="252"/>
        <v>0</v>
      </c>
      <c r="AO103" s="418">
        <f t="shared" si="253"/>
        <v>0</v>
      </c>
      <c r="AP103" s="418">
        <f t="shared" si="253"/>
        <v>12091</v>
      </c>
      <c r="AQ103" s="418">
        <f t="shared" si="254"/>
        <v>12091</v>
      </c>
      <c r="AR103" s="68">
        <f t="shared" si="255"/>
        <v>4087</v>
      </c>
      <c r="AS103" s="68">
        <f t="shared" si="256"/>
        <v>121</v>
      </c>
      <c r="AT103" s="418">
        <v>0</v>
      </c>
      <c r="AU103" s="418">
        <v>594</v>
      </c>
      <c r="AV103" s="418">
        <f t="shared" si="257"/>
        <v>594</v>
      </c>
      <c r="AW103" s="418">
        <f t="shared" si="258"/>
        <v>16893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0.05</v>
      </c>
      <c r="BC103" s="419">
        <v>0</v>
      </c>
      <c r="BD103" s="419">
        <v>0</v>
      </c>
      <c r="BE103" s="419">
        <v>0</v>
      </c>
      <c r="BF103" s="419">
        <f t="shared" si="259"/>
        <v>0</v>
      </c>
      <c r="BG103" s="419">
        <f t="shared" si="260"/>
        <v>0.05</v>
      </c>
      <c r="BH103" s="421">
        <f t="shared" si="261"/>
        <v>0.05</v>
      </c>
      <c r="BI103" s="424">
        <f t="shared" si="262"/>
        <v>50715</v>
      </c>
      <c r="BJ103" s="780">
        <f t="shared" si="263"/>
        <v>36300</v>
      </c>
      <c r="BK103" s="418">
        <f t="shared" si="264"/>
        <v>0</v>
      </c>
      <c r="BL103" s="418">
        <f t="shared" si="264"/>
        <v>36300</v>
      </c>
      <c r="BM103" s="418">
        <f t="shared" si="265"/>
        <v>0</v>
      </c>
      <c r="BN103" s="418">
        <f t="shared" si="266"/>
        <v>0</v>
      </c>
      <c r="BO103" s="418">
        <f t="shared" si="266"/>
        <v>0</v>
      </c>
      <c r="BP103" s="418">
        <f t="shared" si="267"/>
        <v>12270</v>
      </c>
      <c r="BQ103" s="418">
        <f t="shared" si="267"/>
        <v>363</v>
      </c>
      <c r="BR103" s="418">
        <f t="shared" si="268"/>
        <v>1782</v>
      </c>
      <c r="BS103" s="419">
        <f t="shared" si="269"/>
        <v>0.14169999999999999</v>
      </c>
      <c r="BT103" s="419">
        <f t="shared" si="270"/>
        <v>0</v>
      </c>
      <c r="BU103" s="421">
        <f t="shared" si="270"/>
        <v>0.14169999999999999</v>
      </c>
      <c r="BV103" s="420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17</v>
      </c>
      <c r="B104" s="321">
        <v>5479</v>
      </c>
      <c r="C104" s="322">
        <v>600099105</v>
      </c>
      <c r="D104" s="281">
        <v>70910600</v>
      </c>
      <c r="E104" s="526" t="s">
        <v>794</v>
      </c>
      <c r="F104" s="321">
        <v>3233</v>
      </c>
      <c r="G104" s="345" t="s">
        <v>297</v>
      </c>
      <c r="H104" s="645" t="s">
        <v>272</v>
      </c>
      <c r="I104" s="420">
        <v>2307836</v>
      </c>
      <c r="J104" s="415">
        <v>1710950</v>
      </c>
      <c r="K104" s="415">
        <v>1484806</v>
      </c>
      <c r="L104" s="415">
        <v>226144</v>
      </c>
      <c r="M104" s="415">
        <v>0</v>
      </c>
      <c r="N104" s="415">
        <v>0</v>
      </c>
      <c r="O104" s="415">
        <v>0</v>
      </c>
      <c r="P104" s="68">
        <v>578301</v>
      </c>
      <c r="Q104" s="68">
        <v>17110</v>
      </c>
      <c r="R104" s="415">
        <v>1475</v>
      </c>
      <c r="S104" s="416">
        <v>3.42</v>
      </c>
      <c r="T104" s="417">
        <v>2.69</v>
      </c>
      <c r="U104" s="423">
        <v>0.73</v>
      </c>
      <c r="V104" s="424">
        <f t="shared" si="246"/>
        <v>0</v>
      </c>
      <c r="W104" s="418">
        <f t="shared" si="246"/>
        <v>0</v>
      </c>
      <c r="X104" s="418">
        <v>0</v>
      </c>
      <c r="Y104" s="418">
        <v>0</v>
      </c>
      <c r="Z104" s="418">
        <v>0</v>
      </c>
      <c r="AA104" s="418">
        <v>113061</v>
      </c>
      <c r="AB104" s="418">
        <v>0</v>
      </c>
      <c r="AC104" s="418">
        <v>0</v>
      </c>
      <c r="AD104" s="418">
        <f t="shared" si="247"/>
        <v>0</v>
      </c>
      <c r="AE104" s="418">
        <f t="shared" si="248"/>
        <v>113061</v>
      </c>
      <c r="AF104" s="418">
        <f t="shared" si="249"/>
        <v>113061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250"/>
        <v>0</v>
      </c>
      <c r="AM104" s="418">
        <f t="shared" si="251"/>
        <v>0</v>
      </c>
      <c r="AN104" s="418">
        <f t="shared" si="252"/>
        <v>0</v>
      </c>
      <c r="AO104" s="418">
        <f t="shared" si="253"/>
        <v>0</v>
      </c>
      <c r="AP104" s="418">
        <f t="shared" si="253"/>
        <v>113061</v>
      </c>
      <c r="AQ104" s="418">
        <f t="shared" si="254"/>
        <v>113061</v>
      </c>
      <c r="AR104" s="68">
        <f t="shared" si="255"/>
        <v>38215</v>
      </c>
      <c r="AS104" s="68">
        <f t="shared" si="256"/>
        <v>1131</v>
      </c>
      <c r="AT104" s="418">
        <v>0</v>
      </c>
      <c r="AU104" s="418">
        <v>590</v>
      </c>
      <c r="AV104" s="418">
        <f t="shared" si="257"/>
        <v>590</v>
      </c>
      <c r="AW104" s="418">
        <f t="shared" si="258"/>
        <v>152997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0.36</v>
      </c>
      <c r="BC104" s="419">
        <v>0</v>
      </c>
      <c r="BD104" s="419">
        <v>0</v>
      </c>
      <c r="BE104" s="419">
        <v>0</v>
      </c>
      <c r="BF104" s="419">
        <f t="shared" si="259"/>
        <v>0</v>
      </c>
      <c r="BG104" s="419">
        <f t="shared" si="260"/>
        <v>0.36</v>
      </c>
      <c r="BH104" s="421">
        <f t="shared" si="261"/>
        <v>0.36</v>
      </c>
      <c r="BI104" s="424">
        <f t="shared" si="262"/>
        <v>2460833</v>
      </c>
      <c r="BJ104" s="780">
        <f t="shared" si="263"/>
        <v>1824011</v>
      </c>
      <c r="BK104" s="418">
        <f t="shared" si="264"/>
        <v>1484806</v>
      </c>
      <c r="BL104" s="418">
        <f t="shared" si="264"/>
        <v>339205</v>
      </c>
      <c r="BM104" s="418">
        <f t="shared" si="265"/>
        <v>0</v>
      </c>
      <c r="BN104" s="418">
        <f t="shared" si="266"/>
        <v>0</v>
      </c>
      <c r="BO104" s="418">
        <f t="shared" si="266"/>
        <v>0</v>
      </c>
      <c r="BP104" s="418">
        <f t="shared" si="267"/>
        <v>616516</v>
      </c>
      <c r="BQ104" s="418">
        <f t="shared" si="267"/>
        <v>18241</v>
      </c>
      <c r="BR104" s="418">
        <f t="shared" si="268"/>
        <v>2065</v>
      </c>
      <c r="BS104" s="419">
        <f t="shared" si="269"/>
        <v>3.78</v>
      </c>
      <c r="BT104" s="419">
        <f t="shared" si="270"/>
        <v>2.69</v>
      </c>
      <c r="BU104" s="421">
        <f t="shared" si="270"/>
        <v>1.0899999999999999</v>
      </c>
      <c r="BV104" s="420"/>
      <c r="BW104" s="415"/>
      <c r="BX104" s="415"/>
      <c r="BY104" s="415"/>
      <c r="BZ104" s="415"/>
      <c r="CA104" s="510"/>
    </row>
    <row r="105" spans="1:79" ht="12.95" customHeight="1" x14ac:dyDescent="0.25">
      <c r="A105" s="646">
        <v>17</v>
      </c>
      <c r="B105" s="325">
        <v>5479</v>
      </c>
      <c r="C105" s="326">
        <v>600099105</v>
      </c>
      <c r="D105" s="325">
        <v>70910600</v>
      </c>
      <c r="E105" s="527" t="s">
        <v>795</v>
      </c>
      <c r="F105" s="325"/>
      <c r="G105" s="350"/>
      <c r="H105" s="648"/>
      <c r="I105" s="465">
        <v>23894299</v>
      </c>
      <c r="J105" s="461">
        <v>17517476</v>
      </c>
      <c r="K105" s="461">
        <v>15590264</v>
      </c>
      <c r="L105" s="461">
        <v>1927212</v>
      </c>
      <c r="M105" s="461">
        <v>50000</v>
      </c>
      <c r="N105" s="461">
        <v>50000</v>
      </c>
      <c r="O105" s="461">
        <v>0</v>
      </c>
      <c r="P105" s="461">
        <v>5937807</v>
      </c>
      <c r="Q105" s="461">
        <v>175175</v>
      </c>
      <c r="R105" s="461">
        <v>213841</v>
      </c>
      <c r="S105" s="462">
        <v>30.737699999999997</v>
      </c>
      <c r="T105" s="462">
        <v>25.0029</v>
      </c>
      <c r="U105" s="535">
        <v>5.7347999999999999</v>
      </c>
      <c r="V105" s="465">
        <f t="shared" ref="V105:CA105" si="271">SUM(V98:V104)</f>
        <v>0</v>
      </c>
      <c r="W105" s="461">
        <f t="shared" si="271"/>
        <v>0</v>
      </c>
      <c r="X105" s="461">
        <f t="shared" si="271"/>
        <v>0</v>
      </c>
      <c r="Y105" s="461">
        <f t="shared" si="271"/>
        <v>0</v>
      </c>
      <c r="Z105" s="461">
        <f t="shared" si="271"/>
        <v>0</v>
      </c>
      <c r="AA105" s="461">
        <f t="shared" si="271"/>
        <v>488879</v>
      </c>
      <c r="AB105" s="461">
        <f t="shared" si="271"/>
        <v>0</v>
      </c>
      <c r="AC105" s="461">
        <f t="shared" si="271"/>
        <v>0</v>
      </c>
      <c r="AD105" s="461">
        <f t="shared" si="271"/>
        <v>0</v>
      </c>
      <c r="AE105" s="461">
        <f t="shared" si="271"/>
        <v>488879</v>
      </c>
      <c r="AF105" s="461">
        <f t="shared" si="271"/>
        <v>488879</v>
      </c>
      <c r="AG105" s="461">
        <f t="shared" si="271"/>
        <v>0</v>
      </c>
      <c r="AH105" s="461">
        <f t="shared" si="271"/>
        <v>0</v>
      </c>
      <c r="AI105" s="461">
        <f t="shared" si="271"/>
        <v>0</v>
      </c>
      <c r="AJ105" s="461">
        <f t="shared" si="271"/>
        <v>0</v>
      </c>
      <c r="AK105" s="461">
        <f t="shared" si="271"/>
        <v>0</v>
      </c>
      <c r="AL105" s="461">
        <f t="shared" si="271"/>
        <v>0</v>
      </c>
      <c r="AM105" s="461">
        <f t="shared" si="271"/>
        <v>0</v>
      </c>
      <c r="AN105" s="461">
        <f t="shared" si="271"/>
        <v>0</v>
      </c>
      <c r="AO105" s="461">
        <f t="shared" si="271"/>
        <v>0</v>
      </c>
      <c r="AP105" s="461">
        <f t="shared" si="271"/>
        <v>488879</v>
      </c>
      <c r="AQ105" s="461">
        <f t="shared" si="271"/>
        <v>488879</v>
      </c>
      <c r="AR105" s="461">
        <f t="shared" si="271"/>
        <v>165242</v>
      </c>
      <c r="AS105" s="461">
        <f t="shared" si="271"/>
        <v>4889</v>
      </c>
      <c r="AT105" s="461">
        <f t="shared" si="271"/>
        <v>0</v>
      </c>
      <c r="AU105" s="461">
        <f t="shared" si="271"/>
        <v>4448</v>
      </c>
      <c r="AV105" s="461">
        <f t="shared" si="271"/>
        <v>4448</v>
      </c>
      <c r="AW105" s="461">
        <f t="shared" si="271"/>
        <v>663458</v>
      </c>
      <c r="AX105" s="462">
        <f t="shared" si="271"/>
        <v>0</v>
      </c>
      <c r="AY105" s="462">
        <f t="shared" si="271"/>
        <v>0</v>
      </c>
      <c r="AZ105" s="462">
        <f t="shared" si="271"/>
        <v>0</v>
      </c>
      <c r="BA105" s="462">
        <f t="shared" si="271"/>
        <v>0</v>
      </c>
      <c r="BB105" s="462">
        <f t="shared" ref="BB105" si="272">SUM(BB98:BB104)</f>
        <v>1.5</v>
      </c>
      <c r="BC105" s="462">
        <f t="shared" si="271"/>
        <v>0</v>
      </c>
      <c r="BD105" s="462">
        <f t="shared" si="271"/>
        <v>0</v>
      </c>
      <c r="BE105" s="462">
        <f t="shared" ref="BE105" si="273">SUM(BE98:BE104)</f>
        <v>0</v>
      </c>
      <c r="BF105" s="462">
        <f t="shared" si="271"/>
        <v>0</v>
      </c>
      <c r="BG105" s="462">
        <f t="shared" si="271"/>
        <v>1.5</v>
      </c>
      <c r="BH105" s="279">
        <f t="shared" si="271"/>
        <v>1.5</v>
      </c>
      <c r="BI105" s="465">
        <f t="shared" si="271"/>
        <v>24557757</v>
      </c>
      <c r="BJ105" s="781">
        <f t="shared" si="271"/>
        <v>18006355</v>
      </c>
      <c r="BK105" s="461">
        <f t="shared" si="271"/>
        <v>15590264</v>
      </c>
      <c r="BL105" s="461">
        <f t="shared" si="271"/>
        <v>2416091</v>
      </c>
      <c r="BM105" s="461">
        <f t="shared" si="271"/>
        <v>50000</v>
      </c>
      <c r="BN105" s="461">
        <f t="shared" si="271"/>
        <v>50000</v>
      </c>
      <c r="BO105" s="461">
        <f t="shared" si="271"/>
        <v>0</v>
      </c>
      <c r="BP105" s="461">
        <f t="shared" si="271"/>
        <v>6103049</v>
      </c>
      <c r="BQ105" s="461">
        <f t="shared" si="271"/>
        <v>180064</v>
      </c>
      <c r="BR105" s="461">
        <f t="shared" si="271"/>
        <v>218289</v>
      </c>
      <c r="BS105" s="462">
        <f t="shared" si="271"/>
        <v>32.237699999999997</v>
      </c>
      <c r="BT105" s="462">
        <f t="shared" si="271"/>
        <v>25.0029</v>
      </c>
      <c r="BU105" s="279">
        <f t="shared" si="271"/>
        <v>7.2347999999999999</v>
      </c>
      <c r="BV105" s="850">
        <f t="shared" si="271"/>
        <v>0</v>
      </c>
      <c r="BW105" s="713">
        <f t="shared" si="271"/>
        <v>0</v>
      </c>
      <c r="BX105" s="713">
        <f t="shared" si="271"/>
        <v>0</v>
      </c>
      <c r="BY105" s="713">
        <f t="shared" si="271"/>
        <v>0</v>
      </c>
      <c r="BZ105" s="713">
        <f t="shared" si="271"/>
        <v>0</v>
      </c>
      <c r="CA105" s="851">
        <f t="shared" si="271"/>
        <v>0</v>
      </c>
    </row>
    <row r="106" spans="1:79" ht="12.95" customHeight="1" x14ac:dyDescent="0.25">
      <c r="A106" s="280">
        <v>18</v>
      </c>
      <c r="B106" s="321">
        <v>5442</v>
      </c>
      <c r="C106" s="322">
        <v>650030541</v>
      </c>
      <c r="D106" s="281">
        <v>75017512</v>
      </c>
      <c r="E106" s="348" t="s">
        <v>440</v>
      </c>
      <c r="F106" s="321">
        <v>3111</v>
      </c>
      <c r="G106" s="345" t="s">
        <v>304</v>
      </c>
      <c r="H106" s="645" t="s">
        <v>271</v>
      </c>
      <c r="I106" s="420">
        <v>2830083</v>
      </c>
      <c r="J106" s="415">
        <v>2092338</v>
      </c>
      <c r="K106" s="415">
        <v>1972530</v>
      </c>
      <c r="L106" s="415">
        <v>119808</v>
      </c>
      <c r="M106" s="415">
        <v>0</v>
      </c>
      <c r="N106" s="415">
        <v>0</v>
      </c>
      <c r="O106" s="415">
        <v>0</v>
      </c>
      <c r="P106" s="68">
        <v>707210</v>
      </c>
      <c r="Q106" s="68">
        <v>20923</v>
      </c>
      <c r="R106" s="415">
        <v>9612</v>
      </c>
      <c r="S106" s="416">
        <v>3.98</v>
      </c>
      <c r="T106" s="417">
        <v>3.5</v>
      </c>
      <c r="U106" s="423">
        <v>0.48</v>
      </c>
      <c r="V106" s="424">
        <f t="shared" ref="V106:W111" si="274">AG106*-1</f>
        <v>0</v>
      </c>
      <c r="W106" s="418">
        <f t="shared" si="274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ref="AD106:AD111" si="275">V106+X106+Y106+Z106+AB106</f>
        <v>0</v>
      </c>
      <c r="AE106" s="418">
        <f t="shared" ref="AE106:AE111" si="276">W106+AA106+AC106</f>
        <v>0</v>
      </c>
      <c r="AF106" s="418">
        <f t="shared" ref="AF106:AF111" si="277"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ref="AL106:AL111" si="278">AG106+AI106+AJ106</f>
        <v>0</v>
      </c>
      <c r="AM106" s="418">
        <f t="shared" ref="AM106:AM111" si="279">AH106+AK106</f>
        <v>0</v>
      </c>
      <c r="AN106" s="418">
        <f t="shared" ref="AN106:AN111" si="280">SUM(AL106:AM106)</f>
        <v>0</v>
      </c>
      <c r="AO106" s="418">
        <f t="shared" ref="AO106:AP111" si="281">AD106+AL106</f>
        <v>0</v>
      </c>
      <c r="AP106" s="418">
        <f t="shared" si="281"/>
        <v>0</v>
      </c>
      <c r="AQ106" s="418">
        <f t="shared" ref="AQ106:AQ111" si="282">SUM(AO106:AP106)</f>
        <v>0</v>
      </c>
      <c r="AR106" s="68">
        <f t="shared" ref="AR106:AR111" si="283">ROUND((AF106+AG106+AH106+AI106)*33.8%,0)</f>
        <v>0</v>
      </c>
      <c r="AS106" s="68">
        <f t="shared" ref="AS106:AS111" si="284">ROUND(AF106*1%,0)</f>
        <v>0</v>
      </c>
      <c r="AT106" s="418">
        <v>0</v>
      </c>
      <c r="AU106" s="418">
        <v>0</v>
      </c>
      <c r="AV106" s="418">
        <f t="shared" ref="AV106:AV111" si="285">AT106+AU106</f>
        <v>0</v>
      </c>
      <c r="AW106" s="418">
        <f t="shared" ref="AW106:AW111" si="286"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ref="BF106:BF111" si="287">AX106+AZ106+BA106+BC106+BD106</f>
        <v>0</v>
      </c>
      <c r="BG106" s="419">
        <f t="shared" ref="BG106:BG111" si="288">AY106+BB106+BE106</f>
        <v>0</v>
      </c>
      <c r="BH106" s="421">
        <f t="shared" ref="BH106:BH111" si="289">SUM(BF106:BG106)</f>
        <v>0</v>
      </c>
      <c r="BI106" s="424">
        <f t="shared" ref="BI106:BI111" si="290">I106+AW106</f>
        <v>2830083</v>
      </c>
      <c r="BJ106" s="780">
        <f t="shared" ref="BJ106:BJ111" si="291">J106+AF106</f>
        <v>2092338</v>
      </c>
      <c r="BK106" s="418">
        <f t="shared" ref="BK106:BL111" si="292">K106+AD106</f>
        <v>1972530</v>
      </c>
      <c r="BL106" s="418">
        <f t="shared" si="292"/>
        <v>119808</v>
      </c>
      <c r="BM106" s="418">
        <f t="shared" ref="BM106:BM111" si="293">M106+AN106</f>
        <v>0</v>
      </c>
      <c r="BN106" s="418">
        <f t="shared" ref="BN106:BO111" si="294">N106+AL106</f>
        <v>0</v>
      </c>
      <c r="BO106" s="418">
        <f t="shared" si="294"/>
        <v>0</v>
      </c>
      <c r="BP106" s="418">
        <f t="shared" ref="BP106:BQ111" si="295">P106+AR106</f>
        <v>707210</v>
      </c>
      <c r="BQ106" s="418">
        <f t="shared" si="295"/>
        <v>20923</v>
      </c>
      <c r="BR106" s="418">
        <f t="shared" ref="BR106:BR111" si="296">R106+AV106</f>
        <v>9612</v>
      </c>
      <c r="BS106" s="419">
        <f t="shared" ref="BS106:BS111" si="297">S106+BH106</f>
        <v>3.98</v>
      </c>
      <c r="BT106" s="419">
        <f t="shared" ref="BT106:BU111" si="298">T106+BF106</f>
        <v>3.5</v>
      </c>
      <c r="BU106" s="421">
        <f t="shared" si="298"/>
        <v>0.48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18</v>
      </c>
      <c r="B107" s="321">
        <v>5442</v>
      </c>
      <c r="C107" s="322">
        <v>650030541</v>
      </c>
      <c r="D107" s="281">
        <v>75017512</v>
      </c>
      <c r="E107" s="348" t="s">
        <v>440</v>
      </c>
      <c r="F107" s="321">
        <v>3113</v>
      </c>
      <c r="G107" s="345" t="s">
        <v>308</v>
      </c>
      <c r="H107" s="645" t="s">
        <v>271</v>
      </c>
      <c r="I107" s="420">
        <v>12010394</v>
      </c>
      <c r="J107" s="415">
        <v>8769658</v>
      </c>
      <c r="K107" s="415">
        <v>7915486</v>
      </c>
      <c r="L107" s="415">
        <v>854172</v>
      </c>
      <c r="M107" s="415">
        <v>40000</v>
      </c>
      <c r="N107" s="415">
        <v>27200</v>
      </c>
      <c r="O107" s="415">
        <v>12800</v>
      </c>
      <c r="P107" s="68">
        <v>2977664</v>
      </c>
      <c r="Q107" s="68">
        <v>87697</v>
      </c>
      <c r="R107" s="415">
        <v>135375</v>
      </c>
      <c r="S107" s="416">
        <v>14.5876</v>
      </c>
      <c r="T107" s="417">
        <v>12.2273</v>
      </c>
      <c r="U107" s="423">
        <v>2.3602999999999996</v>
      </c>
      <c r="V107" s="424">
        <f t="shared" si="274"/>
        <v>0</v>
      </c>
      <c r="W107" s="418">
        <f t="shared" si="274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275"/>
        <v>0</v>
      </c>
      <c r="AE107" s="418">
        <f t="shared" si="276"/>
        <v>0</v>
      </c>
      <c r="AF107" s="418">
        <f t="shared" si="277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278"/>
        <v>0</v>
      </c>
      <c r="AM107" s="418">
        <f t="shared" si="279"/>
        <v>0</v>
      </c>
      <c r="AN107" s="418">
        <f t="shared" si="280"/>
        <v>0</v>
      </c>
      <c r="AO107" s="418">
        <f t="shared" si="281"/>
        <v>0</v>
      </c>
      <c r="AP107" s="418">
        <f t="shared" si="281"/>
        <v>0</v>
      </c>
      <c r="AQ107" s="418">
        <f t="shared" si="282"/>
        <v>0</v>
      </c>
      <c r="AR107" s="68">
        <f t="shared" si="283"/>
        <v>0</v>
      </c>
      <c r="AS107" s="68">
        <f t="shared" si="284"/>
        <v>0</v>
      </c>
      <c r="AT107" s="418">
        <v>0</v>
      </c>
      <c r="AU107" s="418">
        <v>0</v>
      </c>
      <c r="AV107" s="418">
        <f t="shared" si="285"/>
        <v>0</v>
      </c>
      <c r="AW107" s="418">
        <f t="shared" si="286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287"/>
        <v>0</v>
      </c>
      <c r="BG107" s="419">
        <f t="shared" si="288"/>
        <v>0</v>
      </c>
      <c r="BH107" s="421">
        <f t="shared" si="289"/>
        <v>0</v>
      </c>
      <c r="BI107" s="424">
        <f t="shared" si="290"/>
        <v>12010394</v>
      </c>
      <c r="BJ107" s="780">
        <f t="shared" si="291"/>
        <v>8769658</v>
      </c>
      <c r="BK107" s="418">
        <f t="shared" si="292"/>
        <v>7915486</v>
      </c>
      <c r="BL107" s="418">
        <f t="shared" si="292"/>
        <v>854172</v>
      </c>
      <c r="BM107" s="418">
        <f t="shared" si="293"/>
        <v>40000</v>
      </c>
      <c r="BN107" s="418">
        <f t="shared" si="294"/>
        <v>27200</v>
      </c>
      <c r="BO107" s="418">
        <f t="shared" si="294"/>
        <v>12800</v>
      </c>
      <c r="BP107" s="418">
        <f t="shared" si="295"/>
        <v>2977664</v>
      </c>
      <c r="BQ107" s="418">
        <f t="shared" si="295"/>
        <v>87697</v>
      </c>
      <c r="BR107" s="418">
        <f t="shared" si="296"/>
        <v>135375</v>
      </c>
      <c r="BS107" s="419">
        <f t="shared" si="297"/>
        <v>14.5876</v>
      </c>
      <c r="BT107" s="419">
        <f t="shared" si="298"/>
        <v>12.2273</v>
      </c>
      <c r="BU107" s="421">
        <f t="shared" si="298"/>
        <v>2.3602999999999996</v>
      </c>
      <c r="BV107" s="420"/>
      <c r="BW107" s="415"/>
      <c r="BX107" s="415"/>
      <c r="BY107" s="415"/>
      <c r="BZ107" s="415"/>
      <c r="CA107" s="510"/>
    </row>
    <row r="108" spans="1:79" ht="12.95" customHeight="1" x14ac:dyDescent="0.25">
      <c r="A108" s="280">
        <v>18</v>
      </c>
      <c r="B108" s="321">
        <v>5442</v>
      </c>
      <c r="C108" s="322">
        <v>650030541</v>
      </c>
      <c r="D108" s="281">
        <v>75017512</v>
      </c>
      <c r="E108" s="348" t="s">
        <v>440</v>
      </c>
      <c r="F108" s="321">
        <v>3113</v>
      </c>
      <c r="G108" s="284" t="s">
        <v>291</v>
      </c>
      <c r="H108" s="645" t="s">
        <v>272</v>
      </c>
      <c r="I108" s="420">
        <v>1218164</v>
      </c>
      <c r="J108" s="415">
        <v>896116</v>
      </c>
      <c r="K108" s="415">
        <v>896116</v>
      </c>
      <c r="L108" s="415">
        <v>0</v>
      </c>
      <c r="M108" s="415">
        <v>0</v>
      </c>
      <c r="N108" s="415">
        <v>0</v>
      </c>
      <c r="O108" s="415">
        <v>0</v>
      </c>
      <c r="P108" s="68">
        <v>302887</v>
      </c>
      <c r="Q108" s="68">
        <v>8961</v>
      </c>
      <c r="R108" s="415">
        <v>10200</v>
      </c>
      <c r="S108" s="416">
        <v>2.42</v>
      </c>
      <c r="T108" s="417">
        <v>2.42</v>
      </c>
      <c r="U108" s="423">
        <v>0</v>
      </c>
      <c r="V108" s="424">
        <f t="shared" si="274"/>
        <v>0</v>
      </c>
      <c r="W108" s="418">
        <f t="shared" si="274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275"/>
        <v>0</v>
      </c>
      <c r="AE108" s="418">
        <f t="shared" si="276"/>
        <v>0</v>
      </c>
      <c r="AF108" s="418">
        <f t="shared" si="277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278"/>
        <v>0</v>
      </c>
      <c r="AM108" s="418">
        <f t="shared" si="279"/>
        <v>0</v>
      </c>
      <c r="AN108" s="418">
        <f t="shared" si="280"/>
        <v>0</v>
      </c>
      <c r="AO108" s="418">
        <f t="shared" si="281"/>
        <v>0</v>
      </c>
      <c r="AP108" s="418">
        <f t="shared" si="281"/>
        <v>0</v>
      </c>
      <c r="AQ108" s="418">
        <f t="shared" si="282"/>
        <v>0</v>
      </c>
      <c r="AR108" s="68">
        <f t="shared" si="283"/>
        <v>0</v>
      </c>
      <c r="AS108" s="68">
        <f t="shared" si="284"/>
        <v>0</v>
      </c>
      <c r="AT108" s="418">
        <v>0</v>
      </c>
      <c r="AU108" s="418">
        <v>0</v>
      </c>
      <c r="AV108" s="418">
        <f t="shared" si="285"/>
        <v>0</v>
      </c>
      <c r="AW108" s="418">
        <f t="shared" si="286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287"/>
        <v>0</v>
      </c>
      <c r="BG108" s="419">
        <f t="shared" si="288"/>
        <v>0</v>
      </c>
      <c r="BH108" s="421">
        <f t="shared" si="289"/>
        <v>0</v>
      </c>
      <c r="BI108" s="424">
        <f t="shared" si="290"/>
        <v>1218164</v>
      </c>
      <c r="BJ108" s="780">
        <f t="shared" si="291"/>
        <v>896116</v>
      </c>
      <c r="BK108" s="418">
        <f t="shared" si="292"/>
        <v>896116</v>
      </c>
      <c r="BL108" s="418">
        <f t="shared" si="292"/>
        <v>0</v>
      </c>
      <c r="BM108" s="418">
        <f t="shared" si="293"/>
        <v>0</v>
      </c>
      <c r="BN108" s="418">
        <f t="shared" si="294"/>
        <v>0</v>
      </c>
      <c r="BO108" s="418">
        <f t="shared" si="294"/>
        <v>0</v>
      </c>
      <c r="BP108" s="418">
        <f t="shared" si="295"/>
        <v>302887</v>
      </c>
      <c r="BQ108" s="418">
        <f t="shared" si="295"/>
        <v>8961</v>
      </c>
      <c r="BR108" s="418">
        <f t="shared" si="296"/>
        <v>10200</v>
      </c>
      <c r="BS108" s="419">
        <f t="shared" si="297"/>
        <v>2.42</v>
      </c>
      <c r="BT108" s="419">
        <f t="shared" si="298"/>
        <v>2.42</v>
      </c>
      <c r="BU108" s="421">
        <f t="shared" si="298"/>
        <v>0</v>
      </c>
      <c r="BV108" s="420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18</v>
      </c>
      <c r="B109" s="321">
        <v>5442</v>
      </c>
      <c r="C109" s="322">
        <v>650030541</v>
      </c>
      <c r="D109" s="281">
        <v>75017512</v>
      </c>
      <c r="E109" s="348" t="s">
        <v>440</v>
      </c>
      <c r="F109" s="321">
        <v>3141</v>
      </c>
      <c r="G109" s="345" t="s">
        <v>294</v>
      </c>
      <c r="H109" s="645" t="s">
        <v>272</v>
      </c>
      <c r="I109" s="420">
        <v>147689</v>
      </c>
      <c r="J109" s="415">
        <v>108948</v>
      </c>
      <c r="K109" s="415">
        <v>0</v>
      </c>
      <c r="L109" s="415">
        <v>108948</v>
      </c>
      <c r="M109" s="415">
        <v>0</v>
      </c>
      <c r="N109" s="415">
        <v>0</v>
      </c>
      <c r="O109" s="415">
        <v>0</v>
      </c>
      <c r="P109" s="68">
        <v>36824</v>
      </c>
      <c r="Q109" s="68">
        <v>1089</v>
      </c>
      <c r="R109" s="415">
        <v>828</v>
      </c>
      <c r="S109" s="416">
        <v>0.32669999999999999</v>
      </c>
      <c r="T109" s="417">
        <v>0</v>
      </c>
      <c r="U109" s="423">
        <v>0.32669999999999999</v>
      </c>
      <c r="V109" s="424">
        <f t="shared" si="274"/>
        <v>0</v>
      </c>
      <c r="W109" s="418">
        <f t="shared" si="274"/>
        <v>0</v>
      </c>
      <c r="X109" s="418">
        <v>0</v>
      </c>
      <c r="Y109" s="418">
        <v>0</v>
      </c>
      <c r="Z109" s="418">
        <v>0</v>
      </c>
      <c r="AA109" s="418">
        <v>54644</v>
      </c>
      <c r="AB109" s="418">
        <v>0</v>
      </c>
      <c r="AC109" s="418">
        <v>0</v>
      </c>
      <c r="AD109" s="418">
        <f t="shared" si="275"/>
        <v>0</v>
      </c>
      <c r="AE109" s="418">
        <f t="shared" si="276"/>
        <v>54644</v>
      </c>
      <c r="AF109" s="418">
        <f t="shared" si="277"/>
        <v>54644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278"/>
        <v>0</v>
      </c>
      <c r="AM109" s="418">
        <f t="shared" si="279"/>
        <v>0</v>
      </c>
      <c r="AN109" s="418">
        <f t="shared" si="280"/>
        <v>0</v>
      </c>
      <c r="AO109" s="418">
        <f t="shared" si="281"/>
        <v>0</v>
      </c>
      <c r="AP109" s="418">
        <f t="shared" si="281"/>
        <v>54644</v>
      </c>
      <c r="AQ109" s="418">
        <f t="shared" si="282"/>
        <v>54644</v>
      </c>
      <c r="AR109" s="68">
        <f t="shared" si="283"/>
        <v>18470</v>
      </c>
      <c r="AS109" s="68">
        <f t="shared" si="284"/>
        <v>546</v>
      </c>
      <c r="AT109" s="418">
        <v>0</v>
      </c>
      <c r="AU109" s="418">
        <v>396</v>
      </c>
      <c r="AV109" s="418">
        <f t="shared" si="285"/>
        <v>396</v>
      </c>
      <c r="AW109" s="418">
        <f t="shared" si="286"/>
        <v>74056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0.16</v>
      </c>
      <c r="BC109" s="419">
        <v>0</v>
      </c>
      <c r="BD109" s="419">
        <v>0</v>
      </c>
      <c r="BE109" s="419">
        <v>0</v>
      </c>
      <c r="BF109" s="419">
        <f t="shared" si="287"/>
        <v>0</v>
      </c>
      <c r="BG109" s="419">
        <f t="shared" si="288"/>
        <v>0.16</v>
      </c>
      <c r="BH109" s="421">
        <f t="shared" si="289"/>
        <v>0.16</v>
      </c>
      <c r="BI109" s="424">
        <f t="shared" si="290"/>
        <v>221745</v>
      </c>
      <c r="BJ109" s="780">
        <f t="shared" si="291"/>
        <v>163592</v>
      </c>
      <c r="BK109" s="418">
        <f t="shared" si="292"/>
        <v>0</v>
      </c>
      <c r="BL109" s="418">
        <f t="shared" si="292"/>
        <v>163592</v>
      </c>
      <c r="BM109" s="418">
        <f t="shared" si="293"/>
        <v>0</v>
      </c>
      <c r="BN109" s="418">
        <f t="shared" si="294"/>
        <v>0</v>
      </c>
      <c r="BO109" s="418">
        <f t="shared" si="294"/>
        <v>0</v>
      </c>
      <c r="BP109" s="418">
        <f t="shared" si="295"/>
        <v>55294</v>
      </c>
      <c r="BQ109" s="418">
        <f t="shared" si="295"/>
        <v>1635</v>
      </c>
      <c r="BR109" s="418">
        <f t="shared" si="296"/>
        <v>1224</v>
      </c>
      <c r="BS109" s="419">
        <f t="shared" si="297"/>
        <v>0.48670000000000002</v>
      </c>
      <c r="BT109" s="419">
        <f t="shared" si="298"/>
        <v>0</v>
      </c>
      <c r="BU109" s="421">
        <f t="shared" si="298"/>
        <v>0.48670000000000002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18</v>
      </c>
      <c r="B110" s="321">
        <v>5442</v>
      </c>
      <c r="C110" s="322">
        <v>650030541</v>
      </c>
      <c r="D110" s="281">
        <v>75017512</v>
      </c>
      <c r="E110" s="348" t="s">
        <v>440</v>
      </c>
      <c r="F110" s="321">
        <v>3143</v>
      </c>
      <c r="G110" s="284" t="s">
        <v>595</v>
      </c>
      <c r="H110" s="645" t="s">
        <v>271</v>
      </c>
      <c r="I110" s="420">
        <v>1055970</v>
      </c>
      <c r="J110" s="415">
        <v>783360</v>
      </c>
      <c r="K110" s="415">
        <v>783360</v>
      </c>
      <c r="L110" s="415">
        <v>0</v>
      </c>
      <c r="M110" s="415">
        <v>0</v>
      </c>
      <c r="N110" s="415">
        <v>0</v>
      </c>
      <c r="O110" s="415">
        <v>0</v>
      </c>
      <c r="P110" s="68">
        <v>264776</v>
      </c>
      <c r="Q110" s="68">
        <v>7834</v>
      </c>
      <c r="R110" s="415">
        <v>0</v>
      </c>
      <c r="S110" s="416">
        <v>1.6633</v>
      </c>
      <c r="T110" s="417">
        <v>1.6633</v>
      </c>
      <c r="U110" s="423">
        <v>0</v>
      </c>
      <c r="V110" s="424">
        <f t="shared" si="274"/>
        <v>0</v>
      </c>
      <c r="W110" s="418">
        <f t="shared" si="274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75"/>
        <v>0</v>
      </c>
      <c r="AE110" s="418">
        <f t="shared" si="276"/>
        <v>0</v>
      </c>
      <c r="AF110" s="418">
        <f t="shared" si="277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78"/>
        <v>0</v>
      </c>
      <c r="AM110" s="418">
        <f t="shared" si="279"/>
        <v>0</v>
      </c>
      <c r="AN110" s="418">
        <f t="shared" si="280"/>
        <v>0</v>
      </c>
      <c r="AO110" s="418">
        <f t="shared" si="281"/>
        <v>0</v>
      </c>
      <c r="AP110" s="418">
        <f t="shared" si="281"/>
        <v>0</v>
      </c>
      <c r="AQ110" s="418">
        <f t="shared" si="282"/>
        <v>0</v>
      </c>
      <c r="AR110" s="68">
        <f t="shared" si="283"/>
        <v>0</v>
      </c>
      <c r="AS110" s="68">
        <f t="shared" si="284"/>
        <v>0</v>
      </c>
      <c r="AT110" s="418">
        <v>0</v>
      </c>
      <c r="AU110" s="418">
        <v>0</v>
      </c>
      <c r="AV110" s="418">
        <f t="shared" si="285"/>
        <v>0</v>
      </c>
      <c r="AW110" s="418">
        <f t="shared" si="286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87"/>
        <v>0</v>
      </c>
      <c r="BG110" s="419">
        <f t="shared" si="288"/>
        <v>0</v>
      </c>
      <c r="BH110" s="421">
        <f t="shared" si="289"/>
        <v>0</v>
      </c>
      <c r="BI110" s="424">
        <f t="shared" si="290"/>
        <v>1055970</v>
      </c>
      <c r="BJ110" s="780">
        <f t="shared" si="291"/>
        <v>783360</v>
      </c>
      <c r="BK110" s="418">
        <f t="shared" si="292"/>
        <v>783360</v>
      </c>
      <c r="BL110" s="418">
        <f t="shared" si="292"/>
        <v>0</v>
      </c>
      <c r="BM110" s="418">
        <f t="shared" si="293"/>
        <v>0</v>
      </c>
      <c r="BN110" s="418">
        <f t="shared" si="294"/>
        <v>0</v>
      </c>
      <c r="BO110" s="418">
        <f t="shared" si="294"/>
        <v>0</v>
      </c>
      <c r="BP110" s="418">
        <f t="shared" si="295"/>
        <v>264776</v>
      </c>
      <c r="BQ110" s="418">
        <f t="shared" si="295"/>
        <v>7834</v>
      </c>
      <c r="BR110" s="418">
        <f t="shared" si="296"/>
        <v>0</v>
      </c>
      <c r="BS110" s="419">
        <f t="shared" si="297"/>
        <v>1.6633</v>
      </c>
      <c r="BT110" s="419">
        <f t="shared" si="298"/>
        <v>1.6633</v>
      </c>
      <c r="BU110" s="421">
        <f t="shared" si="298"/>
        <v>0</v>
      </c>
      <c r="BV110" s="420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18</v>
      </c>
      <c r="B111" s="321">
        <v>5442</v>
      </c>
      <c r="C111" s="322">
        <v>650030541</v>
      </c>
      <c r="D111" s="281">
        <v>75017512</v>
      </c>
      <c r="E111" s="348" t="s">
        <v>440</v>
      </c>
      <c r="F111" s="321">
        <v>3143</v>
      </c>
      <c r="G111" s="284" t="s">
        <v>596</v>
      </c>
      <c r="H111" s="645" t="s">
        <v>272</v>
      </c>
      <c r="I111" s="420">
        <v>19990</v>
      </c>
      <c r="J111" s="415">
        <v>14309</v>
      </c>
      <c r="K111" s="415">
        <v>0</v>
      </c>
      <c r="L111" s="415">
        <v>14309</v>
      </c>
      <c r="M111" s="415">
        <v>0</v>
      </c>
      <c r="N111" s="415">
        <v>0</v>
      </c>
      <c r="O111" s="415">
        <v>0</v>
      </c>
      <c r="P111" s="68">
        <v>4836</v>
      </c>
      <c r="Q111" s="68">
        <v>143</v>
      </c>
      <c r="R111" s="415">
        <v>702</v>
      </c>
      <c r="S111" s="416">
        <v>5.4199999999999998E-2</v>
      </c>
      <c r="T111" s="417">
        <v>0</v>
      </c>
      <c r="U111" s="423">
        <v>5.4199999999999998E-2</v>
      </c>
      <c r="V111" s="424">
        <f t="shared" si="274"/>
        <v>0</v>
      </c>
      <c r="W111" s="418">
        <f t="shared" si="274"/>
        <v>0</v>
      </c>
      <c r="X111" s="418">
        <v>0</v>
      </c>
      <c r="Y111" s="418">
        <v>0</v>
      </c>
      <c r="Z111" s="418">
        <v>0</v>
      </c>
      <c r="AA111" s="418">
        <v>7141</v>
      </c>
      <c r="AB111" s="418">
        <v>0</v>
      </c>
      <c r="AC111" s="418">
        <v>0</v>
      </c>
      <c r="AD111" s="418">
        <f t="shared" si="275"/>
        <v>0</v>
      </c>
      <c r="AE111" s="418">
        <f t="shared" si="276"/>
        <v>7141</v>
      </c>
      <c r="AF111" s="418">
        <f t="shared" si="277"/>
        <v>7141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78"/>
        <v>0</v>
      </c>
      <c r="AM111" s="418">
        <f t="shared" si="279"/>
        <v>0</v>
      </c>
      <c r="AN111" s="418">
        <f t="shared" si="280"/>
        <v>0</v>
      </c>
      <c r="AO111" s="418">
        <f t="shared" si="281"/>
        <v>0</v>
      </c>
      <c r="AP111" s="418">
        <f t="shared" si="281"/>
        <v>7141</v>
      </c>
      <c r="AQ111" s="418">
        <f t="shared" si="282"/>
        <v>7141</v>
      </c>
      <c r="AR111" s="68">
        <f t="shared" si="283"/>
        <v>2414</v>
      </c>
      <c r="AS111" s="68">
        <f t="shared" si="284"/>
        <v>71</v>
      </c>
      <c r="AT111" s="418">
        <v>0</v>
      </c>
      <c r="AU111" s="418">
        <v>351</v>
      </c>
      <c r="AV111" s="418">
        <f t="shared" si="285"/>
        <v>351</v>
      </c>
      <c r="AW111" s="418">
        <f t="shared" si="286"/>
        <v>9977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0.03</v>
      </c>
      <c r="BC111" s="419">
        <v>0</v>
      </c>
      <c r="BD111" s="419">
        <v>0</v>
      </c>
      <c r="BE111" s="419">
        <v>0</v>
      </c>
      <c r="BF111" s="419">
        <f t="shared" si="287"/>
        <v>0</v>
      </c>
      <c r="BG111" s="419">
        <f t="shared" si="288"/>
        <v>0.03</v>
      </c>
      <c r="BH111" s="421">
        <f t="shared" si="289"/>
        <v>0.03</v>
      </c>
      <c r="BI111" s="424">
        <f t="shared" si="290"/>
        <v>29967</v>
      </c>
      <c r="BJ111" s="780">
        <f t="shared" si="291"/>
        <v>21450</v>
      </c>
      <c r="BK111" s="418">
        <f t="shared" si="292"/>
        <v>0</v>
      </c>
      <c r="BL111" s="418">
        <f t="shared" si="292"/>
        <v>21450</v>
      </c>
      <c r="BM111" s="418">
        <f t="shared" si="293"/>
        <v>0</v>
      </c>
      <c r="BN111" s="418">
        <f t="shared" si="294"/>
        <v>0</v>
      </c>
      <c r="BO111" s="418">
        <f t="shared" si="294"/>
        <v>0</v>
      </c>
      <c r="BP111" s="418">
        <f t="shared" si="295"/>
        <v>7250</v>
      </c>
      <c r="BQ111" s="418">
        <f t="shared" si="295"/>
        <v>214</v>
      </c>
      <c r="BR111" s="418">
        <f t="shared" si="296"/>
        <v>1053</v>
      </c>
      <c r="BS111" s="419">
        <f t="shared" si="297"/>
        <v>8.4199999999999997E-2</v>
      </c>
      <c r="BT111" s="419">
        <f t="shared" si="298"/>
        <v>0</v>
      </c>
      <c r="BU111" s="421">
        <f t="shared" si="298"/>
        <v>8.4199999999999997E-2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646">
        <v>18</v>
      </c>
      <c r="B112" s="325">
        <v>5442</v>
      </c>
      <c r="C112" s="326">
        <v>650030541</v>
      </c>
      <c r="D112" s="325">
        <v>75017512</v>
      </c>
      <c r="E112" s="349" t="s">
        <v>441</v>
      </c>
      <c r="F112" s="325"/>
      <c r="G112" s="350"/>
      <c r="H112" s="648"/>
      <c r="I112" s="478">
        <v>17282290</v>
      </c>
      <c r="J112" s="476">
        <v>12664729</v>
      </c>
      <c r="K112" s="476">
        <v>11567492</v>
      </c>
      <c r="L112" s="476">
        <v>1097237</v>
      </c>
      <c r="M112" s="476">
        <v>40000</v>
      </c>
      <c r="N112" s="476">
        <v>27200</v>
      </c>
      <c r="O112" s="476">
        <v>12800</v>
      </c>
      <c r="P112" s="476">
        <v>4294197</v>
      </c>
      <c r="Q112" s="476">
        <v>126647</v>
      </c>
      <c r="R112" s="476">
        <v>156717</v>
      </c>
      <c r="S112" s="477">
        <v>23.0318</v>
      </c>
      <c r="T112" s="477">
        <v>19.810600000000001</v>
      </c>
      <c r="U112" s="536">
        <v>3.2211999999999996</v>
      </c>
      <c r="V112" s="478">
        <f t="shared" ref="V112:CA112" si="299">SUM(V106:V111)</f>
        <v>0</v>
      </c>
      <c r="W112" s="476">
        <f t="shared" si="299"/>
        <v>0</v>
      </c>
      <c r="X112" s="476">
        <f t="shared" si="299"/>
        <v>0</v>
      </c>
      <c r="Y112" s="476">
        <f t="shared" si="299"/>
        <v>0</v>
      </c>
      <c r="Z112" s="476">
        <f t="shared" si="299"/>
        <v>0</v>
      </c>
      <c r="AA112" s="476">
        <f t="shared" si="299"/>
        <v>61785</v>
      </c>
      <c r="AB112" s="476">
        <f t="shared" si="299"/>
        <v>0</v>
      </c>
      <c r="AC112" s="476">
        <f t="shared" si="299"/>
        <v>0</v>
      </c>
      <c r="AD112" s="476">
        <f t="shared" si="299"/>
        <v>0</v>
      </c>
      <c r="AE112" s="476">
        <f t="shared" si="299"/>
        <v>61785</v>
      </c>
      <c r="AF112" s="476">
        <f t="shared" si="299"/>
        <v>61785</v>
      </c>
      <c r="AG112" s="476">
        <f t="shared" si="299"/>
        <v>0</v>
      </c>
      <c r="AH112" s="476">
        <f t="shared" si="299"/>
        <v>0</v>
      </c>
      <c r="AI112" s="476">
        <f t="shared" si="299"/>
        <v>0</v>
      </c>
      <c r="AJ112" s="476">
        <f t="shared" si="299"/>
        <v>0</v>
      </c>
      <c r="AK112" s="476">
        <f t="shared" si="299"/>
        <v>0</v>
      </c>
      <c r="AL112" s="476">
        <f t="shared" si="299"/>
        <v>0</v>
      </c>
      <c r="AM112" s="476">
        <f t="shared" si="299"/>
        <v>0</v>
      </c>
      <c r="AN112" s="476">
        <f t="shared" si="299"/>
        <v>0</v>
      </c>
      <c r="AO112" s="476">
        <f t="shared" si="299"/>
        <v>0</v>
      </c>
      <c r="AP112" s="476">
        <f t="shared" si="299"/>
        <v>61785</v>
      </c>
      <c r="AQ112" s="476">
        <f t="shared" si="299"/>
        <v>61785</v>
      </c>
      <c r="AR112" s="476">
        <f t="shared" si="299"/>
        <v>20884</v>
      </c>
      <c r="AS112" s="476">
        <f t="shared" si="299"/>
        <v>617</v>
      </c>
      <c r="AT112" s="476">
        <f t="shared" si="299"/>
        <v>0</v>
      </c>
      <c r="AU112" s="476">
        <f t="shared" si="299"/>
        <v>747</v>
      </c>
      <c r="AV112" s="476">
        <f t="shared" si="299"/>
        <v>747</v>
      </c>
      <c r="AW112" s="476">
        <f t="shared" si="299"/>
        <v>84033</v>
      </c>
      <c r="AX112" s="477">
        <f t="shared" si="299"/>
        <v>0</v>
      </c>
      <c r="AY112" s="477">
        <f t="shared" si="299"/>
        <v>0</v>
      </c>
      <c r="AZ112" s="477">
        <f t="shared" si="299"/>
        <v>0</v>
      </c>
      <c r="BA112" s="477">
        <f t="shared" si="299"/>
        <v>0</v>
      </c>
      <c r="BB112" s="477">
        <f t="shared" ref="BB112" si="300">SUM(BB106:BB111)</f>
        <v>0.19</v>
      </c>
      <c r="BC112" s="477">
        <f t="shared" si="299"/>
        <v>0</v>
      </c>
      <c r="BD112" s="477">
        <f t="shared" si="299"/>
        <v>0</v>
      </c>
      <c r="BE112" s="477">
        <f t="shared" ref="BE112" si="301">SUM(BE106:BE111)</f>
        <v>0</v>
      </c>
      <c r="BF112" s="477">
        <f t="shared" si="299"/>
        <v>0</v>
      </c>
      <c r="BG112" s="477">
        <f t="shared" si="299"/>
        <v>0.19</v>
      </c>
      <c r="BH112" s="351">
        <f t="shared" si="299"/>
        <v>0.19</v>
      </c>
      <c r="BI112" s="478">
        <f t="shared" si="299"/>
        <v>17366323</v>
      </c>
      <c r="BJ112" s="782">
        <f t="shared" si="299"/>
        <v>12726514</v>
      </c>
      <c r="BK112" s="476">
        <f t="shared" si="299"/>
        <v>11567492</v>
      </c>
      <c r="BL112" s="476">
        <f t="shared" si="299"/>
        <v>1159022</v>
      </c>
      <c r="BM112" s="476">
        <f t="shared" si="299"/>
        <v>40000</v>
      </c>
      <c r="BN112" s="476">
        <f t="shared" si="299"/>
        <v>27200</v>
      </c>
      <c r="BO112" s="476">
        <f t="shared" si="299"/>
        <v>12800</v>
      </c>
      <c r="BP112" s="476">
        <f t="shared" si="299"/>
        <v>4315081</v>
      </c>
      <c r="BQ112" s="476">
        <f t="shared" si="299"/>
        <v>127264</v>
      </c>
      <c r="BR112" s="476">
        <f t="shared" si="299"/>
        <v>157464</v>
      </c>
      <c r="BS112" s="477">
        <f t="shared" si="299"/>
        <v>23.221799999999998</v>
      </c>
      <c r="BT112" s="477">
        <f t="shared" si="299"/>
        <v>19.810600000000001</v>
      </c>
      <c r="BU112" s="351">
        <f t="shared" si="299"/>
        <v>3.4111999999999996</v>
      </c>
      <c r="BV112" s="864">
        <f t="shared" si="299"/>
        <v>0</v>
      </c>
      <c r="BW112" s="729">
        <f t="shared" si="299"/>
        <v>0</v>
      </c>
      <c r="BX112" s="729">
        <f t="shared" si="299"/>
        <v>0</v>
      </c>
      <c r="BY112" s="729">
        <f t="shared" si="299"/>
        <v>0</v>
      </c>
      <c r="BZ112" s="729">
        <f t="shared" si="299"/>
        <v>0</v>
      </c>
      <c r="CA112" s="865">
        <f t="shared" si="299"/>
        <v>0</v>
      </c>
    </row>
    <row r="113" spans="1:79" ht="12.95" customHeight="1" x14ac:dyDescent="0.25">
      <c r="A113" s="280">
        <v>19</v>
      </c>
      <c r="B113" s="321">
        <v>5453</v>
      </c>
      <c r="C113" s="322">
        <v>600099211</v>
      </c>
      <c r="D113" s="281">
        <v>854760</v>
      </c>
      <c r="E113" s="348" t="s">
        <v>442</v>
      </c>
      <c r="F113" s="321">
        <v>3111</v>
      </c>
      <c r="G113" s="345" t="s">
        <v>304</v>
      </c>
      <c r="H113" s="645" t="s">
        <v>271</v>
      </c>
      <c r="I113" s="420">
        <v>6794933</v>
      </c>
      <c r="J113" s="415">
        <v>5021737</v>
      </c>
      <c r="K113" s="415">
        <v>4755465</v>
      </c>
      <c r="L113" s="415">
        <v>266272</v>
      </c>
      <c r="M113" s="415">
        <v>0</v>
      </c>
      <c r="N113" s="415">
        <v>0</v>
      </c>
      <c r="O113" s="415">
        <v>0</v>
      </c>
      <c r="P113" s="68">
        <v>1697347</v>
      </c>
      <c r="Q113" s="68">
        <v>50217</v>
      </c>
      <c r="R113" s="415">
        <v>25632</v>
      </c>
      <c r="S113" s="416">
        <v>9.0668000000000006</v>
      </c>
      <c r="T113" s="417">
        <v>8</v>
      </c>
      <c r="U113" s="423">
        <v>1.0668</v>
      </c>
      <c r="V113" s="424">
        <f t="shared" ref="V113:W119" si="302">AG113*-1</f>
        <v>0</v>
      </c>
      <c r="W113" s="418">
        <f t="shared" si="302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ref="AD113:AD119" si="303">V113+X113+Y113+Z113+AB113</f>
        <v>0</v>
      </c>
      <c r="AE113" s="418">
        <f t="shared" ref="AE113:AE119" si="304">W113+AA113+AC113</f>
        <v>0</v>
      </c>
      <c r="AF113" s="418">
        <f t="shared" ref="AF113:AF119" si="305"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ref="AL113:AL119" si="306">AG113+AI113+AJ113</f>
        <v>0</v>
      </c>
      <c r="AM113" s="418">
        <f t="shared" ref="AM113:AM119" si="307">AH113+AK113</f>
        <v>0</v>
      </c>
      <c r="AN113" s="418">
        <f t="shared" ref="AN113:AN119" si="308">SUM(AL113:AM113)</f>
        <v>0</v>
      </c>
      <c r="AO113" s="418">
        <f t="shared" ref="AO113:AP119" si="309">AD113+AL113</f>
        <v>0</v>
      </c>
      <c r="AP113" s="418">
        <f t="shared" si="309"/>
        <v>0</v>
      </c>
      <c r="AQ113" s="418">
        <f t="shared" ref="AQ113:AQ119" si="310">SUM(AO113:AP113)</f>
        <v>0</v>
      </c>
      <c r="AR113" s="68">
        <f t="shared" ref="AR113:AR119" si="311">ROUND((AF113+AG113+AH113+AI113)*33.8%,0)</f>
        <v>0</v>
      </c>
      <c r="AS113" s="68">
        <f t="shared" ref="AS113:AS119" si="312">ROUND(AF113*1%,0)</f>
        <v>0</v>
      </c>
      <c r="AT113" s="418">
        <v>0</v>
      </c>
      <c r="AU113" s="418">
        <v>0</v>
      </c>
      <c r="AV113" s="418">
        <f t="shared" ref="AV113:AV119" si="313">AT113+AU113</f>
        <v>0</v>
      </c>
      <c r="AW113" s="418">
        <f t="shared" ref="AW113:AW119" si="314"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ref="BF113:BF119" si="315">AX113+AZ113+BA113+BC113+BD113</f>
        <v>0</v>
      </c>
      <c r="BG113" s="419">
        <f t="shared" ref="BG113:BG119" si="316">AY113+BB113+BE113</f>
        <v>0</v>
      </c>
      <c r="BH113" s="421">
        <f t="shared" ref="BH113:BH119" si="317">SUM(BF113:BG113)</f>
        <v>0</v>
      </c>
      <c r="BI113" s="424">
        <f t="shared" ref="BI113:BI119" si="318">I113+AW113</f>
        <v>6794933</v>
      </c>
      <c r="BJ113" s="780">
        <f t="shared" ref="BJ113:BJ119" si="319">J113+AF113</f>
        <v>5021737</v>
      </c>
      <c r="BK113" s="418">
        <f t="shared" ref="BK113:BL119" si="320">K113+AD113</f>
        <v>4755465</v>
      </c>
      <c r="BL113" s="418">
        <f t="shared" si="320"/>
        <v>266272</v>
      </c>
      <c r="BM113" s="418">
        <f t="shared" ref="BM113:BM119" si="321">M113+AN113</f>
        <v>0</v>
      </c>
      <c r="BN113" s="418">
        <f t="shared" ref="BN113:BO119" si="322">N113+AL113</f>
        <v>0</v>
      </c>
      <c r="BO113" s="418">
        <f t="shared" si="322"/>
        <v>0</v>
      </c>
      <c r="BP113" s="418">
        <f t="shared" ref="BP113:BQ119" si="323">P113+AR113</f>
        <v>1697347</v>
      </c>
      <c r="BQ113" s="418">
        <f t="shared" si="323"/>
        <v>50217</v>
      </c>
      <c r="BR113" s="418">
        <f t="shared" ref="BR113:BR119" si="324">R113+AV113</f>
        <v>25632</v>
      </c>
      <c r="BS113" s="419">
        <f t="shared" ref="BS113:BS119" si="325">S113+BH113</f>
        <v>9.0668000000000006</v>
      </c>
      <c r="BT113" s="419">
        <f t="shared" ref="BT113:BU119" si="326">T113+BF113</f>
        <v>8</v>
      </c>
      <c r="BU113" s="421">
        <f t="shared" si="326"/>
        <v>1.0668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280">
        <v>19</v>
      </c>
      <c r="B114" s="321">
        <v>5453</v>
      </c>
      <c r="C114" s="322">
        <v>600099211</v>
      </c>
      <c r="D114" s="281">
        <v>854760</v>
      </c>
      <c r="E114" s="348" t="s">
        <v>442</v>
      </c>
      <c r="F114" s="321">
        <v>3113</v>
      </c>
      <c r="G114" s="345" t="s">
        <v>308</v>
      </c>
      <c r="H114" s="645" t="s">
        <v>271</v>
      </c>
      <c r="I114" s="420">
        <v>21138461</v>
      </c>
      <c r="J114" s="415">
        <v>15494824</v>
      </c>
      <c r="K114" s="415">
        <v>14169105</v>
      </c>
      <c r="L114" s="415">
        <v>1325719</v>
      </c>
      <c r="M114" s="415">
        <v>0</v>
      </c>
      <c r="N114" s="415">
        <v>0</v>
      </c>
      <c r="O114" s="415">
        <v>0</v>
      </c>
      <c r="P114" s="68">
        <v>5237251</v>
      </c>
      <c r="Q114" s="68">
        <v>154949</v>
      </c>
      <c r="R114" s="415">
        <v>251437</v>
      </c>
      <c r="S114" s="416">
        <v>24.883900000000001</v>
      </c>
      <c r="T114" s="417">
        <v>20.9909</v>
      </c>
      <c r="U114" s="423">
        <v>3.8929999999999998</v>
      </c>
      <c r="V114" s="424">
        <f t="shared" si="302"/>
        <v>0</v>
      </c>
      <c r="W114" s="418">
        <f t="shared" si="302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303"/>
        <v>0</v>
      </c>
      <c r="AE114" s="418">
        <f t="shared" si="304"/>
        <v>0</v>
      </c>
      <c r="AF114" s="418">
        <f t="shared" si="305"/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si="306"/>
        <v>0</v>
      </c>
      <c r="AM114" s="418">
        <f t="shared" si="307"/>
        <v>0</v>
      </c>
      <c r="AN114" s="418">
        <f t="shared" si="308"/>
        <v>0</v>
      </c>
      <c r="AO114" s="418">
        <f t="shared" si="309"/>
        <v>0</v>
      </c>
      <c r="AP114" s="418">
        <f t="shared" si="309"/>
        <v>0</v>
      </c>
      <c r="AQ114" s="418">
        <f t="shared" si="310"/>
        <v>0</v>
      </c>
      <c r="AR114" s="68">
        <f t="shared" si="311"/>
        <v>0</v>
      </c>
      <c r="AS114" s="68">
        <f t="shared" si="312"/>
        <v>0</v>
      </c>
      <c r="AT114" s="418">
        <v>0</v>
      </c>
      <c r="AU114" s="418">
        <v>0</v>
      </c>
      <c r="AV114" s="418">
        <f t="shared" si="313"/>
        <v>0</v>
      </c>
      <c r="AW114" s="418">
        <f t="shared" si="314"/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315"/>
        <v>0</v>
      </c>
      <c r="BG114" s="419">
        <f t="shared" si="316"/>
        <v>0</v>
      </c>
      <c r="BH114" s="421">
        <f t="shared" si="317"/>
        <v>0</v>
      </c>
      <c r="BI114" s="424">
        <f t="shared" si="318"/>
        <v>21138461</v>
      </c>
      <c r="BJ114" s="780">
        <f t="shared" si="319"/>
        <v>15494824</v>
      </c>
      <c r="BK114" s="418">
        <f t="shared" si="320"/>
        <v>14169105</v>
      </c>
      <c r="BL114" s="418">
        <f t="shared" si="320"/>
        <v>1325719</v>
      </c>
      <c r="BM114" s="418">
        <f t="shared" si="321"/>
        <v>0</v>
      </c>
      <c r="BN114" s="418">
        <f t="shared" si="322"/>
        <v>0</v>
      </c>
      <c r="BO114" s="418">
        <f t="shared" si="322"/>
        <v>0</v>
      </c>
      <c r="BP114" s="418">
        <f t="shared" si="323"/>
        <v>5237251</v>
      </c>
      <c r="BQ114" s="418">
        <f t="shared" si="323"/>
        <v>154949</v>
      </c>
      <c r="BR114" s="418">
        <f t="shared" si="324"/>
        <v>251437</v>
      </c>
      <c r="BS114" s="419">
        <f t="shared" si="325"/>
        <v>24.883900000000001</v>
      </c>
      <c r="BT114" s="419">
        <f t="shared" si="326"/>
        <v>20.9909</v>
      </c>
      <c r="BU114" s="421">
        <f t="shared" si="326"/>
        <v>3.8929999999999998</v>
      </c>
      <c r="BV114" s="420">
        <v>304109</v>
      </c>
      <c r="BW114" s="415">
        <v>225600</v>
      </c>
      <c r="BX114" s="415">
        <v>0</v>
      </c>
      <c r="BY114" s="415">
        <v>76253</v>
      </c>
      <c r="BZ114" s="415">
        <v>2256</v>
      </c>
      <c r="CA114" s="510">
        <v>0.4</v>
      </c>
    </row>
    <row r="115" spans="1:79" ht="12.95" customHeight="1" x14ac:dyDescent="0.25">
      <c r="A115" s="280">
        <v>19</v>
      </c>
      <c r="B115" s="321">
        <v>5453</v>
      </c>
      <c r="C115" s="322">
        <v>600099211</v>
      </c>
      <c r="D115" s="281">
        <v>854760</v>
      </c>
      <c r="E115" s="348" t="s">
        <v>442</v>
      </c>
      <c r="F115" s="321">
        <v>3113</v>
      </c>
      <c r="G115" s="284" t="s">
        <v>291</v>
      </c>
      <c r="H115" s="645" t="s">
        <v>272</v>
      </c>
      <c r="I115" s="420">
        <v>1966070</v>
      </c>
      <c r="J115" s="415">
        <v>1454800</v>
      </c>
      <c r="K115" s="415">
        <v>1454800</v>
      </c>
      <c r="L115" s="415">
        <v>0</v>
      </c>
      <c r="M115" s="415">
        <v>0</v>
      </c>
      <c r="N115" s="415">
        <v>0</v>
      </c>
      <c r="O115" s="415">
        <v>0</v>
      </c>
      <c r="P115" s="68">
        <v>491722</v>
      </c>
      <c r="Q115" s="68">
        <v>14548</v>
      </c>
      <c r="R115" s="415">
        <v>5000</v>
      </c>
      <c r="S115" s="416">
        <v>3.47</v>
      </c>
      <c r="T115" s="417">
        <v>3.47</v>
      </c>
      <c r="U115" s="423">
        <v>0</v>
      </c>
      <c r="V115" s="424">
        <f t="shared" si="302"/>
        <v>0</v>
      </c>
      <c r="W115" s="418">
        <f t="shared" si="302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303"/>
        <v>0</v>
      </c>
      <c r="AE115" s="418">
        <f t="shared" si="304"/>
        <v>0</v>
      </c>
      <c r="AF115" s="418">
        <f t="shared" si="305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306"/>
        <v>0</v>
      </c>
      <c r="AM115" s="418">
        <f t="shared" si="307"/>
        <v>0</v>
      </c>
      <c r="AN115" s="418">
        <f t="shared" si="308"/>
        <v>0</v>
      </c>
      <c r="AO115" s="418">
        <f t="shared" si="309"/>
        <v>0</v>
      </c>
      <c r="AP115" s="418">
        <f t="shared" si="309"/>
        <v>0</v>
      </c>
      <c r="AQ115" s="418">
        <f t="shared" si="310"/>
        <v>0</v>
      </c>
      <c r="AR115" s="68">
        <f t="shared" si="311"/>
        <v>0</v>
      </c>
      <c r="AS115" s="68">
        <f t="shared" si="312"/>
        <v>0</v>
      </c>
      <c r="AT115" s="418">
        <v>0</v>
      </c>
      <c r="AU115" s="418">
        <v>0</v>
      </c>
      <c r="AV115" s="418">
        <f t="shared" si="313"/>
        <v>0</v>
      </c>
      <c r="AW115" s="418">
        <f t="shared" si="314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315"/>
        <v>0</v>
      </c>
      <c r="BG115" s="419">
        <f t="shared" si="316"/>
        <v>0</v>
      </c>
      <c r="BH115" s="421">
        <f t="shared" si="317"/>
        <v>0</v>
      </c>
      <c r="BI115" s="424">
        <f t="shared" si="318"/>
        <v>1966070</v>
      </c>
      <c r="BJ115" s="780">
        <f t="shared" si="319"/>
        <v>1454800</v>
      </c>
      <c r="BK115" s="418">
        <f t="shared" si="320"/>
        <v>1454800</v>
      </c>
      <c r="BL115" s="418">
        <f t="shared" si="320"/>
        <v>0</v>
      </c>
      <c r="BM115" s="418">
        <f t="shared" si="321"/>
        <v>0</v>
      </c>
      <c r="BN115" s="418">
        <f t="shared" si="322"/>
        <v>0</v>
      </c>
      <c r="BO115" s="418">
        <f t="shared" si="322"/>
        <v>0</v>
      </c>
      <c r="BP115" s="418">
        <f t="shared" si="323"/>
        <v>491722</v>
      </c>
      <c r="BQ115" s="418">
        <f t="shared" si="323"/>
        <v>14548</v>
      </c>
      <c r="BR115" s="418">
        <f t="shared" si="324"/>
        <v>5000</v>
      </c>
      <c r="BS115" s="419">
        <f t="shared" si="325"/>
        <v>3.47</v>
      </c>
      <c r="BT115" s="419">
        <f t="shared" si="326"/>
        <v>3.47</v>
      </c>
      <c r="BU115" s="421">
        <f t="shared" si="326"/>
        <v>0</v>
      </c>
      <c r="BV115" s="854"/>
      <c r="BW115" s="723"/>
      <c r="BX115" s="723"/>
      <c r="BY115" s="723"/>
      <c r="BZ115" s="723"/>
      <c r="CA115" s="855"/>
    </row>
    <row r="116" spans="1:79" ht="12.95" customHeight="1" x14ac:dyDescent="0.25">
      <c r="A116" s="280">
        <v>19</v>
      </c>
      <c r="B116" s="321">
        <v>5453</v>
      </c>
      <c r="C116" s="322">
        <v>600099211</v>
      </c>
      <c r="D116" s="281">
        <v>854760</v>
      </c>
      <c r="E116" s="348" t="s">
        <v>442</v>
      </c>
      <c r="F116" s="321">
        <v>3141</v>
      </c>
      <c r="G116" s="345" t="s">
        <v>294</v>
      </c>
      <c r="H116" s="645" t="s">
        <v>272</v>
      </c>
      <c r="I116" s="420">
        <v>2140410</v>
      </c>
      <c r="J116" s="415">
        <v>1578494</v>
      </c>
      <c r="K116" s="415">
        <v>0</v>
      </c>
      <c r="L116" s="415">
        <v>1578494</v>
      </c>
      <c r="M116" s="415">
        <v>0</v>
      </c>
      <c r="N116" s="415">
        <v>0</v>
      </c>
      <c r="O116" s="415">
        <v>0</v>
      </c>
      <c r="P116" s="68">
        <v>533531</v>
      </c>
      <c r="Q116" s="68">
        <v>15785</v>
      </c>
      <c r="R116" s="415">
        <v>12600</v>
      </c>
      <c r="S116" s="416">
        <v>4.7333999999999996</v>
      </c>
      <c r="T116" s="417">
        <v>0</v>
      </c>
      <c r="U116" s="423">
        <v>4.7333999999999996</v>
      </c>
      <c r="V116" s="424">
        <f t="shared" si="302"/>
        <v>0</v>
      </c>
      <c r="W116" s="418">
        <f t="shared" si="302"/>
        <v>0</v>
      </c>
      <c r="X116" s="418">
        <v>0</v>
      </c>
      <c r="Y116" s="418">
        <v>0</v>
      </c>
      <c r="Z116" s="418">
        <v>0</v>
      </c>
      <c r="AA116" s="418">
        <v>790208</v>
      </c>
      <c r="AB116" s="418">
        <v>0</v>
      </c>
      <c r="AC116" s="418">
        <v>0</v>
      </c>
      <c r="AD116" s="418">
        <f t="shared" si="303"/>
        <v>0</v>
      </c>
      <c r="AE116" s="418">
        <f t="shared" si="304"/>
        <v>790208</v>
      </c>
      <c r="AF116" s="418">
        <f t="shared" si="305"/>
        <v>790208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306"/>
        <v>0</v>
      </c>
      <c r="AM116" s="418">
        <f t="shared" si="307"/>
        <v>0</v>
      </c>
      <c r="AN116" s="418">
        <f t="shared" si="308"/>
        <v>0</v>
      </c>
      <c r="AO116" s="418">
        <f t="shared" si="309"/>
        <v>0</v>
      </c>
      <c r="AP116" s="418">
        <f t="shared" si="309"/>
        <v>790208</v>
      </c>
      <c r="AQ116" s="418">
        <f t="shared" si="310"/>
        <v>790208</v>
      </c>
      <c r="AR116" s="68">
        <f t="shared" si="311"/>
        <v>267090</v>
      </c>
      <c r="AS116" s="68">
        <f t="shared" si="312"/>
        <v>7902</v>
      </c>
      <c r="AT116" s="418">
        <v>0</v>
      </c>
      <c r="AU116" s="418">
        <v>6120</v>
      </c>
      <c r="AV116" s="418">
        <f t="shared" si="313"/>
        <v>6120</v>
      </c>
      <c r="AW116" s="418">
        <f t="shared" si="314"/>
        <v>1071320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2.37</v>
      </c>
      <c r="BC116" s="419">
        <v>0</v>
      </c>
      <c r="BD116" s="419">
        <v>0</v>
      </c>
      <c r="BE116" s="419">
        <v>0</v>
      </c>
      <c r="BF116" s="419">
        <f t="shared" si="315"/>
        <v>0</v>
      </c>
      <c r="BG116" s="419">
        <f t="shared" si="316"/>
        <v>2.37</v>
      </c>
      <c r="BH116" s="421">
        <f t="shared" si="317"/>
        <v>2.37</v>
      </c>
      <c r="BI116" s="424">
        <f t="shared" si="318"/>
        <v>3211730</v>
      </c>
      <c r="BJ116" s="780">
        <f t="shared" si="319"/>
        <v>2368702</v>
      </c>
      <c r="BK116" s="418">
        <f t="shared" si="320"/>
        <v>0</v>
      </c>
      <c r="BL116" s="418">
        <f t="shared" si="320"/>
        <v>2368702</v>
      </c>
      <c r="BM116" s="418">
        <f t="shared" si="321"/>
        <v>0</v>
      </c>
      <c r="BN116" s="418">
        <f t="shared" si="322"/>
        <v>0</v>
      </c>
      <c r="BO116" s="418">
        <f t="shared" si="322"/>
        <v>0</v>
      </c>
      <c r="BP116" s="418">
        <f t="shared" si="323"/>
        <v>800621</v>
      </c>
      <c r="BQ116" s="418">
        <f t="shared" si="323"/>
        <v>23687</v>
      </c>
      <c r="BR116" s="418">
        <f t="shared" si="324"/>
        <v>18720</v>
      </c>
      <c r="BS116" s="419">
        <f t="shared" si="325"/>
        <v>7.1033999999999997</v>
      </c>
      <c r="BT116" s="419">
        <f t="shared" si="326"/>
        <v>0</v>
      </c>
      <c r="BU116" s="421">
        <f t="shared" si="326"/>
        <v>7.1033999999999997</v>
      </c>
      <c r="BV116" s="854"/>
      <c r="BW116" s="723"/>
      <c r="BX116" s="723"/>
      <c r="BY116" s="723"/>
      <c r="BZ116" s="723"/>
      <c r="CA116" s="855"/>
    </row>
    <row r="117" spans="1:79" ht="12.95" customHeight="1" x14ac:dyDescent="0.25">
      <c r="A117" s="280">
        <v>19</v>
      </c>
      <c r="B117" s="321">
        <v>5453</v>
      </c>
      <c r="C117" s="322">
        <v>600099211</v>
      </c>
      <c r="D117" s="281">
        <v>854760</v>
      </c>
      <c r="E117" s="348" t="s">
        <v>442</v>
      </c>
      <c r="F117" s="321">
        <v>3143</v>
      </c>
      <c r="G117" s="284" t="s">
        <v>595</v>
      </c>
      <c r="H117" s="645" t="s">
        <v>271</v>
      </c>
      <c r="I117" s="420">
        <v>1792828</v>
      </c>
      <c r="J117" s="415">
        <v>1329991</v>
      </c>
      <c r="K117" s="415">
        <v>1329991</v>
      </c>
      <c r="L117" s="415">
        <v>0</v>
      </c>
      <c r="M117" s="415">
        <v>0</v>
      </c>
      <c r="N117" s="415">
        <v>0</v>
      </c>
      <c r="O117" s="415">
        <v>0</v>
      </c>
      <c r="P117" s="68">
        <v>449537</v>
      </c>
      <c r="Q117" s="68">
        <v>13300</v>
      </c>
      <c r="R117" s="415">
        <v>0</v>
      </c>
      <c r="S117" s="416">
        <v>2.7160000000000002</v>
      </c>
      <c r="T117" s="417">
        <v>2.7160000000000002</v>
      </c>
      <c r="U117" s="423">
        <v>0</v>
      </c>
      <c r="V117" s="424">
        <f t="shared" si="302"/>
        <v>0</v>
      </c>
      <c r="W117" s="418">
        <f t="shared" si="302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 t="shared" si="303"/>
        <v>0</v>
      </c>
      <c r="AE117" s="418">
        <f t="shared" si="304"/>
        <v>0</v>
      </c>
      <c r="AF117" s="418">
        <f t="shared" si="305"/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306"/>
        <v>0</v>
      </c>
      <c r="AM117" s="418">
        <f t="shared" si="307"/>
        <v>0</v>
      </c>
      <c r="AN117" s="418">
        <f t="shared" si="308"/>
        <v>0</v>
      </c>
      <c r="AO117" s="418">
        <f t="shared" si="309"/>
        <v>0</v>
      </c>
      <c r="AP117" s="418">
        <f t="shared" si="309"/>
        <v>0</v>
      </c>
      <c r="AQ117" s="418">
        <f t="shared" si="310"/>
        <v>0</v>
      </c>
      <c r="AR117" s="68">
        <f t="shared" si="311"/>
        <v>0</v>
      </c>
      <c r="AS117" s="68">
        <f t="shared" si="312"/>
        <v>0</v>
      </c>
      <c r="AT117" s="418">
        <v>0</v>
      </c>
      <c r="AU117" s="418">
        <v>0</v>
      </c>
      <c r="AV117" s="418">
        <f t="shared" si="313"/>
        <v>0</v>
      </c>
      <c r="AW117" s="418">
        <f t="shared" si="314"/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 t="shared" si="315"/>
        <v>0</v>
      </c>
      <c r="BG117" s="419">
        <f t="shared" si="316"/>
        <v>0</v>
      </c>
      <c r="BH117" s="421">
        <f t="shared" si="317"/>
        <v>0</v>
      </c>
      <c r="BI117" s="424">
        <f t="shared" si="318"/>
        <v>1792828</v>
      </c>
      <c r="BJ117" s="780">
        <f t="shared" si="319"/>
        <v>1329991</v>
      </c>
      <c r="BK117" s="418">
        <f t="shared" si="320"/>
        <v>1329991</v>
      </c>
      <c r="BL117" s="418">
        <f t="shared" si="320"/>
        <v>0</v>
      </c>
      <c r="BM117" s="418">
        <f t="shared" si="321"/>
        <v>0</v>
      </c>
      <c r="BN117" s="418">
        <f t="shared" si="322"/>
        <v>0</v>
      </c>
      <c r="BO117" s="418">
        <f t="shared" si="322"/>
        <v>0</v>
      </c>
      <c r="BP117" s="418">
        <f t="shared" si="323"/>
        <v>449537</v>
      </c>
      <c r="BQ117" s="418">
        <f t="shared" si="323"/>
        <v>13300</v>
      </c>
      <c r="BR117" s="418">
        <f t="shared" si="324"/>
        <v>0</v>
      </c>
      <c r="BS117" s="419">
        <f t="shared" si="325"/>
        <v>2.7160000000000002</v>
      </c>
      <c r="BT117" s="419">
        <f t="shared" si="326"/>
        <v>2.7160000000000002</v>
      </c>
      <c r="BU117" s="421">
        <f t="shared" si="326"/>
        <v>0</v>
      </c>
      <c r="BV117" s="854"/>
      <c r="BW117" s="723"/>
      <c r="BX117" s="723"/>
      <c r="BY117" s="723"/>
      <c r="BZ117" s="723"/>
      <c r="CA117" s="855"/>
    </row>
    <row r="118" spans="1:79" ht="12.95" customHeight="1" x14ac:dyDescent="0.25">
      <c r="A118" s="280">
        <v>19</v>
      </c>
      <c r="B118" s="321">
        <v>5453</v>
      </c>
      <c r="C118" s="322">
        <v>600099211</v>
      </c>
      <c r="D118" s="281">
        <v>854760</v>
      </c>
      <c r="E118" s="348" t="s">
        <v>442</v>
      </c>
      <c r="F118" s="321">
        <v>3143</v>
      </c>
      <c r="G118" s="284" t="s">
        <v>596</v>
      </c>
      <c r="H118" s="645" t="s">
        <v>272</v>
      </c>
      <c r="I118" s="420">
        <v>49166</v>
      </c>
      <c r="J118" s="415">
        <v>35191</v>
      </c>
      <c r="K118" s="415">
        <v>0</v>
      </c>
      <c r="L118" s="415">
        <v>35191</v>
      </c>
      <c r="M118" s="415">
        <v>0</v>
      </c>
      <c r="N118" s="415">
        <v>0</v>
      </c>
      <c r="O118" s="415">
        <v>0</v>
      </c>
      <c r="P118" s="68">
        <v>11895</v>
      </c>
      <c r="Q118" s="68">
        <v>352</v>
      </c>
      <c r="R118" s="415">
        <v>1728</v>
      </c>
      <c r="S118" s="416">
        <v>0.1333</v>
      </c>
      <c r="T118" s="417">
        <v>0</v>
      </c>
      <c r="U118" s="423">
        <v>0.1333</v>
      </c>
      <c r="V118" s="424">
        <f t="shared" si="302"/>
        <v>0</v>
      </c>
      <c r="W118" s="418">
        <f t="shared" si="302"/>
        <v>0</v>
      </c>
      <c r="X118" s="418">
        <v>0</v>
      </c>
      <c r="Y118" s="418">
        <v>0</v>
      </c>
      <c r="Z118" s="418">
        <v>0</v>
      </c>
      <c r="AA118" s="418">
        <v>17609</v>
      </c>
      <c r="AB118" s="418">
        <v>0</v>
      </c>
      <c r="AC118" s="418">
        <v>0</v>
      </c>
      <c r="AD118" s="418">
        <f t="shared" si="303"/>
        <v>0</v>
      </c>
      <c r="AE118" s="418">
        <f t="shared" si="304"/>
        <v>17609</v>
      </c>
      <c r="AF118" s="418">
        <f t="shared" si="305"/>
        <v>17609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306"/>
        <v>0</v>
      </c>
      <c r="AM118" s="418">
        <f t="shared" si="307"/>
        <v>0</v>
      </c>
      <c r="AN118" s="418">
        <f t="shared" si="308"/>
        <v>0</v>
      </c>
      <c r="AO118" s="418">
        <f t="shared" si="309"/>
        <v>0</v>
      </c>
      <c r="AP118" s="418">
        <f t="shared" si="309"/>
        <v>17609</v>
      </c>
      <c r="AQ118" s="418">
        <f t="shared" si="310"/>
        <v>17609</v>
      </c>
      <c r="AR118" s="68">
        <f t="shared" si="311"/>
        <v>5952</v>
      </c>
      <c r="AS118" s="68">
        <f t="shared" si="312"/>
        <v>176</v>
      </c>
      <c r="AT118" s="418">
        <v>0</v>
      </c>
      <c r="AU118" s="418">
        <v>864</v>
      </c>
      <c r="AV118" s="418">
        <f t="shared" si="313"/>
        <v>864</v>
      </c>
      <c r="AW118" s="418">
        <f t="shared" si="314"/>
        <v>24601</v>
      </c>
      <c r="AX118" s="419">
        <v>0</v>
      </c>
      <c r="AY118" s="419">
        <v>0</v>
      </c>
      <c r="AZ118" s="419">
        <v>0</v>
      </c>
      <c r="BA118" s="419">
        <v>0</v>
      </c>
      <c r="BB118" s="419">
        <v>7.0000000000000007E-2</v>
      </c>
      <c r="BC118" s="419">
        <v>0</v>
      </c>
      <c r="BD118" s="419">
        <v>0</v>
      </c>
      <c r="BE118" s="419">
        <v>0</v>
      </c>
      <c r="BF118" s="419">
        <f t="shared" si="315"/>
        <v>0</v>
      </c>
      <c r="BG118" s="419">
        <f t="shared" si="316"/>
        <v>7.0000000000000007E-2</v>
      </c>
      <c r="BH118" s="421">
        <f t="shared" si="317"/>
        <v>7.0000000000000007E-2</v>
      </c>
      <c r="BI118" s="424">
        <f t="shared" si="318"/>
        <v>73767</v>
      </c>
      <c r="BJ118" s="780">
        <f t="shared" si="319"/>
        <v>52800</v>
      </c>
      <c r="BK118" s="418">
        <f t="shared" si="320"/>
        <v>0</v>
      </c>
      <c r="BL118" s="418">
        <f t="shared" si="320"/>
        <v>52800</v>
      </c>
      <c r="BM118" s="418">
        <f t="shared" si="321"/>
        <v>0</v>
      </c>
      <c r="BN118" s="418">
        <f t="shared" si="322"/>
        <v>0</v>
      </c>
      <c r="BO118" s="418">
        <f t="shared" si="322"/>
        <v>0</v>
      </c>
      <c r="BP118" s="418">
        <f t="shared" si="323"/>
        <v>17847</v>
      </c>
      <c r="BQ118" s="418">
        <f t="shared" si="323"/>
        <v>528</v>
      </c>
      <c r="BR118" s="418">
        <f t="shared" si="324"/>
        <v>2592</v>
      </c>
      <c r="BS118" s="419">
        <f t="shared" si="325"/>
        <v>0.20330000000000001</v>
      </c>
      <c r="BT118" s="419">
        <f t="shared" si="326"/>
        <v>0</v>
      </c>
      <c r="BU118" s="421">
        <f t="shared" si="326"/>
        <v>0.20330000000000001</v>
      </c>
      <c r="BV118" s="854"/>
      <c r="BW118" s="723"/>
      <c r="BX118" s="723"/>
      <c r="BY118" s="723"/>
      <c r="BZ118" s="723"/>
      <c r="CA118" s="855"/>
    </row>
    <row r="119" spans="1:79" ht="12.95" customHeight="1" x14ac:dyDescent="0.25">
      <c r="A119" s="280">
        <v>19</v>
      </c>
      <c r="B119" s="321">
        <v>5453</v>
      </c>
      <c r="C119" s="322">
        <v>600099211</v>
      </c>
      <c r="D119" s="281">
        <v>854760</v>
      </c>
      <c r="E119" s="348" t="s">
        <v>442</v>
      </c>
      <c r="F119" s="321">
        <v>3143</v>
      </c>
      <c r="G119" s="345" t="s">
        <v>443</v>
      </c>
      <c r="H119" s="645" t="s">
        <v>272</v>
      </c>
      <c r="I119" s="420">
        <v>329995</v>
      </c>
      <c r="J119" s="415">
        <v>244581</v>
      </c>
      <c r="K119" s="415">
        <v>235420</v>
      </c>
      <c r="L119" s="415">
        <v>9161</v>
      </c>
      <c r="M119" s="415">
        <v>0</v>
      </c>
      <c r="N119" s="415">
        <v>0</v>
      </c>
      <c r="O119" s="415">
        <v>0</v>
      </c>
      <c r="P119" s="68">
        <v>82668</v>
      </c>
      <c r="Q119" s="68">
        <v>2446</v>
      </c>
      <c r="R119" s="415">
        <v>300</v>
      </c>
      <c r="S119" s="416">
        <v>0.5</v>
      </c>
      <c r="T119" s="417">
        <v>0.47</v>
      </c>
      <c r="U119" s="423">
        <v>0.03</v>
      </c>
      <c r="V119" s="424">
        <f t="shared" si="302"/>
        <v>0</v>
      </c>
      <c r="W119" s="418">
        <f t="shared" si="302"/>
        <v>0</v>
      </c>
      <c r="X119" s="418">
        <v>0</v>
      </c>
      <c r="Y119" s="418">
        <v>0</v>
      </c>
      <c r="Z119" s="418">
        <v>0</v>
      </c>
      <c r="AA119" s="418">
        <v>4589</v>
      </c>
      <c r="AB119" s="418">
        <v>0</v>
      </c>
      <c r="AC119" s="418">
        <v>0</v>
      </c>
      <c r="AD119" s="418">
        <f t="shared" si="303"/>
        <v>0</v>
      </c>
      <c r="AE119" s="418">
        <f t="shared" si="304"/>
        <v>4589</v>
      </c>
      <c r="AF119" s="418">
        <f t="shared" si="305"/>
        <v>4589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306"/>
        <v>0</v>
      </c>
      <c r="AM119" s="418">
        <f t="shared" si="307"/>
        <v>0</v>
      </c>
      <c r="AN119" s="418">
        <f t="shared" si="308"/>
        <v>0</v>
      </c>
      <c r="AO119" s="418">
        <f t="shared" si="309"/>
        <v>0</v>
      </c>
      <c r="AP119" s="418">
        <f t="shared" si="309"/>
        <v>4589</v>
      </c>
      <c r="AQ119" s="418">
        <f t="shared" si="310"/>
        <v>4589</v>
      </c>
      <c r="AR119" s="68">
        <f t="shared" si="311"/>
        <v>1551</v>
      </c>
      <c r="AS119" s="68">
        <f t="shared" si="312"/>
        <v>46</v>
      </c>
      <c r="AT119" s="418">
        <v>0</v>
      </c>
      <c r="AU119" s="418">
        <v>150</v>
      </c>
      <c r="AV119" s="418">
        <f t="shared" si="313"/>
        <v>150</v>
      </c>
      <c r="AW119" s="418">
        <f t="shared" si="314"/>
        <v>6336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0.02</v>
      </c>
      <c r="BC119" s="419">
        <v>0</v>
      </c>
      <c r="BD119" s="419">
        <v>0</v>
      </c>
      <c r="BE119" s="419">
        <v>0</v>
      </c>
      <c r="BF119" s="419">
        <f t="shared" si="315"/>
        <v>0</v>
      </c>
      <c r="BG119" s="419">
        <f t="shared" si="316"/>
        <v>0.02</v>
      </c>
      <c r="BH119" s="421">
        <f t="shared" si="317"/>
        <v>0.02</v>
      </c>
      <c r="BI119" s="424">
        <f t="shared" si="318"/>
        <v>336331</v>
      </c>
      <c r="BJ119" s="780">
        <f t="shared" si="319"/>
        <v>249170</v>
      </c>
      <c r="BK119" s="418">
        <f t="shared" si="320"/>
        <v>235420</v>
      </c>
      <c r="BL119" s="418">
        <f t="shared" si="320"/>
        <v>13750</v>
      </c>
      <c r="BM119" s="418">
        <f t="shared" si="321"/>
        <v>0</v>
      </c>
      <c r="BN119" s="418">
        <f t="shared" si="322"/>
        <v>0</v>
      </c>
      <c r="BO119" s="418">
        <f t="shared" si="322"/>
        <v>0</v>
      </c>
      <c r="BP119" s="418">
        <f t="shared" si="323"/>
        <v>84219</v>
      </c>
      <c r="BQ119" s="418">
        <f t="shared" si="323"/>
        <v>2492</v>
      </c>
      <c r="BR119" s="418">
        <f t="shared" si="324"/>
        <v>450</v>
      </c>
      <c r="BS119" s="419">
        <f t="shared" si="325"/>
        <v>0.52</v>
      </c>
      <c r="BT119" s="419">
        <f t="shared" si="326"/>
        <v>0.47</v>
      </c>
      <c r="BU119" s="421">
        <f t="shared" si="326"/>
        <v>0.05</v>
      </c>
      <c r="BV119" s="854"/>
      <c r="BW119" s="723"/>
      <c r="BX119" s="723"/>
      <c r="BY119" s="723"/>
      <c r="BZ119" s="723"/>
      <c r="CA119" s="855"/>
    </row>
    <row r="120" spans="1:79" ht="12.95" customHeight="1" x14ac:dyDescent="0.25">
      <c r="A120" s="646">
        <v>19</v>
      </c>
      <c r="B120" s="325">
        <v>5453</v>
      </c>
      <c r="C120" s="326">
        <v>600099211</v>
      </c>
      <c r="D120" s="325">
        <v>854760</v>
      </c>
      <c r="E120" s="349" t="s">
        <v>444</v>
      </c>
      <c r="F120" s="325"/>
      <c r="G120" s="350"/>
      <c r="H120" s="648"/>
      <c r="I120" s="465">
        <v>34211863</v>
      </c>
      <c r="J120" s="461">
        <v>25159618</v>
      </c>
      <c r="K120" s="461">
        <v>21944781</v>
      </c>
      <c r="L120" s="461">
        <v>3214837</v>
      </c>
      <c r="M120" s="461">
        <v>0</v>
      </c>
      <c r="N120" s="461">
        <v>0</v>
      </c>
      <c r="O120" s="461">
        <v>0</v>
      </c>
      <c r="P120" s="461">
        <v>8503951</v>
      </c>
      <c r="Q120" s="461">
        <v>251597</v>
      </c>
      <c r="R120" s="461">
        <v>296697</v>
      </c>
      <c r="S120" s="462">
        <v>45.503399999999999</v>
      </c>
      <c r="T120" s="462">
        <v>35.646900000000002</v>
      </c>
      <c r="U120" s="535">
        <v>9.8564999999999987</v>
      </c>
      <c r="V120" s="465">
        <f t="shared" ref="V120:CA120" si="327">SUM(V113:V119)</f>
        <v>0</v>
      </c>
      <c r="W120" s="461">
        <f t="shared" si="327"/>
        <v>0</v>
      </c>
      <c r="X120" s="461">
        <f t="shared" si="327"/>
        <v>0</v>
      </c>
      <c r="Y120" s="461">
        <f t="shared" si="327"/>
        <v>0</v>
      </c>
      <c r="Z120" s="461">
        <f t="shared" si="327"/>
        <v>0</v>
      </c>
      <c r="AA120" s="461">
        <f t="shared" si="327"/>
        <v>812406</v>
      </c>
      <c r="AB120" s="461">
        <f t="shared" si="327"/>
        <v>0</v>
      </c>
      <c r="AC120" s="461">
        <f t="shared" si="327"/>
        <v>0</v>
      </c>
      <c r="AD120" s="461">
        <f t="shared" si="327"/>
        <v>0</v>
      </c>
      <c r="AE120" s="461">
        <f t="shared" si="327"/>
        <v>812406</v>
      </c>
      <c r="AF120" s="461">
        <f t="shared" si="327"/>
        <v>812406</v>
      </c>
      <c r="AG120" s="461">
        <f t="shared" si="327"/>
        <v>0</v>
      </c>
      <c r="AH120" s="461">
        <f t="shared" si="327"/>
        <v>0</v>
      </c>
      <c r="AI120" s="461">
        <f t="shared" si="327"/>
        <v>0</v>
      </c>
      <c r="AJ120" s="461">
        <f t="shared" si="327"/>
        <v>0</v>
      </c>
      <c r="AK120" s="461">
        <f t="shared" si="327"/>
        <v>0</v>
      </c>
      <c r="AL120" s="461">
        <f t="shared" si="327"/>
        <v>0</v>
      </c>
      <c r="AM120" s="461">
        <f t="shared" si="327"/>
        <v>0</v>
      </c>
      <c r="AN120" s="461">
        <f t="shared" si="327"/>
        <v>0</v>
      </c>
      <c r="AO120" s="461">
        <f t="shared" si="327"/>
        <v>0</v>
      </c>
      <c r="AP120" s="461">
        <f t="shared" si="327"/>
        <v>812406</v>
      </c>
      <c r="AQ120" s="461">
        <f t="shared" si="327"/>
        <v>812406</v>
      </c>
      <c r="AR120" s="461">
        <f t="shared" si="327"/>
        <v>274593</v>
      </c>
      <c r="AS120" s="461">
        <f t="shared" si="327"/>
        <v>8124</v>
      </c>
      <c r="AT120" s="461">
        <f t="shared" si="327"/>
        <v>0</v>
      </c>
      <c r="AU120" s="461">
        <f t="shared" si="327"/>
        <v>7134</v>
      </c>
      <c r="AV120" s="461">
        <f t="shared" si="327"/>
        <v>7134</v>
      </c>
      <c r="AW120" s="461">
        <f t="shared" si="327"/>
        <v>1102257</v>
      </c>
      <c r="AX120" s="462">
        <f t="shared" si="327"/>
        <v>0</v>
      </c>
      <c r="AY120" s="462">
        <f t="shared" si="327"/>
        <v>0</v>
      </c>
      <c r="AZ120" s="462">
        <f t="shared" si="327"/>
        <v>0</v>
      </c>
      <c r="BA120" s="462">
        <f t="shared" si="327"/>
        <v>0</v>
      </c>
      <c r="BB120" s="462">
        <f t="shared" ref="BB120" si="328">SUM(BB113:BB119)</f>
        <v>2.46</v>
      </c>
      <c r="BC120" s="462">
        <f t="shared" si="327"/>
        <v>0</v>
      </c>
      <c r="BD120" s="462">
        <f t="shared" si="327"/>
        <v>0</v>
      </c>
      <c r="BE120" s="462">
        <f t="shared" ref="BE120" si="329">SUM(BE113:BE119)</f>
        <v>0</v>
      </c>
      <c r="BF120" s="462">
        <f t="shared" si="327"/>
        <v>0</v>
      </c>
      <c r="BG120" s="462">
        <f t="shared" si="327"/>
        <v>2.46</v>
      </c>
      <c r="BH120" s="279">
        <f t="shared" si="327"/>
        <v>2.46</v>
      </c>
      <c r="BI120" s="465">
        <f t="shared" si="327"/>
        <v>35314120</v>
      </c>
      <c r="BJ120" s="781">
        <f t="shared" si="327"/>
        <v>25972024</v>
      </c>
      <c r="BK120" s="461">
        <f t="shared" si="327"/>
        <v>21944781</v>
      </c>
      <c r="BL120" s="461">
        <f t="shared" si="327"/>
        <v>4027243</v>
      </c>
      <c r="BM120" s="461">
        <f t="shared" si="327"/>
        <v>0</v>
      </c>
      <c r="BN120" s="461">
        <f t="shared" si="327"/>
        <v>0</v>
      </c>
      <c r="BO120" s="461">
        <f t="shared" si="327"/>
        <v>0</v>
      </c>
      <c r="BP120" s="461">
        <f t="shared" si="327"/>
        <v>8778544</v>
      </c>
      <c r="BQ120" s="461">
        <f t="shared" si="327"/>
        <v>259721</v>
      </c>
      <c r="BR120" s="461">
        <f t="shared" si="327"/>
        <v>303831</v>
      </c>
      <c r="BS120" s="462">
        <f t="shared" si="327"/>
        <v>47.9634</v>
      </c>
      <c r="BT120" s="462">
        <f t="shared" si="327"/>
        <v>35.646900000000002</v>
      </c>
      <c r="BU120" s="279">
        <f t="shared" si="327"/>
        <v>12.3165</v>
      </c>
      <c r="BV120" s="850">
        <f t="shared" si="327"/>
        <v>304109</v>
      </c>
      <c r="BW120" s="713">
        <f t="shared" si="327"/>
        <v>225600</v>
      </c>
      <c r="BX120" s="713">
        <f t="shared" si="327"/>
        <v>0</v>
      </c>
      <c r="BY120" s="713">
        <f t="shared" si="327"/>
        <v>76253</v>
      </c>
      <c r="BZ120" s="713">
        <f t="shared" si="327"/>
        <v>2256</v>
      </c>
      <c r="CA120" s="851">
        <f t="shared" si="327"/>
        <v>0.4</v>
      </c>
    </row>
    <row r="121" spans="1:79" ht="12.95" customHeight="1" x14ac:dyDescent="0.25">
      <c r="A121" s="280">
        <v>20</v>
      </c>
      <c r="B121" s="281">
        <v>5429</v>
      </c>
      <c r="C121" s="330">
        <v>600098656</v>
      </c>
      <c r="D121" s="281">
        <v>70698309</v>
      </c>
      <c r="E121" s="283" t="s">
        <v>445</v>
      </c>
      <c r="F121" s="281">
        <v>3111</v>
      </c>
      <c r="G121" s="345" t="s">
        <v>304</v>
      </c>
      <c r="H121" s="645" t="s">
        <v>271</v>
      </c>
      <c r="I121" s="420">
        <v>3196671</v>
      </c>
      <c r="J121" s="415">
        <v>2354955</v>
      </c>
      <c r="K121" s="415">
        <v>2136763</v>
      </c>
      <c r="L121" s="415">
        <v>218192</v>
      </c>
      <c r="M121" s="415">
        <v>10000</v>
      </c>
      <c r="N121" s="415">
        <v>6400</v>
      </c>
      <c r="O121" s="415">
        <v>3600</v>
      </c>
      <c r="P121" s="68">
        <v>799355</v>
      </c>
      <c r="Q121" s="68">
        <v>23550</v>
      </c>
      <c r="R121" s="415">
        <v>8811</v>
      </c>
      <c r="S121" s="416">
        <v>4.7267000000000001</v>
      </c>
      <c r="T121" s="417">
        <v>4</v>
      </c>
      <c r="U121" s="423">
        <v>0.7266999999999999</v>
      </c>
      <c r="V121" s="424">
        <f t="shared" ref="V121:W123" si="330">AG121*-1</f>
        <v>0</v>
      </c>
      <c r="W121" s="418">
        <f t="shared" si="330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3" si="331">AD121+AL121</f>
        <v>0</v>
      </c>
      <c r="AP121" s="418">
        <f t="shared" si="331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424">
        <f>I121+AW121</f>
        <v>3196671</v>
      </c>
      <c r="BJ121" s="780">
        <f>J121+AF121</f>
        <v>2354955</v>
      </c>
      <c r="BK121" s="418">
        <f t="shared" ref="BK121:BL123" si="332">K121+AD121</f>
        <v>2136763</v>
      </c>
      <c r="BL121" s="418">
        <f t="shared" si="332"/>
        <v>218192</v>
      </c>
      <c r="BM121" s="418">
        <f>M121+AN121</f>
        <v>10000</v>
      </c>
      <c r="BN121" s="418">
        <f t="shared" ref="BN121:BO123" si="333">N121+AL121</f>
        <v>6400</v>
      </c>
      <c r="BO121" s="418">
        <f t="shared" si="333"/>
        <v>3600</v>
      </c>
      <c r="BP121" s="418">
        <f t="shared" ref="BP121:BQ123" si="334">P121+AR121</f>
        <v>799355</v>
      </c>
      <c r="BQ121" s="418">
        <f t="shared" si="334"/>
        <v>23550</v>
      </c>
      <c r="BR121" s="418">
        <f>R121+AV121</f>
        <v>8811</v>
      </c>
      <c r="BS121" s="419">
        <f>S121+BH121</f>
        <v>4.7267000000000001</v>
      </c>
      <c r="BT121" s="419">
        <f t="shared" ref="BT121:BU123" si="335">T121+BF121</f>
        <v>4</v>
      </c>
      <c r="BU121" s="421">
        <f t="shared" si="335"/>
        <v>0.7266999999999999</v>
      </c>
      <c r="BV121" s="854"/>
      <c r="BW121" s="723"/>
      <c r="BX121" s="723"/>
      <c r="BY121" s="723"/>
      <c r="BZ121" s="723"/>
      <c r="CA121" s="855"/>
    </row>
    <row r="122" spans="1:79" ht="12.95" customHeight="1" x14ac:dyDescent="0.25">
      <c r="A122" s="280">
        <v>20</v>
      </c>
      <c r="B122" s="321">
        <v>5429</v>
      </c>
      <c r="C122" s="322">
        <v>600098656</v>
      </c>
      <c r="D122" s="281">
        <v>70698309</v>
      </c>
      <c r="E122" s="348" t="s">
        <v>445</v>
      </c>
      <c r="F122" s="281">
        <v>3111</v>
      </c>
      <c r="G122" s="284" t="s">
        <v>291</v>
      </c>
      <c r="H122" s="645" t="s">
        <v>272</v>
      </c>
      <c r="I122" s="420">
        <v>0</v>
      </c>
      <c r="J122" s="415">
        <v>0</v>
      </c>
      <c r="K122" s="415">
        <v>0</v>
      </c>
      <c r="L122" s="415">
        <v>0</v>
      </c>
      <c r="M122" s="415">
        <v>0</v>
      </c>
      <c r="N122" s="415">
        <v>0</v>
      </c>
      <c r="O122" s="415">
        <v>0</v>
      </c>
      <c r="P122" s="68">
        <v>0</v>
      </c>
      <c r="Q122" s="68">
        <v>0</v>
      </c>
      <c r="R122" s="415">
        <v>0</v>
      </c>
      <c r="S122" s="416">
        <v>0</v>
      </c>
      <c r="T122" s="417">
        <v>0</v>
      </c>
      <c r="U122" s="423">
        <v>0</v>
      </c>
      <c r="V122" s="424">
        <f t="shared" si="330"/>
        <v>0</v>
      </c>
      <c r="W122" s="418">
        <f t="shared" si="330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331"/>
        <v>0</v>
      </c>
      <c r="AP122" s="418">
        <f t="shared" si="331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424">
        <f>I122+AW122</f>
        <v>0</v>
      </c>
      <c r="BJ122" s="780">
        <f>J122+AF122</f>
        <v>0</v>
      </c>
      <c r="BK122" s="418">
        <f t="shared" si="332"/>
        <v>0</v>
      </c>
      <c r="BL122" s="418">
        <f t="shared" si="332"/>
        <v>0</v>
      </c>
      <c r="BM122" s="418">
        <f>M122+AN122</f>
        <v>0</v>
      </c>
      <c r="BN122" s="418">
        <f t="shared" si="333"/>
        <v>0</v>
      </c>
      <c r="BO122" s="418">
        <f t="shared" si="333"/>
        <v>0</v>
      </c>
      <c r="BP122" s="418">
        <f t="shared" si="334"/>
        <v>0</v>
      </c>
      <c r="BQ122" s="418">
        <f t="shared" si="334"/>
        <v>0</v>
      </c>
      <c r="BR122" s="418">
        <f>R122+AV122</f>
        <v>0</v>
      </c>
      <c r="BS122" s="419">
        <f>S122+BH122</f>
        <v>0</v>
      </c>
      <c r="BT122" s="419">
        <f t="shared" si="335"/>
        <v>0</v>
      </c>
      <c r="BU122" s="421">
        <f t="shared" si="335"/>
        <v>0</v>
      </c>
      <c r="BV122" s="854"/>
      <c r="BW122" s="723"/>
      <c r="BX122" s="723"/>
      <c r="BY122" s="723"/>
      <c r="BZ122" s="723"/>
      <c r="CA122" s="855"/>
    </row>
    <row r="123" spans="1:79" ht="12.95" customHeight="1" x14ac:dyDescent="0.25">
      <c r="A123" s="280">
        <v>20</v>
      </c>
      <c r="B123" s="321">
        <v>5429</v>
      </c>
      <c r="C123" s="322">
        <v>600098656</v>
      </c>
      <c r="D123" s="281">
        <v>70698309</v>
      </c>
      <c r="E123" s="348" t="s">
        <v>445</v>
      </c>
      <c r="F123" s="321">
        <v>3141</v>
      </c>
      <c r="G123" s="345" t="s">
        <v>294</v>
      </c>
      <c r="H123" s="645" t="s">
        <v>272</v>
      </c>
      <c r="I123" s="420">
        <v>448686</v>
      </c>
      <c r="J123" s="415">
        <v>331478</v>
      </c>
      <c r="K123" s="415">
        <v>0</v>
      </c>
      <c r="L123" s="415">
        <v>331478</v>
      </c>
      <c r="M123" s="415">
        <v>0</v>
      </c>
      <c r="N123" s="415">
        <v>0</v>
      </c>
      <c r="O123" s="415">
        <v>0</v>
      </c>
      <c r="P123" s="68">
        <v>112039</v>
      </c>
      <c r="Q123" s="68">
        <v>3314</v>
      </c>
      <c r="R123" s="415">
        <v>1855</v>
      </c>
      <c r="S123" s="416">
        <v>0.99670000000000003</v>
      </c>
      <c r="T123" s="417">
        <v>0</v>
      </c>
      <c r="U123" s="423">
        <v>0.99670000000000003</v>
      </c>
      <c r="V123" s="424">
        <f t="shared" si="330"/>
        <v>0</v>
      </c>
      <c r="W123" s="418">
        <f t="shared" si="330"/>
        <v>0</v>
      </c>
      <c r="X123" s="418">
        <v>0</v>
      </c>
      <c r="Y123" s="418">
        <v>0</v>
      </c>
      <c r="Z123" s="418">
        <v>0</v>
      </c>
      <c r="AA123" s="418">
        <v>165739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165739</v>
      </c>
      <c r="AF123" s="418">
        <f>SUM(AD123:AE123)</f>
        <v>165739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331"/>
        <v>0</v>
      </c>
      <c r="AP123" s="418">
        <f t="shared" si="331"/>
        <v>165739</v>
      </c>
      <c r="AQ123" s="418">
        <f>SUM(AO123:AP123)</f>
        <v>165739</v>
      </c>
      <c r="AR123" s="68">
        <f>ROUND((AF123+AG123+AH123+AI123)*33.8%,0)</f>
        <v>56020</v>
      </c>
      <c r="AS123" s="68">
        <f>ROUND(AF123*1%,0)</f>
        <v>1657</v>
      </c>
      <c r="AT123" s="418">
        <v>0</v>
      </c>
      <c r="AU123" s="418">
        <v>927</v>
      </c>
      <c r="AV123" s="418">
        <f>AT123+AU123</f>
        <v>927</v>
      </c>
      <c r="AW123" s="418">
        <f>AQ123+AR123+AS123+AV123</f>
        <v>224343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0.5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0.5</v>
      </c>
      <c r="BH123" s="421">
        <f>SUM(BF123:BG123)</f>
        <v>0.5</v>
      </c>
      <c r="BI123" s="424">
        <f>I123+AW123</f>
        <v>673029</v>
      </c>
      <c r="BJ123" s="780">
        <f>J123+AF123</f>
        <v>497217</v>
      </c>
      <c r="BK123" s="418">
        <f t="shared" si="332"/>
        <v>0</v>
      </c>
      <c r="BL123" s="418">
        <f t="shared" si="332"/>
        <v>497217</v>
      </c>
      <c r="BM123" s="418">
        <f>M123+AN123</f>
        <v>0</v>
      </c>
      <c r="BN123" s="418">
        <f t="shared" si="333"/>
        <v>0</v>
      </c>
      <c r="BO123" s="418">
        <f t="shared" si="333"/>
        <v>0</v>
      </c>
      <c r="BP123" s="418">
        <f t="shared" si="334"/>
        <v>168059</v>
      </c>
      <c r="BQ123" s="418">
        <f t="shared" si="334"/>
        <v>4971</v>
      </c>
      <c r="BR123" s="418">
        <f>R123+AV123</f>
        <v>2782</v>
      </c>
      <c r="BS123" s="419">
        <f>S123+BH123</f>
        <v>1.4967000000000001</v>
      </c>
      <c r="BT123" s="419">
        <f t="shared" si="335"/>
        <v>0</v>
      </c>
      <c r="BU123" s="421">
        <f t="shared" si="335"/>
        <v>1.4967000000000001</v>
      </c>
      <c r="BV123" s="854"/>
      <c r="BW123" s="723"/>
      <c r="BX123" s="723"/>
      <c r="BY123" s="723"/>
      <c r="BZ123" s="723"/>
      <c r="CA123" s="855"/>
    </row>
    <row r="124" spans="1:79" ht="12.95" customHeight="1" x14ac:dyDescent="0.25">
      <c r="A124" s="646">
        <v>20</v>
      </c>
      <c r="B124" s="325">
        <v>5429</v>
      </c>
      <c r="C124" s="326">
        <v>600098656</v>
      </c>
      <c r="D124" s="325">
        <v>70698309</v>
      </c>
      <c r="E124" s="349" t="s">
        <v>446</v>
      </c>
      <c r="F124" s="325"/>
      <c r="G124" s="350"/>
      <c r="H124" s="648"/>
      <c r="I124" s="465">
        <v>3645357</v>
      </c>
      <c r="J124" s="461">
        <v>2686433</v>
      </c>
      <c r="K124" s="461">
        <v>2136763</v>
      </c>
      <c r="L124" s="461">
        <v>549670</v>
      </c>
      <c r="M124" s="461">
        <v>10000</v>
      </c>
      <c r="N124" s="461">
        <v>6400</v>
      </c>
      <c r="O124" s="461">
        <v>3600</v>
      </c>
      <c r="P124" s="461">
        <v>911394</v>
      </c>
      <c r="Q124" s="461">
        <v>26864</v>
      </c>
      <c r="R124" s="461">
        <v>10666</v>
      </c>
      <c r="S124" s="462">
        <v>5.7233999999999998</v>
      </c>
      <c r="T124" s="462">
        <v>4</v>
      </c>
      <c r="U124" s="535">
        <v>1.7233999999999998</v>
      </c>
      <c r="V124" s="465">
        <f t="shared" ref="V124:CA124" si="336">SUM(V121:V123)</f>
        <v>0</v>
      </c>
      <c r="W124" s="461">
        <f t="shared" si="336"/>
        <v>0</v>
      </c>
      <c r="X124" s="461">
        <f t="shared" si="336"/>
        <v>0</v>
      </c>
      <c r="Y124" s="461">
        <f t="shared" si="336"/>
        <v>0</v>
      </c>
      <c r="Z124" s="461">
        <f t="shared" si="336"/>
        <v>0</v>
      </c>
      <c r="AA124" s="461">
        <f t="shared" si="336"/>
        <v>165739</v>
      </c>
      <c r="AB124" s="461">
        <f t="shared" si="336"/>
        <v>0</v>
      </c>
      <c r="AC124" s="461">
        <f t="shared" si="336"/>
        <v>0</v>
      </c>
      <c r="AD124" s="461">
        <f t="shared" si="336"/>
        <v>0</v>
      </c>
      <c r="AE124" s="461">
        <f t="shared" si="336"/>
        <v>165739</v>
      </c>
      <c r="AF124" s="461">
        <f t="shared" si="336"/>
        <v>165739</v>
      </c>
      <c r="AG124" s="461">
        <f t="shared" si="336"/>
        <v>0</v>
      </c>
      <c r="AH124" s="461">
        <f t="shared" si="336"/>
        <v>0</v>
      </c>
      <c r="AI124" s="461">
        <f t="shared" si="336"/>
        <v>0</v>
      </c>
      <c r="AJ124" s="461">
        <f t="shared" si="336"/>
        <v>0</v>
      </c>
      <c r="AK124" s="461">
        <f t="shared" si="336"/>
        <v>0</v>
      </c>
      <c r="AL124" s="461">
        <f t="shared" si="336"/>
        <v>0</v>
      </c>
      <c r="AM124" s="461">
        <f t="shared" si="336"/>
        <v>0</v>
      </c>
      <c r="AN124" s="461">
        <f t="shared" si="336"/>
        <v>0</v>
      </c>
      <c r="AO124" s="461">
        <f t="shared" si="336"/>
        <v>0</v>
      </c>
      <c r="AP124" s="461">
        <f t="shared" si="336"/>
        <v>165739</v>
      </c>
      <c r="AQ124" s="461">
        <f t="shared" si="336"/>
        <v>165739</v>
      </c>
      <c r="AR124" s="461">
        <f t="shared" si="336"/>
        <v>56020</v>
      </c>
      <c r="AS124" s="461">
        <f t="shared" si="336"/>
        <v>1657</v>
      </c>
      <c r="AT124" s="461">
        <f t="shared" si="336"/>
        <v>0</v>
      </c>
      <c r="AU124" s="461">
        <f t="shared" si="336"/>
        <v>927</v>
      </c>
      <c r="AV124" s="461">
        <f t="shared" si="336"/>
        <v>927</v>
      </c>
      <c r="AW124" s="461">
        <f t="shared" si="336"/>
        <v>224343</v>
      </c>
      <c r="AX124" s="462">
        <f t="shared" si="336"/>
        <v>0</v>
      </c>
      <c r="AY124" s="462">
        <f t="shared" si="336"/>
        <v>0</v>
      </c>
      <c r="AZ124" s="462">
        <f t="shared" si="336"/>
        <v>0</v>
      </c>
      <c r="BA124" s="462">
        <f t="shared" si="336"/>
        <v>0</v>
      </c>
      <c r="BB124" s="462">
        <f t="shared" ref="BB124" si="337">SUM(BB121:BB123)</f>
        <v>0.5</v>
      </c>
      <c r="BC124" s="462">
        <f t="shared" si="336"/>
        <v>0</v>
      </c>
      <c r="BD124" s="462">
        <f t="shared" si="336"/>
        <v>0</v>
      </c>
      <c r="BE124" s="462">
        <f t="shared" ref="BE124" si="338">SUM(BE121:BE123)</f>
        <v>0</v>
      </c>
      <c r="BF124" s="462">
        <f t="shared" si="336"/>
        <v>0</v>
      </c>
      <c r="BG124" s="462">
        <f t="shared" si="336"/>
        <v>0.5</v>
      </c>
      <c r="BH124" s="279">
        <f t="shared" si="336"/>
        <v>0.5</v>
      </c>
      <c r="BI124" s="465">
        <f t="shared" si="336"/>
        <v>3869700</v>
      </c>
      <c r="BJ124" s="781">
        <f t="shared" si="336"/>
        <v>2852172</v>
      </c>
      <c r="BK124" s="461">
        <f t="shared" si="336"/>
        <v>2136763</v>
      </c>
      <c r="BL124" s="461">
        <f t="shared" si="336"/>
        <v>715409</v>
      </c>
      <c r="BM124" s="461">
        <f t="shared" si="336"/>
        <v>10000</v>
      </c>
      <c r="BN124" s="461">
        <f t="shared" si="336"/>
        <v>6400</v>
      </c>
      <c r="BO124" s="461">
        <f t="shared" si="336"/>
        <v>3600</v>
      </c>
      <c r="BP124" s="461">
        <f t="shared" si="336"/>
        <v>967414</v>
      </c>
      <c r="BQ124" s="461">
        <f t="shared" si="336"/>
        <v>28521</v>
      </c>
      <c r="BR124" s="461">
        <f t="shared" si="336"/>
        <v>11593</v>
      </c>
      <c r="BS124" s="462">
        <f t="shared" si="336"/>
        <v>6.2233999999999998</v>
      </c>
      <c r="BT124" s="462">
        <f t="shared" si="336"/>
        <v>4</v>
      </c>
      <c r="BU124" s="279">
        <f t="shared" si="336"/>
        <v>2.2233999999999998</v>
      </c>
      <c r="BV124" s="850">
        <f t="shared" si="336"/>
        <v>0</v>
      </c>
      <c r="BW124" s="713">
        <f t="shared" si="336"/>
        <v>0</v>
      </c>
      <c r="BX124" s="713">
        <f t="shared" si="336"/>
        <v>0</v>
      </c>
      <c r="BY124" s="713">
        <f t="shared" si="336"/>
        <v>0</v>
      </c>
      <c r="BZ124" s="713">
        <f t="shared" si="336"/>
        <v>0</v>
      </c>
      <c r="CA124" s="851">
        <f t="shared" si="336"/>
        <v>0</v>
      </c>
    </row>
    <row r="125" spans="1:79" ht="12.95" customHeight="1" x14ac:dyDescent="0.25">
      <c r="A125" s="280">
        <v>21</v>
      </c>
      <c r="B125" s="321">
        <v>5468</v>
      </c>
      <c r="C125" s="322">
        <v>600099083</v>
      </c>
      <c r="D125" s="281">
        <v>70698317</v>
      </c>
      <c r="E125" s="348" t="s">
        <v>447</v>
      </c>
      <c r="F125" s="321">
        <v>3117</v>
      </c>
      <c r="G125" s="345" t="s">
        <v>308</v>
      </c>
      <c r="H125" s="645" t="s">
        <v>271</v>
      </c>
      <c r="I125" s="420">
        <v>1973790</v>
      </c>
      <c r="J125" s="415">
        <v>1445276</v>
      </c>
      <c r="K125" s="415">
        <v>1226942</v>
      </c>
      <c r="L125" s="415">
        <v>218334</v>
      </c>
      <c r="M125" s="415">
        <v>0</v>
      </c>
      <c r="N125" s="415">
        <v>0</v>
      </c>
      <c r="O125" s="415">
        <v>0</v>
      </c>
      <c r="P125" s="68">
        <v>488504</v>
      </c>
      <c r="Q125" s="68">
        <v>14453</v>
      </c>
      <c r="R125" s="415">
        <v>25557</v>
      </c>
      <c r="S125" s="416">
        <v>2.5345</v>
      </c>
      <c r="T125" s="417">
        <v>1.9844999999999999</v>
      </c>
      <c r="U125" s="423">
        <v>0.55000000000000004</v>
      </c>
      <c r="V125" s="424">
        <f t="shared" ref="V125:W129" si="339">AG125*-1</f>
        <v>0</v>
      </c>
      <c r="W125" s="418">
        <f t="shared" si="339"/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ref="AO125:AP129" si="340">AD125+AL125</f>
        <v>0</v>
      </c>
      <c r="AP125" s="418">
        <f t="shared" si="340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421">
        <f>SUM(BF125:BG125)</f>
        <v>0</v>
      </c>
      <c r="BI125" s="424">
        <f>I125+AW125</f>
        <v>1973790</v>
      </c>
      <c r="BJ125" s="780">
        <f>J125+AF125</f>
        <v>1445276</v>
      </c>
      <c r="BK125" s="418">
        <f t="shared" ref="BK125:BL129" si="341">K125+AD125</f>
        <v>1226942</v>
      </c>
      <c r="BL125" s="418">
        <f t="shared" si="341"/>
        <v>218334</v>
      </c>
      <c r="BM125" s="418">
        <f>M125+AN125</f>
        <v>0</v>
      </c>
      <c r="BN125" s="418">
        <f t="shared" ref="BN125:BO129" si="342">N125+AL125</f>
        <v>0</v>
      </c>
      <c r="BO125" s="418">
        <f t="shared" si="342"/>
        <v>0</v>
      </c>
      <c r="BP125" s="418">
        <f t="shared" ref="BP125:BQ129" si="343">P125+AR125</f>
        <v>488504</v>
      </c>
      <c r="BQ125" s="418">
        <f t="shared" si="343"/>
        <v>14453</v>
      </c>
      <c r="BR125" s="418">
        <f>R125+AV125</f>
        <v>25557</v>
      </c>
      <c r="BS125" s="419">
        <f>S125+BH125</f>
        <v>2.5345</v>
      </c>
      <c r="BT125" s="419">
        <f t="shared" ref="BT125:BU129" si="344">T125+BF125</f>
        <v>1.9844999999999999</v>
      </c>
      <c r="BU125" s="421">
        <f t="shared" si="344"/>
        <v>0.55000000000000004</v>
      </c>
      <c r="BV125" s="854"/>
      <c r="BW125" s="723"/>
      <c r="BX125" s="723"/>
      <c r="BY125" s="723"/>
      <c r="BZ125" s="723"/>
      <c r="CA125" s="855"/>
    </row>
    <row r="126" spans="1:79" ht="12.95" customHeight="1" x14ac:dyDescent="0.25">
      <c r="A126" s="280">
        <v>21</v>
      </c>
      <c r="B126" s="321">
        <v>5468</v>
      </c>
      <c r="C126" s="322">
        <v>600099083</v>
      </c>
      <c r="D126" s="281">
        <v>70698317</v>
      </c>
      <c r="E126" s="348" t="s">
        <v>447</v>
      </c>
      <c r="F126" s="321">
        <v>3117</v>
      </c>
      <c r="G126" s="284" t="s">
        <v>291</v>
      </c>
      <c r="H126" s="645" t="s">
        <v>272</v>
      </c>
      <c r="I126" s="420">
        <v>155602</v>
      </c>
      <c r="J126" s="415">
        <v>115432</v>
      </c>
      <c r="K126" s="415">
        <v>115432</v>
      </c>
      <c r="L126" s="415">
        <v>0</v>
      </c>
      <c r="M126" s="415">
        <v>0</v>
      </c>
      <c r="N126" s="415">
        <v>0</v>
      </c>
      <c r="O126" s="415">
        <v>0</v>
      </c>
      <c r="P126" s="68">
        <v>39016</v>
      </c>
      <c r="Q126" s="68">
        <v>1154</v>
      </c>
      <c r="R126" s="415">
        <v>0</v>
      </c>
      <c r="S126" s="416">
        <v>0.35</v>
      </c>
      <c r="T126" s="417">
        <v>0.35</v>
      </c>
      <c r="U126" s="423">
        <v>0</v>
      </c>
      <c r="V126" s="424">
        <f t="shared" si="339"/>
        <v>0</v>
      </c>
      <c r="W126" s="418">
        <f t="shared" si="339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si="340"/>
        <v>0</v>
      </c>
      <c r="AP126" s="418">
        <f t="shared" si="340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21">
        <f>SUM(BF126:BG126)</f>
        <v>0</v>
      </c>
      <c r="BI126" s="424">
        <f>I126+AW126</f>
        <v>155602</v>
      </c>
      <c r="BJ126" s="780">
        <f>J126+AF126</f>
        <v>115432</v>
      </c>
      <c r="BK126" s="418">
        <f t="shared" si="341"/>
        <v>115432</v>
      </c>
      <c r="BL126" s="418">
        <f t="shared" si="341"/>
        <v>0</v>
      </c>
      <c r="BM126" s="418">
        <f>M126+AN126</f>
        <v>0</v>
      </c>
      <c r="BN126" s="418">
        <f t="shared" si="342"/>
        <v>0</v>
      </c>
      <c r="BO126" s="418">
        <f t="shared" si="342"/>
        <v>0</v>
      </c>
      <c r="BP126" s="418">
        <f t="shared" si="343"/>
        <v>39016</v>
      </c>
      <c r="BQ126" s="418">
        <f t="shared" si="343"/>
        <v>1154</v>
      </c>
      <c r="BR126" s="418">
        <f>R126+AV126</f>
        <v>0</v>
      </c>
      <c r="BS126" s="419">
        <f>S126+BH126</f>
        <v>0.35</v>
      </c>
      <c r="BT126" s="419">
        <f t="shared" si="344"/>
        <v>0.35</v>
      </c>
      <c r="BU126" s="421">
        <f t="shared" si="344"/>
        <v>0</v>
      </c>
      <c r="BV126" s="854"/>
      <c r="BW126" s="723"/>
      <c r="BX126" s="723"/>
      <c r="BY126" s="723"/>
      <c r="BZ126" s="723"/>
      <c r="CA126" s="855"/>
    </row>
    <row r="127" spans="1:79" ht="12.95" customHeight="1" x14ac:dyDescent="0.25">
      <c r="A127" s="280">
        <v>21</v>
      </c>
      <c r="B127" s="321">
        <v>5468</v>
      </c>
      <c r="C127" s="322">
        <v>600099083</v>
      </c>
      <c r="D127" s="281">
        <v>70698317</v>
      </c>
      <c r="E127" s="348" t="s">
        <v>447</v>
      </c>
      <c r="F127" s="321">
        <v>3143</v>
      </c>
      <c r="G127" s="284" t="s">
        <v>595</v>
      </c>
      <c r="H127" s="645" t="s">
        <v>271</v>
      </c>
      <c r="I127" s="420">
        <v>673319</v>
      </c>
      <c r="J127" s="415">
        <v>499495</v>
      </c>
      <c r="K127" s="415">
        <v>499495</v>
      </c>
      <c r="L127" s="415">
        <v>0</v>
      </c>
      <c r="M127" s="415">
        <v>0</v>
      </c>
      <c r="N127" s="415">
        <v>0</v>
      </c>
      <c r="O127" s="415">
        <v>0</v>
      </c>
      <c r="P127" s="68">
        <v>168829</v>
      </c>
      <c r="Q127" s="68">
        <v>4995</v>
      </c>
      <c r="R127" s="415">
        <v>0</v>
      </c>
      <c r="S127" s="416">
        <v>0.96430000000000005</v>
      </c>
      <c r="T127" s="417">
        <v>0.96430000000000005</v>
      </c>
      <c r="U127" s="423">
        <v>0</v>
      </c>
      <c r="V127" s="424">
        <f t="shared" si="339"/>
        <v>0</v>
      </c>
      <c r="W127" s="418">
        <f t="shared" si="339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340"/>
        <v>0</v>
      </c>
      <c r="AP127" s="418">
        <f t="shared" si="340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424">
        <f>I127+AW127</f>
        <v>673319</v>
      </c>
      <c r="BJ127" s="780">
        <f>J127+AF127</f>
        <v>499495</v>
      </c>
      <c r="BK127" s="418">
        <f t="shared" si="341"/>
        <v>499495</v>
      </c>
      <c r="BL127" s="418">
        <f t="shared" si="341"/>
        <v>0</v>
      </c>
      <c r="BM127" s="418">
        <f>M127+AN127</f>
        <v>0</v>
      </c>
      <c r="BN127" s="418">
        <f t="shared" si="342"/>
        <v>0</v>
      </c>
      <c r="BO127" s="418">
        <f t="shared" si="342"/>
        <v>0</v>
      </c>
      <c r="BP127" s="418">
        <f t="shared" si="343"/>
        <v>168829</v>
      </c>
      <c r="BQ127" s="418">
        <f t="shared" si="343"/>
        <v>4995</v>
      </c>
      <c r="BR127" s="418">
        <f>R127+AV127</f>
        <v>0</v>
      </c>
      <c r="BS127" s="419">
        <f>S127+BH127</f>
        <v>0.96430000000000005</v>
      </c>
      <c r="BT127" s="419">
        <f t="shared" si="344"/>
        <v>0.96430000000000005</v>
      </c>
      <c r="BU127" s="421">
        <f t="shared" si="344"/>
        <v>0</v>
      </c>
      <c r="BV127" s="854"/>
      <c r="BW127" s="723"/>
      <c r="BX127" s="723"/>
      <c r="BY127" s="723"/>
      <c r="BZ127" s="723"/>
      <c r="CA127" s="855"/>
    </row>
    <row r="128" spans="1:79" ht="12.95" customHeight="1" x14ac:dyDescent="0.25">
      <c r="A128" s="280">
        <v>21</v>
      </c>
      <c r="B128" s="321">
        <v>5468</v>
      </c>
      <c r="C128" s="322">
        <v>600099083</v>
      </c>
      <c r="D128" s="281">
        <v>70698317</v>
      </c>
      <c r="E128" s="348" t="s">
        <v>447</v>
      </c>
      <c r="F128" s="321">
        <v>3143</v>
      </c>
      <c r="G128" s="284" t="s">
        <v>596</v>
      </c>
      <c r="H128" s="645" t="s">
        <v>272</v>
      </c>
      <c r="I128" s="420">
        <v>10770</v>
      </c>
      <c r="J128" s="415">
        <v>7709</v>
      </c>
      <c r="K128" s="415">
        <v>0</v>
      </c>
      <c r="L128" s="415">
        <v>7709</v>
      </c>
      <c r="M128" s="415">
        <v>0</v>
      </c>
      <c r="N128" s="415">
        <v>0</v>
      </c>
      <c r="O128" s="415">
        <v>0</v>
      </c>
      <c r="P128" s="68">
        <v>2606</v>
      </c>
      <c r="Q128" s="68">
        <v>77</v>
      </c>
      <c r="R128" s="415">
        <v>378</v>
      </c>
      <c r="S128" s="416">
        <v>2.92E-2</v>
      </c>
      <c r="T128" s="417">
        <v>0</v>
      </c>
      <c r="U128" s="423">
        <v>2.92E-2</v>
      </c>
      <c r="V128" s="424">
        <f t="shared" si="339"/>
        <v>0</v>
      </c>
      <c r="W128" s="418">
        <f t="shared" si="339"/>
        <v>0</v>
      </c>
      <c r="X128" s="418">
        <v>0</v>
      </c>
      <c r="Y128" s="418">
        <v>0</v>
      </c>
      <c r="Z128" s="418">
        <v>0</v>
      </c>
      <c r="AA128" s="418">
        <v>3841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3841</v>
      </c>
      <c r="AF128" s="418">
        <f>SUM(AD128:AE128)</f>
        <v>3841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340"/>
        <v>0</v>
      </c>
      <c r="AP128" s="418">
        <f t="shared" si="340"/>
        <v>3841</v>
      </c>
      <c r="AQ128" s="418">
        <f>SUM(AO128:AP128)</f>
        <v>3841</v>
      </c>
      <c r="AR128" s="68">
        <f>ROUND((AF128+AG128+AH128+AI128)*33.8%,0)</f>
        <v>1298</v>
      </c>
      <c r="AS128" s="68">
        <f>ROUND(AF128*1%,0)</f>
        <v>38</v>
      </c>
      <c r="AT128" s="418">
        <v>0</v>
      </c>
      <c r="AU128" s="418">
        <v>189</v>
      </c>
      <c r="AV128" s="418">
        <f>AT128+AU128</f>
        <v>189</v>
      </c>
      <c r="AW128" s="418">
        <f>AQ128+AR128+AS128+AV128</f>
        <v>5366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0.01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0.01</v>
      </c>
      <c r="BH128" s="421">
        <f>SUM(BF128:BG128)</f>
        <v>0.01</v>
      </c>
      <c r="BI128" s="424">
        <f>I128+AW128</f>
        <v>16136</v>
      </c>
      <c r="BJ128" s="780">
        <f>J128+AF128</f>
        <v>11550</v>
      </c>
      <c r="BK128" s="418">
        <f t="shared" si="341"/>
        <v>0</v>
      </c>
      <c r="BL128" s="418">
        <f t="shared" si="341"/>
        <v>11550</v>
      </c>
      <c r="BM128" s="418">
        <f>M128+AN128</f>
        <v>0</v>
      </c>
      <c r="BN128" s="418">
        <f t="shared" si="342"/>
        <v>0</v>
      </c>
      <c r="BO128" s="418">
        <f t="shared" si="342"/>
        <v>0</v>
      </c>
      <c r="BP128" s="418">
        <f t="shared" si="343"/>
        <v>3904</v>
      </c>
      <c r="BQ128" s="418">
        <f t="shared" si="343"/>
        <v>115</v>
      </c>
      <c r="BR128" s="418">
        <f>R128+AV128</f>
        <v>567</v>
      </c>
      <c r="BS128" s="419">
        <f>S128+BH128</f>
        <v>3.9199999999999999E-2</v>
      </c>
      <c r="BT128" s="419">
        <f t="shared" si="344"/>
        <v>0</v>
      </c>
      <c r="BU128" s="421">
        <f t="shared" si="344"/>
        <v>3.9199999999999999E-2</v>
      </c>
      <c r="BV128" s="854"/>
      <c r="BW128" s="723"/>
      <c r="BX128" s="723"/>
      <c r="BY128" s="723"/>
      <c r="BZ128" s="723"/>
      <c r="CA128" s="855"/>
    </row>
    <row r="129" spans="1:79" ht="12.95" customHeight="1" x14ac:dyDescent="0.25">
      <c r="A129" s="280">
        <v>21</v>
      </c>
      <c r="B129" s="321">
        <v>5468</v>
      </c>
      <c r="C129" s="322">
        <v>600099083</v>
      </c>
      <c r="D129" s="281">
        <v>70698317</v>
      </c>
      <c r="E129" s="348" t="s">
        <v>447</v>
      </c>
      <c r="F129" s="321">
        <v>3141</v>
      </c>
      <c r="G129" s="345" t="s">
        <v>294</v>
      </c>
      <c r="H129" s="645" t="s">
        <v>272</v>
      </c>
      <c r="I129" s="420">
        <v>58162</v>
      </c>
      <c r="J129" s="415">
        <v>42806</v>
      </c>
      <c r="K129" s="415">
        <v>0</v>
      </c>
      <c r="L129" s="415">
        <v>42806</v>
      </c>
      <c r="M129" s="415">
        <v>0</v>
      </c>
      <c r="N129" s="415">
        <v>0</v>
      </c>
      <c r="O129" s="415">
        <v>0</v>
      </c>
      <c r="P129" s="68">
        <v>14468</v>
      </c>
      <c r="Q129" s="68">
        <v>428</v>
      </c>
      <c r="R129" s="415">
        <v>460</v>
      </c>
      <c r="S129" s="416">
        <v>0.13</v>
      </c>
      <c r="T129" s="417">
        <v>0</v>
      </c>
      <c r="U129" s="423">
        <v>0.13</v>
      </c>
      <c r="V129" s="424">
        <f t="shared" si="339"/>
        <v>0</v>
      </c>
      <c r="W129" s="418">
        <f t="shared" si="339"/>
        <v>0</v>
      </c>
      <c r="X129" s="418">
        <v>0</v>
      </c>
      <c r="Y129" s="418">
        <v>0</v>
      </c>
      <c r="Z129" s="418">
        <v>0</v>
      </c>
      <c r="AA129" s="418">
        <v>30576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30576</v>
      </c>
      <c r="AF129" s="418">
        <f>SUM(AD129:AE129)</f>
        <v>30576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340"/>
        <v>0</v>
      </c>
      <c r="AP129" s="418">
        <f t="shared" si="340"/>
        <v>30576</v>
      </c>
      <c r="AQ129" s="418">
        <f>SUM(AO129:AP129)</f>
        <v>30576</v>
      </c>
      <c r="AR129" s="68">
        <f>ROUND((AF129+AG129+AH129+AI129)*33.8%,0)</f>
        <v>10335</v>
      </c>
      <c r="AS129" s="68">
        <f>ROUND(AF129*1%,0)</f>
        <v>306</v>
      </c>
      <c r="AT129" s="418">
        <v>0</v>
      </c>
      <c r="AU129" s="418">
        <v>328</v>
      </c>
      <c r="AV129" s="418">
        <f>AT129+AU129</f>
        <v>328</v>
      </c>
      <c r="AW129" s="418">
        <f>AQ129+AR129+AS129+AV129</f>
        <v>41545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0.09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0.09</v>
      </c>
      <c r="BH129" s="421">
        <f>SUM(BF129:BG129)</f>
        <v>0.09</v>
      </c>
      <c r="BI129" s="424">
        <f>I129+AW129</f>
        <v>99707</v>
      </c>
      <c r="BJ129" s="780">
        <f>J129+AF129</f>
        <v>73382</v>
      </c>
      <c r="BK129" s="418">
        <f t="shared" si="341"/>
        <v>0</v>
      </c>
      <c r="BL129" s="418">
        <f t="shared" si="341"/>
        <v>73382</v>
      </c>
      <c r="BM129" s="418">
        <f>M129+AN129</f>
        <v>0</v>
      </c>
      <c r="BN129" s="418">
        <f t="shared" si="342"/>
        <v>0</v>
      </c>
      <c r="BO129" s="418">
        <f t="shared" si="342"/>
        <v>0</v>
      </c>
      <c r="BP129" s="418">
        <f t="shared" si="343"/>
        <v>24803</v>
      </c>
      <c r="BQ129" s="418">
        <f t="shared" si="343"/>
        <v>734</v>
      </c>
      <c r="BR129" s="418">
        <f>R129+AV129</f>
        <v>788</v>
      </c>
      <c r="BS129" s="419">
        <f>S129+BH129</f>
        <v>0.22</v>
      </c>
      <c r="BT129" s="419">
        <f t="shared" si="344"/>
        <v>0</v>
      </c>
      <c r="BU129" s="421">
        <f t="shared" si="344"/>
        <v>0.22</v>
      </c>
      <c r="BV129" s="854"/>
      <c r="BW129" s="723"/>
      <c r="BX129" s="723"/>
      <c r="BY129" s="723"/>
      <c r="BZ129" s="723"/>
      <c r="CA129" s="855"/>
    </row>
    <row r="130" spans="1:79" ht="12.95" customHeight="1" x14ac:dyDescent="0.25">
      <c r="A130" s="646">
        <v>21</v>
      </c>
      <c r="B130" s="325">
        <v>5468</v>
      </c>
      <c r="C130" s="326">
        <v>600099083</v>
      </c>
      <c r="D130" s="325">
        <v>70698317</v>
      </c>
      <c r="E130" s="349" t="s">
        <v>448</v>
      </c>
      <c r="F130" s="325"/>
      <c r="G130" s="350"/>
      <c r="H130" s="648"/>
      <c r="I130" s="465">
        <v>2871643</v>
      </c>
      <c r="J130" s="461">
        <v>2110718</v>
      </c>
      <c r="K130" s="461">
        <v>1841869</v>
      </c>
      <c r="L130" s="461">
        <v>268849</v>
      </c>
      <c r="M130" s="461">
        <v>0</v>
      </c>
      <c r="N130" s="461">
        <v>0</v>
      </c>
      <c r="O130" s="461">
        <v>0</v>
      </c>
      <c r="P130" s="461">
        <v>713423</v>
      </c>
      <c r="Q130" s="461">
        <v>21107</v>
      </c>
      <c r="R130" s="461">
        <v>26395</v>
      </c>
      <c r="S130" s="462">
        <v>4.008</v>
      </c>
      <c r="T130" s="462">
        <v>3.2988</v>
      </c>
      <c r="U130" s="535">
        <v>0.70920000000000005</v>
      </c>
      <c r="V130" s="465">
        <f t="shared" ref="V130:CA130" si="345">SUM(V125:V129)</f>
        <v>0</v>
      </c>
      <c r="W130" s="461">
        <f t="shared" si="345"/>
        <v>0</v>
      </c>
      <c r="X130" s="461">
        <f t="shared" si="345"/>
        <v>0</v>
      </c>
      <c r="Y130" s="461">
        <f t="shared" si="345"/>
        <v>0</v>
      </c>
      <c r="Z130" s="461">
        <f t="shared" si="345"/>
        <v>0</v>
      </c>
      <c r="AA130" s="461">
        <f t="shared" si="345"/>
        <v>34417</v>
      </c>
      <c r="AB130" s="461">
        <f t="shared" si="345"/>
        <v>0</v>
      </c>
      <c r="AC130" s="461">
        <f t="shared" si="345"/>
        <v>0</v>
      </c>
      <c r="AD130" s="461">
        <f t="shared" si="345"/>
        <v>0</v>
      </c>
      <c r="AE130" s="461">
        <f t="shared" si="345"/>
        <v>34417</v>
      </c>
      <c r="AF130" s="461">
        <f t="shared" si="345"/>
        <v>34417</v>
      </c>
      <c r="AG130" s="461">
        <f t="shared" si="345"/>
        <v>0</v>
      </c>
      <c r="AH130" s="461">
        <f t="shared" si="345"/>
        <v>0</v>
      </c>
      <c r="AI130" s="461">
        <f t="shared" si="345"/>
        <v>0</v>
      </c>
      <c r="AJ130" s="461">
        <f t="shared" si="345"/>
        <v>0</v>
      </c>
      <c r="AK130" s="461">
        <f t="shared" si="345"/>
        <v>0</v>
      </c>
      <c r="AL130" s="461">
        <f t="shared" si="345"/>
        <v>0</v>
      </c>
      <c r="AM130" s="461">
        <f t="shared" si="345"/>
        <v>0</v>
      </c>
      <c r="AN130" s="461">
        <f t="shared" si="345"/>
        <v>0</v>
      </c>
      <c r="AO130" s="461">
        <f t="shared" si="345"/>
        <v>0</v>
      </c>
      <c r="AP130" s="461">
        <f t="shared" si="345"/>
        <v>34417</v>
      </c>
      <c r="AQ130" s="461">
        <f t="shared" si="345"/>
        <v>34417</v>
      </c>
      <c r="AR130" s="461">
        <f t="shared" si="345"/>
        <v>11633</v>
      </c>
      <c r="AS130" s="461">
        <f t="shared" si="345"/>
        <v>344</v>
      </c>
      <c r="AT130" s="461">
        <f t="shared" si="345"/>
        <v>0</v>
      </c>
      <c r="AU130" s="461">
        <f t="shared" si="345"/>
        <v>517</v>
      </c>
      <c r="AV130" s="461">
        <f t="shared" si="345"/>
        <v>517</v>
      </c>
      <c r="AW130" s="461">
        <f t="shared" si="345"/>
        <v>46911</v>
      </c>
      <c r="AX130" s="462">
        <f t="shared" si="345"/>
        <v>0</v>
      </c>
      <c r="AY130" s="462">
        <f t="shared" si="345"/>
        <v>0</v>
      </c>
      <c r="AZ130" s="462">
        <f t="shared" si="345"/>
        <v>0</v>
      </c>
      <c r="BA130" s="462">
        <f t="shared" si="345"/>
        <v>0</v>
      </c>
      <c r="BB130" s="462">
        <f t="shared" ref="BB130" si="346">SUM(BB125:BB129)</f>
        <v>9.9999999999999992E-2</v>
      </c>
      <c r="BC130" s="462">
        <f t="shared" si="345"/>
        <v>0</v>
      </c>
      <c r="BD130" s="462">
        <f t="shared" si="345"/>
        <v>0</v>
      </c>
      <c r="BE130" s="462">
        <f t="shared" ref="BE130" si="347">SUM(BE125:BE129)</f>
        <v>0</v>
      </c>
      <c r="BF130" s="462">
        <f t="shared" si="345"/>
        <v>0</v>
      </c>
      <c r="BG130" s="462">
        <f t="shared" si="345"/>
        <v>9.9999999999999992E-2</v>
      </c>
      <c r="BH130" s="279">
        <f t="shared" si="345"/>
        <v>9.9999999999999992E-2</v>
      </c>
      <c r="BI130" s="465">
        <f t="shared" si="345"/>
        <v>2918554</v>
      </c>
      <c r="BJ130" s="781">
        <f t="shared" si="345"/>
        <v>2145135</v>
      </c>
      <c r="BK130" s="461">
        <f t="shared" si="345"/>
        <v>1841869</v>
      </c>
      <c r="BL130" s="461">
        <f t="shared" si="345"/>
        <v>303266</v>
      </c>
      <c r="BM130" s="461">
        <f t="shared" si="345"/>
        <v>0</v>
      </c>
      <c r="BN130" s="461">
        <f t="shared" si="345"/>
        <v>0</v>
      </c>
      <c r="BO130" s="461">
        <f t="shared" si="345"/>
        <v>0</v>
      </c>
      <c r="BP130" s="461">
        <f t="shared" si="345"/>
        <v>725056</v>
      </c>
      <c r="BQ130" s="461">
        <f t="shared" si="345"/>
        <v>21451</v>
      </c>
      <c r="BR130" s="461">
        <f t="shared" si="345"/>
        <v>26912</v>
      </c>
      <c r="BS130" s="462">
        <f t="shared" si="345"/>
        <v>4.1080000000000005</v>
      </c>
      <c r="BT130" s="462">
        <f t="shared" si="345"/>
        <v>3.2988</v>
      </c>
      <c r="BU130" s="279">
        <f t="shared" si="345"/>
        <v>0.80920000000000003</v>
      </c>
      <c r="BV130" s="850">
        <f t="shared" si="345"/>
        <v>0</v>
      </c>
      <c r="BW130" s="713">
        <f t="shared" si="345"/>
        <v>0</v>
      </c>
      <c r="BX130" s="713">
        <f t="shared" si="345"/>
        <v>0</v>
      </c>
      <c r="BY130" s="713">
        <f t="shared" si="345"/>
        <v>0</v>
      </c>
      <c r="BZ130" s="713">
        <f t="shared" si="345"/>
        <v>0</v>
      </c>
      <c r="CA130" s="851">
        <f t="shared" si="345"/>
        <v>0</v>
      </c>
    </row>
    <row r="131" spans="1:79" ht="12.95" customHeight="1" x14ac:dyDescent="0.25">
      <c r="A131" s="280">
        <v>22</v>
      </c>
      <c r="B131" s="321">
        <v>5488</v>
      </c>
      <c r="C131" s="322">
        <v>600099326</v>
      </c>
      <c r="D131" s="281">
        <v>70695393</v>
      </c>
      <c r="E131" s="348" t="s">
        <v>449</v>
      </c>
      <c r="F131" s="321">
        <v>3111</v>
      </c>
      <c r="G131" s="345" t="s">
        <v>304</v>
      </c>
      <c r="H131" s="645" t="s">
        <v>271</v>
      </c>
      <c r="I131" s="420">
        <v>785128</v>
      </c>
      <c r="J131" s="415">
        <v>580458</v>
      </c>
      <c r="K131" s="415">
        <v>534378</v>
      </c>
      <c r="L131" s="415">
        <v>46080</v>
      </c>
      <c r="M131" s="415">
        <v>0</v>
      </c>
      <c r="N131" s="415">
        <v>0</v>
      </c>
      <c r="O131" s="415">
        <v>0</v>
      </c>
      <c r="P131" s="68">
        <v>196195</v>
      </c>
      <c r="Q131" s="68">
        <v>5805</v>
      </c>
      <c r="R131" s="415">
        <v>2670</v>
      </c>
      <c r="S131" s="416">
        <v>1.1846000000000001</v>
      </c>
      <c r="T131" s="417">
        <v>1</v>
      </c>
      <c r="U131" s="423">
        <v>0.18459999999999999</v>
      </c>
      <c r="V131" s="424">
        <f t="shared" ref="V131:W136" si="348">AG131*-1</f>
        <v>0</v>
      </c>
      <c r="W131" s="418">
        <f t="shared" si="348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349">V131+X131+Y131+Z131+AB131</f>
        <v>0</v>
      </c>
      <c r="AE131" s="418">
        <f t="shared" ref="AE131:AE136" si="350">W131+AA131+AC131</f>
        <v>0</v>
      </c>
      <c r="AF131" s="418">
        <f t="shared" ref="AF131:AF136" si="351"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352">AG131+AI131+AJ131</f>
        <v>0</v>
      </c>
      <c r="AM131" s="418">
        <f t="shared" ref="AM131:AM136" si="353">AH131+AK131</f>
        <v>0</v>
      </c>
      <c r="AN131" s="418">
        <f t="shared" ref="AN131:AN136" si="354">SUM(AL131:AM131)</f>
        <v>0</v>
      </c>
      <c r="AO131" s="418">
        <f t="shared" ref="AO131:AP136" si="355">AD131+AL131</f>
        <v>0</v>
      </c>
      <c r="AP131" s="418">
        <f t="shared" si="355"/>
        <v>0</v>
      </c>
      <c r="AQ131" s="418">
        <f t="shared" ref="AQ131:AQ136" si="356">SUM(AO131:AP131)</f>
        <v>0</v>
      </c>
      <c r="AR131" s="68">
        <f t="shared" ref="AR131:AR136" si="357">ROUND((AF131+AG131+AH131+AI131)*33.8%,0)</f>
        <v>0</v>
      </c>
      <c r="AS131" s="68">
        <f t="shared" ref="AS131:AS136" si="358">ROUND(AF131*1%,0)</f>
        <v>0</v>
      </c>
      <c r="AT131" s="418">
        <v>0</v>
      </c>
      <c r="AU131" s="418">
        <v>0</v>
      </c>
      <c r="AV131" s="418">
        <f t="shared" ref="AV131:AV136" si="359">AT131+AU131</f>
        <v>0</v>
      </c>
      <c r="AW131" s="418">
        <f t="shared" ref="AW131:AW136" si="360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361">AX131+AZ131+BA131+BC131+BD131</f>
        <v>0</v>
      </c>
      <c r="BG131" s="419">
        <f t="shared" ref="BG131:BG136" si="362">AY131+BB131+BE131</f>
        <v>0</v>
      </c>
      <c r="BH131" s="421">
        <f t="shared" ref="BH131:BH136" si="363">SUM(BF131:BG131)</f>
        <v>0</v>
      </c>
      <c r="BI131" s="424">
        <f t="shared" ref="BI131:BI136" si="364">I131+AW131</f>
        <v>785128</v>
      </c>
      <c r="BJ131" s="780">
        <f t="shared" ref="BJ131:BJ136" si="365">J131+AF131</f>
        <v>580458</v>
      </c>
      <c r="BK131" s="418">
        <f t="shared" ref="BK131:BL136" si="366">K131+AD131</f>
        <v>534378</v>
      </c>
      <c r="BL131" s="418">
        <f t="shared" si="366"/>
        <v>46080</v>
      </c>
      <c r="BM131" s="418">
        <f t="shared" ref="BM131:BM136" si="367">M131+AN131</f>
        <v>0</v>
      </c>
      <c r="BN131" s="418">
        <f t="shared" ref="BN131:BO136" si="368">N131+AL131</f>
        <v>0</v>
      </c>
      <c r="BO131" s="418">
        <f t="shared" si="368"/>
        <v>0</v>
      </c>
      <c r="BP131" s="418">
        <f t="shared" ref="BP131:BQ136" si="369">P131+AR131</f>
        <v>196195</v>
      </c>
      <c r="BQ131" s="418">
        <f t="shared" si="369"/>
        <v>5805</v>
      </c>
      <c r="BR131" s="418">
        <f t="shared" ref="BR131:BR136" si="370">R131+AV131</f>
        <v>2670</v>
      </c>
      <c r="BS131" s="419">
        <f t="shared" ref="BS131:BS136" si="371">S131+BH131</f>
        <v>1.1846000000000001</v>
      </c>
      <c r="BT131" s="419">
        <f t="shared" ref="BT131:BU136" si="372">T131+BF131</f>
        <v>1</v>
      </c>
      <c r="BU131" s="421">
        <f t="shared" si="372"/>
        <v>0.18459999999999999</v>
      </c>
      <c r="BV131" s="826">
        <f>SUM(BW132:BZ132)</f>
        <v>0</v>
      </c>
      <c r="BW131" s="678"/>
      <c r="BX131" s="678"/>
      <c r="BY131" s="678"/>
      <c r="BZ131" s="678"/>
      <c r="CA131" s="827"/>
    </row>
    <row r="132" spans="1:79" ht="12.95" customHeight="1" x14ac:dyDescent="0.25">
      <c r="A132" s="280">
        <v>22</v>
      </c>
      <c r="B132" s="321">
        <v>5488</v>
      </c>
      <c r="C132" s="322">
        <v>600099326</v>
      </c>
      <c r="D132" s="281">
        <v>70695393</v>
      </c>
      <c r="E132" s="348" t="s">
        <v>449</v>
      </c>
      <c r="F132" s="321">
        <v>3117</v>
      </c>
      <c r="G132" s="345" t="s">
        <v>308</v>
      </c>
      <c r="H132" s="645" t="s">
        <v>271</v>
      </c>
      <c r="I132" s="420">
        <v>2090698</v>
      </c>
      <c r="J132" s="415">
        <v>1537421</v>
      </c>
      <c r="K132" s="415">
        <v>1264583</v>
      </c>
      <c r="L132" s="415">
        <v>272838</v>
      </c>
      <c r="M132" s="415">
        <v>0</v>
      </c>
      <c r="N132" s="415">
        <v>0</v>
      </c>
      <c r="O132" s="415">
        <v>0</v>
      </c>
      <c r="P132" s="68">
        <v>519648</v>
      </c>
      <c r="Q132" s="68">
        <v>15374</v>
      </c>
      <c r="R132" s="415">
        <v>18255</v>
      </c>
      <c r="S132" s="416">
        <v>3.0476000000000001</v>
      </c>
      <c r="T132" s="417">
        <v>2.2726999999999999</v>
      </c>
      <c r="U132" s="423">
        <v>0.77490000000000003</v>
      </c>
      <c r="V132" s="424">
        <f t="shared" si="348"/>
        <v>0</v>
      </c>
      <c r="W132" s="418">
        <f t="shared" si="348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349"/>
        <v>0</v>
      </c>
      <c r="AE132" s="418">
        <f t="shared" si="350"/>
        <v>0</v>
      </c>
      <c r="AF132" s="418">
        <f t="shared" si="351"/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352"/>
        <v>0</v>
      </c>
      <c r="AM132" s="418">
        <f t="shared" si="353"/>
        <v>0</v>
      </c>
      <c r="AN132" s="418">
        <f t="shared" si="354"/>
        <v>0</v>
      </c>
      <c r="AO132" s="418">
        <f t="shared" si="355"/>
        <v>0</v>
      </c>
      <c r="AP132" s="418">
        <f t="shared" si="355"/>
        <v>0</v>
      </c>
      <c r="AQ132" s="418">
        <f t="shared" si="356"/>
        <v>0</v>
      </c>
      <c r="AR132" s="68">
        <f t="shared" si="357"/>
        <v>0</v>
      </c>
      <c r="AS132" s="68">
        <f t="shared" si="358"/>
        <v>0</v>
      </c>
      <c r="AT132" s="418">
        <v>0</v>
      </c>
      <c r="AU132" s="418">
        <v>0</v>
      </c>
      <c r="AV132" s="418">
        <f t="shared" si="359"/>
        <v>0</v>
      </c>
      <c r="AW132" s="418">
        <f t="shared" si="360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361"/>
        <v>0</v>
      </c>
      <c r="BG132" s="419">
        <f t="shared" si="362"/>
        <v>0</v>
      </c>
      <c r="BH132" s="421">
        <f t="shared" si="363"/>
        <v>0</v>
      </c>
      <c r="BI132" s="424">
        <f t="shared" si="364"/>
        <v>2090698</v>
      </c>
      <c r="BJ132" s="780">
        <f t="shared" si="365"/>
        <v>1537421</v>
      </c>
      <c r="BK132" s="418">
        <f t="shared" si="366"/>
        <v>1264583</v>
      </c>
      <c r="BL132" s="418">
        <f t="shared" si="366"/>
        <v>272838</v>
      </c>
      <c r="BM132" s="418">
        <f t="shared" si="367"/>
        <v>0</v>
      </c>
      <c r="BN132" s="418">
        <f t="shared" si="368"/>
        <v>0</v>
      </c>
      <c r="BO132" s="418">
        <f t="shared" si="368"/>
        <v>0</v>
      </c>
      <c r="BP132" s="418">
        <f t="shared" si="369"/>
        <v>519648</v>
      </c>
      <c r="BQ132" s="418">
        <f t="shared" si="369"/>
        <v>15374</v>
      </c>
      <c r="BR132" s="418">
        <f t="shared" si="370"/>
        <v>18255</v>
      </c>
      <c r="BS132" s="419">
        <f t="shared" si="371"/>
        <v>3.0476000000000001</v>
      </c>
      <c r="BT132" s="419">
        <f t="shared" si="372"/>
        <v>2.2726999999999999</v>
      </c>
      <c r="BU132" s="421">
        <f t="shared" si="372"/>
        <v>0.77490000000000003</v>
      </c>
      <c r="BV132" s="854"/>
      <c r="BW132" s="723"/>
      <c r="BX132" s="723"/>
      <c r="BY132" s="723"/>
      <c r="BZ132" s="723"/>
      <c r="CA132" s="855"/>
    </row>
    <row r="133" spans="1:79" ht="12.95" customHeight="1" x14ac:dyDescent="0.25">
      <c r="A133" s="280">
        <v>22</v>
      </c>
      <c r="B133" s="321">
        <v>5488</v>
      </c>
      <c r="C133" s="322">
        <v>600099326</v>
      </c>
      <c r="D133" s="281">
        <v>70695393</v>
      </c>
      <c r="E133" s="348" t="s">
        <v>449</v>
      </c>
      <c r="F133" s="321">
        <v>3117</v>
      </c>
      <c r="G133" s="284" t="s">
        <v>291</v>
      </c>
      <c r="H133" s="645" t="s">
        <v>272</v>
      </c>
      <c r="I133" s="420">
        <v>0</v>
      </c>
      <c r="J133" s="415">
        <v>0</v>
      </c>
      <c r="K133" s="415">
        <v>0</v>
      </c>
      <c r="L133" s="415">
        <v>0</v>
      </c>
      <c r="M133" s="415">
        <v>0</v>
      </c>
      <c r="N133" s="415">
        <v>0</v>
      </c>
      <c r="O133" s="415">
        <v>0</v>
      </c>
      <c r="P133" s="68">
        <v>0</v>
      </c>
      <c r="Q133" s="68">
        <v>0</v>
      </c>
      <c r="R133" s="415">
        <v>0</v>
      </c>
      <c r="S133" s="416">
        <v>0</v>
      </c>
      <c r="T133" s="417">
        <v>0</v>
      </c>
      <c r="U133" s="423">
        <v>0</v>
      </c>
      <c r="V133" s="424">
        <f t="shared" si="348"/>
        <v>0</v>
      </c>
      <c r="W133" s="418">
        <f t="shared" si="348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349"/>
        <v>0</v>
      </c>
      <c r="AE133" s="418">
        <f t="shared" si="350"/>
        <v>0</v>
      </c>
      <c r="AF133" s="418">
        <f t="shared" si="351"/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352"/>
        <v>0</v>
      </c>
      <c r="AM133" s="418">
        <f t="shared" si="353"/>
        <v>0</v>
      </c>
      <c r="AN133" s="418">
        <f t="shared" si="354"/>
        <v>0</v>
      </c>
      <c r="AO133" s="418">
        <f t="shared" si="355"/>
        <v>0</v>
      </c>
      <c r="AP133" s="418">
        <f t="shared" si="355"/>
        <v>0</v>
      </c>
      <c r="AQ133" s="418">
        <f t="shared" si="356"/>
        <v>0</v>
      </c>
      <c r="AR133" s="68">
        <f t="shared" si="357"/>
        <v>0</v>
      </c>
      <c r="AS133" s="68">
        <f t="shared" si="358"/>
        <v>0</v>
      </c>
      <c r="AT133" s="418">
        <v>0</v>
      </c>
      <c r="AU133" s="418">
        <v>0</v>
      </c>
      <c r="AV133" s="418">
        <f t="shared" si="359"/>
        <v>0</v>
      </c>
      <c r="AW133" s="418">
        <f t="shared" si="360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361"/>
        <v>0</v>
      </c>
      <c r="BG133" s="419">
        <f t="shared" si="362"/>
        <v>0</v>
      </c>
      <c r="BH133" s="421">
        <f t="shared" si="363"/>
        <v>0</v>
      </c>
      <c r="BI133" s="424">
        <f t="shared" si="364"/>
        <v>0</v>
      </c>
      <c r="BJ133" s="780">
        <f t="shared" si="365"/>
        <v>0</v>
      </c>
      <c r="BK133" s="418">
        <f t="shared" si="366"/>
        <v>0</v>
      </c>
      <c r="BL133" s="418">
        <f t="shared" si="366"/>
        <v>0</v>
      </c>
      <c r="BM133" s="418">
        <f t="shared" si="367"/>
        <v>0</v>
      </c>
      <c r="BN133" s="418">
        <f t="shared" si="368"/>
        <v>0</v>
      </c>
      <c r="BO133" s="418">
        <f t="shared" si="368"/>
        <v>0</v>
      </c>
      <c r="BP133" s="418">
        <f t="shared" si="369"/>
        <v>0</v>
      </c>
      <c r="BQ133" s="418">
        <f t="shared" si="369"/>
        <v>0</v>
      </c>
      <c r="BR133" s="418">
        <f t="shared" si="370"/>
        <v>0</v>
      </c>
      <c r="BS133" s="419">
        <f t="shared" si="371"/>
        <v>0</v>
      </c>
      <c r="BT133" s="419">
        <f t="shared" si="372"/>
        <v>0</v>
      </c>
      <c r="BU133" s="421">
        <f t="shared" si="372"/>
        <v>0</v>
      </c>
      <c r="BV133" s="854"/>
      <c r="BW133" s="723"/>
      <c r="BX133" s="723"/>
      <c r="BY133" s="723"/>
      <c r="BZ133" s="723"/>
      <c r="CA133" s="855"/>
    </row>
    <row r="134" spans="1:79" ht="12.95" customHeight="1" x14ac:dyDescent="0.25">
      <c r="A134" s="280">
        <v>22</v>
      </c>
      <c r="B134" s="321">
        <v>5488</v>
      </c>
      <c r="C134" s="322">
        <v>600099326</v>
      </c>
      <c r="D134" s="281">
        <v>70695393</v>
      </c>
      <c r="E134" s="348" t="s">
        <v>449</v>
      </c>
      <c r="F134" s="321">
        <v>3141</v>
      </c>
      <c r="G134" s="345" t="s">
        <v>294</v>
      </c>
      <c r="H134" s="645" t="s">
        <v>272</v>
      </c>
      <c r="I134" s="420">
        <v>237608</v>
      </c>
      <c r="J134" s="415">
        <v>175644</v>
      </c>
      <c r="K134" s="415">
        <v>0</v>
      </c>
      <c r="L134" s="415">
        <v>175644</v>
      </c>
      <c r="M134" s="415">
        <v>0</v>
      </c>
      <c r="N134" s="415">
        <v>0</v>
      </c>
      <c r="O134" s="415">
        <v>0</v>
      </c>
      <c r="P134" s="68">
        <v>59368</v>
      </c>
      <c r="Q134" s="68">
        <v>1756</v>
      </c>
      <c r="R134" s="415">
        <v>840</v>
      </c>
      <c r="S134" s="416">
        <v>0.52669999999999995</v>
      </c>
      <c r="T134" s="417">
        <v>0</v>
      </c>
      <c r="U134" s="423">
        <v>0.52669999999999995</v>
      </c>
      <c r="V134" s="424">
        <f t="shared" si="348"/>
        <v>0</v>
      </c>
      <c r="W134" s="418">
        <f t="shared" si="348"/>
        <v>0</v>
      </c>
      <c r="X134" s="418">
        <v>0</v>
      </c>
      <c r="Y134" s="418">
        <v>0</v>
      </c>
      <c r="Z134" s="418">
        <v>0</v>
      </c>
      <c r="AA134" s="418">
        <v>86650</v>
      </c>
      <c r="AB134" s="418">
        <v>0</v>
      </c>
      <c r="AC134" s="418">
        <v>0</v>
      </c>
      <c r="AD134" s="418">
        <f t="shared" si="349"/>
        <v>0</v>
      </c>
      <c r="AE134" s="418">
        <f t="shared" si="350"/>
        <v>86650</v>
      </c>
      <c r="AF134" s="418">
        <f t="shared" si="351"/>
        <v>86650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352"/>
        <v>0</v>
      </c>
      <c r="AM134" s="418">
        <f t="shared" si="353"/>
        <v>0</v>
      </c>
      <c r="AN134" s="418">
        <f t="shared" si="354"/>
        <v>0</v>
      </c>
      <c r="AO134" s="418">
        <f t="shared" si="355"/>
        <v>0</v>
      </c>
      <c r="AP134" s="418">
        <f t="shared" si="355"/>
        <v>86650</v>
      </c>
      <c r="AQ134" s="418">
        <f t="shared" si="356"/>
        <v>86650</v>
      </c>
      <c r="AR134" s="68">
        <f t="shared" si="357"/>
        <v>29288</v>
      </c>
      <c r="AS134" s="68">
        <f t="shared" si="358"/>
        <v>867</v>
      </c>
      <c r="AT134" s="418">
        <v>0</v>
      </c>
      <c r="AU134" s="418">
        <v>408</v>
      </c>
      <c r="AV134" s="418">
        <f t="shared" si="359"/>
        <v>408</v>
      </c>
      <c r="AW134" s="418">
        <f t="shared" si="360"/>
        <v>117213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0.26</v>
      </c>
      <c r="BC134" s="419">
        <v>0</v>
      </c>
      <c r="BD134" s="419">
        <v>0</v>
      </c>
      <c r="BE134" s="419">
        <v>0</v>
      </c>
      <c r="BF134" s="419">
        <f t="shared" si="361"/>
        <v>0</v>
      </c>
      <c r="BG134" s="419">
        <f t="shared" si="362"/>
        <v>0.26</v>
      </c>
      <c r="BH134" s="421">
        <f t="shared" si="363"/>
        <v>0.26</v>
      </c>
      <c r="BI134" s="424">
        <f t="shared" si="364"/>
        <v>354821</v>
      </c>
      <c r="BJ134" s="780">
        <f t="shared" si="365"/>
        <v>262294</v>
      </c>
      <c r="BK134" s="418">
        <f t="shared" si="366"/>
        <v>0</v>
      </c>
      <c r="BL134" s="418">
        <f t="shared" si="366"/>
        <v>262294</v>
      </c>
      <c r="BM134" s="418">
        <f t="shared" si="367"/>
        <v>0</v>
      </c>
      <c r="BN134" s="418">
        <f t="shared" si="368"/>
        <v>0</v>
      </c>
      <c r="BO134" s="418">
        <f t="shared" si="368"/>
        <v>0</v>
      </c>
      <c r="BP134" s="418">
        <f t="shared" si="369"/>
        <v>88656</v>
      </c>
      <c r="BQ134" s="418">
        <f t="shared" si="369"/>
        <v>2623</v>
      </c>
      <c r="BR134" s="418">
        <f t="shared" si="370"/>
        <v>1248</v>
      </c>
      <c r="BS134" s="419">
        <f t="shared" si="371"/>
        <v>0.78669999999999995</v>
      </c>
      <c r="BT134" s="419">
        <f t="shared" si="372"/>
        <v>0</v>
      </c>
      <c r="BU134" s="421">
        <f t="shared" si="372"/>
        <v>0.78669999999999995</v>
      </c>
      <c r="BV134" s="854"/>
      <c r="BW134" s="723"/>
      <c r="BX134" s="723"/>
      <c r="BY134" s="723"/>
      <c r="BZ134" s="723"/>
      <c r="CA134" s="855"/>
    </row>
    <row r="135" spans="1:79" ht="12.95" customHeight="1" x14ac:dyDescent="0.25">
      <c r="A135" s="280">
        <v>22</v>
      </c>
      <c r="B135" s="321">
        <v>5488</v>
      </c>
      <c r="C135" s="322">
        <v>600099326</v>
      </c>
      <c r="D135" s="281">
        <v>70695393</v>
      </c>
      <c r="E135" s="348" t="s">
        <v>449</v>
      </c>
      <c r="F135" s="321">
        <v>3143</v>
      </c>
      <c r="G135" s="284" t="s">
        <v>595</v>
      </c>
      <c r="H135" s="645" t="s">
        <v>271</v>
      </c>
      <c r="I135" s="420">
        <v>574810</v>
      </c>
      <c r="J135" s="415">
        <v>426417</v>
      </c>
      <c r="K135" s="415">
        <v>426417</v>
      </c>
      <c r="L135" s="415">
        <v>0</v>
      </c>
      <c r="M135" s="415">
        <v>0</v>
      </c>
      <c r="N135" s="415">
        <v>0</v>
      </c>
      <c r="O135" s="415">
        <v>0</v>
      </c>
      <c r="P135" s="68">
        <v>144129</v>
      </c>
      <c r="Q135" s="68">
        <v>4264</v>
      </c>
      <c r="R135" s="415">
        <v>0</v>
      </c>
      <c r="S135" s="416">
        <v>0.96450000000000002</v>
      </c>
      <c r="T135" s="417">
        <v>0.96450000000000002</v>
      </c>
      <c r="U135" s="423">
        <v>0</v>
      </c>
      <c r="V135" s="424">
        <f t="shared" si="348"/>
        <v>0</v>
      </c>
      <c r="W135" s="418">
        <f t="shared" si="348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349"/>
        <v>0</v>
      </c>
      <c r="AE135" s="418">
        <f t="shared" si="350"/>
        <v>0</v>
      </c>
      <c r="AF135" s="418">
        <f t="shared" si="351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352"/>
        <v>0</v>
      </c>
      <c r="AM135" s="418">
        <f t="shared" si="353"/>
        <v>0</v>
      </c>
      <c r="AN135" s="418">
        <f t="shared" si="354"/>
        <v>0</v>
      </c>
      <c r="AO135" s="418">
        <f t="shared" si="355"/>
        <v>0</v>
      </c>
      <c r="AP135" s="418">
        <f t="shared" si="355"/>
        <v>0</v>
      </c>
      <c r="AQ135" s="418">
        <f t="shared" si="356"/>
        <v>0</v>
      </c>
      <c r="AR135" s="68">
        <f t="shared" si="357"/>
        <v>0</v>
      </c>
      <c r="AS135" s="68">
        <f t="shared" si="358"/>
        <v>0</v>
      </c>
      <c r="AT135" s="418">
        <v>0</v>
      </c>
      <c r="AU135" s="418">
        <v>0</v>
      </c>
      <c r="AV135" s="418">
        <f t="shared" si="359"/>
        <v>0</v>
      </c>
      <c r="AW135" s="418">
        <f t="shared" si="360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361"/>
        <v>0</v>
      </c>
      <c r="BG135" s="419">
        <f t="shared" si="362"/>
        <v>0</v>
      </c>
      <c r="BH135" s="421">
        <f t="shared" si="363"/>
        <v>0</v>
      </c>
      <c r="BI135" s="424">
        <f t="shared" si="364"/>
        <v>574810</v>
      </c>
      <c r="BJ135" s="780">
        <f t="shared" si="365"/>
        <v>426417</v>
      </c>
      <c r="BK135" s="418">
        <f t="shared" si="366"/>
        <v>426417</v>
      </c>
      <c r="BL135" s="418">
        <f t="shared" si="366"/>
        <v>0</v>
      </c>
      <c r="BM135" s="418">
        <f t="shared" si="367"/>
        <v>0</v>
      </c>
      <c r="BN135" s="418">
        <f t="shared" si="368"/>
        <v>0</v>
      </c>
      <c r="BO135" s="418">
        <f t="shared" si="368"/>
        <v>0</v>
      </c>
      <c r="BP135" s="418">
        <f t="shared" si="369"/>
        <v>144129</v>
      </c>
      <c r="BQ135" s="418">
        <f t="shared" si="369"/>
        <v>4264</v>
      </c>
      <c r="BR135" s="418">
        <f t="shared" si="370"/>
        <v>0</v>
      </c>
      <c r="BS135" s="419">
        <f t="shared" si="371"/>
        <v>0.96450000000000002</v>
      </c>
      <c r="BT135" s="419">
        <f t="shared" si="372"/>
        <v>0.96450000000000002</v>
      </c>
      <c r="BU135" s="421">
        <f t="shared" si="372"/>
        <v>0</v>
      </c>
      <c r="BV135" s="854"/>
      <c r="BW135" s="723"/>
      <c r="BX135" s="723"/>
      <c r="BY135" s="723"/>
      <c r="BZ135" s="723"/>
      <c r="CA135" s="855"/>
    </row>
    <row r="136" spans="1:79" ht="12.95" customHeight="1" x14ac:dyDescent="0.25">
      <c r="A136" s="280">
        <v>22</v>
      </c>
      <c r="B136" s="321">
        <v>5488</v>
      </c>
      <c r="C136" s="322">
        <v>600099326</v>
      </c>
      <c r="D136" s="281">
        <v>70695393</v>
      </c>
      <c r="E136" s="354" t="s">
        <v>449</v>
      </c>
      <c r="F136" s="355">
        <v>3143</v>
      </c>
      <c r="G136" s="284" t="s">
        <v>596</v>
      </c>
      <c r="H136" s="645" t="s">
        <v>272</v>
      </c>
      <c r="I136" s="420">
        <v>7672</v>
      </c>
      <c r="J136" s="415">
        <v>5491</v>
      </c>
      <c r="K136" s="415">
        <v>0</v>
      </c>
      <c r="L136" s="415">
        <v>5491</v>
      </c>
      <c r="M136" s="415">
        <v>0</v>
      </c>
      <c r="N136" s="415">
        <v>0</v>
      </c>
      <c r="O136" s="415">
        <v>0</v>
      </c>
      <c r="P136" s="68">
        <v>1856</v>
      </c>
      <c r="Q136" s="68">
        <v>55</v>
      </c>
      <c r="R136" s="415">
        <v>270</v>
      </c>
      <c r="S136" s="416">
        <v>2.0799999999999999E-2</v>
      </c>
      <c r="T136" s="417">
        <v>0</v>
      </c>
      <c r="U136" s="423">
        <v>2.0799999999999999E-2</v>
      </c>
      <c r="V136" s="424">
        <f t="shared" si="348"/>
        <v>0</v>
      </c>
      <c r="W136" s="418">
        <f t="shared" si="348"/>
        <v>0</v>
      </c>
      <c r="X136" s="418">
        <v>0</v>
      </c>
      <c r="Y136" s="418">
        <v>0</v>
      </c>
      <c r="Z136" s="418">
        <v>0</v>
      </c>
      <c r="AA136" s="418">
        <v>2759</v>
      </c>
      <c r="AB136" s="418">
        <v>0</v>
      </c>
      <c r="AC136" s="418">
        <v>0</v>
      </c>
      <c r="AD136" s="418">
        <f t="shared" si="349"/>
        <v>0</v>
      </c>
      <c r="AE136" s="418">
        <f t="shared" si="350"/>
        <v>2759</v>
      </c>
      <c r="AF136" s="418">
        <f t="shared" si="351"/>
        <v>2759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352"/>
        <v>0</v>
      </c>
      <c r="AM136" s="418">
        <f t="shared" si="353"/>
        <v>0</v>
      </c>
      <c r="AN136" s="418">
        <f t="shared" si="354"/>
        <v>0</v>
      </c>
      <c r="AO136" s="418">
        <f t="shared" si="355"/>
        <v>0</v>
      </c>
      <c r="AP136" s="418">
        <f t="shared" si="355"/>
        <v>2759</v>
      </c>
      <c r="AQ136" s="418">
        <f t="shared" si="356"/>
        <v>2759</v>
      </c>
      <c r="AR136" s="68">
        <f t="shared" si="357"/>
        <v>933</v>
      </c>
      <c r="AS136" s="68">
        <f t="shared" si="358"/>
        <v>28</v>
      </c>
      <c r="AT136" s="418">
        <v>0</v>
      </c>
      <c r="AU136" s="418">
        <v>135</v>
      </c>
      <c r="AV136" s="418">
        <f t="shared" si="359"/>
        <v>135</v>
      </c>
      <c r="AW136" s="418">
        <f t="shared" si="360"/>
        <v>3855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0.01</v>
      </c>
      <c r="BC136" s="419">
        <v>0</v>
      </c>
      <c r="BD136" s="419">
        <v>0</v>
      </c>
      <c r="BE136" s="419">
        <v>0</v>
      </c>
      <c r="BF136" s="419">
        <f t="shared" si="361"/>
        <v>0</v>
      </c>
      <c r="BG136" s="419">
        <f t="shared" si="362"/>
        <v>0.01</v>
      </c>
      <c r="BH136" s="421">
        <f t="shared" si="363"/>
        <v>0.01</v>
      </c>
      <c r="BI136" s="424">
        <f t="shared" si="364"/>
        <v>11527</v>
      </c>
      <c r="BJ136" s="780">
        <f t="shared" si="365"/>
        <v>8250</v>
      </c>
      <c r="BK136" s="418">
        <f t="shared" si="366"/>
        <v>0</v>
      </c>
      <c r="BL136" s="418">
        <f t="shared" si="366"/>
        <v>8250</v>
      </c>
      <c r="BM136" s="418">
        <f t="shared" si="367"/>
        <v>0</v>
      </c>
      <c r="BN136" s="418">
        <f t="shared" si="368"/>
        <v>0</v>
      </c>
      <c r="BO136" s="418">
        <f t="shared" si="368"/>
        <v>0</v>
      </c>
      <c r="BP136" s="418">
        <f t="shared" si="369"/>
        <v>2789</v>
      </c>
      <c r="BQ136" s="418">
        <f t="shared" si="369"/>
        <v>83</v>
      </c>
      <c r="BR136" s="418">
        <f t="shared" si="370"/>
        <v>405</v>
      </c>
      <c r="BS136" s="419">
        <f t="shared" si="371"/>
        <v>3.0800000000000001E-2</v>
      </c>
      <c r="BT136" s="419">
        <f t="shared" si="372"/>
        <v>0</v>
      </c>
      <c r="BU136" s="421">
        <f t="shared" si="372"/>
        <v>3.0800000000000001E-2</v>
      </c>
      <c r="BV136" s="854"/>
      <c r="BW136" s="723"/>
      <c r="BX136" s="723"/>
      <c r="BY136" s="723"/>
      <c r="BZ136" s="723"/>
      <c r="CA136" s="855"/>
    </row>
    <row r="137" spans="1:79" ht="12.95" customHeight="1" thickBot="1" x14ac:dyDescent="0.3">
      <c r="A137" s="651">
        <v>22</v>
      </c>
      <c r="B137" s="336">
        <v>5488</v>
      </c>
      <c r="C137" s="337">
        <v>600099326</v>
      </c>
      <c r="D137" s="336">
        <v>70695393</v>
      </c>
      <c r="E137" s="356" t="s">
        <v>450</v>
      </c>
      <c r="F137" s="336"/>
      <c r="G137" s="588"/>
      <c r="H137" s="652"/>
      <c r="I137" s="638">
        <v>3695916</v>
      </c>
      <c r="J137" s="639">
        <v>2725431</v>
      </c>
      <c r="K137" s="639">
        <v>2225378</v>
      </c>
      <c r="L137" s="639">
        <v>500053</v>
      </c>
      <c r="M137" s="639">
        <v>0</v>
      </c>
      <c r="N137" s="639">
        <v>0</v>
      </c>
      <c r="O137" s="639">
        <v>0</v>
      </c>
      <c r="P137" s="639">
        <v>921196</v>
      </c>
      <c r="Q137" s="639">
        <v>27254</v>
      </c>
      <c r="R137" s="639">
        <v>22035</v>
      </c>
      <c r="S137" s="640">
        <v>5.7442000000000011</v>
      </c>
      <c r="T137" s="640">
        <v>4.2371999999999996</v>
      </c>
      <c r="U137" s="654">
        <v>1.5069999999999999</v>
      </c>
      <c r="V137" s="513">
        <f t="shared" ref="V137:CA137" si="373">SUM(V131:V136)</f>
        <v>0</v>
      </c>
      <c r="W137" s="514">
        <f t="shared" si="373"/>
        <v>0</v>
      </c>
      <c r="X137" s="514">
        <f t="shared" si="373"/>
        <v>0</v>
      </c>
      <c r="Y137" s="514">
        <f t="shared" si="373"/>
        <v>0</v>
      </c>
      <c r="Z137" s="514">
        <f t="shared" si="373"/>
        <v>0</v>
      </c>
      <c r="AA137" s="514">
        <f t="shared" si="373"/>
        <v>89409</v>
      </c>
      <c r="AB137" s="514">
        <f t="shared" si="373"/>
        <v>0</v>
      </c>
      <c r="AC137" s="514">
        <f t="shared" si="373"/>
        <v>0</v>
      </c>
      <c r="AD137" s="514">
        <f t="shared" si="373"/>
        <v>0</v>
      </c>
      <c r="AE137" s="514">
        <f t="shared" si="373"/>
        <v>89409</v>
      </c>
      <c r="AF137" s="514">
        <f t="shared" si="373"/>
        <v>89409</v>
      </c>
      <c r="AG137" s="514">
        <f t="shared" si="373"/>
        <v>0</v>
      </c>
      <c r="AH137" s="514">
        <f t="shared" si="373"/>
        <v>0</v>
      </c>
      <c r="AI137" s="514">
        <f t="shared" si="373"/>
        <v>0</v>
      </c>
      <c r="AJ137" s="514">
        <f t="shared" si="373"/>
        <v>0</v>
      </c>
      <c r="AK137" s="514">
        <f t="shared" si="373"/>
        <v>0</v>
      </c>
      <c r="AL137" s="514">
        <f t="shared" si="373"/>
        <v>0</v>
      </c>
      <c r="AM137" s="514">
        <f t="shared" si="373"/>
        <v>0</v>
      </c>
      <c r="AN137" s="514">
        <f t="shared" si="373"/>
        <v>0</v>
      </c>
      <c r="AO137" s="514">
        <f t="shared" si="373"/>
        <v>0</v>
      </c>
      <c r="AP137" s="514">
        <f t="shared" si="373"/>
        <v>89409</v>
      </c>
      <c r="AQ137" s="514">
        <f t="shared" si="373"/>
        <v>89409</v>
      </c>
      <c r="AR137" s="514">
        <f t="shared" si="373"/>
        <v>30221</v>
      </c>
      <c r="AS137" s="514">
        <f t="shared" si="373"/>
        <v>895</v>
      </c>
      <c r="AT137" s="514">
        <f t="shared" si="373"/>
        <v>0</v>
      </c>
      <c r="AU137" s="514">
        <f t="shared" si="373"/>
        <v>543</v>
      </c>
      <c r="AV137" s="514">
        <f t="shared" si="373"/>
        <v>543</v>
      </c>
      <c r="AW137" s="514">
        <f t="shared" si="373"/>
        <v>121068</v>
      </c>
      <c r="AX137" s="515">
        <f t="shared" si="373"/>
        <v>0</v>
      </c>
      <c r="AY137" s="515">
        <f t="shared" si="373"/>
        <v>0</v>
      </c>
      <c r="AZ137" s="515">
        <f t="shared" si="373"/>
        <v>0</v>
      </c>
      <c r="BA137" s="515">
        <f t="shared" si="373"/>
        <v>0</v>
      </c>
      <c r="BB137" s="515">
        <f t="shared" ref="BB137" si="374">SUM(BB131:BB136)</f>
        <v>0.27</v>
      </c>
      <c r="BC137" s="515">
        <f t="shared" si="373"/>
        <v>0</v>
      </c>
      <c r="BD137" s="515">
        <f t="shared" si="373"/>
        <v>0</v>
      </c>
      <c r="BE137" s="515">
        <f t="shared" ref="BE137" si="375">SUM(BE131:BE136)</f>
        <v>0</v>
      </c>
      <c r="BF137" s="515">
        <f t="shared" si="373"/>
        <v>0</v>
      </c>
      <c r="BG137" s="515">
        <f t="shared" si="373"/>
        <v>0.27</v>
      </c>
      <c r="BH137" s="516">
        <f t="shared" si="373"/>
        <v>0.27</v>
      </c>
      <c r="BI137" s="513">
        <f t="shared" si="373"/>
        <v>3816984</v>
      </c>
      <c r="BJ137" s="783">
        <f t="shared" si="373"/>
        <v>2814840</v>
      </c>
      <c r="BK137" s="514">
        <f t="shared" si="373"/>
        <v>2225378</v>
      </c>
      <c r="BL137" s="514">
        <f t="shared" si="373"/>
        <v>589462</v>
      </c>
      <c r="BM137" s="514">
        <f t="shared" si="373"/>
        <v>0</v>
      </c>
      <c r="BN137" s="514">
        <f t="shared" si="373"/>
        <v>0</v>
      </c>
      <c r="BO137" s="514">
        <f t="shared" si="373"/>
        <v>0</v>
      </c>
      <c r="BP137" s="514">
        <f t="shared" si="373"/>
        <v>951417</v>
      </c>
      <c r="BQ137" s="514">
        <f t="shared" si="373"/>
        <v>28149</v>
      </c>
      <c r="BR137" s="514">
        <f t="shared" si="373"/>
        <v>22578</v>
      </c>
      <c r="BS137" s="515">
        <f t="shared" si="373"/>
        <v>6.0142000000000007</v>
      </c>
      <c r="BT137" s="515">
        <f t="shared" si="373"/>
        <v>4.2371999999999996</v>
      </c>
      <c r="BU137" s="516">
        <f t="shared" si="373"/>
        <v>1.7769999999999999</v>
      </c>
      <c r="BV137" s="866">
        <f t="shared" si="373"/>
        <v>0</v>
      </c>
      <c r="BW137" s="730">
        <f t="shared" si="373"/>
        <v>0</v>
      </c>
      <c r="BX137" s="730">
        <f t="shared" si="373"/>
        <v>0</v>
      </c>
      <c r="BY137" s="730">
        <f t="shared" si="373"/>
        <v>0</v>
      </c>
      <c r="BZ137" s="730">
        <f t="shared" si="373"/>
        <v>0</v>
      </c>
      <c r="CA137" s="867">
        <f t="shared" si="373"/>
        <v>0</v>
      </c>
    </row>
    <row r="138" spans="1:79" ht="12.95" customHeight="1" thickBot="1" x14ac:dyDescent="0.3">
      <c r="A138" s="357"/>
      <c r="B138" s="358"/>
      <c r="C138" s="359"/>
      <c r="D138" s="358"/>
      <c r="E138" s="305" t="s">
        <v>758</v>
      </c>
      <c r="F138" s="358"/>
      <c r="G138" s="587"/>
      <c r="H138" s="653"/>
      <c r="I138" s="479">
        <f>I16+I21+I27+I29+I36+I43+I50+I58+I61+I65+I72+I79+I83+I87+I93+I97+I105+I112+I120+I124+I130+I137</f>
        <v>297303340</v>
      </c>
      <c r="J138" s="480">
        <f t="shared" ref="J138:BU138" si="376">J16+J21+J27+J29+J36+J43+J50+J58+J61+J65+J72+J79+J83+J87+J93+J97+J105+J112+J120+J124+J130+J137</f>
        <v>217547712</v>
      </c>
      <c r="K138" s="480">
        <f t="shared" si="376"/>
        <v>192701506</v>
      </c>
      <c r="L138" s="480">
        <f t="shared" si="376"/>
        <v>24846206</v>
      </c>
      <c r="M138" s="480">
        <f t="shared" si="376"/>
        <v>1383629</v>
      </c>
      <c r="N138" s="480">
        <f t="shared" si="376"/>
        <v>954029</v>
      </c>
      <c r="O138" s="480">
        <f t="shared" si="376"/>
        <v>429600</v>
      </c>
      <c r="P138" s="480">
        <f t="shared" si="376"/>
        <v>73937728</v>
      </c>
      <c r="Q138" s="480">
        <f t="shared" si="376"/>
        <v>2175477</v>
      </c>
      <c r="R138" s="480">
        <f t="shared" si="376"/>
        <v>2258794</v>
      </c>
      <c r="S138" s="481">
        <f t="shared" si="376"/>
        <v>399.73320000000001</v>
      </c>
      <c r="T138" s="481">
        <f t="shared" si="376"/>
        <v>324.50230000000005</v>
      </c>
      <c r="U138" s="589">
        <f t="shared" si="376"/>
        <v>75.230899999999991</v>
      </c>
      <c r="V138" s="580">
        <f t="shared" si="376"/>
        <v>0</v>
      </c>
      <c r="W138" s="784">
        <f t="shared" si="376"/>
        <v>0</v>
      </c>
      <c r="X138" s="641">
        <f t="shared" si="376"/>
        <v>0</v>
      </c>
      <c r="Y138" s="641">
        <f t="shared" si="376"/>
        <v>0</v>
      </c>
      <c r="Z138" s="773">
        <f t="shared" si="376"/>
        <v>0</v>
      </c>
      <c r="AA138" s="641">
        <f t="shared" si="376"/>
        <v>5094485</v>
      </c>
      <c r="AB138" s="641">
        <f t="shared" si="376"/>
        <v>2989</v>
      </c>
      <c r="AC138" s="641">
        <f t="shared" si="376"/>
        <v>0</v>
      </c>
      <c r="AD138" s="641">
        <f t="shared" si="376"/>
        <v>2989</v>
      </c>
      <c r="AE138" s="641">
        <f t="shared" si="376"/>
        <v>5094485</v>
      </c>
      <c r="AF138" s="641">
        <f t="shared" si="376"/>
        <v>5097474</v>
      </c>
      <c r="AG138" s="641">
        <f t="shared" si="376"/>
        <v>0</v>
      </c>
      <c r="AH138" s="641">
        <f t="shared" si="376"/>
        <v>0</v>
      </c>
      <c r="AI138" s="641">
        <f t="shared" si="376"/>
        <v>0</v>
      </c>
      <c r="AJ138" s="641">
        <f t="shared" si="376"/>
        <v>0</v>
      </c>
      <c r="AK138" s="641">
        <f t="shared" si="376"/>
        <v>0</v>
      </c>
      <c r="AL138" s="641">
        <f t="shared" si="376"/>
        <v>0</v>
      </c>
      <c r="AM138" s="641">
        <f t="shared" si="376"/>
        <v>0</v>
      </c>
      <c r="AN138" s="641">
        <f t="shared" si="376"/>
        <v>0</v>
      </c>
      <c r="AO138" s="641">
        <f t="shared" si="376"/>
        <v>2989</v>
      </c>
      <c r="AP138" s="641">
        <f t="shared" si="376"/>
        <v>5094485</v>
      </c>
      <c r="AQ138" s="641">
        <f t="shared" si="376"/>
        <v>5097474</v>
      </c>
      <c r="AR138" s="641">
        <f t="shared" si="376"/>
        <v>1722947</v>
      </c>
      <c r="AS138" s="641">
        <f t="shared" si="376"/>
        <v>50977</v>
      </c>
      <c r="AT138" s="641">
        <f t="shared" si="376"/>
        <v>61893</v>
      </c>
      <c r="AU138" s="641">
        <f t="shared" si="376"/>
        <v>38829</v>
      </c>
      <c r="AV138" s="641">
        <f t="shared" si="376"/>
        <v>100722</v>
      </c>
      <c r="AW138" s="641">
        <f t="shared" si="376"/>
        <v>6972120</v>
      </c>
      <c r="AX138" s="642">
        <f t="shared" si="376"/>
        <v>0</v>
      </c>
      <c r="AY138" s="642">
        <f t="shared" si="376"/>
        <v>0</v>
      </c>
      <c r="AZ138" s="642">
        <f t="shared" si="376"/>
        <v>0.13</v>
      </c>
      <c r="BA138" s="642">
        <f t="shared" si="376"/>
        <v>0</v>
      </c>
      <c r="BB138" s="642">
        <f t="shared" ref="BB138" si="377">BB16+BB21+BB27+BB29+BB36+BB43+BB50+BB58+BB61+BB65+BB72+BB79+BB83+BB87+BB93+BB97+BB105+BB112+BB120+BB124+BB130+BB137</f>
        <v>15.42</v>
      </c>
      <c r="BC138" s="642">
        <f t="shared" si="376"/>
        <v>0</v>
      </c>
      <c r="BD138" s="642">
        <f t="shared" si="376"/>
        <v>0</v>
      </c>
      <c r="BE138" s="642">
        <f t="shared" ref="BE138" si="378">BE16+BE21+BE27+BE29+BE36+BE43+BE50+BE58+BE61+BE65+BE72+BE79+BE83+BE87+BE93+BE97+BE105+BE112+BE120+BE124+BE130+BE137</f>
        <v>0</v>
      </c>
      <c r="BF138" s="642">
        <f t="shared" si="376"/>
        <v>0.13</v>
      </c>
      <c r="BG138" s="642">
        <f t="shared" si="376"/>
        <v>15.42</v>
      </c>
      <c r="BH138" s="655">
        <f t="shared" si="376"/>
        <v>15.549999999999999</v>
      </c>
      <c r="BI138" s="580">
        <f t="shared" si="376"/>
        <v>304275460</v>
      </c>
      <c r="BJ138" s="784">
        <f t="shared" si="376"/>
        <v>222645186</v>
      </c>
      <c r="BK138" s="641">
        <f t="shared" si="376"/>
        <v>192704495</v>
      </c>
      <c r="BL138" s="641">
        <f t="shared" si="376"/>
        <v>29940691</v>
      </c>
      <c r="BM138" s="641">
        <f t="shared" si="376"/>
        <v>1383629</v>
      </c>
      <c r="BN138" s="641">
        <f t="shared" si="376"/>
        <v>954029</v>
      </c>
      <c r="BO138" s="641">
        <f t="shared" si="376"/>
        <v>429600</v>
      </c>
      <c r="BP138" s="641">
        <f t="shared" si="376"/>
        <v>75660675</v>
      </c>
      <c r="BQ138" s="641">
        <f t="shared" si="376"/>
        <v>2226454</v>
      </c>
      <c r="BR138" s="641">
        <f t="shared" si="376"/>
        <v>2359516</v>
      </c>
      <c r="BS138" s="642">
        <f t="shared" si="376"/>
        <v>415.28320000000002</v>
      </c>
      <c r="BT138" s="642">
        <f t="shared" si="376"/>
        <v>324.63230000000004</v>
      </c>
      <c r="BU138" s="775">
        <f t="shared" si="376"/>
        <v>90.650899999999993</v>
      </c>
      <c r="BV138" s="731">
        <f t="shared" ref="BV138:CA138" si="379">BV16+BV21+BV27+BV29+BV36+BV43+BV50+BV58+BV61+BV65+BV72+BV79+BV83+BV87+BV93+BV97+BV105+BV112+BV120+BV124+BV130+BV137</f>
        <v>1976708</v>
      </c>
      <c r="BW138" s="674">
        <f t="shared" si="379"/>
        <v>1466400</v>
      </c>
      <c r="BX138" s="674">
        <f t="shared" si="379"/>
        <v>0</v>
      </c>
      <c r="BY138" s="674">
        <f t="shared" si="379"/>
        <v>495644</v>
      </c>
      <c r="BZ138" s="674">
        <f t="shared" si="379"/>
        <v>14664</v>
      </c>
      <c r="CA138" s="732">
        <f t="shared" si="379"/>
        <v>2.6</v>
      </c>
    </row>
    <row r="139" spans="1:79" ht="12.95" customHeight="1" x14ac:dyDescent="0.25">
      <c r="B139" s="309"/>
      <c r="C139" s="360"/>
      <c r="D139" s="309"/>
      <c r="E139" s="310"/>
      <c r="F139" s="309"/>
      <c r="I139" s="428">
        <f>J138+M138+P138+Q138+R138</f>
        <v>297303340</v>
      </c>
      <c r="J139" s="428">
        <f>SUM(K138:L138)</f>
        <v>217547712</v>
      </c>
      <c r="K139" s="428"/>
      <c r="L139" s="428"/>
      <c r="M139" s="428">
        <f>SUM(N138:O138)</f>
        <v>1383629</v>
      </c>
      <c r="N139" s="428"/>
      <c r="O139" s="428"/>
      <c r="P139" s="428"/>
      <c r="Q139" s="428"/>
      <c r="R139" s="428"/>
      <c r="S139" s="429">
        <f>SUM(T138:U138)</f>
        <v>399.73320000000001</v>
      </c>
      <c r="T139" s="429"/>
      <c r="U139" s="429"/>
      <c r="V139" s="428">
        <f>AG138</f>
        <v>0</v>
      </c>
      <c r="W139" s="428">
        <f>AH138</f>
        <v>0</v>
      </c>
      <c r="X139" s="429"/>
      <c r="Y139" s="429"/>
      <c r="Z139" s="429"/>
      <c r="AA139" s="429"/>
      <c r="AB139" s="429"/>
      <c r="AC139" s="429"/>
      <c r="AD139" s="430"/>
      <c r="AE139" s="430"/>
      <c r="AF139" s="430">
        <f>SUM(AD138:AE138)</f>
        <v>5097474</v>
      </c>
      <c r="AG139" s="430">
        <f>V138</f>
        <v>0</v>
      </c>
      <c r="AH139" s="430">
        <f>W138</f>
        <v>0</v>
      </c>
      <c r="AI139" s="431"/>
      <c r="AJ139" s="431"/>
      <c r="AK139" s="431"/>
      <c r="AL139" s="430"/>
      <c r="AM139" s="430"/>
      <c r="AN139" s="430">
        <f>SUM(AL138:AM138)</f>
        <v>0</v>
      </c>
      <c r="AO139" s="430"/>
      <c r="AP139" s="430"/>
      <c r="AQ139" s="430">
        <f>SUM(AO138:AP138)</f>
        <v>5097474</v>
      </c>
      <c r="AR139" s="432"/>
      <c r="AS139" s="432"/>
      <c r="AT139" s="431"/>
      <c r="AU139" s="431"/>
      <c r="AV139" s="430">
        <f>SUM(AT138:AU138)</f>
        <v>100722</v>
      </c>
      <c r="AW139" s="430">
        <f>AF138+AN138+AR138+AS138+AV138</f>
        <v>6972120</v>
      </c>
      <c r="AX139" s="433"/>
      <c r="AY139" s="433"/>
      <c r="AZ139" s="433"/>
      <c r="BA139" s="433"/>
      <c r="BB139" s="433"/>
      <c r="BC139" s="433"/>
      <c r="BD139" s="433"/>
      <c r="BE139" s="433"/>
      <c r="BF139" s="508">
        <f>AX138+AZ138+BA138+BC138+BD138</f>
        <v>0.13</v>
      </c>
      <c r="BG139" s="508">
        <f>AY138+BB138+BE138</f>
        <v>15.42</v>
      </c>
      <c r="BH139" s="508">
        <f>SUM(BF138:BG138)</f>
        <v>15.55</v>
      </c>
      <c r="BI139" s="428">
        <f>BJ138+BM138+BP138+BQ138+BR138</f>
        <v>304275460</v>
      </c>
      <c r="BJ139" s="428">
        <f>SUM(BK138:BL138)</f>
        <v>222645186</v>
      </c>
      <c r="BK139" s="430">
        <f>K138+AD138</f>
        <v>192704495</v>
      </c>
      <c r="BL139" s="430">
        <f>L138+AE138</f>
        <v>29940691</v>
      </c>
      <c r="BM139" s="86">
        <f>SUM(BN138:BO138)</f>
        <v>1383629</v>
      </c>
      <c r="BN139" s="430">
        <f>N138+AL138</f>
        <v>954029</v>
      </c>
      <c r="BO139" s="430">
        <f>O138+AM138</f>
        <v>429600</v>
      </c>
      <c r="BP139" s="430">
        <f>P138+AR138</f>
        <v>75660675</v>
      </c>
      <c r="BQ139" s="430">
        <f>Q138+AS138</f>
        <v>2226454</v>
      </c>
      <c r="BR139" s="430">
        <f>R138+AV138</f>
        <v>2359516</v>
      </c>
      <c r="BS139" s="429">
        <f>SUM(BT138:BU138)</f>
        <v>415.28320000000002</v>
      </c>
      <c r="BT139" s="508">
        <f>T138+BF138</f>
        <v>324.63230000000004</v>
      </c>
      <c r="BU139" s="508">
        <f>U138+BG138</f>
        <v>90.650899999999993</v>
      </c>
      <c r="BV139" s="235">
        <f>SUM(BW138:BZ138)</f>
        <v>1976708</v>
      </c>
      <c r="BW139" s="8"/>
      <c r="BX139" s="8"/>
      <c r="BY139" s="8"/>
      <c r="BZ139" s="8"/>
      <c r="CA139" s="7"/>
    </row>
    <row r="140" spans="1:79" ht="12.95" customHeight="1" thickBot="1" x14ac:dyDescent="0.3">
      <c r="B140" s="309"/>
      <c r="C140" s="360"/>
      <c r="D140" s="309"/>
      <c r="F140" s="309"/>
      <c r="I140" s="428">
        <f>J141+M141+P141+Q141+R141</f>
        <v>297303340</v>
      </c>
      <c r="J140" s="428">
        <f>SUM(K141:L141)</f>
        <v>217547712</v>
      </c>
      <c r="K140" s="428"/>
      <c r="L140" s="428"/>
      <c r="M140" s="428">
        <f>SUM(N141:O141)</f>
        <v>1383629</v>
      </c>
      <c r="N140" s="428"/>
      <c r="O140" s="428"/>
      <c r="P140" s="428"/>
      <c r="Q140" s="428"/>
      <c r="R140" s="428"/>
      <c r="S140" s="429">
        <f>SUM(T141:U141)</f>
        <v>399.7331999999999</v>
      </c>
      <c r="T140" s="429"/>
      <c r="U140" s="429"/>
      <c r="V140" s="428">
        <f>AG141</f>
        <v>0</v>
      </c>
      <c r="W140" s="428">
        <f>AH141</f>
        <v>0</v>
      </c>
      <c r="X140" s="429"/>
      <c r="Y140" s="429"/>
      <c r="Z140" s="429"/>
      <c r="AA140" s="429"/>
      <c r="AB140" s="429"/>
      <c r="AC140" s="429"/>
      <c r="AD140" s="430"/>
      <c r="AE140" s="430"/>
      <c r="AF140" s="430">
        <f>SUM(AD141:AE141)</f>
        <v>5097474</v>
      </c>
      <c r="AG140" s="430"/>
      <c r="AH140" s="430"/>
      <c r="AI140" s="431"/>
      <c r="AJ140" s="431"/>
      <c r="AK140" s="431"/>
      <c r="AL140" s="430"/>
      <c r="AM140" s="430"/>
      <c r="AN140" s="430">
        <f>SUM(AL141:AM141)</f>
        <v>0</v>
      </c>
      <c r="AO140" s="430"/>
      <c r="AP140" s="430"/>
      <c r="AQ140" s="430">
        <f>SUM(AO141:AP141)</f>
        <v>5097474</v>
      </c>
      <c r="AR140" s="432"/>
      <c r="AS140" s="432"/>
      <c r="AT140" s="431"/>
      <c r="AU140" s="431"/>
      <c r="AV140" s="430">
        <f>SUM(AT141:AU141)</f>
        <v>100722</v>
      </c>
      <c r="AW140" s="430">
        <f>AF141+AN141+AR141+AS141+AV141</f>
        <v>6972120</v>
      </c>
      <c r="AX140" s="433"/>
      <c r="AY140" s="433"/>
      <c r="AZ140" s="433"/>
      <c r="BA140" s="433"/>
      <c r="BB140" s="433"/>
      <c r="BC140" s="433"/>
      <c r="BD140" s="433"/>
      <c r="BE140" s="433"/>
      <c r="BF140" s="508">
        <f>AX141+AZ141+BA141+BC141+BD141</f>
        <v>0.13</v>
      </c>
      <c r="BG140" s="508">
        <f>AY141+BB141+BE141</f>
        <v>15.419999999999998</v>
      </c>
      <c r="BH140" s="508">
        <f>SUM(BF141:BG141)</f>
        <v>15.549999999999999</v>
      </c>
      <c r="BI140" s="428">
        <f>BJ141+BM141+BP141+BQ141+BR141</f>
        <v>304275460</v>
      </c>
      <c r="BJ140" s="428">
        <f>SUM(BK141:BL141)</f>
        <v>222645186</v>
      </c>
      <c r="BK140" s="53"/>
      <c r="BL140" s="53"/>
      <c r="BM140" s="86">
        <f>SUM(BN141:BO141)</f>
        <v>1383629</v>
      </c>
      <c r="BN140" s="53"/>
      <c r="BO140" s="53"/>
      <c r="BP140" s="53"/>
      <c r="BQ140" s="53"/>
      <c r="BR140" s="53"/>
      <c r="BS140" s="429">
        <f>SUM(BT141:BU141)</f>
        <v>415.28319999999991</v>
      </c>
      <c r="BT140" s="87"/>
      <c r="BU140" s="87"/>
      <c r="BV140" s="235">
        <f>SUM(BW141:BZ141)</f>
        <v>1976708</v>
      </c>
      <c r="BW140" s="8"/>
      <c r="BX140" s="8"/>
      <c r="BY140" s="8"/>
      <c r="BZ140" s="8"/>
      <c r="CA140" s="7"/>
    </row>
    <row r="141" spans="1:79" s="89" customFormat="1" ht="12.95" customHeight="1" thickBot="1" x14ac:dyDescent="0.3">
      <c r="D141" s="311"/>
      <c r="E141" s="312"/>
      <c r="F141" s="311"/>
      <c r="G141" s="313"/>
      <c r="H141" s="22" t="s">
        <v>0</v>
      </c>
      <c r="I141" s="479">
        <f t="shared" ref="I141:BT141" si="380">SUM(I142:I151)</f>
        <v>297303340</v>
      </c>
      <c r="J141" s="480">
        <f t="shared" si="380"/>
        <v>217547712</v>
      </c>
      <c r="K141" s="480">
        <f t="shared" si="380"/>
        <v>192701506</v>
      </c>
      <c r="L141" s="480">
        <f t="shared" si="380"/>
        <v>24846206</v>
      </c>
      <c r="M141" s="480">
        <f t="shared" si="380"/>
        <v>1383629</v>
      </c>
      <c r="N141" s="480">
        <f t="shared" si="380"/>
        <v>954029</v>
      </c>
      <c r="O141" s="480">
        <f t="shared" si="380"/>
        <v>429600</v>
      </c>
      <c r="P141" s="480">
        <f t="shared" si="380"/>
        <v>73937728</v>
      </c>
      <c r="Q141" s="480">
        <f t="shared" si="380"/>
        <v>2175477</v>
      </c>
      <c r="R141" s="480">
        <f t="shared" si="380"/>
        <v>2258794</v>
      </c>
      <c r="S141" s="481">
        <f t="shared" si="380"/>
        <v>399.73319999999995</v>
      </c>
      <c r="T141" s="481">
        <f t="shared" si="380"/>
        <v>324.50229999999993</v>
      </c>
      <c r="U141" s="482">
        <f t="shared" si="380"/>
        <v>75.230899999999991</v>
      </c>
      <c r="V141" s="562">
        <f t="shared" si="380"/>
        <v>0</v>
      </c>
      <c r="W141" s="480">
        <f t="shared" si="380"/>
        <v>0</v>
      </c>
      <c r="X141" s="480">
        <f t="shared" si="380"/>
        <v>0</v>
      </c>
      <c r="Y141" s="480">
        <f t="shared" si="380"/>
        <v>0</v>
      </c>
      <c r="Z141" s="761">
        <f t="shared" si="380"/>
        <v>0</v>
      </c>
      <c r="AA141" s="480">
        <f t="shared" si="380"/>
        <v>5094485</v>
      </c>
      <c r="AB141" s="480">
        <f t="shared" si="380"/>
        <v>2989</v>
      </c>
      <c r="AC141" s="480">
        <f t="shared" si="380"/>
        <v>0</v>
      </c>
      <c r="AD141" s="480">
        <f t="shared" si="380"/>
        <v>2989</v>
      </c>
      <c r="AE141" s="480">
        <f t="shared" si="380"/>
        <v>5094485</v>
      </c>
      <c r="AF141" s="480">
        <f t="shared" si="380"/>
        <v>5097474</v>
      </c>
      <c r="AG141" s="480">
        <f t="shared" si="380"/>
        <v>0</v>
      </c>
      <c r="AH141" s="480">
        <f t="shared" si="380"/>
        <v>0</v>
      </c>
      <c r="AI141" s="480">
        <f t="shared" si="380"/>
        <v>0</v>
      </c>
      <c r="AJ141" s="480">
        <f t="shared" si="380"/>
        <v>0</v>
      </c>
      <c r="AK141" s="480">
        <f t="shared" si="380"/>
        <v>0</v>
      </c>
      <c r="AL141" s="480">
        <f t="shared" si="380"/>
        <v>0</v>
      </c>
      <c r="AM141" s="480">
        <f t="shared" si="380"/>
        <v>0</v>
      </c>
      <c r="AN141" s="480">
        <f t="shared" si="380"/>
        <v>0</v>
      </c>
      <c r="AO141" s="480">
        <f t="shared" si="380"/>
        <v>2989</v>
      </c>
      <c r="AP141" s="480">
        <f t="shared" si="380"/>
        <v>5094485</v>
      </c>
      <c r="AQ141" s="480">
        <f t="shared" si="380"/>
        <v>5097474</v>
      </c>
      <c r="AR141" s="480">
        <f t="shared" si="380"/>
        <v>1722947</v>
      </c>
      <c r="AS141" s="480">
        <f t="shared" si="380"/>
        <v>50977</v>
      </c>
      <c r="AT141" s="480">
        <f t="shared" si="380"/>
        <v>61893</v>
      </c>
      <c r="AU141" s="480">
        <f t="shared" si="380"/>
        <v>38829</v>
      </c>
      <c r="AV141" s="480">
        <f t="shared" si="380"/>
        <v>100722</v>
      </c>
      <c r="AW141" s="480">
        <f t="shared" si="380"/>
        <v>6972120</v>
      </c>
      <c r="AX141" s="481">
        <f t="shared" si="380"/>
        <v>0</v>
      </c>
      <c r="AY141" s="481">
        <f t="shared" si="380"/>
        <v>0</v>
      </c>
      <c r="AZ141" s="481">
        <f t="shared" si="380"/>
        <v>0.13</v>
      </c>
      <c r="BA141" s="481">
        <f t="shared" si="380"/>
        <v>0</v>
      </c>
      <c r="BB141" s="481">
        <f t="shared" si="380"/>
        <v>15.419999999999998</v>
      </c>
      <c r="BC141" s="481">
        <f t="shared" si="380"/>
        <v>0</v>
      </c>
      <c r="BD141" s="481">
        <f t="shared" si="380"/>
        <v>0</v>
      </c>
      <c r="BE141" s="481">
        <f t="shared" si="380"/>
        <v>0</v>
      </c>
      <c r="BF141" s="481">
        <f t="shared" si="380"/>
        <v>0.13</v>
      </c>
      <c r="BG141" s="481">
        <f t="shared" si="380"/>
        <v>15.419999999999998</v>
      </c>
      <c r="BH141" s="589">
        <f t="shared" si="380"/>
        <v>15.549999999999997</v>
      </c>
      <c r="BI141" s="479">
        <f t="shared" si="380"/>
        <v>304275460</v>
      </c>
      <c r="BJ141" s="480">
        <f t="shared" si="380"/>
        <v>222645186</v>
      </c>
      <c r="BK141" s="480">
        <f t="shared" si="380"/>
        <v>192704495</v>
      </c>
      <c r="BL141" s="480">
        <f t="shared" si="380"/>
        <v>29940691</v>
      </c>
      <c r="BM141" s="480">
        <f t="shared" si="380"/>
        <v>1383629</v>
      </c>
      <c r="BN141" s="480">
        <f t="shared" si="380"/>
        <v>954029</v>
      </c>
      <c r="BO141" s="480">
        <f t="shared" si="380"/>
        <v>429600</v>
      </c>
      <c r="BP141" s="480">
        <f t="shared" si="380"/>
        <v>75660675</v>
      </c>
      <c r="BQ141" s="480">
        <f t="shared" si="380"/>
        <v>2226454</v>
      </c>
      <c r="BR141" s="480">
        <f t="shared" si="380"/>
        <v>2359516</v>
      </c>
      <c r="BS141" s="481">
        <f t="shared" si="380"/>
        <v>415.28319999999991</v>
      </c>
      <c r="BT141" s="481">
        <f t="shared" si="380"/>
        <v>324.63229999999993</v>
      </c>
      <c r="BU141" s="589">
        <f t="shared" ref="BU141:CA141" si="381">SUM(BU142:BU151)</f>
        <v>90.650899999999993</v>
      </c>
      <c r="BV141" s="731">
        <f t="shared" si="381"/>
        <v>1976708</v>
      </c>
      <c r="BW141" s="674">
        <f t="shared" si="381"/>
        <v>1466400</v>
      </c>
      <c r="BX141" s="674">
        <f t="shared" si="381"/>
        <v>0</v>
      </c>
      <c r="BY141" s="674">
        <f t="shared" si="381"/>
        <v>495644</v>
      </c>
      <c r="BZ141" s="674">
        <f t="shared" si="381"/>
        <v>14664</v>
      </c>
      <c r="CA141" s="732">
        <f t="shared" si="381"/>
        <v>2.6</v>
      </c>
    </row>
    <row r="142" spans="1:79" s="89" customFormat="1" ht="12.95" customHeight="1" x14ac:dyDescent="0.25">
      <c r="D142" s="311"/>
      <c r="E142" s="312"/>
      <c r="F142" s="311"/>
      <c r="G142" s="313"/>
      <c r="H142" s="1">
        <v>3111</v>
      </c>
      <c r="I142" s="489">
        <f t="shared" ref="I142:BT142" si="382">SUMIF($F$12:$F$452,"=3111",I$12:I$452)</f>
        <v>67094065</v>
      </c>
      <c r="J142" s="490">
        <f t="shared" si="382"/>
        <v>49152947</v>
      </c>
      <c r="K142" s="490">
        <f t="shared" si="382"/>
        <v>45593925</v>
      </c>
      <c r="L142" s="490">
        <f t="shared" si="382"/>
        <v>3559022</v>
      </c>
      <c r="M142" s="490">
        <f t="shared" si="382"/>
        <v>516869</v>
      </c>
      <c r="N142" s="490">
        <f t="shared" si="382"/>
        <v>313069</v>
      </c>
      <c r="O142" s="490">
        <f t="shared" si="382"/>
        <v>203800</v>
      </c>
      <c r="P142" s="490">
        <f t="shared" si="382"/>
        <v>16727331</v>
      </c>
      <c r="Q142" s="490">
        <f t="shared" si="382"/>
        <v>491529</v>
      </c>
      <c r="R142" s="490">
        <f t="shared" si="382"/>
        <v>205389</v>
      </c>
      <c r="S142" s="493">
        <f t="shared" si="382"/>
        <v>94.218900000000005</v>
      </c>
      <c r="T142" s="493">
        <f t="shared" si="382"/>
        <v>81.421300000000002</v>
      </c>
      <c r="U142" s="496">
        <f t="shared" si="382"/>
        <v>12.797600000000001</v>
      </c>
      <c r="V142" s="491">
        <f t="shared" si="382"/>
        <v>0</v>
      </c>
      <c r="W142" s="490">
        <f t="shared" si="382"/>
        <v>0</v>
      </c>
      <c r="X142" s="490">
        <f t="shared" si="382"/>
        <v>0</v>
      </c>
      <c r="Y142" s="490">
        <f t="shared" si="382"/>
        <v>0</v>
      </c>
      <c r="Z142" s="490">
        <f t="shared" si="382"/>
        <v>0</v>
      </c>
      <c r="AA142" s="490">
        <f t="shared" si="382"/>
        <v>0</v>
      </c>
      <c r="AB142" s="490">
        <f t="shared" si="382"/>
        <v>0</v>
      </c>
      <c r="AC142" s="490">
        <f t="shared" si="382"/>
        <v>0</v>
      </c>
      <c r="AD142" s="490">
        <f t="shared" si="382"/>
        <v>0</v>
      </c>
      <c r="AE142" s="490">
        <f t="shared" si="382"/>
        <v>0</v>
      </c>
      <c r="AF142" s="490">
        <f t="shared" si="382"/>
        <v>0</v>
      </c>
      <c r="AG142" s="490">
        <f t="shared" si="382"/>
        <v>0</v>
      </c>
      <c r="AH142" s="490">
        <f t="shared" si="382"/>
        <v>0</v>
      </c>
      <c r="AI142" s="490">
        <f t="shared" si="382"/>
        <v>0</v>
      </c>
      <c r="AJ142" s="490">
        <f t="shared" si="382"/>
        <v>0</v>
      </c>
      <c r="AK142" s="490">
        <f t="shared" si="382"/>
        <v>0</v>
      </c>
      <c r="AL142" s="490">
        <f t="shared" si="382"/>
        <v>0</v>
      </c>
      <c r="AM142" s="490">
        <f t="shared" si="382"/>
        <v>0</v>
      </c>
      <c r="AN142" s="490">
        <f t="shared" si="382"/>
        <v>0</v>
      </c>
      <c r="AO142" s="490">
        <f t="shared" si="382"/>
        <v>0</v>
      </c>
      <c r="AP142" s="490">
        <f t="shared" si="382"/>
        <v>0</v>
      </c>
      <c r="AQ142" s="490">
        <f t="shared" si="382"/>
        <v>0</v>
      </c>
      <c r="AR142" s="490">
        <f t="shared" si="382"/>
        <v>0</v>
      </c>
      <c r="AS142" s="490">
        <f t="shared" si="382"/>
        <v>0</v>
      </c>
      <c r="AT142" s="490">
        <f t="shared" si="382"/>
        <v>0</v>
      </c>
      <c r="AU142" s="490">
        <f t="shared" si="382"/>
        <v>0</v>
      </c>
      <c r="AV142" s="490">
        <f t="shared" si="382"/>
        <v>0</v>
      </c>
      <c r="AW142" s="490">
        <f t="shared" si="382"/>
        <v>0</v>
      </c>
      <c r="AX142" s="493">
        <f t="shared" si="382"/>
        <v>0</v>
      </c>
      <c r="AY142" s="493">
        <f t="shared" si="382"/>
        <v>0</v>
      </c>
      <c r="AZ142" s="493">
        <f t="shared" si="382"/>
        <v>0</v>
      </c>
      <c r="BA142" s="493">
        <f t="shared" si="382"/>
        <v>0</v>
      </c>
      <c r="BB142" s="493">
        <f t="shared" si="382"/>
        <v>0</v>
      </c>
      <c r="BC142" s="493">
        <f t="shared" si="382"/>
        <v>0</v>
      </c>
      <c r="BD142" s="493">
        <f t="shared" si="382"/>
        <v>0</v>
      </c>
      <c r="BE142" s="493">
        <f t="shared" si="382"/>
        <v>0</v>
      </c>
      <c r="BF142" s="493">
        <f t="shared" si="382"/>
        <v>0</v>
      </c>
      <c r="BG142" s="493">
        <f t="shared" si="382"/>
        <v>0</v>
      </c>
      <c r="BH142" s="494">
        <f t="shared" si="382"/>
        <v>0</v>
      </c>
      <c r="BI142" s="489">
        <f t="shared" si="382"/>
        <v>67094065</v>
      </c>
      <c r="BJ142" s="490">
        <f t="shared" si="382"/>
        <v>49152947</v>
      </c>
      <c r="BK142" s="490">
        <f t="shared" si="382"/>
        <v>45593925</v>
      </c>
      <c r="BL142" s="490">
        <f t="shared" si="382"/>
        <v>3559022</v>
      </c>
      <c r="BM142" s="490">
        <f t="shared" si="382"/>
        <v>516869</v>
      </c>
      <c r="BN142" s="490">
        <f t="shared" si="382"/>
        <v>313069</v>
      </c>
      <c r="BO142" s="490">
        <f t="shared" si="382"/>
        <v>203800</v>
      </c>
      <c r="BP142" s="490">
        <f t="shared" si="382"/>
        <v>16727331</v>
      </c>
      <c r="BQ142" s="490">
        <f t="shared" si="382"/>
        <v>491529</v>
      </c>
      <c r="BR142" s="490">
        <f t="shared" si="382"/>
        <v>205389</v>
      </c>
      <c r="BS142" s="493">
        <f t="shared" si="382"/>
        <v>94.218900000000005</v>
      </c>
      <c r="BT142" s="493">
        <f t="shared" si="382"/>
        <v>81.421300000000002</v>
      </c>
      <c r="BU142" s="494">
        <f t="shared" ref="BU142:CA142" si="383">SUMIF($F$12:$F$452,"=3111",BU$12:BU$452)</f>
        <v>12.797600000000001</v>
      </c>
      <c r="BV142" s="489">
        <f t="shared" si="383"/>
        <v>0</v>
      </c>
      <c r="BW142" s="490">
        <f t="shared" si="383"/>
        <v>0</v>
      </c>
      <c r="BX142" s="490">
        <f t="shared" si="383"/>
        <v>0</v>
      </c>
      <c r="BY142" s="490">
        <f t="shared" si="383"/>
        <v>0</v>
      </c>
      <c r="BZ142" s="490">
        <f t="shared" si="383"/>
        <v>0</v>
      </c>
      <c r="CA142" s="496">
        <f t="shared" si="383"/>
        <v>0</v>
      </c>
    </row>
    <row r="143" spans="1:79" s="89" customFormat="1" ht="12.95" customHeight="1" x14ac:dyDescent="0.25">
      <c r="D143" s="311"/>
      <c r="E143" s="312"/>
      <c r="F143" s="311"/>
      <c r="G143" s="313"/>
      <c r="H143" s="2">
        <v>3113</v>
      </c>
      <c r="I143" s="167">
        <f t="shared" ref="I143:BT143" si="384">SUMIF($F$12:$F$452,"=3113",I$12:I$452)</f>
        <v>158825991</v>
      </c>
      <c r="J143" s="16">
        <f t="shared" si="384"/>
        <v>115683016</v>
      </c>
      <c r="K143" s="16">
        <f t="shared" si="384"/>
        <v>106843570</v>
      </c>
      <c r="L143" s="16">
        <f t="shared" si="384"/>
        <v>8839446</v>
      </c>
      <c r="M143" s="16">
        <f t="shared" si="384"/>
        <v>828760</v>
      </c>
      <c r="N143" s="16">
        <f t="shared" si="384"/>
        <v>627560</v>
      </c>
      <c r="O143" s="16">
        <f t="shared" si="384"/>
        <v>201200</v>
      </c>
      <c r="P143" s="16">
        <f t="shared" si="384"/>
        <v>39380981</v>
      </c>
      <c r="Q143" s="16">
        <f t="shared" si="384"/>
        <v>1156832</v>
      </c>
      <c r="R143" s="16">
        <f t="shared" si="384"/>
        <v>1776402</v>
      </c>
      <c r="S143" s="13">
        <f t="shared" si="384"/>
        <v>197.32649999999998</v>
      </c>
      <c r="T143" s="13">
        <f t="shared" si="384"/>
        <v>171.97199999999998</v>
      </c>
      <c r="U143" s="17">
        <f t="shared" si="384"/>
        <v>25.354499999999998</v>
      </c>
      <c r="V143" s="168">
        <f t="shared" si="384"/>
        <v>0</v>
      </c>
      <c r="W143" s="16">
        <f t="shared" si="384"/>
        <v>0</v>
      </c>
      <c r="X143" s="16">
        <f t="shared" si="384"/>
        <v>0</v>
      </c>
      <c r="Y143" s="16">
        <f t="shared" si="384"/>
        <v>0</v>
      </c>
      <c r="Z143" s="16">
        <f t="shared" si="384"/>
        <v>0</v>
      </c>
      <c r="AA143" s="16">
        <f t="shared" si="384"/>
        <v>0</v>
      </c>
      <c r="AB143" s="16">
        <f t="shared" si="384"/>
        <v>0</v>
      </c>
      <c r="AC143" s="16">
        <f t="shared" si="384"/>
        <v>0</v>
      </c>
      <c r="AD143" s="16">
        <f t="shared" si="384"/>
        <v>0</v>
      </c>
      <c r="AE143" s="16">
        <f t="shared" si="384"/>
        <v>0</v>
      </c>
      <c r="AF143" s="16">
        <f t="shared" si="384"/>
        <v>0</v>
      </c>
      <c r="AG143" s="16">
        <f t="shared" si="384"/>
        <v>0</v>
      </c>
      <c r="AH143" s="16">
        <f t="shared" si="384"/>
        <v>0</v>
      </c>
      <c r="AI143" s="16">
        <f t="shared" si="384"/>
        <v>0</v>
      </c>
      <c r="AJ143" s="16">
        <f t="shared" si="384"/>
        <v>0</v>
      </c>
      <c r="AK143" s="16">
        <f t="shared" si="384"/>
        <v>0</v>
      </c>
      <c r="AL143" s="16">
        <f t="shared" si="384"/>
        <v>0</v>
      </c>
      <c r="AM143" s="16">
        <f t="shared" si="384"/>
        <v>0</v>
      </c>
      <c r="AN143" s="16">
        <f t="shared" si="384"/>
        <v>0</v>
      </c>
      <c r="AO143" s="16">
        <f t="shared" si="384"/>
        <v>0</v>
      </c>
      <c r="AP143" s="16">
        <f t="shared" si="384"/>
        <v>0</v>
      </c>
      <c r="AQ143" s="16">
        <f t="shared" si="384"/>
        <v>0</v>
      </c>
      <c r="AR143" s="16">
        <f t="shared" si="384"/>
        <v>0</v>
      </c>
      <c r="AS143" s="16">
        <f t="shared" si="384"/>
        <v>0</v>
      </c>
      <c r="AT143" s="16">
        <f t="shared" si="384"/>
        <v>61893</v>
      </c>
      <c r="AU143" s="16">
        <f t="shared" si="384"/>
        <v>0</v>
      </c>
      <c r="AV143" s="16">
        <f t="shared" si="384"/>
        <v>61893</v>
      </c>
      <c r="AW143" s="16">
        <f t="shared" si="384"/>
        <v>61893</v>
      </c>
      <c r="AX143" s="13">
        <f t="shared" si="384"/>
        <v>0</v>
      </c>
      <c r="AY143" s="13">
        <f t="shared" si="384"/>
        <v>0</v>
      </c>
      <c r="AZ143" s="13">
        <f t="shared" si="384"/>
        <v>0.13</v>
      </c>
      <c r="BA143" s="13">
        <f t="shared" si="384"/>
        <v>0</v>
      </c>
      <c r="BB143" s="13">
        <f t="shared" si="384"/>
        <v>0</v>
      </c>
      <c r="BC143" s="13">
        <f t="shared" si="384"/>
        <v>0</v>
      </c>
      <c r="BD143" s="13">
        <f t="shared" si="384"/>
        <v>0</v>
      </c>
      <c r="BE143" s="13">
        <f t="shared" si="384"/>
        <v>0</v>
      </c>
      <c r="BF143" s="13">
        <f t="shared" si="384"/>
        <v>0.13</v>
      </c>
      <c r="BG143" s="13">
        <f t="shared" si="384"/>
        <v>0</v>
      </c>
      <c r="BH143" s="169">
        <f t="shared" si="384"/>
        <v>0.13</v>
      </c>
      <c r="BI143" s="167">
        <f t="shared" si="384"/>
        <v>158887884</v>
      </c>
      <c r="BJ143" s="16">
        <f t="shared" si="384"/>
        <v>115683016</v>
      </c>
      <c r="BK143" s="16">
        <f t="shared" si="384"/>
        <v>106843570</v>
      </c>
      <c r="BL143" s="16">
        <f t="shared" si="384"/>
        <v>8839446</v>
      </c>
      <c r="BM143" s="16">
        <f t="shared" si="384"/>
        <v>828760</v>
      </c>
      <c r="BN143" s="16">
        <f t="shared" si="384"/>
        <v>627560</v>
      </c>
      <c r="BO143" s="16">
        <f t="shared" si="384"/>
        <v>201200</v>
      </c>
      <c r="BP143" s="16">
        <f t="shared" si="384"/>
        <v>39380981</v>
      </c>
      <c r="BQ143" s="16">
        <f t="shared" si="384"/>
        <v>1156832</v>
      </c>
      <c r="BR143" s="16">
        <f t="shared" si="384"/>
        <v>1838295</v>
      </c>
      <c r="BS143" s="13">
        <f t="shared" si="384"/>
        <v>197.45649999999998</v>
      </c>
      <c r="BT143" s="13">
        <f t="shared" si="384"/>
        <v>172.10199999999998</v>
      </c>
      <c r="BU143" s="169">
        <f t="shared" ref="BU143:CA143" si="385">SUMIF($F$12:$F$452,"=3113",BU$12:BU$452)</f>
        <v>25.354499999999998</v>
      </c>
      <c r="BV143" s="167">
        <f t="shared" si="385"/>
        <v>1976708</v>
      </c>
      <c r="BW143" s="16">
        <f t="shared" si="385"/>
        <v>1466400</v>
      </c>
      <c r="BX143" s="16">
        <f t="shared" si="385"/>
        <v>0</v>
      </c>
      <c r="BY143" s="16">
        <f t="shared" si="385"/>
        <v>495644</v>
      </c>
      <c r="BZ143" s="16">
        <f t="shared" si="385"/>
        <v>14664</v>
      </c>
      <c r="CA143" s="17">
        <f t="shared" si="385"/>
        <v>2.6</v>
      </c>
    </row>
    <row r="144" spans="1:79" s="89" customFormat="1" ht="12.95" customHeight="1" x14ac:dyDescent="0.25">
      <c r="D144" s="311"/>
      <c r="E144" s="312"/>
      <c r="F144" s="311"/>
      <c r="G144" s="313"/>
      <c r="H144" s="2">
        <v>3114</v>
      </c>
      <c r="I144" s="167">
        <f t="shared" ref="I144:BT144" si="386">SUMIF($F$12:$F$452,"=3114",I$12:I$452)</f>
        <v>0</v>
      </c>
      <c r="J144" s="16">
        <f t="shared" si="386"/>
        <v>0</v>
      </c>
      <c r="K144" s="16">
        <f t="shared" si="386"/>
        <v>0</v>
      </c>
      <c r="L144" s="16">
        <f t="shared" si="386"/>
        <v>0</v>
      </c>
      <c r="M144" s="16">
        <f t="shared" si="386"/>
        <v>0</v>
      </c>
      <c r="N144" s="16">
        <f t="shared" si="386"/>
        <v>0</v>
      </c>
      <c r="O144" s="16">
        <f t="shared" si="386"/>
        <v>0</v>
      </c>
      <c r="P144" s="16">
        <f t="shared" si="386"/>
        <v>0</v>
      </c>
      <c r="Q144" s="16">
        <f t="shared" si="386"/>
        <v>0</v>
      </c>
      <c r="R144" s="16">
        <f t="shared" si="386"/>
        <v>0</v>
      </c>
      <c r="S144" s="13">
        <f t="shared" si="386"/>
        <v>0</v>
      </c>
      <c r="T144" s="13">
        <f t="shared" si="386"/>
        <v>0</v>
      </c>
      <c r="U144" s="17">
        <f t="shared" si="386"/>
        <v>0</v>
      </c>
      <c r="V144" s="168">
        <f t="shared" si="386"/>
        <v>0</v>
      </c>
      <c r="W144" s="16">
        <f t="shared" si="386"/>
        <v>0</v>
      </c>
      <c r="X144" s="16">
        <f t="shared" si="386"/>
        <v>0</v>
      </c>
      <c r="Y144" s="16">
        <f t="shared" si="386"/>
        <v>0</v>
      </c>
      <c r="Z144" s="16">
        <f t="shared" si="386"/>
        <v>0</v>
      </c>
      <c r="AA144" s="16">
        <f t="shared" si="386"/>
        <v>0</v>
      </c>
      <c r="AB144" s="16">
        <f t="shared" si="386"/>
        <v>0</v>
      </c>
      <c r="AC144" s="16">
        <f t="shared" si="386"/>
        <v>0</v>
      </c>
      <c r="AD144" s="16">
        <f t="shared" si="386"/>
        <v>0</v>
      </c>
      <c r="AE144" s="16">
        <f t="shared" si="386"/>
        <v>0</v>
      </c>
      <c r="AF144" s="16">
        <f t="shared" si="386"/>
        <v>0</v>
      </c>
      <c r="AG144" s="16">
        <f t="shared" si="386"/>
        <v>0</v>
      </c>
      <c r="AH144" s="16">
        <f t="shared" si="386"/>
        <v>0</v>
      </c>
      <c r="AI144" s="16">
        <f t="shared" si="386"/>
        <v>0</v>
      </c>
      <c r="AJ144" s="16">
        <f t="shared" si="386"/>
        <v>0</v>
      </c>
      <c r="AK144" s="16">
        <f t="shared" si="386"/>
        <v>0</v>
      </c>
      <c r="AL144" s="16">
        <f t="shared" si="386"/>
        <v>0</v>
      </c>
      <c r="AM144" s="16">
        <f t="shared" si="386"/>
        <v>0</v>
      </c>
      <c r="AN144" s="16">
        <f t="shared" si="386"/>
        <v>0</v>
      </c>
      <c r="AO144" s="16">
        <f t="shared" si="386"/>
        <v>0</v>
      </c>
      <c r="AP144" s="16">
        <f t="shared" si="386"/>
        <v>0</v>
      </c>
      <c r="AQ144" s="16">
        <f t="shared" si="386"/>
        <v>0</v>
      </c>
      <c r="AR144" s="16">
        <f t="shared" si="386"/>
        <v>0</v>
      </c>
      <c r="AS144" s="16">
        <f t="shared" si="386"/>
        <v>0</v>
      </c>
      <c r="AT144" s="16">
        <f t="shared" si="386"/>
        <v>0</v>
      </c>
      <c r="AU144" s="16">
        <f t="shared" si="386"/>
        <v>0</v>
      </c>
      <c r="AV144" s="16">
        <f t="shared" si="386"/>
        <v>0</v>
      </c>
      <c r="AW144" s="16">
        <f t="shared" si="386"/>
        <v>0</v>
      </c>
      <c r="AX144" s="13">
        <f t="shared" si="386"/>
        <v>0</v>
      </c>
      <c r="AY144" s="13">
        <f t="shared" si="386"/>
        <v>0</v>
      </c>
      <c r="AZ144" s="13">
        <f t="shared" si="386"/>
        <v>0</v>
      </c>
      <c r="BA144" s="13">
        <f t="shared" si="386"/>
        <v>0</v>
      </c>
      <c r="BB144" s="13">
        <f t="shared" si="386"/>
        <v>0</v>
      </c>
      <c r="BC144" s="13">
        <f t="shared" si="386"/>
        <v>0</v>
      </c>
      <c r="BD144" s="13">
        <f t="shared" si="386"/>
        <v>0</v>
      </c>
      <c r="BE144" s="13">
        <f t="shared" si="386"/>
        <v>0</v>
      </c>
      <c r="BF144" s="13">
        <f t="shared" si="386"/>
        <v>0</v>
      </c>
      <c r="BG144" s="13">
        <f t="shared" si="386"/>
        <v>0</v>
      </c>
      <c r="BH144" s="169">
        <f t="shared" si="386"/>
        <v>0</v>
      </c>
      <c r="BI144" s="167">
        <f t="shared" si="386"/>
        <v>0</v>
      </c>
      <c r="BJ144" s="16">
        <f t="shared" si="386"/>
        <v>0</v>
      </c>
      <c r="BK144" s="16">
        <f t="shared" si="386"/>
        <v>0</v>
      </c>
      <c r="BL144" s="16">
        <f t="shared" si="386"/>
        <v>0</v>
      </c>
      <c r="BM144" s="16">
        <f t="shared" si="386"/>
        <v>0</v>
      </c>
      <c r="BN144" s="16">
        <f t="shared" si="386"/>
        <v>0</v>
      </c>
      <c r="BO144" s="16">
        <f t="shared" si="386"/>
        <v>0</v>
      </c>
      <c r="BP144" s="16">
        <f t="shared" si="386"/>
        <v>0</v>
      </c>
      <c r="BQ144" s="16">
        <f t="shared" si="386"/>
        <v>0</v>
      </c>
      <c r="BR144" s="16">
        <f t="shared" si="386"/>
        <v>0</v>
      </c>
      <c r="BS144" s="13">
        <f t="shared" si="386"/>
        <v>0</v>
      </c>
      <c r="BT144" s="13">
        <f t="shared" si="386"/>
        <v>0</v>
      </c>
      <c r="BU144" s="169">
        <f t="shared" ref="BU144:CA144" si="387">SUMIF($F$12:$F$452,"=3114",BU$12:BU$452)</f>
        <v>0</v>
      </c>
      <c r="BV144" s="167">
        <f t="shared" si="387"/>
        <v>0</v>
      </c>
      <c r="BW144" s="16">
        <f t="shared" si="387"/>
        <v>0</v>
      </c>
      <c r="BX144" s="16">
        <f t="shared" si="387"/>
        <v>0</v>
      </c>
      <c r="BY144" s="16">
        <f t="shared" si="387"/>
        <v>0</v>
      </c>
      <c r="BZ144" s="16">
        <f t="shared" si="387"/>
        <v>0</v>
      </c>
      <c r="CA144" s="17">
        <f t="shared" si="387"/>
        <v>0</v>
      </c>
    </row>
    <row r="145" spans="4:79" s="89" customFormat="1" ht="12.95" customHeight="1" x14ac:dyDescent="0.25">
      <c r="D145" s="311"/>
      <c r="E145" s="312"/>
      <c r="F145" s="311"/>
      <c r="G145" s="313"/>
      <c r="H145" s="2">
        <v>3117</v>
      </c>
      <c r="I145" s="167">
        <f t="shared" ref="I145:BT145" si="388">SUMIF($F$12:$F$452,"=3117",I$12:I$452)</f>
        <v>17211448</v>
      </c>
      <c r="J145" s="16">
        <f t="shared" si="388"/>
        <v>12629959</v>
      </c>
      <c r="K145" s="16">
        <f t="shared" si="388"/>
        <v>10981930</v>
      </c>
      <c r="L145" s="16">
        <f t="shared" si="388"/>
        <v>1648029</v>
      </c>
      <c r="M145" s="16">
        <f t="shared" si="388"/>
        <v>14600</v>
      </c>
      <c r="N145" s="16">
        <f t="shared" si="388"/>
        <v>5000</v>
      </c>
      <c r="O145" s="16">
        <f t="shared" si="388"/>
        <v>9600</v>
      </c>
      <c r="P145" s="16">
        <f t="shared" si="388"/>
        <v>4273860</v>
      </c>
      <c r="Q145" s="16">
        <f t="shared" si="388"/>
        <v>126300</v>
      </c>
      <c r="R145" s="16">
        <f t="shared" si="388"/>
        <v>166729</v>
      </c>
      <c r="S145" s="13">
        <f t="shared" si="388"/>
        <v>24.354199999999999</v>
      </c>
      <c r="T145" s="13">
        <f t="shared" si="388"/>
        <v>19.839800000000004</v>
      </c>
      <c r="U145" s="17">
        <f t="shared" si="388"/>
        <v>4.5143999999999993</v>
      </c>
      <c r="V145" s="168">
        <f t="shared" si="388"/>
        <v>0</v>
      </c>
      <c r="W145" s="16">
        <f t="shared" si="388"/>
        <v>0</v>
      </c>
      <c r="X145" s="16">
        <f t="shared" si="388"/>
        <v>0</v>
      </c>
      <c r="Y145" s="16">
        <f t="shared" si="388"/>
        <v>0</v>
      </c>
      <c r="Z145" s="16">
        <f t="shared" si="388"/>
        <v>0</v>
      </c>
      <c r="AA145" s="16">
        <f t="shared" si="388"/>
        <v>0</v>
      </c>
      <c r="AB145" s="16">
        <f t="shared" si="388"/>
        <v>0</v>
      </c>
      <c r="AC145" s="16">
        <f t="shared" si="388"/>
        <v>0</v>
      </c>
      <c r="AD145" s="16">
        <f t="shared" si="388"/>
        <v>0</v>
      </c>
      <c r="AE145" s="16">
        <f t="shared" si="388"/>
        <v>0</v>
      </c>
      <c r="AF145" s="16">
        <f t="shared" si="388"/>
        <v>0</v>
      </c>
      <c r="AG145" s="16">
        <f t="shared" si="388"/>
        <v>0</v>
      </c>
      <c r="AH145" s="16">
        <f t="shared" si="388"/>
        <v>0</v>
      </c>
      <c r="AI145" s="16">
        <f t="shared" si="388"/>
        <v>0</v>
      </c>
      <c r="AJ145" s="16">
        <f t="shared" si="388"/>
        <v>0</v>
      </c>
      <c r="AK145" s="16">
        <f t="shared" si="388"/>
        <v>0</v>
      </c>
      <c r="AL145" s="16">
        <f t="shared" si="388"/>
        <v>0</v>
      </c>
      <c r="AM145" s="16">
        <f t="shared" si="388"/>
        <v>0</v>
      </c>
      <c r="AN145" s="16">
        <f t="shared" si="388"/>
        <v>0</v>
      </c>
      <c r="AO145" s="16">
        <f t="shared" si="388"/>
        <v>0</v>
      </c>
      <c r="AP145" s="16">
        <f t="shared" si="388"/>
        <v>0</v>
      </c>
      <c r="AQ145" s="16">
        <f t="shared" si="388"/>
        <v>0</v>
      </c>
      <c r="AR145" s="16">
        <f t="shared" si="388"/>
        <v>0</v>
      </c>
      <c r="AS145" s="16">
        <f t="shared" si="388"/>
        <v>0</v>
      </c>
      <c r="AT145" s="16">
        <f t="shared" si="388"/>
        <v>0</v>
      </c>
      <c r="AU145" s="16">
        <f t="shared" si="388"/>
        <v>0</v>
      </c>
      <c r="AV145" s="16">
        <f t="shared" si="388"/>
        <v>0</v>
      </c>
      <c r="AW145" s="16">
        <f t="shared" si="388"/>
        <v>0</v>
      </c>
      <c r="AX145" s="13">
        <f t="shared" si="388"/>
        <v>0</v>
      </c>
      <c r="AY145" s="13">
        <f t="shared" si="388"/>
        <v>0</v>
      </c>
      <c r="AZ145" s="13">
        <f t="shared" si="388"/>
        <v>0</v>
      </c>
      <c r="BA145" s="13">
        <f t="shared" si="388"/>
        <v>0</v>
      </c>
      <c r="BB145" s="13">
        <f t="shared" si="388"/>
        <v>0</v>
      </c>
      <c r="BC145" s="13">
        <f t="shared" si="388"/>
        <v>0</v>
      </c>
      <c r="BD145" s="13">
        <f t="shared" si="388"/>
        <v>0</v>
      </c>
      <c r="BE145" s="13">
        <f t="shared" si="388"/>
        <v>0</v>
      </c>
      <c r="BF145" s="13">
        <f t="shared" si="388"/>
        <v>0</v>
      </c>
      <c r="BG145" s="13">
        <f t="shared" si="388"/>
        <v>0</v>
      </c>
      <c r="BH145" s="169">
        <f t="shared" si="388"/>
        <v>0</v>
      </c>
      <c r="BI145" s="167">
        <f t="shared" si="388"/>
        <v>17211448</v>
      </c>
      <c r="BJ145" s="16">
        <f t="shared" si="388"/>
        <v>12629959</v>
      </c>
      <c r="BK145" s="16">
        <f t="shared" si="388"/>
        <v>10981930</v>
      </c>
      <c r="BL145" s="16">
        <f t="shared" si="388"/>
        <v>1648029</v>
      </c>
      <c r="BM145" s="16">
        <f t="shared" si="388"/>
        <v>14600</v>
      </c>
      <c r="BN145" s="16">
        <f t="shared" si="388"/>
        <v>5000</v>
      </c>
      <c r="BO145" s="16">
        <f t="shared" si="388"/>
        <v>9600</v>
      </c>
      <c r="BP145" s="16">
        <f t="shared" si="388"/>
        <v>4273860</v>
      </c>
      <c r="BQ145" s="16">
        <f t="shared" si="388"/>
        <v>126300</v>
      </c>
      <c r="BR145" s="16">
        <f t="shared" si="388"/>
        <v>166729</v>
      </c>
      <c r="BS145" s="13">
        <f t="shared" si="388"/>
        <v>24.354199999999999</v>
      </c>
      <c r="BT145" s="13">
        <f t="shared" si="388"/>
        <v>19.839800000000004</v>
      </c>
      <c r="BU145" s="169">
        <f t="shared" ref="BU145:CA145" si="389">SUMIF($F$12:$F$452,"=3117",BU$12:BU$452)</f>
        <v>4.5143999999999993</v>
      </c>
      <c r="BV145" s="167">
        <f t="shared" si="389"/>
        <v>0</v>
      </c>
      <c r="BW145" s="16">
        <f t="shared" si="389"/>
        <v>0</v>
      </c>
      <c r="BX145" s="16">
        <f t="shared" si="389"/>
        <v>0</v>
      </c>
      <c r="BY145" s="16">
        <f t="shared" si="389"/>
        <v>0</v>
      </c>
      <c r="BZ145" s="16">
        <f t="shared" si="389"/>
        <v>0</v>
      </c>
      <c r="CA145" s="17">
        <f t="shared" si="389"/>
        <v>0</v>
      </c>
    </row>
    <row r="146" spans="4:79" s="89" customFormat="1" ht="12.95" customHeight="1" x14ac:dyDescent="0.25">
      <c r="D146" s="311"/>
      <c r="E146" s="312"/>
      <c r="F146" s="311"/>
      <c r="G146" s="313"/>
      <c r="H146" s="2">
        <v>3122</v>
      </c>
      <c r="I146" s="167">
        <f t="shared" ref="I146:BT146" si="390">SUMIF($F$12:$F$452,"=3122",I$12:I$452)</f>
        <v>0</v>
      </c>
      <c r="J146" s="16">
        <f t="shared" si="390"/>
        <v>0</v>
      </c>
      <c r="K146" s="16">
        <f t="shared" si="390"/>
        <v>0</v>
      </c>
      <c r="L146" s="16">
        <f t="shared" si="390"/>
        <v>0</v>
      </c>
      <c r="M146" s="16">
        <f t="shared" si="390"/>
        <v>0</v>
      </c>
      <c r="N146" s="16">
        <f t="shared" si="390"/>
        <v>0</v>
      </c>
      <c r="O146" s="16">
        <f t="shared" si="390"/>
        <v>0</v>
      </c>
      <c r="P146" s="16">
        <f t="shared" si="390"/>
        <v>0</v>
      </c>
      <c r="Q146" s="16">
        <f t="shared" si="390"/>
        <v>0</v>
      </c>
      <c r="R146" s="16">
        <f t="shared" si="390"/>
        <v>0</v>
      </c>
      <c r="S146" s="13">
        <f t="shared" si="390"/>
        <v>0</v>
      </c>
      <c r="T146" s="13">
        <f t="shared" si="390"/>
        <v>0</v>
      </c>
      <c r="U146" s="17">
        <f t="shared" si="390"/>
        <v>0</v>
      </c>
      <c r="V146" s="168">
        <f t="shared" si="390"/>
        <v>0</v>
      </c>
      <c r="W146" s="16">
        <f t="shared" si="390"/>
        <v>0</v>
      </c>
      <c r="X146" s="16">
        <f t="shared" si="390"/>
        <v>0</v>
      </c>
      <c r="Y146" s="16">
        <f t="shared" si="390"/>
        <v>0</v>
      </c>
      <c r="Z146" s="16">
        <f t="shared" si="390"/>
        <v>0</v>
      </c>
      <c r="AA146" s="16">
        <f t="shared" si="390"/>
        <v>0</v>
      </c>
      <c r="AB146" s="16">
        <f t="shared" si="390"/>
        <v>0</v>
      </c>
      <c r="AC146" s="16">
        <f t="shared" si="390"/>
        <v>0</v>
      </c>
      <c r="AD146" s="16">
        <f t="shared" si="390"/>
        <v>0</v>
      </c>
      <c r="AE146" s="16">
        <f t="shared" si="390"/>
        <v>0</v>
      </c>
      <c r="AF146" s="16">
        <f t="shared" si="390"/>
        <v>0</v>
      </c>
      <c r="AG146" s="16">
        <f t="shared" si="390"/>
        <v>0</v>
      </c>
      <c r="AH146" s="16">
        <f t="shared" si="390"/>
        <v>0</v>
      </c>
      <c r="AI146" s="16">
        <f t="shared" si="390"/>
        <v>0</v>
      </c>
      <c r="AJ146" s="16">
        <f t="shared" si="390"/>
        <v>0</v>
      </c>
      <c r="AK146" s="16">
        <f t="shared" si="390"/>
        <v>0</v>
      </c>
      <c r="AL146" s="16">
        <f t="shared" si="390"/>
        <v>0</v>
      </c>
      <c r="AM146" s="16">
        <f t="shared" si="390"/>
        <v>0</v>
      </c>
      <c r="AN146" s="16">
        <f t="shared" si="390"/>
        <v>0</v>
      </c>
      <c r="AO146" s="16">
        <f t="shared" si="390"/>
        <v>0</v>
      </c>
      <c r="AP146" s="16">
        <f t="shared" si="390"/>
        <v>0</v>
      </c>
      <c r="AQ146" s="16">
        <f t="shared" si="390"/>
        <v>0</v>
      </c>
      <c r="AR146" s="16">
        <f t="shared" si="390"/>
        <v>0</v>
      </c>
      <c r="AS146" s="16">
        <f t="shared" si="390"/>
        <v>0</v>
      </c>
      <c r="AT146" s="16">
        <f t="shared" si="390"/>
        <v>0</v>
      </c>
      <c r="AU146" s="16">
        <f t="shared" si="390"/>
        <v>0</v>
      </c>
      <c r="AV146" s="16">
        <f t="shared" si="390"/>
        <v>0</v>
      </c>
      <c r="AW146" s="16">
        <f t="shared" si="390"/>
        <v>0</v>
      </c>
      <c r="AX146" s="13">
        <f t="shared" si="390"/>
        <v>0</v>
      </c>
      <c r="AY146" s="13">
        <f t="shared" si="390"/>
        <v>0</v>
      </c>
      <c r="AZ146" s="13">
        <f t="shared" si="390"/>
        <v>0</v>
      </c>
      <c r="BA146" s="13">
        <f t="shared" si="390"/>
        <v>0</v>
      </c>
      <c r="BB146" s="13">
        <f t="shared" si="390"/>
        <v>0</v>
      </c>
      <c r="BC146" s="13">
        <f t="shared" si="390"/>
        <v>0</v>
      </c>
      <c r="BD146" s="13">
        <f t="shared" si="390"/>
        <v>0</v>
      </c>
      <c r="BE146" s="13">
        <f t="shared" si="390"/>
        <v>0</v>
      </c>
      <c r="BF146" s="13">
        <f t="shared" si="390"/>
        <v>0</v>
      </c>
      <c r="BG146" s="13">
        <f t="shared" si="390"/>
        <v>0</v>
      </c>
      <c r="BH146" s="169">
        <f t="shared" si="390"/>
        <v>0</v>
      </c>
      <c r="BI146" s="167">
        <f t="shared" si="390"/>
        <v>0</v>
      </c>
      <c r="BJ146" s="16">
        <f t="shared" si="390"/>
        <v>0</v>
      </c>
      <c r="BK146" s="16">
        <f t="shared" si="390"/>
        <v>0</v>
      </c>
      <c r="BL146" s="16">
        <f t="shared" si="390"/>
        <v>0</v>
      </c>
      <c r="BM146" s="16">
        <f t="shared" si="390"/>
        <v>0</v>
      </c>
      <c r="BN146" s="16">
        <f t="shared" si="390"/>
        <v>0</v>
      </c>
      <c r="BO146" s="16">
        <f t="shared" si="390"/>
        <v>0</v>
      </c>
      <c r="BP146" s="16">
        <f t="shared" si="390"/>
        <v>0</v>
      </c>
      <c r="BQ146" s="16">
        <f t="shared" si="390"/>
        <v>0</v>
      </c>
      <c r="BR146" s="16">
        <f t="shared" si="390"/>
        <v>0</v>
      </c>
      <c r="BS146" s="13">
        <f t="shared" si="390"/>
        <v>0</v>
      </c>
      <c r="BT146" s="13">
        <f t="shared" si="390"/>
        <v>0</v>
      </c>
      <c r="BU146" s="169">
        <f t="shared" ref="BU146:CA146" si="391">SUMIF($F$12:$F$452,"=3122",BU$12:BU$452)</f>
        <v>0</v>
      </c>
      <c r="BV146" s="167">
        <f t="shared" si="391"/>
        <v>0</v>
      </c>
      <c r="BW146" s="16">
        <f t="shared" si="391"/>
        <v>0</v>
      </c>
      <c r="BX146" s="16">
        <f t="shared" si="391"/>
        <v>0</v>
      </c>
      <c r="BY146" s="16">
        <f t="shared" si="391"/>
        <v>0</v>
      </c>
      <c r="BZ146" s="16">
        <f t="shared" si="391"/>
        <v>0</v>
      </c>
      <c r="CA146" s="17">
        <f t="shared" si="391"/>
        <v>0</v>
      </c>
    </row>
    <row r="147" spans="4:79" s="89" customFormat="1" ht="12.95" customHeight="1" x14ac:dyDescent="0.25">
      <c r="D147" s="311"/>
      <c r="E147" s="312"/>
      <c r="F147" s="311"/>
      <c r="G147" s="313"/>
      <c r="H147" s="2">
        <v>3124</v>
      </c>
      <c r="I147" s="167">
        <f t="shared" ref="I147:BT147" si="392">SUMIF($F$12:$F$452,"=3124",I$12:I$452)</f>
        <v>0</v>
      </c>
      <c r="J147" s="16">
        <f t="shared" si="392"/>
        <v>0</v>
      </c>
      <c r="K147" s="16">
        <f t="shared" si="392"/>
        <v>0</v>
      </c>
      <c r="L147" s="16">
        <f t="shared" si="392"/>
        <v>0</v>
      </c>
      <c r="M147" s="16">
        <f t="shared" si="392"/>
        <v>0</v>
      </c>
      <c r="N147" s="16">
        <f t="shared" si="392"/>
        <v>0</v>
      </c>
      <c r="O147" s="16">
        <f t="shared" si="392"/>
        <v>0</v>
      </c>
      <c r="P147" s="16">
        <f t="shared" si="392"/>
        <v>0</v>
      </c>
      <c r="Q147" s="16">
        <f t="shared" si="392"/>
        <v>0</v>
      </c>
      <c r="R147" s="16">
        <f t="shared" si="392"/>
        <v>0</v>
      </c>
      <c r="S147" s="13">
        <f t="shared" si="392"/>
        <v>0</v>
      </c>
      <c r="T147" s="13">
        <f t="shared" si="392"/>
        <v>0</v>
      </c>
      <c r="U147" s="17">
        <f t="shared" si="392"/>
        <v>0</v>
      </c>
      <c r="V147" s="168">
        <f t="shared" si="392"/>
        <v>0</v>
      </c>
      <c r="W147" s="16">
        <f t="shared" si="392"/>
        <v>0</v>
      </c>
      <c r="X147" s="16">
        <f t="shared" si="392"/>
        <v>0</v>
      </c>
      <c r="Y147" s="16">
        <f t="shared" si="392"/>
        <v>0</v>
      </c>
      <c r="Z147" s="16">
        <f t="shared" si="392"/>
        <v>0</v>
      </c>
      <c r="AA147" s="16">
        <f t="shared" si="392"/>
        <v>0</v>
      </c>
      <c r="AB147" s="16">
        <f t="shared" si="392"/>
        <v>0</v>
      </c>
      <c r="AC147" s="16">
        <f t="shared" si="392"/>
        <v>0</v>
      </c>
      <c r="AD147" s="16">
        <f t="shared" si="392"/>
        <v>0</v>
      </c>
      <c r="AE147" s="16">
        <f t="shared" si="392"/>
        <v>0</v>
      </c>
      <c r="AF147" s="16">
        <f t="shared" si="392"/>
        <v>0</v>
      </c>
      <c r="AG147" s="16">
        <f t="shared" si="392"/>
        <v>0</v>
      </c>
      <c r="AH147" s="16">
        <f t="shared" si="392"/>
        <v>0</v>
      </c>
      <c r="AI147" s="16">
        <f t="shared" si="392"/>
        <v>0</v>
      </c>
      <c r="AJ147" s="16">
        <f t="shared" si="392"/>
        <v>0</v>
      </c>
      <c r="AK147" s="16">
        <f t="shared" si="392"/>
        <v>0</v>
      </c>
      <c r="AL147" s="16">
        <f t="shared" si="392"/>
        <v>0</v>
      </c>
      <c r="AM147" s="16">
        <f t="shared" si="392"/>
        <v>0</v>
      </c>
      <c r="AN147" s="16">
        <f t="shared" si="392"/>
        <v>0</v>
      </c>
      <c r="AO147" s="16">
        <f t="shared" si="392"/>
        <v>0</v>
      </c>
      <c r="AP147" s="16">
        <f t="shared" si="392"/>
        <v>0</v>
      </c>
      <c r="AQ147" s="16">
        <f t="shared" si="392"/>
        <v>0</v>
      </c>
      <c r="AR147" s="16">
        <f t="shared" si="392"/>
        <v>0</v>
      </c>
      <c r="AS147" s="16">
        <f t="shared" si="392"/>
        <v>0</v>
      </c>
      <c r="AT147" s="16">
        <f t="shared" si="392"/>
        <v>0</v>
      </c>
      <c r="AU147" s="16">
        <f t="shared" si="392"/>
        <v>0</v>
      </c>
      <c r="AV147" s="16">
        <f t="shared" si="392"/>
        <v>0</v>
      </c>
      <c r="AW147" s="16">
        <f t="shared" si="392"/>
        <v>0</v>
      </c>
      <c r="AX147" s="13">
        <f t="shared" si="392"/>
        <v>0</v>
      </c>
      <c r="AY147" s="13">
        <f t="shared" si="392"/>
        <v>0</v>
      </c>
      <c r="AZ147" s="13">
        <f t="shared" si="392"/>
        <v>0</v>
      </c>
      <c r="BA147" s="13">
        <f t="shared" si="392"/>
        <v>0</v>
      </c>
      <c r="BB147" s="13">
        <f t="shared" si="392"/>
        <v>0</v>
      </c>
      <c r="BC147" s="13">
        <f t="shared" si="392"/>
        <v>0</v>
      </c>
      <c r="BD147" s="13">
        <f t="shared" si="392"/>
        <v>0</v>
      </c>
      <c r="BE147" s="13">
        <f t="shared" si="392"/>
        <v>0</v>
      </c>
      <c r="BF147" s="13">
        <f t="shared" si="392"/>
        <v>0</v>
      </c>
      <c r="BG147" s="13">
        <f t="shared" si="392"/>
        <v>0</v>
      </c>
      <c r="BH147" s="169">
        <f t="shared" si="392"/>
        <v>0</v>
      </c>
      <c r="BI147" s="167">
        <f t="shared" si="392"/>
        <v>0</v>
      </c>
      <c r="BJ147" s="16">
        <f t="shared" si="392"/>
        <v>0</v>
      </c>
      <c r="BK147" s="16">
        <f t="shared" si="392"/>
        <v>0</v>
      </c>
      <c r="BL147" s="16">
        <f t="shared" si="392"/>
        <v>0</v>
      </c>
      <c r="BM147" s="16">
        <f t="shared" si="392"/>
        <v>0</v>
      </c>
      <c r="BN147" s="16">
        <f t="shared" si="392"/>
        <v>0</v>
      </c>
      <c r="BO147" s="16">
        <f t="shared" si="392"/>
        <v>0</v>
      </c>
      <c r="BP147" s="16">
        <f t="shared" si="392"/>
        <v>0</v>
      </c>
      <c r="BQ147" s="16">
        <f t="shared" si="392"/>
        <v>0</v>
      </c>
      <c r="BR147" s="16">
        <f t="shared" si="392"/>
        <v>0</v>
      </c>
      <c r="BS147" s="13">
        <f t="shared" si="392"/>
        <v>0</v>
      </c>
      <c r="BT147" s="13">
        <f t="shared" si="392"/>
        <v>0</v>
      </c>
      <c r="BU147" s="169">
        <f t="shared" ref="BU147:CA147" si="393">SUMIF($F$12:$F$452,"=3124",BU$12:BU$452)</f>
        <v>0</v>
      </c>
      <c r="BV147" s="167">
        <f t="shared" si="393"/>
        <v>0</v>
      </c>
      <c r="BW147" s="16">
        <f t="shared" si="393"/>
        <v>0</v>
      </c>
      <c r="BX147" s="16">
        <f t="shared" si="393"/>
        <v>0</v>
      </c>
      <c r="BY147" s="16">
        <f t="shared" si="393"/>
        <v>0</v>
      </c>
      <c r="BZ147" s="16">
        <f t="shared" si="393"/>
        <v>0</v>
      </c>
      <c r="CA147" s="17">
        <f t="shared" si="393"/>
        <v>0</v>
      </c>
    </row>
    <row r="148" spans="4:79" s="89" customFormat="1" ht="12.95" customHeight="1" x14ac:dyDescent="0.25">
      <c r="D148" s="311"/>
      <c r="E148" s="312"/>
      <c r="F148" s="311"/>
      <c r="G148" s="313"/>
      <c r="H148" s="2">
        <v>3141</v>
      </c>
      <c r="I148" s="167">
        <f t="shared" ref="I148:BT148" si="394">SUMIF($F$12:$F$452,"=3141",I$12:I$452)</f>
        <v>13099372</v>
      </c>
      <c r="J148" s="16">
        <f t="shared" si="394"/>
        <v>9654572</v>
      </c>
      <c r="K148" s="16">
        <f t="shared" si="394"/>
        <v>0</v>
      </c>
      <c r="L148" s="16">
        <f t="shared" si="394"/>
        <v>9654572</v>
      </c>
      <c r="M148" s="16">
        <f t="shared" si="394"/>
        <v>15000</v>
      </c>
      <c r="N148" s="16">
        <f t="shared" si="394"/>
        <v>0</v>
      </c>
      <c r="O148" s="16">
        <f t="shared" si="394"/>
        <v>15000</v>
      </c>
      <c r="P148" s="16">
        <f t="shared" si="394"/>
        <v>3268315</v>
      </c>
      <c r="Q148" s="16">
        <f t="shared" si="394"/>
        <v>96542</v>
      </c>
      <c r="R148" s="16">
        <f t="shared" si="394"/>
        <v>64943</v>
      </c>
      <c r="S148" s="13">
        <f t="shared" si="394"/>
        <v>28.980299999999993</v>
      </c>
      <c r="T148" s="13">
        <f t="shared" si="394"/>
        <v>0</v>
      </c>
      <c r="U148" s="17">
        <f t="shared" si="394"/>
        <v>28.980299999999993</v>
      </c>
      <c r="V148" s="168">
        <f t="shared" si="394"/>
        <v>0</v>
      </c>
      <c r="W148" s="16">
        <f t="shared" si="394"/>
        <v>0</v>
      </c>
      <c r="X148" s="16">
        <f t="shared" si="394"/>
        <v>0</v>
      </c>
      <c r="Y148" s="16">
        <f t="shared" si="394"/>
        <v>0</v>
      </c>
      <c r="Z148" s="16">
        <f t="shared" si="394"/>
        <v>0</v>
      </c>
      <c r="AA148" s="16">
        <f t="shared" si="394"/>
        <v>4839371</v>
      </c>
      <c r="AB148" s="16">
        <f t="shared" si="394"/>
        <v>2584</v>
      </c>
      <c r="AC148" s="16">
        <f t="shared" si="394"/>
        <v>0</v>
      </c>
      <c r="AD148" s="16">
        <f t="shared" si="394"/>
        <v>2584</v>
      </c>
      <c r="AE148" s="16">
        <f t="shared" si="394"/>
        <v>4839371</v>
      </c>
      <c r="AF148" s="16">
        <f t="shared" si="394"/>
        <v>4841955</v>
      </c>
      <c r="AG148" s="16">
        <f t="shared" si="394"/>
        <v>0</v>
      </c>
      <c r="AH148" s="16">
        <f t="shared" si="394"/>
        <v>0</v>
      </c>
      <c r="AI148" s="16">
        <f t="shared" si="394"/>
        <v>0</v>
      </c>
      <c r="AJ148" s="16">
        <f t="shared" si="394"/>
        <v>0</v>
      </c>
      <c r="AK148" s="16">
        <f t="shared" si="394"/>
        <v>0</v>
      </c>
      <c r="AL148" s="16">
        <f t="shared" si="394"/>
        <v>0</v>
      </c>
      <c r="AM148" s="16">
        <f t="shared" si="394"/>
        <v>0</v>
      </c>
      <c r="AN148" s="16">
        <f t="shared" si="394"/>
        <v>0</v>
      </c>
      <c r="AO148" s="16">
        <f t="shared" si="394"/>
        <v>2584</v>
      </c>
      <c r="AP148" s="16">
        <f t="shared" si="394"/>
        <v>4839371</v>
      </c>
      <c r="AQ148" s="16">
        <f t="shared" si="394"/>
        <v>4841955</v>
      </c>
      <c r="AR148" s="16">
        <f t="shared" si="394"/>
        <v>1636581</v>
      </c>
      <c r="AS148" s="16">
        <f t="shared" si="394"/>
        <v>48421</v>
      </c>
      <c r="AT148" s="16">
        <f t="shared" si="394"/>
        <v>0</v>
      </c>
      <c r="AU148" s="16">
        <f t="shared" si="394"/>
        <v>31639</v>
      </c>
      <c r="AV148" s="16">
        <f t="shared" si="394"/>
        <v>31639</v>
      </c>
      <c r="AW148" s="16">
        <f t="shared" si="394"/>
        <v>6558596</v>
      </c>
      <c r="AX148" s="13">
        <f t="shared" si="394"/>
        <v>0</v>
      </c>
      <c r="AY148" s="13">
        <f t="shared" si="394"/>
        <v>0</v>
      </c>
      <c r="AZ148" s="13">
        <f t="shared" si="394"/>
        <v>0</v>
      </c>
      <c r="BA148" s="13">
        <f t="shared" si="394"/>
        <v>0</v>
      </c>
      <c r="BB148" s="13">
        <f t="shared" si="394"/>
        <v>14.519999999999998</v>
      </c>
      <c r="BC148" s="13">
        <f t="shared" si="394"/>
        <v>0</v>
      </c>
      <c r="BD148" s="13">
        <f t="shared" si="394"/>
        <v>0</v>
      </c>
      <c r="BE148" s="13">
        <f t="shared" si="394"/>
        <v>0</v>
      </c>
      <c r="BF148" s="13">
        <f t="shared" si="394"/>
        <v>0</v>
      </c>
      <c r="BG148" s="13">
        <f t="shared" si="394"/>
        <v>14.519999999999998</v>
      </c>
      <c r="BH148" s="169">
        <f t="shared" si="394"/>
        <v>14.519999999999998</v>
      </c>
      <c r="BI148" s="167">
        <f t="shared" si="394"/>
        <v>19657968</v>
      </c>
      <c r="BJ148" s="16">
        <f t="shared" si="394"/>
        <v>14496527</v>
      </c>
      <c r="BK148" s="16">
        <f t="shared" si="394"/>
        <v>2584</v>
      </c>
      <c r="BL148" s="16">
        <f t="shared" si="394"/>
        <v>14493943</v>
      </c>
      <c r="BM148" s="16">
        <f t="shared" si="394"/>
        <v>15000</v>
      </c>
      <c r="BN148" s="16">
        <f t="shared" si="394"/>
        <v>0</v>
      </c>
      <c r="BO148" s="16">
        <f t="shared" si="394"/>
        <v>15000</v>
      </c>
      <c r="BP148" s="16">
        <f t="shared" si="394"/>
        <v>4904896</v>
      </c>
      <c r="BQ148" s="16">
        <f t="shared" si="394"/>
        <v>144963</v>
      </c>
      <c r="BR148" s="16">
        <f t="shared" si="394"/>
        <v>96582</v>
      </c>
      <c r="BS148" s="13">
        <f t="shared" si="394"/>
        <v>43.500300000000003</v>
      </c>
      <c r="BT148" s="13">
        <f t="shared" si="394"/>
        <v>0</v>
      </c>
      <c r="BU148" s="169">
        <f t="shared" ref="BU148:CA148" si="395">SUMIF($F$12:$F$452,"=3141",BU$12:BU$452)</f>
        <v>43.500300000000003</v>
      </c>
      <c r="BV148" s="167">
        <f t="shared" si="395"/>
        <v>0</v>
      </c>
      <c r="BW148" s="16">
        <f t="shared" si="395"/>
        <v>0</v>
      </c>
      <c r="BX148" s="16">
        <f t="shared" si="395"/>
        <v>0</v>
      </c>
      <c r="BY148" s="16">
        <f t="shared" si="395"/>
        <v>0</v>
      </c>
      <c r="BZ148" s="16">
        <f t="shared" si="395"/>
        <v>0</v>
      </c>
      <c r="CA148" s="17">
        <f t="shared" si="395"/>
        <v>0</v>
      </c>
    </row>
    <row r="149" spans="4:79" s="89" customFormat="1" ht="12.95" customHeight="1" x14ac:dyDescent="0.25">
      <c r="D149" s="311"/>
      <c r="E149" s="312"/>
      <c r="F149" s="311"/>
      <c r="G149" s="313"/>
      <c r="H149" s="2">
        <v>3143</v>
      </c>
      <c r="I149" s="167">
        <f t="shared" ref="I149:BT149" si="396">SUMIF($F$12:$F$452,"=3143",I$12:I$452)</f>
        <v>16259459</v>
      </c>
      <c r="J149" s="16">
        <f t="shared" si="396"/>
        <v>12052119</v>
      </c>
      <c r="K149" s="16">
        <f t="shared" si="396"/>
        <v>11767922</v>
      </c>
      <c r="L149" s="16">
        <f t="shared" si="396"/>
        <v>284197</v>
      </c>
      <c r="M149" s="16">
        <f t="shared" si="396"/>
        <v>0</v>
      </c>
      <c r="N149" s="16">
        <f t="shared" si="396"/>
        <v>0</v>
      </c>
      <c r="O149" s="16">
        <f t="shared" si="396"/>
        <v>0</v>
      </c>
      <c r="P149" s="16">
        <f t="shared" si="396"/>
        <v>4073618</v>
      </c>
      <c r="Q149" s="16">
        <f t="shared" si="396"/>
        <v>120522</v>
      </c>
      <c r="R149" s="16">
        <f t="shared" si="396"/>
        <v>13200</v>
      </c>
      <c r="S149" s="13">
        <f t="shared" si="396"/>
        <v>24.289700000000007</v>
      </c>
      <c r="T149" s="13">
        <f t="shared" si="396"/>
        <v>23.216800000000003</v>
      </c>
      <c r="U149" s="17">
        <f t="shared" si="396"/>
        <v>1.0729</v>
      </c>
      <c r="V149" s="168">
        <f t="shared" si="396"/>
        <v>0</v>
      </c>
      <c r="W149" s="16">
        <f t="shared" si="396"/>
        <v>0</v>
      </c>
      <c r="X149" s="16">
        <f t="shared" si="396"/>
        <v>0</v>
      </c>
      <c r="Y149" s="16">
        <f t="shared" si="396"/>
        <v>0</v>
      </c>
      <c r="Z149" s="16">
        <f t="shared" si="396"/>
        <v>0</v>
      </c>
      <c r="AA149" s="16">
        <f t="shared" si="396"/>
        <v>142053</v>
      </c>
      <c r="AB149" s="16">
        <f t="shared" si="396"/>
        <v>405</v>
      </c>
      <c r="AC149" s="16">
        <f t="shared" si="396"/>
        <v>0</v>
      </c>
      <c r="AD149" s="16">
        <f t="shared" si="396"/>
        <v>405</v>
      </c>
      <c r="AE149" s="16">
        <f t="shared" si="396"/>
        <v>142053</v>
      </c>
      <c r="AF149" s="16">
        <f t="shared" si="396"/>
        <v>142458</v>
      </c>
      <c r="AG149" s="16">
        <f t="shared" si="396"/>
        <v>0</v>
      </c>
      <c r="AH149" s="16">
        <f t="shared" si="396"/>
        <v>0</v>
      </c>
      <c r="AI149" s="16">
        <f t="shared" si="396"/>
        <v>0</v>
      </c>
      <c r="AJ149" s="16">
        <f t="shared" si="396"/>
        <v>0</v>
      </c>
      <c r="AK149" s="16">
        <f t="shared" si="396"/>
        <v>0</v>
      </c>
      <c r="AL149" s="16">
        <f t="shared" si="396"/>
        <v>0</v>
      </c>
      <c r="AM149" s="16">
        <f t="shared" si="396"/>
        <v>0</v>
      </c>
      <c r="AN149" s="16">
        <f t="shared" si="396"/>
        <v>0</v>
      </c>
      <c r="AO149" s="16">
        <f t="shared" si="396"/>
        <v>405</v>
      </c>
      <c r="AP149" s="16">
        <f t="shared" si="396"/>
        <v>142053</v>
      </c>
      <c r="AQ149" s="16">
        <f t="shared" si="396"/>
        <v>142458</v>
      </c>
      <c r="AR149" s="16">
        <f t="shared" si="396"/>
        <v>48151</v>
      </c>
      <c r="AS149" s="16">
        <f t="shared" si="396"/>
        <v>1425</v>
      </c>
      <c r="AT149" s="16">
        <f t="shared" si="396"/>
        <v>0</v>
      </c>
      <c r="AU149" s="16">
        <f t="shared" si="396"/>
        <v>6600</v>
      </c>
      <c r="AV149" s="16">
        <f t="shared" si="396"/>
        <v>6600</v>
      </c>
      <c r="AW149" s="16">
        <f t="shared" si="396"/>
        <v>198634</v>
      </c>
      <c r="AX149" s="13">
        <f t="shared" si="396"/>
        <v>0</v>
      </c>
      <c r="AY149" s="13">
        <f t="shared" si="396"/>
        <v>0</v>
      </c>
      <c r="AZ149" s="13">
        <f t="shared" si="396"/>
        <v>0</v>
      </c>
      <c r="BA149" s="13">
        <f t="shared" si="396"/>
        <v>0</v>
      </c>
      <c r="BB149" s="13">
        <f t="shared" si="396"/>
        <v>0.54</v>
      </c>
      <c r="BC149" s="13">
        <f t="shared" si="396"/>
        <v>0</v>
      </c>
      <c r="BD149" s="13">
        <f t="shared" si="396"/>
        <v>0</v>
      </c>
      <c r="BE149" s="13">
        <f t="shared" si="396"/>
        <v>0</v>
      </c>
      <c r="BF149" s="13">
        <f t="shared" si="396"/>
        <v>0</v>
      </c>
      <c r="BG149" s="13">
        <f t="shared" si="396"/>
        <v>0.54</v>
      </c>
      <c r="BH149" s="169">
        <f t="shared" si="396"/>
        <v>0.54</v>
      </c>
      <c r="BI149" s="167">
        <f t="shared" si="396"/>
        <v>16458093</v>
      </c>
      <c r="BJ149" s="16">
        <f t="shared" si="396"/>
        <v>12194577</v>
      </c>
      <c r="BK149" s="16">
        <f t="shared" si="396"/>
        <v>11768327</v>
      </c>
      <c r="BL149" s="16">
        <f t="shared" si="396"/>
        <v>426250</v>
      </c>
      <c r="BM149" s="16">
        <f t="shared" si="396"/>
        <v>0</v>
      </c>
      <c r="BN149" s="16">
        <f t="shared" si="396"/>
        <v>0</v>
      </c>
      <c r="BO149" s="16">
        <f t="shared" si="396"/>
        <v>0</v>
      </c>
      <c r="BP149" s="16">
        <f t="shared" si="396"/>
        <v>4121769</v>
      </c>
      <c r="BQ149" s="16">
        <f t="shared" si="396"/>
        <v>121947</v>
      </c>
      <c r="BR149" s="16">
        <f t="shared" si="396"/>
        <v>19800</v>
      </c>
      <c r="BS149" s="13">
        <f t="shared" si="396"/>
        <v>24.829700000000003</v>
      </c>
      <c r="BT149" s="13">
        <f t="shared" si="396"/>
        <v>23.216800000000003</v>
      </c>
      <c r="BU149" s="169">
        <f t="shared" ref="BU149:CA149" si="397">SUMIF($F$12:$F$452,"=3143",BU$12:BU$452)</f>
        <v>1.6129</v>
      </c>
      <c r="BV149" s="167">
        <f t="shared" si="397"/>
        <v>0</v>
      </c>
      <c r="BW149" s="16">
        <f t="shared" si="397"/>
        <v>0</v>
      </c>
      <c r="BX149" s="16">
        <f t="shared" si="397"/>
        <v>0</v>
      </c>
      <c r="BY149" s="16">
        <f t="shared" si="397"/>
        <v>0</v>
      </c>
      <c r="BZ149" s="16">
        <f t="shared" si="397"/>
        <v>0</v>
      </c>
      <c r="CA149" s="17">
        <f t="shared" si="397"/>
        <v>0</v>
      </c>
    </row>
    <row r="150" spans="4:79" s="89" customFormat="1" ht="12.95" customHeight="1" x14ac:dyDescent="0.25">
      <c r="D150" s="311"/>
      <c r="E150" s="312"/>
      <c r="F150" s="311"/>
      <c r="G150" s="313"/>
      <c r="H150" s="2">
        <v>3231</v>
      </c>
      <c r="I150" s="167">
        <f t="shared" ref="I150:BT150" si="398">SUMIF($F$12:$F$452,"=3231",I$12:I$452)</f>
        <v>22505169</v>
      </c>
      <c r="J150" s="16">
        <f t="shared" si="398"/>
        <v>16664149</v>
      </c>
      <c r="K150" s="16">
        <f t="shared" si="398"/>
        <v>16029353</v>
      </c>
      <c r="L150" s="16">
        <f t="shared" si="398"/>
        <v>634796</v>
      </c>
      <c r="M150" s="16">
        <f t="shared" si="398"/>
        <v>8400</v>
      </c>
      <c r="N150" s="16">
        <f t="shared" si="398"/>
        <v>8400</v>
      </c>
      <c r="O150" s="16">
        <f t="shared" si="398"/>
        <v>0</v>
      </c>
      <c r="P150" s="16">
        <f t="shared" si="398"/>
        <v>5635322</v>
      </c>
      <c r="Q150" s="16">
        <f t="shared" si="398"/>
        <v>166642</v>
      </c>
      <c r="R150" s="16">
        <f t="shared" si="398"/>
        <v>30656</v>
      </c>
      <c r="S150" s="13">
        <f t="shared" si="398"/>
        <v>27.143599999999999</v>
      </c>
      <c r="T150" s="13">
        <f t="shared" si="398"/>
        <v>25.362400000000001</v>
      </c>
      <c r="U150" s="17">
        <f t="shared" si="398"/>
        <v>1.7812000000000001</v>
      </c>
      <c r="V150" s="168">
        <f t="shared" si="398"/>
        <v>0</v>
      </c>
      <c r="W150" s="16">
        <f t="shared" si="398"/>
        <v>0</v>
      </c>
      <c r="X150" s="16">
        <f t="shared" si="398"/>
        <v>0</v>
      </c>
      <c r="Y150" s="16">
        <f t="shared" si="398"/>
        <v>0</v>
      </c>
      <c r="Z150" s="16">
        <f t="shared" si="398"/>
        <v>0</v>
      </c>
      <c r="AA150" s="16">
        <f t="shared" si="398"/>
        <v>0</v>
      </c>
      <c r="AB150" s="16">
        <f t="shared" si="398"/>
        <v>0</v>
      </c>
      <c r="AC150" s="16">
        <f t="shared" si="398"/>
        <v>0</v>
      </c>
      <c r="AD150" s="16">
        <f t="shared" si="398"/>
        <v>0</v>
      </c>
      <c r="AE150" s="16">
        <f t="shared" si="398"/>
        <v>0</v>
      </c>
      <c r="AF150" s="16">
        <f t="shared" si="398"/>
        <v>0</v>
      </c>
      <c r="AG150" s="16">
        <f t="shared" si="398"/>
        <v>0</v>
      </c>
      <c r="AH150" s="16">
        <f t="shared" si="398"/>
        <v>0</v>
      </c>
      <c r="AI150" s="16">
        <f t="shared" si="398"/>
        <v>0</v>
      </c>
      <c r="AJ150" s="16">
        <f t="shared" si="398"/>
        <v>0</v>
      </c>
      <c r="AK150" s="16">
        <f t="shared" si="398"/>
        <v>0</v>
      </c>
      <c r="AL150" s="16">
        <f t="shared" si="398"/>
        <v>0</v>
      </c>
      <c r="AM150" s="16">
        <f t="shared" si="398"/>
        <v>0</v>
      </c>
      <c r="AN150" s="16">
        <f t="shared" si="398"/>
        <v>0</v>
      </c>
      <c r="AO150" s="16">
        <f t="shared" si="398"/>
        <v>0</v>
      </c>
      <c r="AP150" s="16">
        <f t="shared" si="398"/>
        <v>0</v>
      </c>
      <c r="AQ150" s="16">
        <f t="shared" si="398"/>
        <v>0</v>
      </c>
      <c r="AR150" s="16">
        <f t="shared" si="398"/>
        <v>0</v>
      </c>
      <c r="AS150" s="16">
        <f t="shared" si="398"/>
        <v>0</v>
      </c>
      <c r="AT150" s="16">
        <f t="shared" si="398"/>
        <v>0</v>
      </c>
      <c r="AU150" s="16">
        <f t="shared" si="398"/>
        <v>0</v>
      </c>
      <c r="AV150" s="16">
        <f t="shared" si="398"/>
        <v>0</v>
      </c>
      <c r="AW150" s="16">
        <f t="shared" si="398"/>
        <v>0</v>
      </c>
      <c r="AX150" s="13">
        <f t="shared" si="398"/>
        <v>0</v>
      </c>
      <c r="AY150" s="13">
        <f t="shared" si="398"/>
        <v>0</v>
      </c>
      <c r="AZ150" s="13">
        <f t="shared" si="398"/>
        <v>0</v>
      </c>
      <c r="BA150" s="13">
        <f t="shared" si="398"/>
        <v>0</v>
      </c>
      <c r="BB150" s="13">
        <f t="shared" si="398"/>
        <v>0</v>
      </c>
      <c r="BC150" s="13">
        <f t="shared" si="398"/>
        <v>0</v>
      </c>
      <c r="BD150" s="13">
        <f t="shared" si="398"/>
        <v>0</v>
      </c>
      <c r="BE150" s="13">
        <f t="shared" si="398"/>
        <v>0</v>
      </c>
      <c r="BF150" s="13">
        <f t="shared" si="398"/>
        <v>0</v>
      </c>
      <c r="BG150" s="13">
        <f t="shared" si="398"/>
        <v>0</v>
      </c>
      <c r="BH150" s="169">
        <f t="shared" si="398"/>
        <v>0</v>
      </c>
      <c r="BI150" s="167">
        <f t="shared" si="398"/>
        <v>22505169</v>
      </c>
      <c r="BJ150" s="16">
        <f t="shared" si="398"/>
        <v>16664149</v>
      </c>
      <c r="BK150" s="16">
        <f t="shared" si="398"/>
        <v>16029353</v>
      </c>
      <c r="BL150" s="16">
        <f t="shared" si="398"/>
        <v>634796</v>
      </c>
      <c r="BM150" s="16">
        <f t="shared" si="398"/>
        <v>8400</v>
      </c>
      <c r="BN150" s="16">
        <f t="shared" si="398"/>
        <v>8400</v>
      </c>
      <c r="BO150" s="16">
        <f t="shared" si="398"/>
        <v>0</v>
      </c>
      <c r="BP150" s="16">
        <f t="shared" si="398"/>
        <v>5635322</v>
      </c>
      <c r="BQ150" s="16">
        <f t="shared" si="398"/>
        <v>166642</v>
      </c>
      <c r="BR150" s="16">
        <f t="shared" si="398"/>
        <v>30656</v>
      </c>
      <c r="BS150" s="13">
        <f t="shared" si="398"/>
        <v>27.143599999999999</v>
      </c>
      <c r="BT150" s="13">
        <f t="shared" si="398"/>
        <v>25.362400000000001</v>
      </c>
      <c r="BU150" s="169">
        <f t="shared" ref="BU150:CA150" si="399">SUMIF($F$12:$F$452,"=3231",BU$12:BU$452)</f>
        <v>1.7812000000000001</v>
      </c>
      <c r="BV150" s="167">
        <f t="shared" si="399"/>
        <v>0</v>
      </c>
      <c r="BW150" s="16">
        <f t="shared" si="399"/>
        <v>0</v>
      </c>
      <c r="BX150" s="16">
        <f t="shared" si="399"/>
        <v>0</v>
      </c>
      <c r="BY150" s="16">
        <f t="shared" si="399"/>
        <v>0</v>
      </c>
      <c r="BZ150" s="16">
        <f t="shared" si="399"/>
        <v>0</v>
      </c>
      <c r="CA150" s="17">
        <f t="shared" si="399"/>
        <v>0</v>
      </c>
    </row>
    <row r="151" spans="4:79" s="89" customFormat="1" ht="12.95" customHeight="1" thickBot="1" x14ac:dyDescent="0.3">
      <c r="D151" s="311"/>
      <c r="E151" s="312"/>
      <c r="F151" s="311"/>
      <c r="G151" s="313"/>
      <c r="H151" s="151">
        <v>3233</v>
      </c>
      <c r="I151" s="170">
        <f t="shared" ref="I151:BT151" si="400">SUMIF($F$12:$F$452,"=3233",I$12:I$452)</f>
        <v>2307836</v>
      </c>
      <c r="J151" s="171">
        <f t="shared" si="400"/>
        <v>1710950</v>
      </c>
      <c r="K151" s="171">
        <f t="shared" si="400"/>
        <v>1484806</v>
      </c>
      <c r="L151" s="171">
        <f t="shared" si="400"/>
        <v>226144</v>
      </c>
      <c r="M151" s="171">
        <f t="shared" si="400"/>
        <v>0</v>
      </c>
      <c r="N151" s="171">
        <f t="shared" si="400"/>
        <v>0</v>
      </c>
      <c r="O151" s="171">
        <f t="shared" si="400"/>
        <v>0</v>
      </c>
      <c r="P151" s="171">
        <f t="shared" si="400"/>
        <v>578301</v>
      </c>
      <c r="Q151" s="171">
        <f t="shared" si="400"/>
        <v>17110</v>
      </c>
      <c r="R151" s="171">
        <f t="shared" si="400"/>
        <v>1475</v>
      </c>
      <c r="S151" s="172">
        <f t="shared" si="400"/>
        <v>3.42</v>
      </c>
      <c r="T151" s="172">
        <f t="shared" si="400"/>
        <v>2.69</v>
      </c>
      <c r="U151" s="173">
        <f t="shared" si="400"/>
        <v>0.73</v>
      </c>
      <c r="V151" s="174">
        <f t="shared" si="400"/>
        <v>0</v>
      </c>
      <c r="W151" s="171">
        <f t="shared" si="400"/>
        <v>0</v>
      </c>
      <c r="X151" s="171">
        <f t="shared" si="400"/>
        <v>0</v>
      </c>
      <c r="Y151" s="171">
        <f t="shared" si="400"/>
        <v>0</v>
      </c>
      <c r="Z151" s="171">
        <f t="shared" si="400"/>
        <v>0</v>
      </c>
      <c r="AA151" s="171">
        <f t="shared" si="400"/>
        <v>113061</v>
      </c>
      <c r="AB151" s="171">
        <f t="shared" si="400"/>
        <v>0</v>
      </c>
      <c r="AC151" s="171">
        <f t="shared" si="400"/>
        <v>0</v>
      </c>
      <c r="AD151" s="171">
        <f t="shared" si="400"/>
        <v>0</v>
      </c>
      <c r="AE151" s="171">
        <f t="shared" si="400"/>
        <v>113061</v>
      </c>
      <c r="AF151" s="171">
        <f t="shared" si="400"/>
        <v>113061</v>
      </c>
      <c r="AG151" s="171">
        <f t="shared" si="400"/>
        <v>0</v>
      </c>
      <c r="AH151" s="171">
        <f t="shared" si="400"/>
        <v>0</v>
      </c>
      <c r="AI151" s="171">
        <f t="shared" si="400"/>
        <v>0</v>
      </c>
      <c r="AJ151" s="171">
        <f t="shared" si="400"/>
        <v>0</v>
      </c>
      <c r="AK151" s="171">
        <f t="shared" si="400"/>
        <v>0</v>
      </c>
      <c r="AL151" s="171">
        <f t="shared" si="400"/>
        <v>0</v>
      </c>
      <c r="AM151" s="171">
        <f t="shared" si="400"/>
        <v>0</v>
      </c>
      <c r="AN151" s="171">
        <f t="shared" si="400"/>
        <v>0</v>
      </c>
      <c r="AO151" s="171">
        <f t="shared" si="400"/>
        <v>0</v>
      </c>
      <c r="AP151" s="171">
        <f t="shared" si="400"/>
        <v>113061</v>
      </c>
      <c r="AQ151" s="171">
        <f t="shared" si="400"/>
        <v>113061</v>
      </c>
      <c r="AR151" s="171">
        <f t="shared" si="400"/>
        <v>38215</v>
      </c>
      <c r="AS151" s="171">
        <f t="shared" si="400"/>
        <v>1131</v>
      </c>
      <c r="AT151" s="171">
        <f t="shared" si="400"/>
        <v>0</v>
      </c>
      <c r="AU151" s="171">
        <f t="shared" si="400"/>
        <v>590</v>
      </c>
      <c r="AV151" s="171">
        <f t="shared" si="400"/>
        <v>590</v>
      </c>
      <c r="AW151" s="171">
        <f t="shared" si="400"/>
        <v>152997</v>
      </c>
      <c r="AX151" s="172">
        <f t="shared" si="400"/>
        <v>0</v>
      </c>
      <c r="AY151" s="172">
        <f t="shared" si="400"/>
        <v>0</v>
      </c>
      <c r="AZ151" s="172">
        <f t="shared" si="400"/>
        <v>0</v>
      </c>
      <c r="BA151" s="172">
        <f t="shared" si="400"/>
        <v>0</v>
      </c>
      <c r="BB151" s="172">
        <f t="shared" si="400"/>
        <v>0.36</v>
      </c>
      <c r="BC151" s="172">
        <f t="shared" si="400"/>
        <v>0</v>
      </c>
      <c r="BD151" s="172">
        <f t="shared" si="400"/>
        <v>0</v>
      </c>
      <c r="BE151" s="172">
        <f t="shared" si="400"/>
        <v>0</v>
      </c>
      <c r="BF151" s="172">
        <f t="shared" si="400"/>
        <v>0</v>
      </c>
      <c r="BG151" s="172">
        <f t="shared" si="400"/>
        <v>0.36</v>
      </c>
      <c r="BH151" s="175">
        <f t="shared" si="400"/>
        <v>0.36</v>
      </c>
      <c r="BI151" s="170">
        <f t="shared" si="400"/>
        <v>2460833</v>
      </c>
      <c r="BJ151" s="171">
        <f t="shared" si="400"/>
        <v>1824011</v>
      </c>
      <c r="BK151" s="171">
        <f t="shared" si="400"/>
        <v>1484806</v>
      </c>
      <c r="BL151" s="171">
        <f t="shared" si="400"/>
        <v>339205</v>
      </c>
      <c r="BM151" s="171">
        <f t="shared" si="400"/>
        <v>0</v>
      </c>
      <c r="BN151" s="171">
        <f t="shared" si="400"/>
        <v>0</v>
      </c>
      <c r="BO151" s="171">
        <f t="shared" si="400"/>
        <v>0</v>
      </c>
      <c r="BP151" s="171">
        <f t="shared" si="400"/>
        <v>616516</v>
      </c>
      <c r="BQ151" s="171">
        <f t="shared" si="400"/>
        <v>18241</v>
      </c>
      <c r="BR151" s="171">
        <f t="shared" si="400"/>
        <v>2065</v>
      </c>
      <c r="BS151" s="172">
        <f t="shared" si="400"/>
        <v>3.78</v>
      </c>
      <c r="BT151" s="172">
        <f t="shared" si="400"/>
        <v>2.69</v>
      </c>
      <c r="BU151" s="175">
        <f t="shared" ref="BU151:CA151" si="401">SUMIF($F$12:$F$452,"=3233",BU$12:BU$452)</f>
        <v>1.0899999999999999</v>
      </c>
      <c r="BV151" s="170">
        <f t="shared" si="401"/>
        <v>0</v>
      </c>
      <c r="BW151" s="171">
        <f t="shared" si="401"/>
        <v>0</v>
      </c>
      <c r="BX151" s="171">
        <f t="shared" si="401"/>
        <v>0</v>
      </c>
      <c r="BY151" s="171">
        <f t="shared" si="401"/>
        <v>0</v>
      </c>
      <c r="BZ151" s="171">
        <f t="shared" si="401"/>
        <v>0</v>
      </c>
      <c r="CA151" s="173">
        <f t="shared" si="401"/>
        <v>0</v>
      </c>
    </row>
    <row r="152" spans="4:79" ht="12.95" customHeight="1" x14ac:dyDescent="0.25"/>
    <row r="153" spans="4:79" ht="12.95" customHeight="1" x14ac:dyDescent="0.25"/>
    <row r="159" spans="4:79" x14ac:dyDescent="0.25">
      <c r="S159" s="314"/>
      <c r="T159" s="314"/>
      <c r="U159" s="314"/>
    </row>
  </sheetData>
  <mergeCells count="54">
    <mergeCell ref="J9:J10"/>
    <mergeCell ref="K9:L9"/>
    <mergeCell ref="M9:M10"/>
    <mergeCell ref="BR9:BR10"/>
    <mergeCell ref="BI8:BI10"/>
    <mergeCell ref="BJ8:BR8"/>
    <mergeCell ref="BC8:BC9"/>
    <mergeCell ref="BQ9:BQ10"/>
    <mergeCell ref="BK9:BL9"/>
    <mergeCell ref="BM9:BM10"/>
    <mergeCell ref="N9:O9"/>
    <mergeCell ref="P9:P10"/>
    <mergeCell ref="AS7:AS10"/>
    <mergeCell ref="AT7:AV9"/>
    <mergeCell ref="AW7:AW10"/>
    <mergeCell ref="Z9:AA9"/>
    <mergeCell ref="A3:E3"/>
    <mergeCell ref="I8:I10"/>
    <mergeCell ref="I6:U7"/>
    <mergeCell ref="V6:BH6"/>
    <mergeCell ref="BI6:BU7"/>
    <mergeCell ref="V7:AF8"/>
    <mergeCell ref="AG7:AN8"/>
    <mergeCell ref="AO7:AQ9"/>
    <mergeCell ref="Q9:Q10"/>
    <mergeCell ref="R9:R10"/>
    <mergeCell ref="J8:R8"/>
    <mergeCell ref="S8:S10"/>
    <mergeCell ref="T8:U9"/>
    <mergeCell ref="AB9:AC9"/>
    <mergeCell ref="AD9:AE9"/>
    <mergeCell ref="AX8:AY9"/>
    <mergeCell ref="BV6:CA7"/>
    <mergeCell ref="BV8:CA9"/>
    <mergeCell ref="AN9:AN10"/>
    <mergeCell ref="BN9:BO9"/>
    <mergeCell ref="BP9:BP10"/>
    <mergeCell ref="AR7:AR10"/>
    <mergeCell ref="AX7:BH7"/>
    <mergeCell ref="AZ8:AZ9"/>
    <mergeCell ref="BD8:BE9"/>
    <mergeCell ref="BF8:BH9"/>
    <mergeCell ref="BS8:BS10"/>
    <mergeCell ref="BT8:BU9"/>
    <mergeCell ref="BJ9:BJ10"/>
    <mergeCell ref="BA8:BB9"/>
    <mergeCell ref="AI9:AI10"/>
    <mergeCell ref="AJ9:AK9"/>
    <mergeCell ref="AL9:AM9"/>
    <mergeCell ref="V9:W9"/>
    <mergeCell ref="X9:X10"/>
    <mergeCell ref="Y9:Y10"/>
    <mergeCell ref="AF9:AF10"/>
    <mergeCell ref="AG9:AH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A219"/>
  <sheetViews>
    <sheetView zoomScaleNormal="100" workbookViewId="0">
      <pane xSplit="8" ySplit="11" topLeftCell="AT12" activePane="bottomRight" state="frozen"/>
      <selection activeCell="E477" sqref="E477"/>
      <selection pane="topRight" activeCell="E477" sqref="E477"/>
      <selection pane="bottomLeft" activeCell="E477" sqref="E477"/>
      <selection pane="bottomRight" activeCell="BD4" sqref="BD4"/>
    </sheetView>
  </sheetViews>
  <sheetFormatPr defaultColWidth="9.140625" defaultRowHeight="15" x14ac:dyDescent="0.25"/>
  <cols>
    <col min="1" max="1" width="5" style="395" customWidth="1"/>
    <col min="2" max="2" width="8" style="309" customWidth="1"/>
    <col min="3" max="3" width="10.28515625" style="309" customWidth="1"/>
    <col min="4" max="4" width="9.42578125" style="309" customWidth="1"/>
    <col min="5" max="5" width="27.7109375" style="250" customWidth="1"/>
    <col min="6" max="6" width="4.42578125" style="250" bestFit="1" customWidth="1"/>
    <col min="7" max="7" width="10.28515625" style="250" customWidth="1"/>
    <col min="8" max="8" width="8" style="396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35" width="10.28515625" style="314" customWidth="1"/>
    <col min="36" max="36" width="9.42578125" style="314" customWidth="1"/>
    <col min="37" max="37" width="9.5703125" style="314" customWidth="1"/>
    <col min="38" max="41" width="10.28515625" style="314" customWidth="1"/>
    <col min="42" max="42" width="10.28515625" style="315" customWidth="1"/>
    <col min="43" max="44" width="10.42578125" style="315" customWidth="1"/>
    <col min="45" max="45" width="11.140625" style="314" customWidth="1"/>
    <col min="46" max="47" width="9.7109375" style="314" customWidth="1"/>
    <col min="48" max="48" width="9.140625" style="314" customWidth="1"/>
    <col min="49" max="49" width="9.7109375" style="314" customWidth="1"/>
    <col min="50" max="50" width="9.85546875" style="315" customWidth="1"/>
    <col min="51" max="52" width="9.140625" style="315" customWidth="1"/>
    <col min="53" max="53" width="10.28515625" style="315" customWidth="1"/>
    <col min="54" max="56" width="9.140625" style="315" customWidth="1"/>
    <col min="57" max="57" width="8.85546875" style="315" customWidth="1"/>
    <col min="58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50" t="s">
        <v>2</v>
      </c>
      <c r="B1" s="50"/>
      <c r="C1" s="42"/>
      <c r="D1" s="50"/>
      <c r="E1" s="50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50" t="s">
        <v>3</v>
      </c>
      <c r="B2" s="50"/>
      <c r="C2" s="42"/>
      <c r="D2" s="50"/>
      <c r="E2" s="50"/>
      <c r="F2" s="249"/>
      <c r="G2" s="249"/>
      <c r="H2" s="249"/>
    </row>
    <row r="3" spans="1:79" ht="12" customHeight="1" x14ac:dyDescent="0.25">
      <c r="A3" s="1045" t="s">
        <v>4</v>
      </c>
      <c r="B3" s="1045"/>
      <c r="C3" s="1045"/>
      <c r="D3" s="1045"/>
      <c r="E3" s="1045"/>
      <c r="F3" s="249"/>
      <c r="G3" s="249"/>
      <c r="H3" s="249"/>
      <c r="AT3" s="507"/>
      <c r="AU3" s="507"/>
      <c r="AV3" s="507"/>
    </row>
    <row r="4" spans="1:79" ht="12" customHeight="1" x14ac:dyDescent="0.25">
      <c r="A4" s="363"/>
      <c r="B4" s="398"/>
      <c r="C4" s="398"/>
      <c r="D4" s="398"/>
      <c r="E4" s="398"/>
      <c r="F4" s="249"/>
      <c r="G4" s="249"/>
      <c r="H4" s="249"/>
      <c r="X4" s="903" t="s">
        <v>855</v>
      </c>
      <c r="AU4" s="506"/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252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2"/>
      <c r="T5" s="912"/>
      <c r="U5" s="912"/>
      <c r="V5" s="913"/>
      <c r="W5" s="911"/>
      <c r="X5" s="903" t="s">
        <v>856</v>
      </c>
      <c r="Y5" s="911"/>
      <c r="Z5" s="911"/>
      <c r="AA5" s="911"/>
      <c r="AB5" s="911"/>
      <c r="AC5" s="911"/>
      <c r="AD5" s="911"/>
      <c r="AE5" s="911"/>
      <c r="AF5" s="911"/>
      <c r="AT5" s="907"/>
      <c r="AU5" s="506"/>
      <c r="AV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249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customHeight="1" thickBot="1" x14ac:dyDescent="0.3">
      <c r="A7" s="363"/>
      <c r="B7" s="253"/>
      <c r="C7" s="89"/>
      <c r="D7" s="254"/>
      <c r="E7" s="253"/>
      <c r="F7" s="249"/>
      <c r="G7" s="249"/>
      <c r="H7" s="249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18" customHeight="1" x14ac:dyDescent="0.25">
      <c r="A8" s="364"/>
      <c r="B8" s="256"/>
      <c r="C8" s="256"/>
      <c r="D8" s="256"/>
      <c r="E8" s="256"/>
      <c r="F8" s="256"/>
      <c r="G8" s="256"/>
      <c r="H8" s="256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5" t="s">
        <v>851</v>
      </c>
      <c r="BB8" s="108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9.25" customHeight="1" thickBot="1" x14ac:dyDescent="0.3">
      <c r="A9" s="362" t="s">
        <v>776</v>
      </c>
      <c r="B9" s="89"/>
      <c r="C9" s="89"/>
      <c r="D9" s="258"/>
      <c r="E9" s="89"/>
      <c r="F9" s="259"/>
      <c r="G9" s="260"/>
      <c r="H9" s="2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1087"/>
      <c r="BB9" s="1088"/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68.25" thickBot="1" x14ac:dyDescent="0.3">
      <c r="A10" s="365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267" customFormat="1" ht="12" thickBot="1" x14ac:dyDescent="0.25">
      <c r="A11" s="366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2" t="s">
        <v>267</v>
      </c>
      <c r="T11" s="142" t="s">
        <v>532</v>
      </c>
      <c r="U11" s="179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815</v>
      </c>
      <c r="AC11" s="141" t="s">
        <v>816</v>
      </c>
      <c r="AD11" s="141" t="s">
        <v>815</v>
      </c>
      <c r="AE11" s="141" t="s">
        <v>816</v>
      </c>
      <c r="AF11" s="141" t="s">
        <v>824</v>
      </c>
      <c r="AG11" s="141" t="s">
        <v>817</v>
      </c>
      <c r="AH11" s="141" t="s">
        <v>818</v>
      </c>
      <c r="AI11" s="141" t="s">
        <v>817</v>
      </c>
      <c r="AJ11" s="141" t="s">
        <v>817</v>
      </c>
      <c r="AK11" s="141" t="s">
        <v>818</v>
      </c>
      <c r="AL11" s="141" t="s">
        <v>817</v>
      </c>
      <c r="AM11" s="141" t="s">
        <v>818</v>
      </c>
      <c r="AN11" s="141" t="s">
        <v>825</v>
      </c>
      <c r="AO11" s="509" t="s">
        <v>819</v>
      </c>
      <c r="AP11" s="509" t="s">
        <v>820</v>
      </c>
      <c r="AQ11" s="141" t="s">
        <v>821</v>
      </c>
      <c r="AR11" s="141" t="s">
        <v>282</v>
      </c>
      <c r="AS11" s="141" t="s">
        <v>283</v>
      </c>
      <c r="AT11" s="141" t="s">
        <v>284</v>
      </c>
      <c r="AU11" s="141" t="s">
        <v>284</v>
      </c>
      <c r="AV11" s="141" t="s">
        <v>284</v>
      </c>
      <c r="AW11" s="141" t="s">
        <v>289</v>
      </c>
      <c r="AX11" s="402" t="s">
        <v>285</v>
      </c>
      <c r="AY11" s="142" t="s">
        <v>286</v>
      </c>
      <c r="AZ11" s="142" t="s">
        <v>285</v>
      </c>
      <c r="BA11" s="142" t="s">
        <v>285</v>
      </c>
      <c r="BB11" s="142" t="s">
        <v>286</v>
      </c>
      <c r="BC11" s="142" t="s">
        <v>285</v>
      </c>
      <c r="BD11" s="142" t="s">
        <v>285</v>
      </c>
      <c r="BE11" s="142" t="s">
        <v>286</v>
      </c>
      <c r="BF11" s="142" t="s">
        <v>285</v>
      </c>
      <c r="BG11" s="142" t="s">
        <v>286</v>
      </c>
      <c r="BH11" s="143" t="s">
        <v>287</v>
      </c>
      <c r="BI11" s="140" t="s">
        <v>262</v>
      </c>
      <c r="BJ11" s="141" t="s">
        <v>263</v>
      </c>
      <c r="BK11" s="141" t="s">
        <v>801</v>
      </c>
      <c r="BL11" s="141" t="s">
        <v>802</v>
      </c>
      <c r="BM11" s="141" t="s">
        <v>269</v>
      </c>
      <c r="BN11" s="141" t="s">
        <v>803</v>
      </c>
      <c r="BO11" s="141" t="s">
        <v>804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532</v>
      </c>
      <c r="BU11" s="143" t="s">
        <v>533</v>
      </c>
      <c r="BV11" s="705" t="s">
        <v>843</v>
      </c>
      <c r="BW11" s="663" t="s">
        <v>837</v>
      </c>
      <c r="BX11" s="663" t="s">
        <v>838</v>
      </c>
      <c r="BY11" s="663" t="s">
        <v>844</v>
      </c>
      <c r="BZ11" s="663" t="s">
        <v>845</v>
      </c>
      <c r="CA11" s="709" t="s">
        <v>839</v>
      </c>
    </row>
    <row r="12" spans="1:79" ht="12" customHeight="1" x14ac:dyDescent="0.25">
      <c r="A12" s="268">
        <v>1</v>
      </c>
      <c r="B12" s="269">
        <v>5490</v>
      </c>
      <c r="C12" s="269">
        <v>600099474</v>
      </c>
      <c r="D12" s="269">
        <v>71173854</v>
      </c>
      <c r="E12" s="367" t="s">
        <v>451</v>
      </c>
      <c r="F12" s="269">
        <v>3111</v>
      </c>
      <c r="G12" s="368" t="s">
        <v>304</v>
      </c>
      <c r="H12" s="369" t="s">
        <v>271</v>
      </c>
      <c r="I12" s="406">
        <v>18754882</v>
      </c>
      <c r="J12" s="407">
        <v>13862287</v>
      </c>
      <c r="K12" s="407">
        <v>13096815</v>
      </c>
      <c r="L12" s="407">
        <v>765472</v>
      </c>
      <c r="M12" s="407">
        <v>0</v>
      </c>
      <c r="N12" s="407">
        <v>0</v>
      </c>
      <c r="O12" s="407">
        <v>0</v>
      </c>
      <c r="P12" s="144">
        <v>4685452</v>
      </c>
      <c r="Q12" s="144">
        <v>138623</v>
      </c>
      <c r="R12" s="407">
        <v>68520</v>
      </c>
      <c r="S12" s="408">
        <v>26.566800000000001</v>
      </c>
      <c r="T12" s="408">
        <v>23.5</v>
      </c>
      <c r="U12" s="422">
        <v>3.0668000000000002</v>
      </c>
      <c r="V12" s="412">
        <f t="shared" ref="V12:W20" si="0">AG12*-1</f>
        <v>0</v>
      </c>
      <c r="W12" s="410">
        <f t="shared" si="0"/>
        <v>0</v>
      </c>
      <c r="X12" s="410">
        <v>0</v>
      </c>
      <c r="Y12" s="410">
        <v>0</v>
      </c>
      <c r="Z12" s="410">
        <v>0</v>
      </c>
      <c r="AA12" s="410">
        <v>0</v>
      </c>
      <c r="AB12" s="410">
        <v>0</v>
      </c>
      <c r="AC12" s="410">
        <v>0</v>
      </c>
      <c r="AD12" s="410">
        <f t="shared" ref="AD12:AD20" si="1">V12+X12+Y12+Z12+AB12</f>
        <v>0</v>
      </c>
      <c r="AE12" s="410">
        <f t="shared" ref="AE12:AE20" si="2">W12+AA12+AC12</f>
        <v>0</v>
      </c>
      <c r="AF12" s="410">
        <f t="shared" ref="AF12:AF20" si="3">SUM(AD12:AE12)</f>
        <v>0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 t="shared" ref="AL12:AL20" si="4">AG12+AI12+AJ12</f>
        <v>0</v>
      </c>
      <c r="AM12" s="410">
        <f t="shared" ref="AM12:AM20" si="5">AH12+AK12</f>
        <v>0</v>
      </c>
      <c r="AN12" s="410">
        <f t="shared" ref="AN12:AN20" si="6">SUM(AL12:AM12)</f>
        <v>0</v>
      </c>
      <c r="AO12" s="410">
        <f t="shared" ref="AO12:AP20" si="7">AD12+AL12</f>
        <v>0</v>
      </c>
      <c r="AP12" s="410">
        <f t="shared" si="7"/>
        <v>0</v>
      </c>
      <c r="AQ12" s="410">
        <f t="shared" ref="AQ12:AQ20" si="8">SUM(AO12:AP12)</f>
        <v>0</v>
      </c>
      <c r="AR12" s="144">
        <f t="shared" ref="AR12:AR20" si="9">ROUND((AF12+AG12+AH12+AI12)*33.8%,0)</f>
        <v>0</v>
      </c>
      <c r="AS12" s="144">
        <f t="shared" ref="AS12:AS20" si="10">ROUND(AF12*1%,0)</f>
        <v>0</v>
      </c>
      <c r="AT12" s="410">
        <v>0</v>
      </c>
      <c r="AU12" s="410">
        <v>0</v>
      </c>
      <c r="AV12" s="410">
        <f t="shared" ref="AV12:AV20" si="11">AT12+AU12</f>
        <v>0</v>
      </c>
      <c r="AW12" s="410">
        <f t="shared" ref="AW12:AW20" si="12">AQ12+AR12+AS12+AV12</f>
        <v>0</v>
      </c>
      <c r="AX12" s="411">
        <v>0</v>
      </c>
      <c r="AY12" s="411">
        <v>0</v>
      </c>
      <c r="AZ12" s="411">
        <v>0</v>
      </c>
      <c r="BA12" s="411">
        <v>0</v>
      </c>
      <c r="BB12" s="411">
        <v>0</v>
      </c>
      <c r="BC12" s="411">
        <v>0</v>
      </c>
      <c r="BD12" s="411">
        <v>0</v>
      </c>
      <c r="BE12" s="411">
        <v>0</v>
      </c>
      <c r="BF12" s="411">
        <f t="shared" ref="BF12:BF20" si="13">AX12+AZ12+BA12+BC12+BD12</f>
        <v>0</v>
      </c>
      <c r="BG12" s="411">
        <f t="shared" ref="BG12:BG20" si="14">AY12+BB12+BE12</f>
        <v>0</v>
      </c>
      <c r="BH12" s="413">
        <f t="shared" ref="BH12:BH20" si="15">SUM(BF12:BG12)</f>
        <v>0</v>
      </c>
      <c r="BI12" s="779">
        <f t="shared" ref="BI12:BI20" si="16">I12+AW12</f>
        <v>18754882</v>
      </c>
      <c r="BJ12" s="410">
        <f t="shared" ref="BJ12:BJ20" si="17">J12+AF12</f>
        <v>13862287</v>
      </c>
      <c r="BK12" s="410">
        <f t="shared" ref="BK12:BL20" si="18">K12+AD12</f>
        <v>13096815</v>
      </c>
      <c r="BL12" s="410">
        <f t="shared" si="18"/>
        <v>765472</v>
      </c>
      <c r="BM12" s="410">
        <f t="shared" ref="BM12:BM20" si="19">M12+AN12</f>
        <v>0</v>
      </c>
      <c r="BN12" s="410">
        <f t="shared" ref="BN12:BO20" si="20">N12+AL12</f>
        <v>0</v>
      </c>
      <c r="BO12" s="410">
        <f t="shared" si="20"/>
        <v>0</v>
      </c>
      <c r="BP12" s="410">
        <f t="shared" ref="BP12:BQ20" si="21">P12+AR12</f>
        <v>4685452</v>
      </c>
      <c r="BQ12" s="410">
        <f t="shared" si="21"/>
        <v>138623</v>
      </c>
      <c r="BR12" s="410">
        <f t="shared" ref="BR12:BR20" si="22">R12+AV12</f>
        <v>68520</v>
      </c>
      <c r="BS12" s="411">
        <f t="shared" ref="BS12:BS20" si="23">S12+BH12</f>
        <v>26.566800000000001</v>
      </c>
      <c r="BT12" s="411">
        <f t="shared" ref="BT12:BU20" si="24">T12+BF12</f>
        <v>23.5</v>
      </c>
      <c r="BU12" s="413">
        <f t="shared" si="24"/>
        <v>3.0668000000000002</v>
      </c>
      <c r="BV12" s="565"/>
      <c r="BW12" s="566"/>
      <c r="BX12" s="566"/>
      <c r="BY12" s="566"/>
      <c r="BZ12" s="566"/>
      <c r="CA12" s="868"/>
    </row>
    <row r="13" spans="1:79" ht="12" customHeight="1" x14ac:dyDescent="0.25">
      <c r="A13" s="280">
        <v>1</v>
      </c>
      <c r="B13" s="370">
        <v>5490</v>
      </c>
      <c r="C13" s="370">
        <v>600099474</v>
      </c>
      <c r="D13" s="370">
        <v>71173854</v>
      </c>
      <c r="E13" s="371" t="s">
        <v>451</v>
      </c>
      <c r="F13" s="370">
        <v>3111</v>
      </c>
      <c r="G13" s="331" t="s">
        <v>292</v>
      </c>
      <c r="H13" s="285" t="s">
        <v>271</v>
      </c>
      <c r="I13" s="420">
        <v>2210774</v>
      </c>
      <c r="J13" s="415">
        <v>1640040</v>
      </c>
      <c r="K13" s="415">
        <v>1640040</v>
      </c>
      <c r="L13" s="415">
        <v>0</v>
      </c>
      <c r="M13" s="415">
        <v>0</v>
      </c>
      <c r="N13" s="415">
        <v>0</v>
      </c>
      <c r="O13" s="415">
        <v>0</v>
      </c>
      <c r="P13" s="68">
        <v>554334</v>
      </c>
      <c r="Q13" s="68">
        <v>16400</v>
      </c>
      <c r="R13" s="415">
        <v>0</v>
      </c>
      <c r="S13" s="416">
        <v>4</v>
      </c>
      <c r="T13" s="416">
        <v>4</v>
      </c>
      <c r="U13" s="423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 t="shared" si="1"/>
        <v>0</v>
      </c>
      <c r="AE13" s="418">
        <f t="shared" si="2"/>
        <v>0</v>
      </c>
      <c r="AF13" s="418">
        <f t="shared" si="3"/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 t="shared" si="4"/>
        <v>0</v>
      </c>
      <c r="AM13" s="418">
        <f t="shared" si="5"/>
        <v>0</v>
      </c>
      <c r="AN13" s="418">
        <f t="shared" si="6"/>
        <v>0</v>
      </c>
      <c r="AO13" s="418">
        <f t="shared" si="7"/>
        <v>0</v>
      </c>
      <c r="AP13" s="418">
        <f t="shared" si="7"/>
        <v>0</v>
      </c>
      <c r="AQ13" s="418">
        <f t="shared" si="8"/>
        <v>0</v>
      </c>
      <c r="AR13" s="68">
        <f t="shared" si="9"/>
        <v>0</v>
      </c>
      <c r="AS13" s="68">
        <f t="shared" si="10"/>
        <v>0</v>
      </c>
      <c r="AT13" s="418">
        <v>0</v>
      </c>
      <c r="AU13" s="418">
        <v>0</v>
      </c>
      <c r="AV13" s="418">
        <f t="shared" si="11"/>
        <v>0</v>
      </c>
      <c r="AW13" s="418">
        <f t="shared" si="12"/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 t="shared" si="13"/>
        <v>0</v>
      </c>
      <c r="BG13" s="419">
        <f t="shared" si="14"/>
        <v>0</v>
      </c>
      <c r="BH13" s="421">
        <f t="shared" si="15"/>
        <v>0</v>
      </c>
      <c r="BI13" s="780">
        <f t="shared" si="16"/>
        <v>2210774</v>
      </c>
      <c r="BJ13" s="418">
        <f t="shared" si="17"/>
        <v>1640040</v>
      </c>
      <c r="BK13" s="418">
        <f t="shared" si="18"/>
        <v>1640040</v>
      </c>
      <c r="BL13" s="418">
        <f t="shared" si="18"/>
        <v>0</v>
      </c>
      <c r="BM13" s="418">
        <f t="shared" si="19"/>
        <v>0</v>
      </c>
      <c r="BN13" s="418">
        <f t="shared" si="20"/>
        <v>0</v>
      </c>
      <c r="BO13" s="418">
        <f t="shared" si="20"/>
        <v>0</v>
      </c>
      <c r="BP13" s="418">
        <f t="shared" si="21"/>
        <v>554334</v>
      </c>
      <c r="BQ13" s="418">
        <f t="shared" si="21"/>
        <v>16400</v>
      </c>
      <c r="BR13" s="418">
        <f t="shared" si="22"/>
        <v>0</v>
      </c>
      <c r="BS13" s="419">
        <f t="shared" si="23"/>
        <v>4</v>
      </c>
      <c r="BT13" s="419">
        <f t="shared" si="24"/>
        <v>4</v>
      </c>
      <c r="BU13" s="421">
        <f t="shared" si="24"/>
        <v>0</v>
      </c>
      <c r="BV13" s="420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212">
        <v>5490</v>
      </c>
      <c r="C14" s="370">
        <v>600099474</v>
      </c>
      <c r="D14" s="212">
        <v>71173854</v>
      </c>
      <c r="E14" s="372" t="s">
        <v>451</v>
      </c>
      <c r="F14" s="212">
        <v>3114</v>
      </c>
      <c r="G14" s="331" t="s">
        <v>525</v>
      </c>
      <c r="H14" s="285" t="s">
        <v>271</v>
      </c>
      <c r="I14" s="420">
        <v>7066604</v>
      </c>
      <c r="J14" s="415">
        <v>5224355</v>
      </c>
      <c r="K14" s="415">
        <v>4484880</v>
      </c>
      <c r="L14" s="415">
        <v>739475</v>
      </c>
      <c r="M14" s="415">
        <v>0</v>
      </c>
      <c r="N14" s="415">
        <v>0</v>
      </c>
      <c r="O14" s="415">
        <v>0</v>
      </c>
      <c r="P14" s="68">
        <v>1765831</v>
      </c>
      <c r="Q14" s="68">
        <v>52244</v>
      </c>
      <c r="R14" s="415">
        <v>24174</v>
      </c>
      <c r="S14" s="416">
        <v>8.0921000000000003</v>
      </c>
      <c r="T14" s="416">
        <v>6</v>
      </c>
      <c r="U14" s="423">
        <v>2.0920999999999998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 t="shared" si="1"/>
        <v>0</v>
      </c>
      <c r="AE14" s="418">
        <f t="shared" si="2"/>
        <v>0</v>
      </c>
      <c r="AF14" s="418">
        <f t="shared" si="3"/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si="4"/>
        <v>0</v>
      </c>
      <c r="AM14" s="418">
        <f t="shared" si="5"/>
        <v>0</v>
      </c>
      <c r="AN14" s="418">
        <f t="shared" si="6"/>
        <v>0</v>
      </c>
      <c r="AO14" s="418">
        <f t="shared" si="7"/>
        <v>0</v>
      </c>
      <c r="AP14" s="418">
        <f t="shared" si="7"/>
        <v>0</v>
      </c>
      <c r="AQ14" s="418">
        <f t="shared" si="8"/>
        <v>0</v>
      </c>
      <c r="AR14" s="68">
        <f t="shared" si="9"/>
        <v>0</v>
      </c>
      <c r="AS14" s="68">
        <f t="shared" si="10"/>
        <v>0</v>
      </c>
      <c r="AT14" s="418">
        <v>0</v>
      </c>
      <c r="AU14" s="418">
        <v>0</v>
      </c>
      <c r="AV14" s="418">
        <f t="shared" si="11"/>
        <v>0</v>
      </c>
      <c r="AW14" s="418">
        <f t="shared" si="12"/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si="13"/>
        <v>0</v>
      </c>
      <c r="BG14" s="419">
        <f t="shared" si="14"/>
        <v>0</v>
      </c>
      <c r="BH14" s="421">
        <f t="shared" si="15"/>
        <v>0</v>
      </c>
      <c r="BI14" s="780">
        <f t="shared" si="16"/>
        <v>7066604</v>
      </c>
      <c r="BJ14" s="418">
        <f t="shared" si="17"/>
        <v>5224355</v>
      </c>
      <c r="BK14" s="418">
        <f t="shared" si="18"/>
        <v>4484880</v>
      </c>
      <c r="BL14" s="418">
        <f t="shared" si="18"/>
        <v>739475</v>
      </c>
      <c r="BM14" s="418">
        <f t="shared" si="19"/>
        <v>0</v>
      </c>
      <c r="BN14" s="418">
        <f t="shared" si="20"/>
        <v>0</v>
      </c>
      <c r="BO14" s="418">
        <f t="shared" si="20"/>
        <v>0</v>
      </c>
      <c r="BP14" s="418">
        <f t="shared" si="21"/>
        <v>1765831</v>
      </c>
      <c r="BQ14" s="418">
        <f t="shared" si="21"/>
        <v>52244</v>
      </c>
      <c r="BR14" s="418">
        <f t="shared" si="22"/>
        <v>24174</v>
      </c>
      <c r="BS14" s="419">
        <f t="shared" si="23"/>
        <v>8.0921000000000003</v>
      </c>
      <c r="BT14" s="419">
        <f t="shared" si="24"/>
        <v>6</v>
      </c>
      <c r="BU14" s="421">
        <f t="shared" si="24"/>
        <v>2.0920999999999998</v>
      </c>
      <c r="BV14" s="420"/>
      <c r="BW14" s="415"/>
      <c r="BX14" s="415"/>
      <c r="BY14" s="415"/>
      <c r="BZ14" s="415"/>
      <c r="CA14" s="510"/>
    </row>
    <row r="15" spans="1:79" ht="12.95" customHeight="1" x14ac:dyDescent="0.25">
      <c r="A15" s="280">
        <v>1</v>
      </c>
      <c r="B15" s="370">
        <v>5490</v>
      </c>
      <c r="C15" s="370">
        <v>600099474</v>
      </c>
      <c r="D15" s="370">
        <v>71173854</v>
      </c>
      <c r="E15" s="371" t="s">
        <v>451</v>
      </c>
      <c r="F15" s="212">
        <v>3114</v>
      </c>
      <c r="G15" s="323" t="s">
        <v>291</v>
      </c>
      <c r="H15" s="285" t="s">
        <v>272</v>
      </c>
      <c r="I15" s="420">
        <v>886215</v>
      </c>
      <c r="J15" s="415">
        <v>657430</v>
      </c>
      <c r="K15" s="415">
        <v>657430</v>
      </c>
      <c r="L15" s="415">
        <v>0</v>
      </c>
      <c r="M15" s="415">
        <v>0</v>
      </c>
      <c r="N15" s="415">
        <v>0</v>
      </c>
      <c r="O15" s="415">
        <v>0</v>
      </c>
      <c r="P15" s="68">
        <v>222211</v>
      </c>
      <c r="Q15" s="68">
        <v>6574</v>
      </c>
      <c r="R15" s="415">
        <v>0</v>
      </c>
      <c r="S15" s="416">
        <v>1.6400000000000001</v>
      </c>
      <c r="T15" s="416">
        <v>1.6400000000000001</v>
      </c>
      <c r="U15" s="423">
        <v>0</v>
      </c>
      <c r="V15" s="424">
        <f t="shared" si="0"/>
        <v>0</v>
      </c>
      <c r="W15" s="418">
        <f t="shared" si="0"/>
        <v>0</v>
      </c>
      <c r="X15" s="418">
        <v>12379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 t="shared" si="1"/>
        <v>12379</v>
      </c>
      <c r="AE15" s="418">
        <f t="shared" si="2"/>
        <v>0</v>
      </c>
      <c r="AF15" s="418">
        <f t="shared" si="3"/>
        <v>12379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 t="shared" si="4"/>
        <v>0</v>
      </c>
      <c r="AM15" s="418">
        <f t="shared" si="5"/>
        <v>0</v>
      </c>
      <c r="AN15" s="418">
        <f t="shared" si="6"/>
        <v>0</v>
      </c>
      <c r="AO15" s="418">
        <f t="shared" si="7"/>
        <v>12379</v>
      </c>
      <c r="AP15" s="418">
        <f t="shared" si="7"/>
        <v>0</v>
      </c>
      <c r="AQ15" s="418">
        <f t="shared" si="8"/>
        <v>12379</v>
      </c>
      <c r="AR15" s="68">
        <f t="shared" si="9"/>
        <v>4184</v>
      </c>
      <c r="AS15" s="68">
        <f t="shared" si="10"/>
        <v>124</v>
      </c>
      <c r="AT15" s="418">
        <v>0</v>
      </c>
      <c r="AU15" s="418">
        <v>0</v>
      </c>
      <c r="AV15" s="418">
        <f t="shared" si="11"/>
        <v>0</v>
      </c>
      <c r="AW15" s="418">
        <f t="shared" si="12"/>
        <v>16687</v>
      </c>
      <c r="AX15" s="419">
        <v>0</v>
      </c>
      <c r="AY15" s="419">
        <v>0</v>
      </c>
      <c r="AZ15" s="419">
        <v>0.03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 t="shared" si="13"/>
        <v>0.03</v>
      </c>
      <c r="BG15" s="419">
        <f t="shared" si="14"/>
        <v>0</v>
      </c>
      <c r="BH15" s="421">
        <f t="shared" si="15"/>
        <v>0.03</v>
      </c>
      <c r="BI15" s="780">
        <f t="shared" si="16"/>
        <v>902902</v>
      </c>
      <c r="BJ15" s="418">
        <f t="shared" si="17"/>
        <v>669809</v>
      </c>
      <c r="BK15" s="418">
        <f t="shared" si="18"/>
        <v>669809</v>
      </c>
      <c r="BL15" s="418">
        <f t="shared" si="18"/>
        <v>0</v>
      </c>
      <c r="BM15" s="418">
        <f t="shared" si="19"/>
        <v>0</v>
      </c>
      <c r="BN15" s="418">
        <f t="shared" si="20"/>
        <v>0</v>
      </c>
      <c r="BO15" s="418">
        <f t="shared" si="20"/>
        <v>0</v>
      </c>
      <c r="BP15" s="418">
        <f t="shared" si="21"/>
        <v>226395</v>
      </c>
      <c r="BQ15" s="418">
        <f t="shared" si="21"/>
        <v>6698</v>
      </c>
      <c r="BR15" s="418">
        <f t="shared" si="22"/>
        <v>0</v>
      </c>
      <c r="BS15" s="419">
        <f t="shared" si="23"/>
        <v>1.6700000000000002</v>
      </c>
      <c r="BT15" s="419">
        <f t="shared" si="24"/>
        <v>1.6700000000000002</v>
      </c>
      <c r="BU15" s="421">
        <f t="shared" si="24"/>
        <v>0</v>
      </c>
      <c r="BV15" s="420"/>
      <c r="BW15" s="415"/>
      <c r="BX15" s="415"/>
      <c r="BY15" s="415"/>
      <c r="BZ15" s="415"/>
      <c r="CA15" s="510"/>
    </row>
    <row r="16" spans="1:79" ht="12.95" customHeight="1" x14ac:dyDescent="0.25">
      <c r="A16" s="280">
        <v>1</v>
      </c>
      <c r="B16" s="212">
        <v>5490</v>
      </c>
      <c r="C16" s="370">
        <v>600099474</v>
      </c>
      <c r="D16" s="212">
        <v>71173854</v>
      </c>
      <c r="E16" s="372" t="s">
        <v>451</v>
      </c>
      <c r="F16" s="212">
        <v>3114</v>
      </c>
      <c r="G16" s="331" t="s">
        <v>292</v>
      </c>
      <c r="H16" s="285" t="s">
        <v>271</v>
      </c>
      <c r="I16" s="420">
        <v>3355550</v>
      </c>
      <c r="J16" s="415">
        <v>2489280</v>
      </c>
      <c r="K16" s="415">
        <v>2489280</v>
      </c>
      <c r="L16" s="415">
        <v>0</v>
      </c>
      <c r="M16" s="415">
        <v>0</v>
      </c>
      <c r="N16" s="415">
        <v>0</v>
      </c>
      <c r="O16" s="415">
        <v>0</v>
      </c>
      <c r="P16" s="68">
        <v>841377</v>
      </c>
      <c r="Q16" s="68">
        <v>24893</v>
      </c>
      <c r="R16" s="415">
        <v>0</v>
      </c>
      <c r="S16" s="416">
        <v>6.1</v>
      </c>
      <c r="T16" s="416">
        <v>6.1</v>
      </c>
      <c r="U16" s="423">
        <v>0</v>
      </c>
      <c r="V16" s="424">
        <f t="shared" si="0"/>
        <v>0</v>
      </c>
      <c r="W16" s="418">
        <f t="shared" si="0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 t="shared" si="1"/>
        <v>0</v>
      </c>
      <c r="AE16" s="418">
        <f t="shared" si="2"/>
        <v>0</v>
      </c>
      <c r="AF16" s="418">
        <f t="shared" si="3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4"/>
        <v>0</v>
      </c>
      <c r="AM16" s="418">
        <f t="shared" si="5"/>
        <v>0</v>
      </c>
      <c r="AN16" s="418">
        <f t="shared" si="6"/>
        <v>0</v>
      </c>
      <c r="AO16" s="418">
        <f t="shared" si="7"/>
        <v>0</v>
      </c>
      <c r="AP16" s="418">
        <f t="shared" si="7"/>
        <v>0</v>
      </c>
      <c r="AQ16" s="418">
        <f t="shared" si="8"/>
        <v>0</v>
      </c>
      <c r="AR16" s="68">
        <f t="shared" si="9"/>
        <v>0</v>
      </c>
      <c r="AS16" s="68">
        <f t="shared" si="10"/>
        <v>0</v>
      </c>
      <c r="AT16" s="418">
        <v>0</v>
      </c>
      <c r="AU16" s="418">
        <v>0</v>
      </c>
      <c r="AV16" s="418">
        <f t="shared" si="11"/>
        <v>0</v>
      </c>
      <c r="AW16" s="418">
        <f t="shared" si="12"/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3"/>
        <v>0</v>
      </c>
      <c r="BG16" s="419">
        <f t="shared" si="14"/>
        <v>0</v>
      </c>
      <c r="BH16" s="421">
        <f t="shared" si="15"/>
        <v>0</v>
      </c>
      <c r="BI16" s="780">
        <f t="shared" si="16"/>
        <v>3355550</v>
      </c>
      <c r="BJ16" s="418">
        <f t="shared" si="17"/>
        <v>2489280</v>
      </c>
      <c r="BK16" s="418">
        <f t="shared" si="18"/>
        <v>2489280</v>
      </c>
      <c r="BL16" s="418">
        <f t="shared" si="18"/>
        <v>0</v>
      </c>
      <c r="BM16" s="418">
        <f t="shared" si="19"/>
        <v>0</v>
      </c>
      <c r="BN16" s="418">
        <f t="shared" si="20"/>
        <v>0</v>
      </c>
      <c r="BO16" s="418">
        <f t="shared" si="20"/>
        <v>0</v>
      </c>
      <c r="BP16" s="418">
        <f t="shared" si="21"/>
        <v>841377</v>
      </c>
      <c r="BQ16" s="418">
        <f t="shared" si="21"/>
        <v>24893</v>
      </c>
      <c r="BR16" s="418">
        <f t="shared" si="22"/>
        <v>0</v>
      </c>
      <c r="BS16" s="419">
        <f t="shared" si="23"/>
        <v>6.1</v>
      </c>
      <c r="BT16" s="419">
        <f t="shared" si="24"/>
        <v>6.1</v>
      </c>
      <c r="BU16" s="421">
        <f t="shared" si="24"/>
        <v>0</v>
      </c>
      <c r="BV16" s="420"/>
      <c r="BW16" s="415"/>
      <c r="BX16" s="415"/>
      <c r="BY16" s="415"/>
      <c r="BZ16" s="415"/>
      <c r="CA16" s="510"/>
    </row>
    <row r="17" spans="1:79" ht="12.95" customHeight="1" x14ac:dyDescent="0.25">
      <c r="A17" s="280">
        <v>1</v>
      </c>
      <c r="B17" s="370">
        <v>5490</v>
      </c>
      <c r="C17" s="370">
        <v>600099474</v>
      </c>
      <c r="D17" s="370">
        <v>71173854</v>
      </c>
      <c r="E17" s="371" t="s">
        <v>451</v>
      </c>
      <c r="F17" s="370">
        <v>3141</v>
      </c>
      <c r="G17" s="373" t="s">
        <v>294</v>
      </c>
      <c r="H17" s="285" t="s">
        <v>272</v>
      </c>
      <c r="I17" s="420">
        <v>1559585</v>
      </c>
      <c r="J17" s="415">
        <v>1151640</v>
      </c>
      <c r="K17" s="415">
        <v>0</v>
      </c>
      <c r="L17" s="415">
        <v>1151640</v>
      </c>
      <c r="M17" s="415">
        <v>0</v>
      </c>
      <c r="N17" s="415">
        <v>0</v>
      </c>
      <c r="O17" s="415">
        <v>0</v>
      </c>
      <c r="P17" s="68">
        <v>389254</v>
      </c>
      <c r="Q17" s="68">
        <v>11516</v>
      </c>
      <c r="R17" s="415">
        <v>7175</v>
      </c>
      <c r="S17" s="416">
        <v>3.4533999999999998</v>
      </c>
      <c r="T17" s="416">
        <v>0</v>
      </c>
      <c r="U17" s="423">
        <v>3.4533999999999998</v>
      </c>
      <c r="V17" s="424">
        <f t="shared" si="0"/>
        <v>0</v>
      </c>
      <c r="W17" s="418">
        <f t="shared" si="0"/>
        <v>0</v>
      </c>
      <c r="X17" s="418">
        <v>0</v>
      </c>
      <c r="Y17" s="418">
        <v>0</v>
      </c>
      <c r="Z17" s="418">
        <v>0</v>
      </c>
      <c r="AA17" s="418">
        <f>171821+406235</f>
        <v>578056</v>
      </c>
      <c r="AB17" s="418">
        <v>0</v>
      </c>
      <c r="AC17" s="418">
        <v>0</v>
      </c>
      <c r="AD17" s="418">
        <f t="shared" si="1"/>
        <v>0</v>
      </c>
      <c r="AE17" s="418">
        <f t="shared" si="2"/>
        <v>578056</v>
      </c>
      <c r="AF17" s="418">
        <f t="shared" si="3"/>
        <v>578056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4"/>
        <v>0</v>
      </c>
      <c r="AM17" s="418">
        <f t="shared" si="5"/>
        <v>0</v>
      </c>
      <c r="AN17" s="418">
        <f t="shared" si="6"/>
        <v>0</v>
      </c>
      <c r="AO17" s="418">
        <f t="shared" si="7"/>
        <v>0</v>
      </c>
      <c r="AP17" s="418">
        <f t="shared" si="7"/>
        <v>578056</v>
      </c>
      <c r="AQ17" s="418">
        <f t="shared" si="8"/>
        <v>578056</v>
      </c>
      <c r="AR17" s="68">
        <f t="shared" si="9"/>
        <v>195383</v>
      </c>
      <c r="AS17" s="68">
        <f t="shared" si="10"/>
        <v>5781</v>
      </c>
      <c r="AT17" s="418">
        <v>0</v>
      </c>
      <c r="AU17" s="418">
        <f>850+2635</f>
        <v>3485</v>
      </c>
      <c r="AV17" s="418">
        <f t="shared" si="11"/>
        <v>3485</v>
      </c>
      <c r="AW17" s="418">
        <f t="shared" si="12"/>
        <v>782705</v>
      </c>
      <c r="AX17" s="419">
        <v>0</v>
      </c>
      <c r="AY17" s="419">
        <v>0</v>
      </c>
      <c r="AZ17" s="419">
        <v>0</v>
      </c>
      <c r="BA17" s="419">
        <v>0</v>
      </c>
      <c r="BB17" s="419">
        <f>0.51+1.21</f>
        <v>1.72</v>
      </c>
      <c r="BC17" s="419">
        <v>0</v>
      </c>
      <c r="BD17" s="419">
        <v>0</v>
      </c>
      <c r="BE17" s="419">
        <v>0</v>
      </c>
      <c r="BF17" s="419">
        <f t="shared" si="13"/>
        <v>0</v>
      </c>
      <c r="BG17" s="419">
        <f t="shared" si="14"/>
        <v>1.72</v>
      </c>
      <c r="BH17" s="421">
        <f t="shared" si="15"/>
        <v>1.72</v>
      </c>
      <c r="BI17" s="780">
        <f t="shared" si="16"/>
        <v>2342290</v>
      </c>
      <c r="BJ17" s="418">
        <f t="shared" si="17"/>
        <v>1729696</v>
      </c>
      <c r="BK17" s="418">
        <f t="shared" si="18"/>
        <v>0</v>
      </c>
      <c r="BL17" s="418">
        <f t="shared" si="18"/>
        <v>1729696</v>
      </c>
      <c r="BM17" s="418">
        <f t="shared" si="19"/>
        <v>0</v>
      </c>
      <c r="BN17" s="418">
        <f t="shared" si="20"/>
        <v>0</v>
      </c>
      <c r="BO17" s="418">
        <f t="shared" si="20"/>
        <v>0</v>
      </c>
      <c r="BP17" s="418">
        <f t="shared" si="21"/>
        <v>584637</v>
      </c>
      <c r="BQ17" s="418">
        <f t="shared" si="21"/>
        <v>17297</v>
      </c>
      <c r="BR17" s="418">
        <f t="shared" si="22"/>
        <v>10660</v>
      </c>
      <c r="BS17" s="419">
        <f t="shared" si="23"/>
        <v>5.1734</v>
      </c>
      <c r="BT17" s="419">
        <f t="shared" si="24"/>
        <v>0</v>
      </c>
      <c r="BU17" s="421">
        <f t="shared" si="24"/>
        <v>5.1734</v>
      </c>
      <c r="BV17" s="420"/>
      <c r="BW17" s="415"/>
      <c r="BX17" s="415"/>
      <c r="BY17" s="415"/>
      <c r="BZ17" s="415"/>
      <c r="CA17" s="510"/>
    </row>
    <row r="18" spans="1:79" ht="12.95" customHeight="1" x14ac:dyDescent="0.25">
      <c r="A18" s="280">
        <v>1</v>
      </c>
      <c r="B18" s="370">
        <v>5490</v>
      </c>
      <c r="C18" s="370">
        <v>600099474</v>
      </c>
      <c r="D18" s="370">
        <v>71173854</v>
      </c>
      <c r="E18" s="371" t="s">
        <v>798</v>
      </c>
      <c r="F18" s="212">
        <v>3143</v>
      </c>
      <c r="G18" s="323" t="s">
        <v>595</v>
      </c>
      <c r="H18" s="285" t="s">
        <v>271</v>
      </c>
      <c r="I18" s="420">
        <v>1013831</v>
      </c>
      <c r="J18" s="415">
        <v>752100</v>
      </c>
      <c r="K18" s="415">
        <v>752100</v>
      </c>
      <c r="L18" s="415">
        <v>0</v>
      </c>
      <c r="M18" s="415">
        <v>0</v>
      </c>
      <c r="N18" s="415">
        <v>0</v>
      </c>
      <c r="O18" s="415">
        <v>0</v>
      </c>
      <c r="P18" s="68">
        <v>254210</v>
      </c>
      <c r="Q18" s="68">
        <v>7521</v>
      </c>
      <c r="R18" s="415">
        <v>0</v>
      </c>
      <c r="S18" s="416">
        <v>1.5</v>
      </c>
      <c r="T18" s="416">
        <v>1.5</v>
      </c>
      <c r="U18" s="423">
        <v>0</v>
      </c>
      <c r="V18" s="424">
        <f t="shared" si="0"/>
        <v>0</v>
      </c>
      <c r="W18" s="418">
        <f t="shared" si="0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 t="shared" si="1"/>
        <v>0</v>
      </c>
      <c r="AE18" s="418">
        <f t="shared" si="2"/>
        <v>0</v>
      </c>
      <c r="AF18" s="418">
        <f t="shared" si="3"/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 t="shared" si="4"/>
        <v>0</v>
      </c>
      <c r="AM18" s="418">
        <f t="shared" si="5"/>
        <v>0</v>
      </c>
      <c r="AN18" s="418">
        <f t="shared" si="6"/>
        <v>0</v>
      </c>
      <c r="AO18" s="418">
        <f t="shared" si="7"/>
        <v>0</v>
      </c>
      <c r="AP18" s="418">
        <f t="shared" si="7"/>
        <v>0</v>
      </c>
      <c r="AQ18" s="418">
        <f t="shared" si="8"/>
        <v>0</v>
      </c>
      <c r="AR18" s="68">
        <f t="shared" si="9"/>
        <v>0</v>
      </c>
      <c r="AS18" s="68">
        <f t="shared" si="10"/>
        <v>0</v>
      </c>
      <c r="AT18" s="418">
        <v>0</v>
      </c>
      <c r="AU18" s="418">
        <v>0</v>
      </c>
      <c r="AV18" s="418">
        <f t="shared" si="11"/>
        <v>0</v>
      </c>
      <c r="AW18" s="418">
        <f t="shared" si="12"/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f t="shared" si="13"/>
        <v>0</v>
      </c>
      <c r="BG18" s="419">
        <f t="shared" si="14"/>
        <v>0</v>
      </c>
      <c r="BH18" s="421">
        <f t="shared" si="15"/>
        <v>0</v>
      </c>
      <c r="BI18" s="780">
        <f t="shared" si="16"/>
        <v>1013831</v>
      </c>
      <c r="BJ18" s="418">
        <f t="shared" si="17"/>
        <v>752100</v>
      </c>
      <c r="BK18" s="418">
        <f t="shared" si="18"/>
        <v>752100</v>
      </c>
      <c r="BL18" s="418">
        <f t="shared" si="18"/>
        <v>0</v>
      </c>
      <c r="BM18" s="418">
        <f t="shared" si="19"/>
        <v>0</v>
      </c>
      <c r="BN18" s="418">
        <f t="shared" si="20"/>
        <v>0</v>
      </c>
      <c r="BO18" s="418">
        <f t="shared" si="20"/>
        <v>0</v>
      </c>
      <c r="BP18" s="418">
        <f t="shared" si="21"/>
        <v>254210</v>
      </c>
      <c r="BQ18" s="418">
        <f t="shared" si="21"/>
        <v>7521</v>
      </c>
      <c r="BR18" s="418">
        <f t="shared" si="22"/>
        <v>0</v>
      </c>
      <c r="BS18" s="419">
        <f t="shared" si="23"/>
        <v>1.5</v>
      </c>
      <c r="BT18" s="419">
        <f t="shared" si="24"/>
        <v>1.5</v>
      </c>
      <c r="BU18" s="421">
        <f t="shared" si="24"/>
        <v>0</v>
      </c>
      <c r="BV18" s="420"/>
      <c r="BW18" s="415"/>
      <c r="BX18" s="415"/>
      <c r="BY18" s="415"/>
      <c r="BZ18" s="415"/>
      <c r="CA18" s="510"/>
    </row>
    <row r="19" spans="1:79" ht="12.95" customHeight="1" x14ac:dyDescent="0.25">
      <c r="A19" s="280">
        <v>1</v>
      </c>
      <c r="B19" s="370">
        <v>5490</v>
      </c>
      <c r="C19" s="370">
        <v>600099474</v>
      </c>
      <c r="D19" s="370">
        <v>71173854</v>
      </c>
      <c r="E19" s="371" t="s">
        <v>798</v>
      </c>
      <c r="F19" s="212">
        <v>3143</v>
      </c>
      <c r="G19" s="323" t="s">
        <v>797</v>
      </c>
      <c r="H19" s="285" t="s">
        <v>271</v>
      </c>
      <c r="I19" s="420">
        <v>467228</v>
      </c>
      <c r="J19" s="415">
        <v>346608</v>
      </c>
      <c r="K19" s="415">
        <v>346608</v>
      </c>
      <c r="L19" s="415">
        <v>0</v>
      </c>
      <c r="M19" s="415">
        <v>0</v>
      </c>
      <c r="N19" s="415">
        <v>0</v>
      </c>
      <c r="O19" s="415">
        <v>0</v>
      </c>
      <c r="P19" s="68">
        <v>117154</v>
      </c>
      <c r="Q19" s="68">
        <v>3466</v>
      </c>
      <c r="R19" s="415">
        <v>0</v>
      </c>
      <c r="S19" s="416">
        <v>0.9</v>
      </c>
      <c r="T19" s="416">
        <v>0.9</v>
      </c>
      <c r="U19" s="423">
        <v>0</v>
      </c>
      <c r="V19" s="424">
        <f t="shared" si="0"/>
        <v>0</v>
      </c>
      <c r="W19" s="418">
        <f t="shared" si="0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 t="shared" si="1"/>
        <v>0</v>
      </c>
      <c r="AE19" s="418">
        <f t="shared" si="2"/>
        <v>0</v>
      </c>
      <c r="AF19" s="418">
        <f t="shared" si="3"/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 t="shared" si="4"/>
        <v>0</v>
      </c>
      <c r="AM19" s="418">
        <f t="shared" si="5"/>
        <v>0</v>
      </c>
      <c r="AN19" s="418">
        <f t="shared" si="6"/>
        <v>0</v>
      </c>
      <c r="AO19" s="418">
        <f t="shared" si="7"/>
        <v>0</v>
      </c>
      <c r="AP19" s="418">
        <f t="shared" si="7"/>
        <v>0</v>
      </c>
      <c r="AQ19" s="418">
        <f t="shared" si="8"/>
        <v>0</v>
      </c>
      <c r="AR19" s="68">
        <f t="shared" si="9"/>
        <v>0</v>
      </c>
      <c r="AS19" s="68">
        <f t="shared" si="10"/>
        <v>0</v>
      </c>
      <c r="AT19" s="418">
        <v>0</v>
      </c>
      <c r="AU19" s="418">
        <v>0</v>
      </c>
      <c r="AV19" s="418">
        <f t="shared" si="11"/>
        <v>0</v>
      </c>
      <c r="AW19" s="418">
        <f t="shared" si="12"/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 t="shared" si="13"/>
        <v>0</v>
      </c>
      <c r="BG19" s="419">
        <f t="shared" si="14"/>
        <v>0</v>
      </c>
      <c r="BH19" s="421">
        <f t="shared" si="15"/>
        <v>0</v>
      </c>
      <c r="BI19" s="780">
        <f t="shared" si="16"/>
        <v>467228</v>
      </c>
      <c r="BJ19" s="418">
        <f t="shared" si="17"/>
        <v>346608</v>
      </c>
      <c r="BK19" s="418">
        <f t="shared" si="18"/>
        <v>346608</v>
      </c>
      <c r="BL19" s="418">
        <f t="shared" si="18"/>
        <v>0</v>
      </c>
      <c r="BM19" s="418">
        <f t="shared" si="19"/>
        <v>0</v>
      </c>
      <c r="BN19" s="418">
        <f t="shared" si="20"/>
        <v>0</v>
      </c>
      <c r="BO19" s="418">
        <f t="shared" si="20"/>
        <v>0</v>
      </c>
      <c r="BP19" s="418">
        <f t="shared" si="21"/>
        <v>117154</v>
      </c>
      <c r="BQ19" s="418">
        <f t="shared" si="21"/>
        <v>3466</v>
      </c>
      <c r="BR19" s="418">
        <f t="shared" si="22"/>
        <v>0</v>
      </c>
      <c r="BS19" s="419">
        <f t="shared" si="23"/>
        <v>0.9</v>
      </c>
      <c r="BT19" s="419">
        <f t="shared" si="24"/>
        <v>0.9</v>
      </c>
      <c r="BU19" s="421">
        <f t="shared" si="24"/>
        <v>0</v>
      </c>
      <c r="BV19" s="420"/>
      <c r="BW19" s="415"/>
      <c r="BX19" s="415"/>
      <c r="BY19" s="415"/>
      <c r="BZ19" s="415"/>
      <c r="CA19" s="510"/>
    </row>
    <row r="20" spans="1:79" ht="12.95" customHeight="1" x14ac:dyDescent="0.25">
      <c r="A20" s="280">
        <v>1</v>
      </c>
      <c r="B20" s="370">
        <v>5490</v>
      </c>
      <c r="C20" s="370">
        <v>600099474</v>
      </c>
      <c r="D20" s="370">
        <v>71173854</v>
      </c>
      <c r="E20" s="371" t="s">
        <v>798</v>
      </c>
      <c r="F20" s="212">
        <v>3143</v>
      </c>
      <c r="G20" s="323" t="s">
        <v>596</v>
      </c>
      <c r="H20" s="285" t="s">
        <v>272</v>
      </c>
      <c r="I20" s="420">
        <v>8189</v>
      </c>
      <c r="J20" s="415">
        <v>5861</v>
      </c>
      <c r="K20" s="415">
        <v>0</v>
      </c>
      <c r="L20" s="415">
        <v>5861</v>
      </c>
      <c r="M20" s="415">
        <v>0</v>
      </c>
      <c r="N20" s="415">
        <v>0</v>
      </c>
      <c r="O20" s="415">
        <v>0</v>
      </c>
      <c r="P20" s="68">
        <v>1981</v>
      </c>
      <c r="Q20" s="68">
        <v>59</v>
      </c>
      <c r="R20" s="415">
        <v>288</v>
      </c>
      <c r="S20" s="416">
        <v>2.2200000000000001E-2</v>
      </c>
      <c r="T20" s="416">
        <v>0</v>
      </c>
      <c r="U20" s="423">
        <v>2.2200000000000001E-2</v>
      </c>
      <c r="V20" s="424">
        <f t="shared" si="0"/>
        <v>0</v>
      </c>
      <c r="W20" s="418">
        <f t="shared" si="0"/>
        <v>0</v>
      </c>
      <c r="X20" s="418">
        <v>0</v>
      </c>
      <c r="Y20" s="418">
        <v>0</v>
      </c>
      <c r="Z20" s="418">
        <v>0</v>
      </c>
      <c r="AA20" s="418">
        <v>2939</v>
      </c>
      <c r="AB20" s="418">
        <v>0</v>
      </c>
      <c r="AC20" s="418">
        <v>0</v>
      </c>
      <c r="AD20" s="418">
        <f t="shared" si="1"/>
        <v>0</v>
      </c>
      <c r="AE20" s="418">
        <f t="shared" si="2"/>
        <v>2939</v>
      </c>
      <c r="AF20" s="418">
        <f t="shared" si="3"/>
        <v>2939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4"/>
        <v>0</v>
      </c>
      <c r="AM20" s="418">
        <f t="shared" si="5"/>
        <v>0</v>
      </c>
      <c r="AN20" s="418">
        <f t="shared" si="6"/>
        <v>0</v>
      </c>
      <c r="AO20" s="418">
        <f t="shared" si="7"/>
        <v>0</v>
      </c>
      <c r="AP20" s="418">
        <f t="shared" si="7"/>
        <v>2939</v>
      </c>
      <c r="AQ20" s="418">
        <f t="shared" si="8"/>
        <v>2939</v>
      </c>
      <c r="AR20" s="68">
        <f t="shared" si="9"/>
        <v>993</v>
      </c>
      <c r="AS20" s="68">
        <f t="shared" si="10"/>
        <v>29</v>
      </c>
      <c r="AT20" s="418">
        <v>0</v>
      </c>
      <c r="AU20" s="418">
        <v>144</v>
      </c>
      <c r="AV20" s="418">
        <f t="shared" si="11"/>
        <v>144</v>
      </c>
      <c r="AW20" s="418">
        <f t="shared" si="12"/>
        <v>4105</v>
      </c>
      <c r="AX20" s="419">
        <v>0</v>
      </c>
      <c r="AY20" s="419">
        <v>0</v>
      </c>
      <c r="AZ20" s="419">
        <v>0</v>
      </c>
      <c r="BA20" s="419">
        <v>0</v>
      </c>
      <c r="BB20" s="419">
        <v>0.01</v>
      </c>
      <c r="BC20" s="419">
        <v>0</v>
      </c>
      <c r="BD20" s="419">
        <v>0</v>
      </c>
      <c r="BE20" s="419">
        <v>0</v>
      </c>
      <c r="BF20" s="419">
        <f t="shared" si="13"/>
        <v>0</v>
      </c>
      <c r="BG20" s="419">
        <f t="shared" si="14"/>
        <v>0.01</v>
      </c>
      <c r="BH20" s="421">
        <f t="shared" si="15"/>
        <v>0.01</v>
      </c>
      <c r="BI20" s="780">
        <f t="shared" si="16"/>
        <v>12294</v>
      </c>
      <c r="BJ20" s="418">
        <f t="shared" si="17"/>
        <v>8800</v>
      </c>
      <c r="BK20" s="418">
        <f t="shared" si="18"/>
        <v>0</v>
      </c>
      <c r="BL20" s="418">
        <f t="shared" si="18"/>
        <v>8800</v>
      </c>
      <c r="BM20" s="418">
        <f t="shared" si="19"/>
        <v>0</v>
      </c>
      <c r="BN20" s="418">
        <f t="shared" si="20"/>
        <v>0</v>
      </c>
      <c r="BO20" s="418">
        <f t="shared" si="20"/>
        <v>0</v>
      </c>
      <c r="BP20" s="418">
        <f t="shared" si="21"/>
        <v>2974</v>
      </c>
      <c r="BQ20" s="418">
        <f t="shared" si="21"/>
        <v>88</v>
      </c>
      <c r="BR20" s="418">
        <f t="shared" si="22"/>
        <v>432</v>
      </c>
      <c r="BS20" s="419">
        <f t="shared" si="23"/>
        <v>3.2199999999999999E-2</v>
      </c>
      <c r="BT20" s="419">
        <f t="shared" si="24"/>
        <v>0</v>
      </c>
      <c r="BU20" s="421">
        <f t="shared" si="24"/>
        <v>3.2199999999999999E-2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213">
        <v>1</v>
      </c>
      <c r="B21" s="45">
        <v>5490</v>
      </c>
      <c r="C21" s="45">
        <v>600099474</v>
      </c>
      <c r="D21" s="45">
        <v>71173854</v>
      </c>
      <c r="E21" s="374" t="s">
        <v>452</v>
      </c>
      <c r="F21" s="45"/>
      <c r="G21" s="374"/>
      <c r="H21" s="182"/>
      <c r="I21" s="487">
        <v>35322858</v>
      </c>
      <c r="J21" s="483">
        <v>26129601</v>
      </c>
      <c r="K21" s="483">
        <v>23467153</v>
      </c>
      <c r="L21" s="483">
        <v>2662448</v>
      </c>
      <c r="M21" s="483">
        <v>0</v>
      </c>
      <c r="N21" s="483">
        <v>0</v>
      </c>
      <c r="O21" s="483">
        <v>0</v>
      </c>
      <c r="P21" s="483">
        <v>8831804</v>
      </c>
      <c r="Q21" s="483">
        <v>261296</v>
      </c>
      <c r="R21" s="483">
        <v>100157</v>
      </c>
      <c r="S21" s="484">
        <v>52.274500000000003</v>
      </c>
      <c r="T21" s="484">
        <v>43.64</v>
      </c>
      <c r="U21" s="656">
        <v>8.6344999999999992</v>
      </c>
      <c r="V21" s="487">
        <f t="shared" ref="V21:CA21" si="25">SUM(V12:V20)</f>
        <v>0</v>
      </c>
      <c r="W21" s="483">
        <f t="shared" si="25"/>
        <v>0</v>
      </c>
      <c r="X21" s="483">
        <f t="shared" si="25"/>
        <v>12379</v>
      </c>
      <c r="Y21" s="483">
        <f t="shared" si="25"/>
        <v>0</v>
      </c>
      <c r="Z21" s="483">
        <f t="shared" si="25"/>
        <v>0</v>
      </c>
      <c r="AA21" s="483">
        <f t="shared" si="25"/>
        <v>580995</v>
      </c>
      <c r="AB21" s="483">
        <f t="shared" si="25"/>
        <v>0</v>
      </c>
      <c r="AC21" s="483">
        <f t="shared" si="25"/>
        <v>0</v>
      </c>
      <c r="AD21" s="483">
        <f t="shared" si="25"/>
        <v>12379</v>
      </c>
      <c r="AE21" s="483">
        <f t="shared" si="25"/>
        <v>580995</v>
      </c>
      <c r="AF21" s="483">
        <f t="shared" si="25"/>
        <v>593374</v>
      </c>
      <c r="AG21" s="483">
        <f t="shared" si="25"/>
        <v>0</v>
      </c>
      <c r="AH21" s="483">
        <f t="shared" si="25"/>
        <v>0</v>
      </c>
      <c r="AI21" s="483">
        <f t="shared" si="25"/>
        <v>0</v>
      </c>
      <c r="AJ21" s="483">
        <f t="shared" si="25"/>
        <v>0</v>
      </c>
      <c r="AK21" s="483">
        <f t="shared" si="25"/>
        <v>0</v>
      </c>
      <c r="AL21" s="483">
        <f t="shared" si="25"/>
        <v>0</v>
      </c>
      <c r="AM21" s="483">
        <f t="shared" si="25"/>
        <v>0</v>
      </c>
      <c r="AN21" s="483">
        <f t="shared" si="25"/>
        <v>0</v>
      </c>
      <c r="AO21" s="483">
        <f t="shared" si="25"/>
        <v>12379</v>
      </c>
      <c r="AP21" s="483">
        <f t="shared" si="25"/>
        <v>580995</v>
      </c>
      <c r="AQ21" s="483">
        <f t="shared" si="25"/>
        <v>593374</v>
      </c>
      <c r="AR21" s="483">
        <f t="shared" si="25"/>
        <v>200560</v>
      </c>
      <c r="AS21" s="483">
        <f t="shared" si="25"/>
        <v>5934</v>
      </c>
      <c r="AT21" s="483">
        <f t="shared" si="25"/>
        <v>0</v>
      </c>
      <c r="AU21" s="483">
        <f t="shared" si="25"/>
        <v>3629</v>
      </c>
      <c r="AV21" s="483">
        <f t="shared" si="25"/>
        <v>3629</v>
      </c>
      <c r="AW21" s="483">
        <f t="shared" si="25"/>
        <v>803497</v>
      </c>
      <c r="AX21" s="484">
        <f t="shared" si="25"/>
        <v>0</v>
      </c>
      <c r="AY21" s="484">
        <f t="shared" si="25"/>
        <v>0</v>
      </c>
      <c r="AZ21" s="484">
        <f t="shared" si="25"/>
        <v>0.03</v>
      </c>
      <c r="BA21" s="484">
        <f t="shared" si="25"/>
        <v>0</v>
      </c>
      <c r="BB21" s="484">
        <f t="shared" ref="BB21" si="26">SUM(BB12:BB20)</f>
        <v>1.73</v>
      </c>
      <c r="BC21" s="484">
        <f t="shared" si="25"/>
        <v>0</v>
      </c>
      <c r="BD21" s="484">
        <f t="shared" si="25"/>
        <v>0</v>
      </c>
      <c r="BE21" s="484">
        <f t="shared" ref="BE21" si="27">SUM(BE12:BE20)</f>
        <v>0</v>
      </c>
      <c r="BF21" s="484">
        <f t="shared" si="25"/>
        <v>0.03</v>
      </c>
      <c r="BG21" s="484">
        <f t="shared" si="25"/>
        <v>1.73</v>
      </c>
      <c r="BH21" s="375">
        <f t="shared" si="25"/>
        <v>1.76</v>
      </c>
      <c r="BI21" s="792">
        <f t="shared" si="25"/>
        <v>36126355</v>
      </c>
      <c r="BJ21" s="483">
        <f t="shared" si="25"/>
        <v>26722975</v>
      </c>
      <c r="BK21" s="483">
        <f t="shared" si="25"/>
        <v>23479532</v>
      </c>
      <c r="BL21" s="483">
        <f t="shared" si="25"/>
        <v>3243443</v>
      </c>
      <c r="BM21" s="483">
        <f t="shared" si="25"/>
        <v>0</v>
      </c>
      <c r="BN21" s="483">
        <f t="shared" si="25"/>
        <v>0</v>
      </c>
      <c r="BO21" s="483">
        <f t="shared" si="25"/>
        <v>0</v>
      </c>
      <c r="BP21" s="483">
        <f t="shared" si="25"/>
        <v>9032364</v>
      </c>
      <c r="BQ21" s="483">
        <f t="shared" si="25"/>
        <v>267230</v>
      </c>
      <c r="BR21" s="483">
        <f t="shared" si="25"/>
        <v>103786</v>
      </c>
      <c r="BS21" s="484">
        <f t="shared" si="25"/>
        <v>54.034500000000008</v>
      </c>
      <c r="BT21" s="484">
        <f t="shared" si="25"/>
        <v>43.67</v>
      </c>
      <c r="BU21" s="375">
        <f t="shared" si="25"/>
        <v>10.3645</v>
      </c>
      <c r="BV21" s="869">
        <f t="shared" si="25"/>
        <v>0</v>
      </c>
      <c r="BW21" s="733">
        <f t="shared" si="25"/>
        <v>0</v>
      </c>
      <c r="BX21" s="733">
        <f t="shared" si="25"/>
        <v>0</v>
      </c>
      <c r="BY21" s="733">
        <f t="shared" si="25"/>
        <v>0</v>
      </c>
      <c r="BZ21" s="733">
        <f t="shared" si="25"/>
        <v>0</v>
      </c>
      <c r="CA21" s="870">
        <f t="shared" si="25"/>
        <v>0</v>
      </c>
    </row>
    <row r="22" spans="1:79" ht="12.95" customHeight="1" x14ac:dyDescent="0.25">
      <c r="A22" s="280">
        <v>2</v>
      </c>
      <c r="B22" s="376">
        <v>5460</v>
      </c>
      <c r="C22" s="376">
        <v>600098621</v>
      </c>
      <c r="D22" s="376">
        <v>72743549</v>
      </c>
      <c r="E22" s="211" t="s">
        <v>453</v>
      </c>
      <c r="F22" s="376">
        <v>3111</v>
      </c>
      <c r="G22" s="373" t="s">
        <v>304</v>
      </c>
      <c r="H22" s="377" t="s">
        <v>271</v>
      </c>
      <c r="I22" s="420">
        <v>6689064</v>
      </c>
      <c r="J22" s="415">
        <v>4947556</v>
      </c>
      <c r="K22" s="415">
        <v>4504010</v>
      </c>
      <c r="L22" s="415">
        <v>443546</v>
      </c>
      <c r="M22" s="415">
        <v>0</v>
      </c>
      <c r="N22" s="415">
        <v>0</v>
      </c>
      <c r="O22" s="415">
        <v>0</v>
      </c>
      <c r="P22" s="68">
        <v>1672274</v>
      </c>
      <c r="Q22" s="68">
        <v>49476</v>
      </c>
      <c r="R22" s="415">
        <v>19758</v>
      </c>
      <c r="S22" s="416">
        <v>9.4932999999999996</v>
      </c>
      <c r="T22" s="417">
        <v>8</v>
      </c>
      <c r="U22" s="423">
        <v>1.4933000000000001</v>
      </c>
      <c r="V22" s="424">
        <f t="shared" ref="V22:W24" si="28">AG22*-1</f>
        <v>0</v>
      </c>
      <c r="W22" s="418">
        <f t="shared" si="2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ref="AO22:AP24" si="29">AD22+AL22</f>
        <v>0</v>
      </c>
      <c r="AP22" s="418">
        <f t="shared" si="29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0.01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0.01</v>
      </c>
      <c r="BH22" s="421">
        <f>SUM(BF22:BG22)</f>
        <v>0.01</v>
      </c>
      <c r="BI22" s="780">
        <f>I22+AW22</f>
        <v>6689064</v>
      </c>
      <c r="BJ22" s="418">
        <f>J22+AF22</f>
        <v>4947556</v>
      </c>
      <c r="BK22" s="418">
        <f t="shared" ref="BK22:BL24" si="30">K22+AD22</f>
        <v>4504010</v>
      </c>
      <c r="BL22" s="418">
        <f t="shared" si="30"/>
        <v>443546</v>
      </c>
      <c r="BM22" s="418">
        <f>M22+AN22</f>
        <v>0</v>
      </c>
      <c r="BN22" s="418">
        <f t="shared" ref="BN22:BO24" si="31">N22+AL22</f>
        <v>0</v>
      </c>
      <c r="BO22" s="418">
        <f t="shared" si="31"/>
        <v>0</v>
      </c>
      <c r="BP22" s="418">
        <f t="shared" ref="BP22:BQ24" si="32">P22+AR22</f>
        <v>1672274</v>
      </c>
      <c r="BQ22" s="418">
        <f t="shared" si="32"/>
        <v>49476</v>
      </c>
      <c r="BR22" s="418">
        <f>R22+AV22</f>
        <v>19758</v>
      </c>
      <c r="BS22" s="419">
        <f>S22+BH22</f>
        <v>9.5032999999999994</v>
      </c>
      <c r="BT22" s="419">
        <f t="shared" ref="BT22:BU24" si="33">T22+BF22</f>
        <v>8</v>
      </c>
      <c r="BU22" s="421">
        <f t="shared" si="33"/>
        <v>1.5033000000000001</v>
      </c>
      <c r="BV22" s="420"/>
      <c r="BW22" s="415"/>
      <c r="BX22" s="415"/>
      <c r="BY22" s="415"/>
      <c r="BZ22" s="415"/>
      <c r="CA22" s="510"/>
    </row>
    <row r="23" spans="1:79" ht="12.95" customHeight="1" x14ac:dyDescent="0.25">
      <c r="A23" s="280">
        <v>2</v>
      </c>
      <c r="B23" s="212">
        <v>5460</v>
      </c>
      <c r="C23" s="212">
        <v>600098621</v>
      </c>
      <c r="D23" s="212">
        <v>72743549</v>
      </c>
      <c r="E23" s="372" t="s">
        <v>453</v>
      </c>
      <c r="F23" s="376">
        <v>3111</v>
      </c>
      <c r="G23" s="323" t="s">
        <v>291</v>
      </c>
      <c r="H23" s="285" t="s">
        <v>272</v>
      </c>
      <c r="I23" s="420">
        <v>874720</v>
      </c>
      <c r="J23" s="415">
        <v>648902</v>
      </c>
      <c r="K23" s="415">
        <v>648902</v>
      </c>
      <c r="L23" s="415">
        <v>0</v>
      </c>
      <c r="M23" s="415">
        <v>0</v>
      </c>
      <c r="N23" s="415">
        <v>0</v>
      </c>
      <c r="O23" s="415">
        <v>0</v>
      </c>
      <c r="P23" s="68">
        <v>219329</v>
      </c>
      <c r="Q23" s="68">
        <v>6489</v>
      </c>
      <c r="R23" s="415">
        <v>0</v>
      </c>
      <c r="S23" s="416">
        <v>1.75</v>
      </c>
      <c r="T23" s="416">
        <v>1.75</v>
      </c>
      <c r="U23" s="423">
        <v>0</v>
      </c>
      <c r="V23" s="424">
        <f t="shared" si="28"/>
        <v>0</v>
      </c>
      <c r="W23" s="418">
        <f t="shared" si="28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29"/>
        <v>0</v>
      </c>
      <c r="AP23" s="418">
        <f t="shared" si="29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8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780">
        <f>I23+AW23</f>
        <v>874720</v>
      </c>
      <c r="BJ23" s="418">
        <f>J23+AF23</f>
        <v>648902</v>
      </c>
      <c r="BK23" s="418">
        <f t="shared" si="30"/>
        <v>648902</v>
      </c>
      <c r="BL23" s="418">
        <f t="shared" si="30"/>
        <v>0</v>
      </c>
      <c r="BM23" s="418">
        <f>M23+AN23</f>
        <v>0</v>
      </c>
      <c r="BN23" s="418">
        <f t="shared" si="31"/>
        <v>0</v>
      </c>
      <c r="BO23" s="418">
        <f t="shared" si="31"/>
        <v>0</v>
      </c>
      <c r="BP23" s="418">
        <f t="shared" si="32"/>
        <v>219329</v>
      </c>
      <c r="BQ23" s="418">
        <f t="shared" si="32"/>
        <v>6489</v>
      </c>
      <c r="BR23" s="418">
        <f>R23+AV23</f>
        <v>0</v>
      </c>
      <c r="BS23" s="419">
        <f>S23+BH23</f>
        <v>1.75</v>
      </c>
      <c r="BT23" s="419">
        <f t="shared" si="33"/>
        <v>1.75</v>
      </c>
      <c r="BU23" s="421">
        <f t="shared" si="33"/>
        <v>0</v>
      </c>
      <c r="BV23" s="420"/>
      <c r="BW23" s="415"/>
      <c r="BX23" s="415"/>
      <c r="BY23" s="415"/>
      <c r="BZ23" s="415"/>
      <c r="CA23" s="510"/>
    </row>
    <row r="24" spans="1:79" ht="12.95" customHeight="1" x14ac:dyDescent="0.25">
      <c r="A24" s="280">
        <v>2</v>
      </c>
      <c r="B24" s="212">
        <v>5460</v>
      </c>
      <c r="C24" s="212">
        <v>600098621</v>
      </c>
      <c r="D24" s="212">
        <v>72743549</v>
      </c>
      <c r="E24" s="372" t="s">
        <v>453</v>
      </c>
      <c r="F24" s="212">
        <v>3141</v>
      </c>
      <c r="G24" s="373" t="s">
        <v>294</v>
      </c>
      <c r="H24" s="285" t="s">
        <v>272</v>
      </c>
      <c r="I24" s="420">
        <v>604962</v>
      </c>
      <c r="J24" s="415">
        <v>446863</v>
      </c>
      <c r="K24" s="415">
        <v>0</v>
      </c>
      <c r="L24" s="415">
        <v>446863</v>
      </c>
      <c r="M24" s="415">
        <v>0</v>
      </c>
      <c r="N24" s="415">
        <v>0</v>
      </c>
      <c r="O24" s="415">
        <v>0</v>
      </c>
      <c r="P24" s="68">
        <v>151040</v>
      </c>
      <c r="Q24" s="68">
        <v>4469</v>
      </c>
      <c r="R24" s="415">
        <v>2590</v>
      </c>
      <c r="S24" s="416">
        <v>1.34</v>
      </c>
      <c r="T24" s="416">
        <v>0</v>
      </c>
      <c r="U24" s="423">
        <v>1.34</v>
      </c>
      <c r="V24" s="424">
        <f t="shared" si="28"/>
        <v>0</v>
      </c>
      <c r="W24" s="418">
        <f t="shared" si="28"/>
        <v>0</v>
      </c>
      <c r="X24" s="418">
        <v>0</v>
      </c>
      <c r="Y24" s="418">
        <v>0</v>
      </c>
      <c r="Z24" s="418">
        <v>0</v>
      </c>
      <c r="AA24" s="418">
        <v>223144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223144</v>
      </c>
      <c r="AF24" s="418">
        <f>SUM(AD24:AE24)</f>
        <v>223144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29"/>
        <v>0</v>
      </c>
      <c r="AP24" s="418">
        <f t="shared" si="29"/>
        <v>223144</v>
      </c>
      <c r="AQ24" s="418">
        <f>SUM(AO24:AP24)</f>
        <v>223144</v>
      </c>
      <c r="AR24" s="68">
        <f>ROUND((AF24+AG24+AH24+AI24)*33.8%,0)</f>
        <v>75423</v>
      </c>
      <c r="AS24" s="68">
        <f>ROUND(AF24*1%,0)</f>
        <v>2231</v>
      </c>
      <c r="AT24" s="418">
        <v>0</v>
      </c>
      <c r="AU24" s="418">
        <v>1258</v>
      </c>
      <c r="AV24" s="418">
        <f>AT24+AU24</f>
        <v>1258</v>
      </c>
      <c r="AW24" s="418">
        <f>AQ24+AR24+AS24+AV24</f>
        <v>302056</v>
      </c>
      <c r="AX24" s="419">
        <v>0</v>
      </c>
      <c r="AY24" s="419">
        <v>0</v>
      </c>
      <c r="AZ24" s="419">
        <v>0</v>
      </c>
      <c r="BA24" s="419">
        <v>0</v>
      </c>
      <c r="BB24" s="419">
        <v>0.67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0.67</v>
      </c>
      <c r="BH24" s="421">
        <f>SUM(BF24:BG24)</f>
        <v>0.67</v>
      </c>
      <c r="BI24" s="780">
        <f>I24+AW24</f>
        <v>907018</v>
      </c>
      <c r="BJ24" s="418">
        <f>J24+AF24</f>
        <v>670007</v>
      </c>
      <c r="BK24" s="418">
        <f t="shared" si="30"/>
        <v>0</v>
      </c>
      <c r="BL24" s="418">
        <f t="shared" si="30"/>
        <v>670007</v>
      </c>
      <c r="BM24" s="418">
        <f>M24+AN24</f>
        <v>0</v>
      </c>
      <c r="BN24" s="418">
        <f t="shared" si="31"/>
        <v>0</v>
      </c>
      <c r="BO24" s="418">
        <f t="shared" si="31"/>
        <v>0</v>
      </c>
      <c r="BP24" s="418">
        <f t="shared" si="32"/>
        <v>226463</v>
      </c>
      <c r="BQ24" s="418">
        <f t="shared" si="32"/>
        <v>6700</v>
      </c>
      <c r="BR24" s="418">
        <f>R24+AV24</f>
        <v>3848</v>
      </c>
      <c r="BS24" s="419">
        <f>S24+BH24</f>
        <v>2.0100000000000002</v>
      </c>
      <c r="BT24" s="419">
        <f t="shared" si="33"/>
        <v>0</v>
      </c>
      <c r="BU24" s="421">
        <f t="shared" si="33"/>
        <v>2.0100000000000002</v>
      </c>
      <c r="BV24" s="420"/>
      <c r="BW24" s="415"/>
      <c r="BX24" s="415"/>
      <c r="BY24" s="415"/>
      <c r="BZ24" s="415"/>
      <c r="CA24" s="510"/>
    </row>
    <row r="25" spans="1:79" ht="12.95" customHeight="1" x14ac:dyDescent="0.25">
      <c r="A25" s="213">
        <v>2</v>
      </c>
      <c r="B25" s="45">
        <v>5460</v>
      </c>
      <c r="C25" s="45">
        <v>600098621</v>
      </c>
      <c r="D25" s="45">
        <v>72743549</v>
      </c>
      <c r="E25" s="374" t="s">
        <v>454</v>
      </c>
      <c r="F25" s="45"/>
      <c r="G25" s="374"/>
      <c r="H25" s="182"/>
      <c r="I25" s="465">
        <v>8168746</v>
      </c>
      <c r="J25" s="461">
        <v>6043321</v>
      </c>
      <c r="K25" s="461">
        <v>5152912</v>
      </c>
      <c r="L25" s="461">
        <v>890409</v>
      </c>
      <c r="M25" s="461">
        <v>0</v>
      </c>
      <c r="N25" s="461">
        <v>0</v>
      </c>
      <c r="O25" s="461">
        <v>0</v>
      </c>
      <c r="P25" s="461">
        <v>2042643</v>
      </c>
      <c r="Q25" s="461">
        <v>60434</v>
      </c>
      <c r="R25" s="461">
        <v>22348</v>
      </c>
      <c r="S25" s="462">
        <v>12.583299999999999</v>
      </c>
      <c r="T25" s="462">
        <v>9.75</v>
      </c>
      <c r="U25" s="535">
        <v>2.8333000000000004</v>
      </c>
      <c r="V25" s="465">
        <f t="shared" ref="V25:CA25" si="34">SUM(V22:V24)</f>
        <v>0</v>
      </c>
      <c r="W25" s="461">
        <f t="shared" si="34"/>
        <v>0</v>
      </c>
      <c r="X25" s="461">
        <f t="shared" si="34"/>
        <v>0</v>
      </c>
      <c r="Y25" s="461">
        <f t="shared" si="34"/>
        <v>0</v>
      </c>
      <c r="Z25" s="461">
        <f t="shared" si="34"/>
        <v>0</v>
      </c>
      <c r="AA25" s="461">
        <f t="shared" si="34"/>
        <v>223144</v>
      </c>
      <c r="AB25" s="461">
        <f t="shared" si="34"/>
        <v>0</v>
      </c>
      <c r="AC25" s="461">
        <f t="shared" si="34"/>
        <v>0</v>
      </c>
      <c r="AD25" s="461">
        <f t="shared" si="34"/>
        <v>0</v>
      </c>
      <c r="AE25" s="461">
        <f t="shared" si="34"/>
        <v>223144</v>
      </c>
      <c r="AF25" s="461">
        <f t="shared" si="34"/>
        <v>223144</v>
      </c>
      <c r="AG25" s="461">
        <f t="shared" si="34"/>
        <v>0</v>
      </c>
      <c r="AH25" s="461">
        <f t="shared" si="34"/>
        <v>0</v>
      </c>
      <c r="AI25" s="461">
        <f t="shared" si="34"/>
        <v>0</v>
      </c>
      <c r="AJ25" s="461">
        <f t="shared" si="34"/>
        <v>0</v>
      </c>
      <c r="AK25" s="461">
        <f t="shared" si="34"/>
        <v>0</v>
      </c>
      <c r="AL25" s="461">
        <f t="shared" si="34"/>
        <v>0</v>
      </c>
      <c r="AM25" s="461">
        <f t="shared" si="34"/>
        <v>0</v>
      </c>
      <c r="AN25" s="461">
        <f t="shared" si="34"/>
        <v>0</v>
      </c>
      <c r="AO25" s="461">
        <f t="shared" si="34"/>
        <v>0</v>
      </c>
      <c r="AP25" s="461">
        <f t="shared" si="34"/>
        <v>223144</v>
      </c>
      <c r="AQ25" s="461">
        <f t="shared" si="34"/>
        <v>223144</v>
      </c>
      <c r="AR25" s="461">
        <f t="shared" si="34"/>
        <v>75423</v>
      </c>
      <c r="AS25" s="461">
        <f t="shared" si="34"/>
        <v>2231</v>
      </c>
      <c r="AT25" s="461">
        <f t="shared" si="34"/>
        <v>0</v>
      </c>
      <c r="AU25" s="461">
        <f t="shared" si="34"/>
        <v>1258</v>
      </c>
      <c r="AV25" s="461">
        <f t="shared" si="34"/>
        <v>1258</v>
      </c>
      <c r="AW25" s="461">
        <f t="shared" si="34"/>
        <v>302056</v>
      </c>
      <c r="AX25" s="462">
        <f t="shared" si="34"/>
        <v>0</v>
      </c>
      <c r="AY25" s="462">
        <f t="shared" si="34"/>
        <v>0.01</v>
      </c>
      <c r="AZ25" s="462">
        <f t="shared" si="34"/>
        <v>0</v>
      </c>
      <c r="BA25" s="462">
        <f t="shared" si="34"/>
        <v>0</v>
      </c>
      <c r="BB25" s="462">
        <f t="shared" ref="BB25" si="35">SUM(BB22:BB24)</f>
        <v>0.67</v>
      </c>
      <c r="BC25" s="462">
        <f t="shared" si="34"/>
        <v>0</v>
      </c>
      <c r="BD25" s="462">
        <f t="shared" si="34"/>
        <v>0</v>
      </c>
      <c r="BE25" s="462">
        <f t="shared" ref="BE25" si="36">SUM(BE22:BE24)</f>
        <v>0</v>
      </c>
      <c r="BF25" s="462">
        <f t="shared" si="34"/>
        <v>0</v>
      </c>
      <c r="BG25" s="462">
        <f t="shared" si="34"/>
        <v>0.68</v>
      </c>
      <c r="BH25" s="279">
        <f t="shared" si="34"/>
        <v>0.68</v>
      </c>
      <c r="BI25" s="781">
        <f t="shared" si="34"/>
        <v>8470802</v>
      </c>
      <c r="BJ25" s="461">
        <f t="shared" si="34"/>
        <v>6266465</v>
      </c>
      <c r="BK25" s="461">
        <f t="shared" si="34"/>
        <v>5152912</v>
      </c>
      <c r="BL25" s="461">
        <f t="shared" si="34"/>
        <v>1113553</v>
      </c>
      <c r="BM25" s="461">
        <f t="shared" si="34"/>
        <v>0</v>
      </c>
      <c r="BN25" s="461">
        <f t="shared" si="34"/>
        <v>0</v>
      </c>
      <c r="BO25" s="461">
        <f t="shared" si="34"/>
        <v>0</v>
      </c>
      <c r="BP25" s="461">
        <f t="shared" si="34"/>
        <v>2118066</v>
      </c>
      <c r="BQ25" s="461">
        <f t="shared" si="34"/>
        <v>62665</v>
      </c>
      <c r="BR25" s="461">
        <f t="shared" si="34"/>
        <v>23606</v>
      </c>
      <c r="BS25" s="462">
        <f t="shared" si="34"/>
        <v>13.263299999999999</v>
      </c>
      <c r="BT25" s="462">
        <f t="shared" si="34"/>
        <v>9.75</v>
      </c>
      <c r="BU25" s="279">
        <f t="shared" si="34"/>
        <v>3.5133000000000001</v>
      </c>
      <c r="BV25" s="850">
        <f t="shared" si="34"/>
        <v>0</v>
      </c>
      <c r="BW25" s="713">
        <f t="shared" si="34"/>
        <v>0</v>
      </c>
      <c r="BX25" s="713">
        <f t="shared" si="34"/>
        <v>0</v>
      </c>
      <c r="BY25" s="713">
        <f t="shared" si="34"/>
        <v>0</v>
      </c>
      <c r="BZ25" s="713">
        <f t="shared" si="34"/>
        <v>0</v>
      </c>
      <c r="CA25" s="851">
        <f t="shared" si="34"/>
        <v>0</v>
      </c>
    </row>
    <row r="26" spans="1:79" ht="12.95" customHeight="1" x14ac:dyDescent="0.25">
      <c r="A26" s="280">
        <v>4</v>
      </c>
      <c r="B26" s="212">
        <v>5464</v>
      </c>
      <c r="C26" s="212">
        <v>600098869</v>
      </c>
      <c r="D26" s="212">
        <v>72743719</v>
      </c>
      <c r="E26" s="380" t="s">
        <v>455</v>
      </c>
      <c r="F26" s="381">
        <v>3111</v>
      </c>
      <c r="G26" s="373" t="s">
        <v>304</v>
      </c>
      <c r="H26" s="285" t="s">
        <v>271</v>
      </c>
      <c r="I26" s="420">
        <v>5157587</v>
      </c>
      <c r="J26" s="415">
        <v>3809454</v>
      </c>
      <c r="K26" s="415">
        <v>3481785</v>
      </c>
      <c r="L26" s="415">
        <v>327669</v>
      </c>
      <c r="M26" s="415">
        <v>5000</v>
      </c>
      <c r="N26" s="415">
        <v>0</v>
      </c>
      <c r="O26" s="415">
        <v>5000</v>
      </c>
      <c r="P26" s="68">
        <v>1289285</v>
      </c>
      <c r="Q26" s="68">
        <v>38095</v>
      </c>
      <c r="R26" s="415">
        <v>15753</v>
      </c>
      <c r="S26" s="416">
        <v>7.1000000000000005</v>
      </c>
      <c r="T26" s="416">
        <v>6</v>
      </c>
      <c r="U26" s="423">
        <v>1.1000000000000001</v>
      </c>
      <c r="V26" s="424">
        <f t="shared" ref="V26:W28" si="37">AG26*-1</f>
        <v>0</v>
      </c>
      <c r="W26" s="418">
        <f t="shared" si="37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ref="AO26:AP28" si="38">AD26+AL26</f>
        <v>0</v>
      </c>
      <c r="AP26" s="418">
        <f t="shared" si="38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8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-0.01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-0.01</v>
      </c>
      <c r="BH26" s="421">
        <f>SUM(BF26:BG26)</f>
        <v>-0.01</v>
      </c>
      <c r="BI26" s="780">
        <f>I26+AW26</f>
        <v>5157587</v>
      </c>
      <c r="BJ26" s="418">
        <f>J26+AF26</f>
        <v>3809454</v>
      </c>
      <c r="BK26" s="418">
        <f t="shared" ref="BK26:BL28" si="39">K26+AD26</f>
        <v>3481785</v>
      </c>
      <c r="BL26" s="418">
        <f t="shared" si="39"/>
        <v>327669</v>
      </c>
      <c r="BM26" s="418">
        <f>M26+AN26</f>
        <v>5000</v>
      </c>
      <c r="BN26" s="418">
        <f t="shared" ref="BN26:BO28" si="40">N26+AL26</f>
        <v>0</v>
      </c>
      <c r="BO26" s="418">
        <f t="shared" si="40"/>
        <v>5000</v>
      </c>
      <c r="BP26" s="418">
        <f t="shared" ref="BP26:BQ28" si="41">P26+AR26</f>
        <v>1289285</v>
      </c>
      <c r="BQ26" s="418">
        <f t="shared" si="41"/>
        <v>38095</v>
      </c>
      <c r="BR26" s="418">
        <f>R26+AV26</f>
        <v>15753</v>
      </c>
      <c r="BS26" s="419">
        <f>S26+BH26</f>
        <v>7.0900000000000007</v>
      </c>
      <c r="BT26" s="419">
        <f t="shared" ref="BT26:BU28" si="42">T26+BF26</f>
        <v>6</v>
      </c>
      <c r="BU26" s="421">
        <f t="shared" si="42"/>
        <v>1.0900000000000001</v>
      </c>
      <c r="BV26" s="420"/>
      <c r="BW26" s="415"/>
      <c r="BX26" s="415"/>
      <c r="BY26" s="415"/>
      <c r="BZ26" s="415"/>
      <c r="CA26" s="510"/>
    </row>
    <row r="27" spans="1:79" ht="12.95" customHeight="1" x14ac:dyDescent="0.25">
      <c r="A27" s="280">
        <v>4</v>
      </c>
      <c r="B27" s="212">
        <v>5464</v>
      </c>
      <c r="C27" s="212">
        <v>600098869</v>
      </c>
      <c r="D27" s="212">
        <v>72743719</v>
      </c>
      <c r="E27" s="371" t="s">
        <v>455</v>
      </c>
      <c r="F27" s="381">
        <v>3111</v>
      </c>
      <c r="G27" s="323" t="s">
        <v>291</v>
      </c>
      <c r="H27" s="285" t="s">
        <v>272</v>
      </c>
      <c r="I27" s="420">
        <v>0</v>
      </c>
      <c r="J27" s="415">
        <v>0</v>
      </c>
      <c r="K27" s="415">
        <v>0</v>
      </c>
      <c r="L27" s="415">
        <v>0</v>
      </c>
      <c r="M27" s="415">
        <v>0</v>
      </c>
      <c r="N27" s="415">
        <v>0</v>
      </c>
      <c r="O27" s="415">
        <v>0</v>
      </c>
      <c r="P27" s="68">
        <v>0</v>
      </c>
      <c r="Q27" s="68">
        <v>0</v>
      </c>
      <c r="R27" s="415">
        <v>0</v>
      </c>
      <c r="S27" s="416">
        <v>0</v>
      </c>
      <c r="T27" s="416">
        <v>0</v>
      </c>
      <c r="U27" s="423">
        <v>0</v>
      </c>
      <c r="V27" s="424">
        <f t="shared" si="37"/>
        <v>0</v>
      </c>
      <c r="W27" s="418">
        <f t="shared" si="37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38"/>
        <v>0</v>
      </c>
      <c r="AP27" s="418">
        <f t="shared" si="38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8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421">
        <f>SUM(BF27:BG27)</f>
        <v>0</v>
      </c>
      <c r="BI27" s="780">
        <f>I27+AW27</f>
        <v>0</v>
      </c>
      <c r="BJ27" s="418">
        <f>J27+AF27</f>
        <v>0</v>
      </c>
      <c r="BK27" s="418">
        <f t="shared" si="39"/>
        <v>0</v>
      </c>
      <c r="BL27" s="418">
        <f t="shared" si="39"/>
        <v>0</v>
      </c>
      <c r="BM27" s="418">
        <f>M27+AN27</f>
        <v>0</v>
      </c>
      <c r="BN27" s="418">
        <f t="shared" si="40"/>
        <v>0</v>
      </c>
      <c r="BO27" s="418">
        <f t="shared" si="40"/>
        <v>0</v>
      </c>
      <c r="BP27" s="418">
        <f t="shared" si="41"/>
        <v>0</v>
      </c>
      <c r="BQ27" s="418">
        <f t="shared" si="41"/>
        <v>0</v>
      </c>
      <c r="BR27" s="418">
        <f>R27+AV27</f>
        <v>0</v>
      </c>
      <c r="BS27" s="419">
        <f>S27+BH27</f>
        <v>0</v>
      </c>
      <c r="BT27" s="419">
        <f t="shared" si="42"/>
        <v>0</v>
      </c>
      <c r="BU27" s="421">
        <f t="shared" si="42"/>
        <v>0</v>
      </c>
      <c r="BV27" s="420"/>
      <c r="BW27" s="415"/>
      <c r="BX27" s="415"/>
      <c r="BY27" s="415"/>
      <c r="BZ27" s="415"/>
      <c r="CA27" s="510"/>
    </row>
    <row r="28" spans="1:79" ht="12.95" customHeight="1" x14ac:dyDescent="0.25">
      <c r="A28" s="280">
        <v>4</v>
      </c>
      <c r="B28" s="212">
        <v>5464</v>
      </c>
      <c r="C28" s="212">
        <v>600098869</v>
      </c>
      <c r="D28" s="212">
        <v>72743719</v>
      </c>
      <c r="E28" s="371" t="s">
        <v>455</v>
      </c>
      <c r="F28" s="382">
        <v>3141</v>
      </c>
      <c r="G28" s="373" t="s">
        <v>294</v>
      </c>
      <c r="H28" s="285" t="s">
        <v>272</v>
      </c>
      <c r="I28" s="420">
        <v>517043</v>
      </c>
      <c r="J28" s="415">
        <v>332402</v>
      </c>
      <c r="K28" s="415">
        <v>0</v>
      </c>
      <c r="L28" s="415">
        <v>332402</v>
      </c>
      <c r="M28" s="415">
        <v>50000</v>
      </c>
      <c r="N28" s="415">
        <v>0</v>
      </c>
      <c r="O28" s="415">
        <v>50000</v>
      </c>
      <c r="P28" s="68">
        <v>129252</v>
      </c>
      <c r="Q28" s="68">
        <v>3324</v>
      </c>
      <c r="R28" s="415">
        <v>2065</v>
      </c>
      <c r="S28" s="416">
        <v>1.1467000000000001</v>
      </c>
      <c r="T28" s="416">
        <v>0</v>
      </c>
      <c r="U28" s="423">
        <v>1.1467000000000001</v>
      </c>
      <c r="V28" s="424">
        <f t="shared" si="37"/>
        <v>0</v>
      </c>
      <c r="W28" s="418">
        <f t="shared" si="37"/>
        <v>0</v>
      </c>
      <c r="X28" s="418">
        <v>0</v>
      </c>
      <c r="Y28" s="418">
        <v>0</v>
      </c>
      <c r="Z28" s="418">
        <v>0</v>
      </c>
      <c r="AA28" s="418">
        <v>192794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192794</v>
      </c>
      <c r="AF28" s="418">
        <f>SUM(AD28:AE28)</f>
        <v>192794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38"/>
        <v>0</v>
      </c>
      <c r="AP28" s="418">
        <f t="shared" si="38"/>
        <v>192794</v>
      </c>
      <c r="AQ28" s="418">
        <f>SUM(AO28:AP28)</f>
        <v>192794</v>
      </c>
      <c r="AR28" s="68">
        <f>ROUND((AF28+AG28+AH28+AI28)*33.8%,0)</f>
        <v>65164</v>
      </c>
      <c r="AS28" s="68">
        <f>ROUND(AF28*1%,0)</f>
        <v>1928</v>
      </c>
      <c r="AT28" s="418">
        <v>0</v>
      </c>
      <c r="AU28" s="418">
        <v>1003</v>
      </c>
      <c r="AV28" s="418">
        <f>AT28+AU28</f>
        <v>1003</v>
      </c>
      <c r="AW28" s="418">
        <f>AQ28+AR28+AS28+AV28</f>
        <v>260889</v>
      </c>
      <c r="AX28" s="419">
        <v>0</v>
      </c>
      <c r="AY28" s="419">
        <v>0</v>
      </c>
      <c r="AZ28" s="419">
        <v>0</v>
      </c>
      <c r="BA28" s="419">
        <v>0</v>
      </c>
      <c r="BB28" s="419">
        <v>0.56999999999999995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0.56999999999999995</v>
      </c>
      <c r="BH28" s="421">
        <f>SUM(BF28:BG28)</f>
        <v>0.56999999999999995</v>
      </c>
      <c r="BI28" s="780">
        <f>I28+AW28</f>
        <v>777932</v>
      </c>
      <c r="BJ28" s="418">
        <f>J28+AF28</f>
        <v>525196</v>
      </c>
      <c r="BK28" s="418">
        <f t="shared" si="39"/>
        <v>0</v>
      </c>
      <c r="BL28" s="418">
        <f t="shared" si="39"/>
        <v>525196</v>
      </c>
      <c r="BM28" s="418">
        <f>M28+AN28</f>
        <v>50000</v>
      </c>
      <c r="BN28" s="418">
        <f t="shared" si="40"/>
        <v>0</v>
      </c>
      <c r="BO28" s="418">
        <f t="shared" si="40"/>
        <v>50000</v>
      </c>
      <c r="BP28" s="418">
        <f t="shared" si="41"/>
        <v>194416</v>
      </c>
      <c r="BQ28" s="418">
        <f t="shared" si="41"/>
        <v>5252</v>
      </c>
      <c r="BR28" s="418">
        <f>R28+AV28</f>
        <v>3068</v>
      </c>
      <c r="BS28" s="419">
        <f>S28+BH28</f>
        <v>1.7166999999999999</v>
      </c>
      <c r="BT28" s="419">
        <f t="shared" si="42"/>
        <v>0</v>
      </c>
      <c r="BU28" s="421">
        <f t="shared" si="42"/>
        <v>1.7166999999999999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213">
        <v>4</v>
      </c>
      <c r="B29" s="45">
        <v>5464</v>
      </c>
      <c r="C29" s="45">
        <v>600098869</v>
      </c>
      <c r="D29" s="45">
        <v>72743719</v>
      </c>
      <c r="E29" s="383" t="s">
        <v>456</v>
      </c>
      <c r="F29" s="384"/>
      <c r="G29" s="383"/>
      <c r="H29" s="385"/>
      <c r="I29" s="465">
        <v>5674630</v>
      </c>
      <c r="J29" s="461">
        <v>4141856</v>
      </c>
      <c r="K29" s="461">
        <v>3481785</v>
      </c>
      <c r="L29" s="461">
        <v>660071</v>
      </c>
      <c r="M29" s="461">
        <v>55000</v>
      </c>
      <c r="N29" s="461">
        <v>0</v>
      </c>
      <c r="O29" s="461">
        <v>55000</v>
      </c>
      <c r="P29" s="461">
        <v>1418537</v>
      </c>
      <c r="Q29" s="461">
        <v>41419</v>
      </c>
      <c r="R29" s="461">
        <v>17818</v>
      </c>
      <c r="S29" s="462">
        <v>8.2467000000000006</v>
      </c>
      <c r="T29" s="462">
        <v>6</v>
      </c>
      <c r="U29" s="535">
        <v>2.2467000000000001</v>
      </c>
      <c r="V29" s="465">
        <f t="shared" ref="V29:CA29" si="43">SUM(V26:V28)</f>
        <v>0</v>
      </c>
      <c r="W29" s="461">
        <f t="shared" si="43"/>
        <v>0</v>
      </c>
      <c r="X29" s="461">
        <f t="shared" si="43"/>
        <v>0</v>
      </c>
      <c r="Y29" s="461">
        <f t="shared" si="43"/>
        <v>0</v>
      </c>
      <c r="Z29" s="461">
        <f t="shared" si="43"/>
        <v>0</v>
      </c>
      <c r="AA29" s="461">
        <f t="shared" si="43"/>
        <v>192794</v>
      </c>
      <c r="AB29" s="461">
        <f t="shared" si="43"/>
        <v>0</v>
      </c>
      <c r="AC29" s="461">
        <f t="shared" si="43"/>
        <v>0</v>
      </c>
      <c r="AD29" s="461">
        <f t="shared" si="43"/>
        <v>0</v>
      </c>
      <c r="AE29" s="461">
        <f t="shared" si="43"/>
        <v>192794</v>
      </c>
      <c r="AF29" s="461">
        <f t="shared" si="43"/>
        <v>192794</v>
      </c>
      <c r="AG29" s="461">
        <f t="shared" si="43"/>
        <v>0</v>
      </c>
      <c r="AH29" s="461">
        <f t="shared" si="43"/>
        <v>0</v>
      </c>
      <c r="AI29" s="461">
        <f t="shared" si="43"/>
        <v>0</v>
      </c>
      <c r="AJ29" s="461">
        <f t="shared" si="43"/>
        <v>0</v>
      </c>
      <c r="AK29" s="461">
        <f t="shared" si="43"/>
        <v>0</v>
      </c>
      <c r="AL29" s="461">
        <f t="shared" si="43"/>
        <v>0</v>
      </c>
      <c r="AM29" s="461">
        <f t="shared" si="43"/>
        <v>0</v>
      </c>
      <c r="AN29" s="461">
        <f t="shared" si="43"/>
        <v>0</v>
      </c>
      <c r="AO29" s="461">
        <f t="shared" si="43"/>
        <v>0</v>
      </c>
      <c r="AP29" s="461">
        <f t="shared" si="43"/>
        <v>192794</v>
      </c>
      <c r="AQ29" s="461">
        <f t="shared" si="43"/>
        <v>192794</v>
      </c>
      <c r="AR29" s="461">
        <f t="shared" si="43"/>
        <v>65164</v>
      </c>
      <c r="AS29" s="461">
        <f t="shared" si="43"/>
        <v>1928</v>
      </c>
      <c r="AT29" s="461">
        <f t="shared" si="43"/>
        <v>0</v>
      </c>
      <c r="AU29" s="461">
        <f t="shared" si="43"/>
        <v>1003</v>
      </c>
      <c r="AV29" s="461">
        <f t="shared" si="43"/>
        <v>1003</v>
      </c>
      <c r="AW29" s="461">
        <f t="shared" si="43"/>
        <v>260889</v>
      </c>
      <c r="AX29" s="462">
        <f t="shared" si="43"/>
        <v>0</v>
      </c>
      <c r="AY29" s="462">
        <f t="shared" si="43"/>
        <v>-0.01</v>
      </c>
      <c r="AZ29" s="462">
        <f t="shared" si="43"/>
        <v>0</v>
      </c>
      <c r="BA29" s="462">
        <f t="shared" si="43"/>
        <v>0</v>
      </c>
      <c r="BB29" s="462">
        <f t="shared" ref="BB29" si="44">SUM(BB26:BB28)</f>
        <v>0.56999999999999995</v>
      </c>
      <c r="BC29" s="462">
        <f t="shared" si="43"/>
        <v>0</v>
      </c>
      <c r="BD29" s="462">
        <f t="shared" si="43"/>
        <v>0</v>
      </c>
      <c r="BE29" s="462">
        <f t="shared" ref="BE29" si="45">SUM(BE26:BE28)</f>
        <v>0</v>
      </c>
      <c r="BF29" s="462">
        <f t="shared" si="43"/>
        <v>0</v>
      </c>
      <c r="BG29" s="462">
        <f t="shared" si="43"/>
        <v>0.55999999999999994</v>
      </c>
      <c r="BH29" s="279">
        <f t="shared" si="43"/>
        <v>0.55999999999999994</v>
      </c>
      <c r="BI29" s="781">
        <f t="shared" si="43"/>
        <v>5935519</v>
      </c>
      <c r="BJ29" s="461">
        <f t="shared" si="43"/>
        <v>4334650</v>
      </c>
      <c r="BK29" s="461">
        <f t="shared" si="43"/>
        <v>3481785</v>
      </c>
      <c r="BL29" s="461">
        <f t="shared" si="43"/>
        <v>852865</v>
      </c>
      <c r="BM29" s="461">
        <f t="shared" si="43"/>
        <v>55000</v>
      </c>
      <c r="BN29" s="461">
        <f t="shared" si="43"/>
        <v>0</v>
      </c>
      <c r="BO29" s="461">
        <f t="shared" si="43"/>
        <v>55000</v>
      </c>
      <c r="BP29" s="461">
        <f t="shared" si="43"/>
        <v>1483701</v>
      </c>
      <c r="BQ29" s="461">
        <f t="shared" si="43"/>
        <v>43347</v>
      </c>
      <c r="BR29" s="461">
        <f t="shared" si="43"/>
        <v>18821</v>
      </c>
      <c r="BS29" s="462">
        <f t="shared" si="43"/>
        <v>8.8067000000000011</v>
      </c>
      <c r="BT29" s="462">
        <f t="shared" si="43"/>
        <v>6</v>
      </c>
      <c r="BU29" s="279">
        <f t="shared" si="43"/>
        <v>2.8067000000000002</v>
      </c>
      <c r="BV29" s="850">
        <f t="shared" si="43"/>
        <v>0</v>
      </c>
      <c r="BW29" s="713">
        <f t="shared" si="43"/>
        <v>0</v>
      </c>
      <c r="BX29" s="713">
        <f t="shared" si="43"/>
        <v>0</v>
      </c>
      <c r="BY29" s="713">
        <f t="shared" si="43"/>
        <v>0</v>
      </c>
      <c r="BZ29" s="713">
        <f t="shared" si="43"/>
        <v>0</v>
      </c>
      <c r="CA29" s="851">
        <f t="shared" si="43"/>
        <v>0</v>
      </c>
    </row>
    <row r="30" spans="1:79" ht="12.95" customHeight="1" x14ac:dyDescent="0.25">
      <c r="A30" s="280">
        <v>5</v>
      </c>
      <c r="B30" s="212">
        <v>5467</v>
      </c>
      <c r="C30" s="212">
        <v>600098648</v>
      </c>
      <c r="D30" s="212">
        <v>72743948</v>
      </c>
      <c r="E30" s="372" t="s">
        <v>457</v>
      </c>
      <c r="F30" s="212">
        <v>3111</v>
      </c>
      <c r="G30" s="373" t="s">
        <v>304</v>
      </c>
      <c r="H30" s="285" t="s">
        <v>271</v>
      </c>
      <c r="I30" s="420">
        <v>4865172</v>
      </c>
      <c r="J30" s="415">
        <v>3597049</v>
      </c>
      <c r="K30" s="415">
        <v>3264380</v>
      </c>
      <c r="L30" s="415">
        <v>332669</v>
      </c>
      <c r="M30" s="415">
        <v>0</v>
      </c>
      <c r="N30" s="415">
        <v>0</v>
      </c>
      <c r="O30" s="415">
        <v>0</v>
      </c>
      <c r="P30" s="415">
        <v>1215803</v>
      </c>
      <c r="Q30" s="415">
        <v>35970</v>
      </c>
      <c r="R30" s="415">
        <v>16350</v>
      </c>
      <c r="S30" s="416">
        <v>7.12</v>
      </c>
      <c r="T30" s="416">
        <v>6</v>
      </c>
      <c r="U30" s="423">
        <v>1.1200000000000001</v>
      </c>
      <c r="V30" s="424">
        <f t="shared" ref="V30:W32" si="46">AG30*-1</f>
        <v>0</v>
      </c>
      <c r="W30" s="418">
        <f t="shared" si="46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0</v>
      </c>
      <c r="AF30" s="418">
        <f>SUM(AD30:AE30)</f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 t="shared" ref="AO30:AP32" si="47">AD30+AL30</f>
        <v>0</v>
      </c>
      <c r="AP30" s="418">
        <f t="shared" si="47"/>
        <v>0</v>
      </c>
      <c r="AQ30" s="418">
        <f>SUM(AO30:AP30)</f>
        <v>0</v>
      </c>
      <c r="AR30" s="68">
        <f>ROUND((AF30+AG30+AH30+AI30)*33.8%,0)</f>
        <v>0</v>
      </c>
      <c r="AS30" s="68">
        <f>ROUND(AF30*1%,0)</f>
        <v>0</v>
      </c>
      <c r="AT30" s="418">
        <v>0</v>
      </c>
      <c r="AU30" s="418">
        <v>0</v>
      </c>
      <c r="AV30" s="418">
        <f>AT30+AU30</f>
        <v>0</v>
      </c>
      <c r="AW30" s="418">
        <f>AQ30+AR30+AS30+AV30</f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</v>
      </c>
      <c r="BH30" s="421">
        <f>SUM(BF30:BG30)</f>
        <v>0</v>
      </c>
      <c r="BI30" s="780">
        <f>I30+AW30</f>
        <v>4865172</v>
      </c>
      <c r="BJ30" s="418">
        <f>J30+AF30</f>
        <v>3597049</v>
      </c>
      <c r="BK30" s="418">
        <f t="shared" ref="BK30:BL32" si="48">K30+AD30</f>
        <v>3264380</v>
      </c>
      <c r="BL30" s="418">
        <f t="shared" si="48"/>
        <v>332669</v>
      </c>
      <c r="BM30" s="418">
        <f>M30+AN30</f>
        <v>0</v>
      </c>
      <c r="BN30" s="418">
        <f t="shared" ref="BN30:BO32" si="49">N30+AL30</f>
        <v>0</v>
      </c>
      <c r="BO30" s="418">
        <f t="shared" si="49"/>
        <v>0</v>
      </c>
      <c r="BP30" s="418">
        <f t="shared" ref="BP30:BQ32" si="50">P30+AR30</f>
        <v>1215803</v>
      </c>
      <c r="BQ30" s="418">
        <f t="shared" si="50"/>
        <v>35970</v>
      </c>
      <c r="BR30" s="418">
        <f>R30+AV30</f>
        <v>16350</v>
      </c>
      <c r="BS30" s="419">
        <f>S30+BH30</f>
        <v>7.12</v>
      </c>
      <c r="BT30" s="419">
        <f t="shared" ref="BT30:BU32" si="51">T30+BF30</f>
        <v>6</v>
      </c>
      <c r="BU30" s="421">
        <f t="shared" si="51"/>
        <v>1.1200000000000001</v>
      </c>
      <c r="BV30" s="420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212">
        <v>5467</v>
      </c>
      <c r="C31" s="212">
        <v>600098648</v>
      </c>
      <c r="D31" s="212">
        <v>72743948</v>
      </c>
      <c r="E31" s="371" t="s">
        <v>457</v>
      </c>
      <c r="F31" s="212">
        <v>3111</v>
      </c>
      <c r="G31" s="323" t="s">
        <v>291</v>
      </c>
      <c r="H31" s="285" t="s">
        <v>272</v>
      </c>
      <c r="I31" s="420">
        <v>0</v>
      </c>
      <c r="J31" s="415">
        <v>0</v>
      </c>
      <c r="K31" s="415">
        <v>0</v>
      </c>
      <c r="L31" s="415">
        <v>0</v>
      </c>
      <c r="M31" s="415">
        <v>0</v>
      </c>
      <c r="N31" s="415">
        <v>0</v>
      </c>
      <c r="O31" s="415">
        <v>0</v>
      </c>
      <c r="P31" s="68">
        <v>0</v>
      </c>
      <c r="Q31" s="68">
        <v>0</v>
      </c>
      <c r="R31" s="415">
        <v>0</v>
      </c>
      <c r="S31" s="416">
        <v>0</v>
      </c>
      <c r="T31" s="416">
        <v>0</v>
      </c>
      <c r="U31" s="423">
        <v>0</v>
      </c>
      <c r="V31" s="424">
        <f t="shared" si="46"/>
        <v>0</v>
      </c>
      <c r="W31" s="418">
        <f t="shared" si="46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 t="shared" si="47"/>
        <v>0</v>
      </c>
      <c r="AP31" s="418">
        <f t="shared" si="47"/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421">
        <f>SUM(BF31:BG31)</f>
        <v>0</v>
      </c>
      <c r="BI31" s="780">
        <f>I31+AW31</f>
        <v>0</v>
      </c>
      <c r="BJ31" s="418">
        <f>J31+AF31</f>
        <v>0</v>
      </c>
      <c r="BK31" s="418">
        <f t="shared" si="48"/>
        <v>0</v>
      </c>
      <c r="BL31" s="418">
        <f t="shared" si="48"/>
        <v>0</v>
      </c>
      <c r="BM31" s="418">
        <f>M31+AN31</f>
        <v>0</v>
      </c>
      <c r="BN31" s="418">
        <f t="shared" si="49"/>
        <v>0</v>
      </c>
      <c r="BO31" s="418">
        <f t="shared" si="49"/>
        <v>0</v>
      </c>
      <c r="BP31" s="418">
        <f t="shared" si="50"/>
        <v>0</v>
      </c>
      <c r="BQ31" s="418">
        <f t="shared" si="50"/>
        <v>0</v>
      </c>
      <c r="BR31" s="418">
        <f>R31+AV31</f>
        <v>0</v>
      </c>
      <c r="BS31" s="419">
        <f>S31+BH31</f>
        <v>0</v>
      </c>
      <c r="BT31" s="419">
        <f t="shared" si="51"/>
        <v>0</v>
      </c>
      <c r="BU31" s="421">
        <f t="shared" si="51"/>
        <v>0</v>
      </c>
      <c r="BV31" s="420"/>
      <c r="BW31" s="415"/>
      <c r="BX31" s="415"/>
      <c r="BY31" s="415"/>
      <c r="BZ31" s="415"/>
      <c r="CA31" s="510"/>
    </row>
    <row r="32" spans="1:79" ht="12.95" customHeight="1" x14ac:dyDescent="0.25">
      <c r="A32" s="280">
        <v>5</v>
      </c>
      <c r="B32" s="212">
        <v>5467</v>
      </c>
      <c r="C32" s="212">
        <v>600098648</v>
      </c>
      <c r="D32" s="212">
        <v>72743948</v>
      </c>
      <c r="E32" s="371" t="s">
        <v>457</v>
      </c>
      <c r="F32" s="382">
        <v>3141</v>
      </c>
      <c r="G32" s="373" t="s">
        <v>294</v>
      </c>
      <c r="H32" s="285" t="s">
        <v>272</v>
      </c>
      <c r="I32" s="420">
        <v>463284</v>
      </c>
      <c r="J32" s="415">
        <v>342384</v>
      </c>
      <c r="K32" s="415">
        <v>0</v>
      </c>
      <c r="L32" s="415">
        <v>342384</v>
      </c>
      <c r="M32" s="415">
        <v>0</v>
      </c>
      <c r="N32" s="415">
        <v>0</v>
      </c>
      <c r="O32" s="415">
        <v>0</v>
      </c>
      <c r="P32" s="415">
        <v>115726</v>
      </c>
      <c r="Q32" s="415">
        <v>3424</v>
      </c>
      <c r="R32" s="415">
        <v>1750</v>
      </c>
      <c r="S32" s="416">
        <v>1.0266999999999999</v>
      </c>
      <c r="T32" s="416">
        <v>0</v>
      </c>
      <c r="U32" s="423">
        <v>1.0266999999999999</v>
      </c>
      <c r="V32" s="424">
        <f t="shared" si="46"/>
        <v>0</v>
      </c>
      <c r="W32" s="418">
        <f t="shared" si="46"/>
        <v>0</v>
      </c>
      <c r="X32" s="418">
        <v>0</v>
      </c>
      <c r="Y32" s="418">
        <v>0</v>
      </c>
      <c r="Z32" s="418">
        <v>0</v>
      </c>
      <c r="AA32" s="418">
        <v>171821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171821</v>
      </c>
      <c r="AF32" s="418">
        <f>SUM(AD32:AE32)</f>
        <v>171821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si="47"/>
        <v>0</v>
      </c>
      <c r="AP32" s="418">
        <f t="shared" si="47"/>
        <v>171821</v>
      </c>
      <c r="AQ32" s="418">
        <f>SUM(AO32:AP32)</f>
        <v>171821</v>
      </c>
      <c r="AR32" s="68">
        <f>ROUND((AF32+AG32+AH32+AI32)*33.8%,0)</f>
        <v>58075</v>
      </c>
      <c r="AS32" s="68">
        <f>ROUND(AF32*1%,0)</f>
        <v>1718</v>
      </c>
      <c r="AT32" s="418">
        <v>0</v>
      </c>
      <c r="AU32" s="418">
        <v>850</v>
      </c>
      <c r="AV32" s="418">
        <f>AT32+AU32</f>
        <v>850</v>
      </c>
      <c r="AW32" s="418">
        <f>AQ32+AR32+AS32+AV32</f>
        <v>232464</v>
      </c>
      <c r="AX32" s="419">
        <v>0</v>
      </c>
      <c r="AY32" s="419">
        <v>0</v>
      </c>
      <c r="AZ32" s="419">
        <v>0</v>
      </c>
      <c r="BA32" s="419">
        <v>0</v>
      </c>
      <c r="BB32" s="419">
        <v>0.51</v>
      </c>
      <c r="BC32" s="419">
        <v>0</v>
      </c>
      <c r="BD32" s="419">
        <v>0</v>
      </c>
      <c r="BE32" s="419">
        <v>0</v>
      </c>
      <c r="BF32" s="419">
        <f>AX32+AZ32+BA32+BC32+BD32</f>
        <v>0</v>
      </c>
      <c r="BG32" s="419">
        <f>AY32+BB32+BE32</f>
        <v>0.51</v>
      </c>
      <c r="BH32" s="421">
        <f>SUM(BF32:BG32)</f>
        <v>0.51</v>
      </c>
      <c r="BI32" s="780">
        <f>I32+AW32</f>
        <v>695748</v>
      </c>
      <c r="BJ32" s="418">
        <f>J32+AF32</f>
        <v>514205</v>
      </c>
      <c r="BK32" s="418">
        <f t="shared" si="48"/>
        <v>0</v>
      </c>
      <c r="BL32" s="418">
        <f t="shared" si="48"/>
        <v>514205</v>
      </c>
      <c r="BM32" s="418">
        <f>M32+AN32</f>
        <v>0</v>
      </c>
      <c r="BN32" s="418">
        <f t="shared" si="49"/>
        <v>0</v>
      </c>
      <c r="BO32" s="418">
        <f t="shared" si="49"/>
        <v>0</v>
      </c>
      <c r="BP32" s="418">
        <f t="shared" si="50"/>
        <v>173801</v>
      </c>
      <c r="BQ32" s="418">
        <f t="shared" si="50"/>
        <v>5142</v>
      </c>
      <c r="BR32" s="418">
        <f>R32+AV32</f>
        <v>2600</v>
      </c>
      <c r="BS32" s="419">
        <f>S32+BH32</f>
        <v>1.5367</v>
      </c>
      <c r="BT32" s="419">
        <f t="shared" si="51"/>
        <v>0</v>
      </c>
      <c r="BU32" s="421">
        <f t="shared" si="51"/>
        <v>1.5367</v>
      </c>
      <c r="BV32" s="420"/>
      <c r="BW32" s="415"/>
      <c r="BX32" s="415"/>
      <c r="BY32" s="415"/>
      <c r="BZ32" s="415"/>
      <c r="CA32" s="510"/>
    </row>
    <row r="33" spans="1:79" ht="12.95" customHeight="1" x14ac:dyDescent="0.25">
      <c r="A33" s="213">
        <v>5</v>
      </c>
      <c r="B33" s="46">
        <v>5467</v>
      </c>
      <c r="C33" s="46">
        <v>600098648</v>
      </c>
      <c r="D33" s="46">
        <v>72743948</v>
      </c>
      <c r="E33" s="383" t="s">
        <v>458</v>
      </c>
      <c r="F33" s="384"/>
      <c r="G33" s="383"/>
      <c r="H33" s="385"/>
      <c r="I33" s="488">
        <v>5328456</v>
      </c>
      <c r="J33" s="485">
        <v>3939433</v>
      </c>
      <c r="K33" s="485">
        <v>3264380</v>
      </c>
      <c r="L33" s="485">
        <v>675053</v>
      </c>
      <c r="M33" s="485">
        <v>0</v>
      </c>
      <c r="N33" s="485">
        <v>0</v>
      </c>
      <c r="O33" s="485">
        <v>0</v>
      </c>
      <c r="P33" s="485">
        <v>1331529</v>
      </c>
      <c r="Q33" s="485">
        <v>39394</v>
      </c>
      <c r="R33" s="485">
        <v>18100</v>
      </c>
      <c r="S33" s="486">
        <v>8.1466999999999992</v>
      </c>
      <c r="T33" s="486">
        <v>6</v>
      </c>
      <c r="U33" s="657">
        <v>2.1467000000000001</v>
      </c>
      <c r="V33" s="488">
        <f t="shared" ref="V33:CA33" si="52">SUM(V30:V32)</f>
        <v>0</v>
      </c>
      <c r="W33" s="485">
        <f t="shared" si="52"/>
        <v>0</v>
      </c>
      <c r="X33" s="485">
        <f t="shared" si="52"/>
        <v>0</v>
      </c>
      <c r="Y33" s="485">
        <f t="shared" si="52"/>
        <v>0</v>
      </c>
      <c r="Z33" s="485">
        <f t="shared" si="52"/>
        <v>0</v>
      </c>
      <c r="AA33" s="485">
        <f t="shared" si="52"/>
        <v>171821</v>
      </c>
      <c r="AB33" s="485">
        <f t="shared" si="52"/>
        <v>0</v>
      </c>
      <c r="AC33" s="485">
        <f t="shared" si="52"/>
        <v>0</v>
      </c>
      <c r="AD33" s="485">
        <f t="shared" si="52"/>
        <v>0</v>
      </c>
      <c r="AE33" s="485">
        <f t="shared" si="52"/>
        <v>171821</v>
      </c>
      <c r="AF33" s="485">
        <f t="shared" si="52"/>
        <v>171821</v>
      </c>
      <c r="AG33" s="485">
        <f t="shared" si="52"/>
        <v>0</v>
      </c>
      <c r="AH33" s="485">
        <f t="shared" si="52"/>
        <v>0</v>
      </c>
      <c r="AI33" s="485">
        <f t="shared" si="52"/>
        <v>0</v>
      </c>
      <c r="AJ33" s="485">
        <f t="shared" si="52"/>
        <v>0</v>
      </c>
      <c r="AK33" s="485">
        <f t="shared" si="52"/>
        <v>0</v>
      </c>
      <c r="AL33" s="485">
        <f t="shared" si="52"/>
        <v>0</v>
      </c>
      <c r="AM33" s="485">
        <f t="shared" si="52"/>
        <v>0</v>
      </c>
      <c r="AN33" s="485">
        <f t="shared" si="52"/>
        <v>0</v>
      </c>
      <c r="AO33" s="485">
        <f t="shared" si="52"/>
        <v>0</v>
      </c>
      <c r="AP33" s="485">
        <f t="shared" si="52"/>
        <v>171821</v>
      </c>
      <c r="AQ33" s="485">
        <f t="shared" si="52"/>
        <v>171821</v>
      </c>
      <c r="AR33" s="485">
        <f t="shared" si="52"/>
        <v>58075</v>
      </c>
      <c r="AS33" s="485">
        <f t="shared" si="52"/>
        <v>1718</v>
      </c>
      <c r="AT33" s="485">
        <f t="shared" si="52"/>
        <v>0</v>
      </c>
      <c r="AU33" s="485">
        <f t="shared" si="52"/>
        <v>850</v>
      </c>
      <c r="AV33" s="485">
        <f t="shared" si="52"/>
        <v>850</v>
      </c>
      <c r="AW33" s="485">
        <f t="shared" si="52"/>
        <v>232464</v>
      </c>
      <c r="AX33" s="486">
        <f t="shared" si="52"/>
        <v>0</v>
      </c>
      <c r="AY33" s="486">
        <f t="shared" si="52"/>
        <v>0</v>
      </c>
      <c r="AZ33" s="486">
        <f t="shared" si="52"/>
        <v>0</v>
      </c>
      <c r="BA33" s="486">
        <f t="shared" si="52"/>
        <v>0</v>
      </c>
      <c r="BB33" s="486">
        <f t="shared" ref="BB33" si="53">SUM(BB30:BB32)</f>
        <v>0.51</v>
      </c>
      <c r="BC33" s="486">
        <f t="shared" si="52"/>
        <v>0</v>
      </c>
      <c r="BD33" s="486">
        <f t="shared" si="52"/>
        <v>0</v>
      </c>
      <c r="BE33" s="486">
        <f t="shared" ref="BE33" si="54">SUM(BE30:BE32)</f>
        <v>0</v>
      </c>
      <c r="BF33" s="486">
        <f t="shared" si="52"/>
        <v>0</v>
      </c>
      <c r="BG33" s="486">
        <f t="shared" si="52"/>
        <v>0.51</v>
      </c>
      <c r="BH33" s="379">
        <f t="shared" si="52"/>
        <v>0.51</v>
      </c>
      <c r="BI33" s="793">
        <f t="shared" si="52"/>
        <v>5560920</v>
      </c>
      <c r="BJ33" s="485">
        <f t="shared" si="52"/>
        <v>4111254</v>
      </c>
      <c r="BK33" s="485">
        <f t="shared" si="52"/>
        <v>3264380</v>
      </c>
      <c r="BL33" s="485">
        <f t="shared" si="52"/>
        <v>846874</v>
      </c>
      <c r="BM33" s="485">
        <f t="shared" si="52"/>
        <v>0</v>
      </c>
      <c r="BN33" s="485">
        <f t="shared" si="52"/>
        <v>0</v>
      </c>
      <c r="BO33" s="485">
        <f t="shared" si="52"/>
        <v>0</v>
      </c>
      <c r="BP33" s="485">
        <f t="shared" si="52"/>
        <v>1389604</v>
      </c>
      <c r="BQ33" s="485">
        <f t="shared" si="52"/>
        <v>41112</v>
      </c>
      <c r="BR33" s="485">
        <f t="shared" si="52"/>
        <v>18950</v>
      </c>
      <c r="BS33" s="486">
        <f t="shared" si="52"/>
        <v>8.6567000000000007</v>
      </c>
      <c r="BT33" s="486">
        <f t="shared" si="52"/>
        <v>6</v>
      </c>
      <c r="BU33" s="379">
        <f t="shared" si="52"/>
        <v>2.6566999999999998</v>
      </c>
      <c r="BV33" s="871">
        <f t="shared" si="52"/>
        <v>0</v>
      </c>
      <c r="BW33" s="734">
        <f t="shared" si="52"/>
        <v>0</v>
      </c>
      <c r="BX33" s="734">
        <f t="shared" si="52"/>
        <v>0</v>
      </c>
      <c r="BY33" s="734">
        <f t="shared" si="52"/>
        <v>0</v>
      </c>
      <c r="BZ33" s="734">
        <f t="shared" si="52"/>
        <v>0</v>
      </c>
      <c r="CA33" s="872">
        <f t="shared" si="52"/>
        <v>0</v>
      </c>
    </row>
    <row r="34" spans="1:79" ht="12.95" customHeight="1" x14ac:dyDescent="0.25">
      <c r="A34" s="280">
        <v>6</v>
      </c>
      <c r="B34" s="212">
        <v>5463</v>
      </c>
      <c r="C34" s="212">
        <v>600098877</v>
      </c>
      <c r="D34" s="212">
        <v>72743786</v>
      </c>
      <c r="E34" s="211" t="s">
        <v>459</v>
      </c>
      <c r="F34" s="212">
        <v>3111</v>
      </c>
      <c r="G34" s="373" t="s">
        <v>304</v>
      </c>
      <c r="H34" s="285" t="s">
        <v>271</v>
      </c>
      <c r="I34" s="420">
        <v>5163805</v>
      </c>
      <c r="J34" s="415">
        <v>3815569</v>
      </c>
      <c r="K34" s="415">
        <v>3482900</v>
      </c>
      <c r="L34" s="415">
        <v>332669</v>
      </c>
      <c r="M34" s="415">
        <v>0</v>
      </c>
      <c r="N34" s="415">
        <v>0</v>
      </c>
      <c r="O34" s="415">
        <v>0</v>
      </c>
      <c r="P34" s="68">
        <v>1289662</v>
      </c>
      <c r="Q34" s="68">
        <v>38156</v>
      </c>
      <c r="R34" s="415">
        <v>20418</v>
      </c>
      <c r="S34" s="416">
        <v>7.3619000000000003</v>
      </c>
      <c r="T34" s="416">
        <v>6.2419000000000002</v>
      </c>
      <c r="U34" s="423">
        <v>1.1200000000000001</v>
      </c>
      <c r="V34" s="424">
        <f t="shared" ref="V34:W36" si="55">AG34*-1</f>
        <v>0</v>
      </c>
      <c r="W34" s="418">
        <f t="shared" si="55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ref="AO34:AP36" si="56">AD34+AL34</f>
        <v>0</v>
      </c>
      <c r="AP34" s="418">
        <f t="shared" si="56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780">
        <f>I34+AW34</f>
        <v>5163805</v>
      </c>
      <c r="BJ34" s="418">
        <f>J34+AF34</f>
        <v>3815569</v>
      </c>
      <c r="BK34" s="418">
        <f t="shared" ref="BK34:BL36" si="57">K34+AD34</f>
        <v>3482900</v>
      </c>
      <c r="BL34" s="418">
        <f t="shared" si="57"/>
        <v>332669</v>
      </c>
      <c r="BM34" s="418">
        <f>M34+AN34</f>
        <v>0</v>
      </c>
      <c r="BN34" s="418">
        <f t="shared" ref="BN34:BO36" si="58">N34+AL34</f>
        <v>0</v>
      </c>
      <c r="BO34" s="418">
        <f t="shared" si="58"/>
        <v>0</v>
      </c>
      <c r="BP34" s="418">
        <f t="shared" ref="BP34:BQ36" si="59">P34+AR34</f>
        <v>1289662</v>
      </c>
      <c r="BQ34" s="418">
        <f t="shared" si="59"/>
        <v>38156</v>
      </c>
      <c r="BR34" s="418">
        <f>R34+AV34</f>
        <v>20418</v>
      </c>
      <c r="BS34" s="419">
        <f>S34+BH34</f>
        <v>7.3619000000000003</v>
      </c>
      <c r="BT34" s="419">
        <f t="shared" ref="BT34:BU36" si="60">T34+BF34</f>
        <v>6.2419000000000002</v>
      </c>
      <c r="BU34" s="421">
        <f t="shared" si="60"/>
        <v>1.1200000000000001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6</v>
      </c>
      <c r="B35" s="212">
        <v>5463</v>
      </c>
      <c r="C35" s="212">
        <v>600098877</v>
      </c>
      <c r="D35" s="212">
        <v>72743786</v>
      </c>
      <c r="E35" s="372" t="s">
        <v>459</v>
      </c>
      <c r="F35" s="212">
        <v>3111</v>
      </c>
      <c r="G35" s="323" t="s">
        <v>291</v>
      </c>
      <c r="H35" s="285" t="s">
        <v>272</v>
      </c>
      <c r="I35" s="420">
        <v>158332</v>
      </c>
      <c r="J35" s="415">
        <v>117457</v>
      </c>
      <c r="K35" s="415">
        <v>117457</v>
      </c>
      <c r="L35" s="415">
        <v>0</v>
      </c>
      <c r="M35" s="415">
        <v>0</v>
      </c>
      <c r="N35" s="415">
        <v>0</v>
      </c>
      <c r="O35" s="415">
        <v>0</v>
      </c>
      <c r="P35" s="68">
        <v>39700</v>
      </c>
      <c r="Q35" s="68">
        <v>1175</v>
      </c>
      <c r="R35" s="415">
        <v>0</v>
      </c>
      <c r="S35" s="416">
        <v>0.3</v>
      </c>
      <c r="T35" s="416">
        <v>0.3</v>
      </c>
      <c r="U35" s="423">
        <v>0</v>
      </c>
      <c r="V35" s="424">
        <f t="shared" si="55"/>
        <v>0</v>
      </c>
      <c r="W35" s="418">
        <f t="shared" si="55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418">
        <f>SUM(AD35:AE35)</f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56"/>
        <v>0</v>
      </c>
      <c r="AP35" s="418">
        <f t="shared" si="56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421">
        <f>SUM(BF35:BG35)</f>
        <v>0</v>
      </c>
      <c r="BI35" s="780">
        <f>I35+AW35</f>
        <v>158332</v>
      </c>
      <c r="BJ35" s="418">
        <f>J35+AF35</f>
        <v>117457</v>
      </c>
      <c r="BK35" s="418">
        <f t="shared" si="57"/>
        <v>117457</v>
      </c>
      <c r="BL35" s="418">
        <f t="shared" si="57"/>
        <v>0</v>
      </c>
      <c r="BM35" s="418">
        <f>M35+AN35</f>
        <v>0</v>
      </c>
      <c r="BN35" s="418">
        <f t="shared" si="58"/>
        <v>0</v>
      </c>
      <c r="BO35" s="418">
        <f t="shared" si="58"/>
        <v>0</v>
      </c>
      <c r="BP35" s="418">
        <f t="shared" si="59"/>
        <v>39700</v>
      </c>
      <c r="BQ35" s="418">
        <f t="shared" si="59"/>
        <v>1175</v>
      </c>
      <c r="BR35" s="418">
        <f>R35+AV35</f>
        <v>0</v>
      </c>
      <c r="BS35" s="419">
        <f>S35+BH35</f>
        <v>0.3</v>
      </c>
      <c r="BT35" s="419">
        <f t="shared" si="60"/>
        <v>0.3</v>
      </c>
      <c r="BU35" s="421">
        <f t="shared" si="60"/>
        <v>0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280">
        <v>6</v>
      </c>
      <c r="B36" s="212">
        <v>5463</v>
      </c>
      <c r="C36" s="212">
        <v>600098877</v>
      </c>
      <c r="D36" s="212">
        <v>72743786</v>
      </c>
      <c r="E36" s="372" t="s">
        <v>459</v>
      </c>
      <c r="F36" s="212">
        <v>3141</v>
      </c>
      <c r="G36" s="373" t="s">
        <v>294</v>
      </c>
      <c r="H36" s="285" t="s">
        <v>272</v>
      </c>
      <c r="I36" s="420">
        <v>487383</v>
      </c>
      <c r="J36" s="415">
        <v>360158</v>
      </c>
      <c r="K36" s="415">
        <v>0</v>
      </c>
      <c r="L36" s="415">
        <v>360158</v>
      </c>
      <c r="M36" s="415">
        <v>0</v>
      </c>
      <c r="N36" s="415">
        <v>0</v>
      </c>
      <c r="O36" s="415">
        <v>0</v>
      </c>
      <c r="P36" s="68">
        <v>121733</v>
      </c>
      <c r="Q36" s="68">
        <v>3602</v>
      </c>
      <c r="R36" s="415">
        <v>1890</v>
      </c>
      <c r="S36" s="416">
        <v>1.08</v>
      </c>
      <c r="T36" s="416">
        <v>0</v>
      </c>
      <c r="U36" s="423">
        <v>1.08</v>
      </c>
      <c r="V36" s="424">
        <f t="shared" si="55"/>
        <v>0</v>
      </c>
      <c r="W36" s="418">
        <f t="shared" si="55"/>
        <v>0</v>
      </c>
      <c r="X36" s="418">
        <v>0</v>
      </c>
      <c r="Y36" s="418">
        <v>0</v>
      </c>
      <c r="Z36" s="418">
        <v>0</v>
      </c>
      <c r="AA36" s="418">
        <v>181652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181652</v>
      </c>
      <c r="AF36" s="418">
        <f>SUM(AD36:AE36)</f>
        <v>181652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56"/>
        <v>0</v>
      </c>
      <c r="AP36" s="418">
        <f t="shared" si="56"/>
        <v>181652</v>
      </c>
      <c r="AQ36" s="418">
        <f>SUM(AO36:AP36)</f>
        <v>181652</v>
      </c>
      <c r="AR36" s="68">
        <f>ROUND((AF36+AG36+AH36+AI36)*33.8%,0)</f>
        <v>61398</v>
      </c>
      <c r="AS36" s="68">
        <f>ROUND(AF36*1%,0)</f>
        <v>1817</v>
      </c>
      <c r="AT36" s="418">
        <v>0</v>
      </c>
      <c r="AU36" s="418">
        <v>918</v>
      </c>
      <c r="AV36" s="418">
        <f>AT36+AU36</f>
        <v>918</v>
      </c>
      <c r="AW36" s="418">
        <f>AQ36+AR36+AS36+AV36</f>
        <v>245785</v>
      </c>
      <c r="AX36" s="419">
        <v>0</v>
      </c>
      <c r="AY36" s="419">
        <v>0</v>
      </c>
      <c r="AZ36" s="419">
        <v>0</v>
      </c>
      <c r="BA36" s="419">
        <v>0</v>
      </c>
      <c r="BB36" s="419">
        <v>0.54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0.54</v>
      </c>
      <c r="BH36" s="421">
        <f>SUM(BF36:BG36)</f>
        <v>0.54</v>
      </c>
      <c r="BI36" s="780">
        <f>I36+AW36</f>
        <v>733168</v>
      </c>
      <c r="BJ36" s="418">
        <f>J36+AF36</f>
        <v>541810</v>
      </c>
      <c r="BK36" s="418">
        <f t="shared" si="57"/>
        <v>0</v>
      </c>
      <c r="BL36" s="418">
        <f t="shared" si="57"/>
        <v>541810</v>
      </c>
      <c r="BM36" s="418">
        <f>M36+AN36</f>
        <v>0</v>
      </c>
      <c r="BN36" s="418">
        <f t="shared" si="58"/>
        <v>0</v>
      </c>
      <c r="BO36" s="418">
        <f t="shared" si="58"/>
        <v>0</v>
      </c>
      <c r="BP36" s="418">
        <f t="shared" si="59"/>
        <v>183131</v>
      </c>
      <c r="BQ36" s="418">
        <f t="shared" si="59"/>
        <v>5419</v>
      </c>
      <c r="BR36" s="418">
        <f>R36+AV36</f>
        <v>2808</v>
      </c>
      <c r="BS36" s="419">
        <f>S36+BH36</f>
        <v>1.62</v>
      </c>
      <c r="BT36" s="419">
        <f t="shared" si="60"/>
        <v>0</v>
      </c>
      <c r="BU36" s="421">
        <f t="shared" si="60"/>
        <v>1.62</v>
      </c>
      <c r="BV36" s="420"/>
      <c r="BW36" s="415"/>
      <c r="BX36" s="415"/>
      <c r="BY36" s="415"/>
      <c r="BZ36" s="415"/>
      <c r="CA36" s="510"/>
    </row>
    <row r="37" spans="1:79" ht="12.95" customHeight="1" x14ac:dyDescent="0.25">
      <c r="A37" s="213">
        <v>6</v>
      </c>
      <c r="B37" s="45">
        <v>5463</v>
      </c>
      <c r="C37" s="45">
        <v>600098877</v>
      </c>
      <c r="D37" s="45">
        <v>72743786</v>
      </c>
      <c r="E37" s="374" t="s">
        <v>460</v>
      </c>
      <c r="F37" s="45"/>
      <c r="G37" s="374"/>
      <c r="H37" s="182"/>
      <c r="I37" s="487">
        <v>5809520</v>
      </c>
      <c r="J37" s="483">
        <v>4293184</v>
      </c>
      <c r="K37" s="483">
        <v>3600357</v>
      </c>
      <c r="L37" s="483">
        <v>692827</v>
      </c>
      <c r="M37" s="483">
        <v>0</v>
      </c>
      <c r="N37" s="483">
        <v>0</v>
      </c>
      <c r="O37" s="483">
        <v>0</v>
      </c>
      <c r="P37" s="483">
        <v>1451095</v>
      </c>
      <c r="Q37" s="483">
        <v>42933</v>
      </c>
      <c r="R37" s="483">
        <v>22308</v>
      </c>
      <c r="S37" s="484">
        <v>8.7419000000000011</v>
      </c>
      <c r="T37" s="484">
        <v>6.5419</v>
      </c>
      <c r="U37" s="656">
        <v>2.2000000000000002</v>
      </c>
      <c r="V37" s="487">
        <f t="shared" ref="V37:CA37" si="61">SUM(V34:V36)</f>
        <v>0</v>
      </c>
      <c r="W37" s="483">
        <f t="shared" si="61"/>
        <v>0</v>
      </c>
      <c r="X37" s="483">
        <f t="shared" si="61"/>
        <v>0</v>
      </c>
      <c r="Y37" s="483">
        <f t="shared" si="61"/>
        <v>0</v>
      </c>
      <c r="Z37" s="483">
        <f t="shared" si="61"/>
        <v>0</v>
      </c>
      <c r="AA37" s="483">
        <f t="shared" si="61"/>
        <v>181652</v>
      </c>
      <c r="AB37" s="483">
        <f t="shared" si="61"/>
        <v>0</v>
      </c>
      <c r="AC37" s="483">
        <f t="shared" si="61"/>
        <v>0</v>
      </c>
      <c r="AD37" s="483">
        <f t="shared" si="61"/>
        <v>0</v>
      </c>
      <c r="AE37" s="483">
        <f t="shared" si="61"/>
        <v>181652</v>
      </c>
      <c r="AF37" s="483">
        <f t="shared" si="61"/>
        <v>181652</v>
      </c>
      <c r="AG37" s="483">
        <f t="shared" si="61"/>
        <v>0</v>
      </c>
      <c r="AH37" s="483">
        <f t="shared" si="61"/>
        <v>0</v>
      </c>
      <c r="AI37" s="483">
        <f t="shared" si="61"/>
        <v>0</v>
      </c>
      <c r="AJ37" s="483">
        <f t="shared" si="61"/>
        <v>0</v>
      </c>
      <c r="AK37" s="483">
        <f t="shared" si="61"/>
        <v>0</v>
      </c>
      <c r="AL37" s="483">
        <f t="shared" si="61"/>
        <v>0</v>
      </c>
      <c r="AM37" s="483">
        <f t="shared" si="61"/>
        <v>0</v>
      </c>
      <c r="AN37" s="483">
        <f t="shared" si="61"/>
        <v>0</v>
      </c>
      <c r="AO37" s="483">
        <f t="shared" si="61"/>
        <v>0</v>
      </c>
      <c r="AP37" s="483">
        <f t="shared" si="61"/>
        <v>181652</v>
      </c>
      <c r="AQ37" s="483">
        <f t="shared" si="61"/>
        <v>181652</v>
      </c>
      <c r="AR37" s="483">
        <f t="shared" si="61"/>
        <v>61398</v>
      </c>
      <c r="AS37" s="483">
        <f t="shared" si="61"/>
        <v>1817</v>
      </c>
      <c r="AT37" s="483">
        <f t="shared" si="61"/>
        <v>0</v>
      </c>
      <c r="AU37" s="483">
        <f t="shared" si="61"/>
        <v>918</v>
      </c>
      <c r="AV37" s="483">
        <f t="shared" si="61"/>
        <v>918</v>
      </c>
      <c r="AW37" s="483">
        <f t="shared" si="61"/>
        <v>245785</v>
      </c>
      <c r="AX37" s="484">
        <f t="shared" si="61"/>
        <v>0</v>
      </c>
      <c r="AY37" s="484">
        <f t="shared" si="61"/>
        <v>0</v>
      </c>
      <c r="AZ37" s="484">
        <f t="shared" si="61"/>
        <v>0</v>
      </c>
      <c r="BA37" s="484">
        <f t="shared" si="61"/>
        <v>0</v>
      </c>
      <c r="BB37" s="484">
        <f t="shared" ref="BB37" si="62">SUM(BB34:BB36)</f>
        <v>0.54</v>
      </c>
      <c r="BC37" s="484">
        <f t="shared" si="61"/>
        <v>0</v>
      </c>
      <c r="BD37" s="484">
        <f t="shared" si="61"/>
        <v>0</v>
      </c>
      <c r="BE37" s="484">
        <f t="shared" ref="BE37" si="63">SUM(BE34:BE36)</f>
        <v>0</v>
      </c>
      <c r="BF37" s="484">
        <f t="shared" si="61"/>
        <v>0</v>
      </c>
      <c r="BG37" s="484">
        <f t="shared" si="61"/>
        <v>0.54</v>
      </c>
      <c r="BH37" s="375">
        <f t="shared" si="61"/>
        <v>0.54</v>
      </c>
      <c r="BI37" s="792">
        <f t="shared" si="61"/>
        <v>6055305</v>
      </c>
      <c r="BJ37" s="483">
        <f t="shared" si="61"/>
        <v>4474836</v>
      </c>
      <c r="BK37" s="483">
        <f t="shared" si="61"/>
        <v>3600357</v>
      </c>
      <c r="BL37" s="483">
        <f t="shared" si="61"/>
        <v>874479</v>
      </c>
      <c r="BM37" s="483">
        <f t="shared" si="61"/>
        <v>0</v>
      </c>
      <c r="BN37" s="483">
        <f t="shared" si="61"/>
        <v>0</v>
      </c>
      <c r="BO37" s="483">
        <f t="shared" si="61"/>
        <v>0</v>
      </c>
      <c r="BP37" s="483">
        <f t="shared" si="61"/>
        <v>1512493</v>
      </c>
      <c r="BQ37" s="483">
        <f t="shared" si="61"/>
        <v>44750</v>
      </c>
      <c r="BR37" s="483">
        <f t="shared" si="61"/>
        <v>23226</v>
      </c>
      <c r="BS37" s="484">
        <f t="shared" si="61"/>
        <v>9.2819000000000003</v>
      </c>
      <c r="BT37" s="484">
        <f t="shared" si="61"/>
        <v>6.5419</v>
      </c>
      <c r="BU37" s="375">
        <f t="shared" si="61"/>
        <v>2.74</v>
      </c>
      <c r="BV37" s="869">
        <f t="shared" si="61"/>
        <v>0</v>
      </c>
      <c r="BW37" s="733">
        <f t="shared" si="61"/>
        <v>0</v>
      </c>
      <c r="BX37" s="733">
        <f t="shared" si="61"/>
        <v>0</v>
      </c>
      <c r="BY37" s="733">
        <f t="shared" si="61"/>
        <v>0</v>
      </c>
      <c r="BZ37" s="733">
        <f t="shared" si="61"/>
        <v>0</v>
      </c>
      <c r="CA37" s="870">
        <f t="shared" si="61"/>
        <v>0</v>
      </c>
    </row>
    <row r="38" spans="1:79" ht="12.95" customHeight="1" x14ac:dyDescent="0.25">
      <c r="A38" s="280">
        <v>7</v>
      </c>
      <c r="B38" s="212">
        <v>5461</v>
      </c>
      <c r="C38" s="212">
        <v>600098915</v>
      </c>
      <c r="D38" s="212">
        <v>72743701</v>
      </c>
      <c r="E38" s="211" t="s">
        <v>461</v>
      </c>
      <c r="F38" s="212">
        <v>3111</v>
      </c>
      <c r="G38" s="373" t="s">
        <v>304</v>
      </c>
      <c r="H38" s="285" t="s">
        <v>271</v>
      </c>
      <c r="I38" s="420">
        <v>3552487</v>
      </c>
      <c r="J38" s="415">
        <v>2626463</v>
      </c>
      <c r="K38" s="415">
        <v>2391343</v>
      </c>
      <c r="L38" s="415">
        <v>235120</v>
      </c>
      <c r="M38" s="415">
        <v>0</v>
      </c>
      <c r="N38" s="415">
        <v>0</v>
      </c>
      <c r="O38" s="415">
        <v>0</v>
      </c>
      <c r="P38" s="68">
        <v>887744</v>
      </c>
      <c r="Q38" s="68">
        <v>26265</v>
      </c>
      <c r="R38" s="415">
        <v>12015</v>
      </c>
      <c r="S38" s="416">
        <v>4.8600999999999992</v>
      </c>
      <c r="T38" s="416">
        <v>4.0599999999999996</v>
      </c>
      <c r="U38" s="423">
        <v>0.80010000000000003</v>
      </c>
      <c r="V38" s="424">
        <f>AG38*-1</f>
        <v>0</v>
      </c>
      <c r="W38" s="418">
        <f>AH38*-1</f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>AD38+AL38</f>
        <v>0</v>
      </c>
      <c r="AP38" s="418">
        <f>AE38+AM38</f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780">
        <f>I38+AW38</f>
        <v>3552487</v>
      </c>
      <c r="BJ38" s="418">
        <f>J38+AF38</f>
        <v>2626463</v>
      </c>
      <c r="BK38" s="418">
        <f>K38+AD38</f>
        <v>2391343</v>
      </c>
      <c r="BL38" s="418">
        <f>L38+AE38</f>
        <v>235120</v>
      </c>
      <c r="BM38" s="418">
        <f>M38+AN38</f>
        <v>0</v>
      </c>
      <c r="BN38" s="418">
        <f>N38+AL38</f>
        <v>0</v>
      </c>
      <c r="BO38" s="418">
        <f>O38+AM38</f>
        <v>0</v>
      </c>
      <c r="BP38" s="418">
        <f>P38+AR38</f>
        <v>887744</v>
      </c>
      <c r="BQ38" s="418">
        <f>Q38+AS38</f>
        <v>26265</v>
      </c>
      <c r="BR38" s="418">
        <f>R38+AV38</f>
        <v>12015</v>
      </c>
      <c r="BS38" s="419">
        <f>S38+BH38</f>
        <v>4.8600999999999992</v>
      </c>
      <c r="BT38" s="419">
        <f>T38+BF38</f>
        <v>4.0599999999999996</v>
      </c>
      <c r="BU38" s="421">
        <f>U38+BG38</f>
        <v>0.80010000000000003</v>
      </c>
      <c r="BV38" s="420"/>
      <c r="BW38" s="415"/>
      <c r="BX38" s="415"/>
      <c r="BY38" s="415"/>
      <c r="BZ38" s="415"/>
      <c r="CA38" s="510"/>
    </row>
    <row r="39" spans="1:79" ht="12.95" customHeight="1" x14ac:dyDescent="0.25">
      <c r="A39" s="280">
        <v>7</v>
      </c>
      <c r="B39" s="381">
        <v>5461</v>
      </c>
      <c r="C39" s="381">
        <v>600098915</v>
      </c>
      <c r="D39" s="381">
        <v>72743701</v>
      </c>
      <c r="E39" s="380" t="s">
        <v>461</v>
      </c>
      <c r="F39" s="381">
        <v>3141</v>
      </c>
      <c r="G39" s="373" t="s">
        <v>294</v>
      </c>
      <c r="H39" s="285" t="s">
        <v>272</v>
      </c>
      <c r="I39" s="420">
        <v>430112</v>
      </c>
      <c r="J39" s="415">
        <v>317906</v>
      </c>
      <c r="K39" s="415">
        <v>0</v>
      </c>
      <c r="L39" s="415">
        <v>317906</v>
      </c>
      <c r="M39" s="415">
        <v>0</v>
      </c>
      <c r="N39" s="415">
        <v>0</v>
      </c>
      <c r="O39" s="415">
        <v>0</v>
      </c>
      <c r="P39" s="68">
        <v>107452</v>
      </c>
      <c r="Q39" s="68">
        <v>3179</v>
      </c>
      <c r="R39" s="415">
        <v>1575</v>
      </c>
      <c r="S39" s="416">
        <v>0.95330000000000004</v>
      </c>
      <c r="T39" s="416">
        <v>0</v>
      </c>
      <c r="U39" s="423">
        <v>0.95330000000000004</v>
      </c>
      <c r="V39" s="424">
        <f>AG39*-1</f>
        <v>0</v>
      </c>
      <c r="W39" s="418">
        <f>AH39*-1</f>
        <v>0</v>
      </c>
      <c r="X39" s="418">
        <v>0</v>
      </c>
      <c r="Y39" s="418">
        <v>0</v>
      </c>
      <c r="Z39" s="418">
        <v>0</v>
      </c>
      <c r="AA39" s="418">
        <v>160438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160438</v>
      </c>
      <c r="AF39" s="418">
        <f>SUM(AD39:AE39)</f>
        <v>160438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>AD39+AL39</f>
        <v>0</v>
      </c>
      <c r="AP39" s="418">
        <f>AE39+AM39</f>
        <v>160438</v>
      </c>
      <c r="AQ39" s="418">
        <f>SUM(AO39:AP39)</f>
        <v>160438</v>
      </c>
      <c r="AR39" s="68">
        <f>ROUND((AF39+AG39+AH39+AI39)*33.8%,0)</f>
        <v>54228</v>
      </c>
      <c r="AS39" s="68">
        <f>ROUND(AF39*1%,0)</f>
        <v>1604</v>
      </c>
      <c r="AT39" s="418">
        <v>0</v>
      </c>
      <c r="AU39" s="418">
        <v>765</v>
      </c>
      <c r="AV39" s="418">
        <f>AT39+AU39</f>
        <v>765</v>
      </c>
      <c r="AW39" s="418">
        <f>AQ39+AR39+AS39+AV39</f>
        <v>217035</v>
      </c>
      <c r="AX39" s="419">
        <v>0</v>
      </c>
      <c r="AY39" s="419">
        <v>0</v>
      </c>
      <c r="AZ39" s="419">
        <v>0</v>
      </c>
      <c r="BA39" s="419">
        <v>0</v>
      </c>
      <c r="BB39" s="419">
        <v>0.48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0.48</v>
      </c>
      <c r="BH39" s="421">
        <f>SUM(BF39:BG39)</f>
        <v>0.48</v>
      </c>
      <c r="BI39" s="780">
        <f>I39+AW39</f>
        <v>647147</v>
      </c>
      <c r="BJ39" s="418">
        <f>J39+AF39</f>
        <v>478344</v>
      </c>
      <c r="BK39" s="418">
        <f>K39+AD39</f>
        <v>0</v>
      </c>
      <c r="BL39" s="418">
        <f>L39+AE39</f>
        <v>478344</v>
      </c>
      <c r="BM39" s="418">
        <f>M39+AN39</f>
        <v>0</v>
      </c>
      <c r="BN39" s="418">
        <f>N39+AL39</f>
        <v>0</v>
      </c>
      <c r="BO39" s="418">
        <f>O39+AM39</f>
        <v>0</v>
      </c>
      <c r="BP39" s="418">
        <f>P39+AR39</f>
        <v>161680</v>
      </c>
      <c r="BQ39" s="418">
        <f>Q39+AS39</f>
        <v>4783</v>
      </c>
      <c r="BR39" s="418">
        <f>R39+AV39</f>
        <v>2340</v>
      </c>
      <c r="BS39" s="419">
        <f>S39+BH39</f>
        <v>1.4333</v>
      </c>
      <c r="BT39" s="419">
        <f>T39+BF39</f>
        <v>0</v>
      </c>
      <c r="BU39" s="421">
        <f>U39+BG39</f>
        <v>1.4333</v>
      </c>
      <c r="BV39" s="420"/>
      <c r="BW39" s="415"/>
      <c r="BX39" s="415"/>
      <c r="BY39" s="415"/>
      <c r="BZ39" s="415"/>
      <c r="CA39" s="510"/>
    </row>
    <row r="40" spans="1:79" ht="12.95" customHeight="1" x14ac:dyDescent="0.25">
      <c r="A40" s="213">
        <v>7</v>
      </c>
      <c r="B40" s="47">
        <v>5461</v>
      </c>
      <c r="C40" s="47">
        <v>600098915</v>
      </c>
      <c r="D40" s="47">
        <v>72743701</v>
      </c>
      <c r="E40" s="386" t="s">
        <v>462</v>
      </c>
      <c r="F40" s="47"/>
      <c r="G40" s="386"/>
      <c r="H40" s="184"/>
      <c r="I40" s="465">
        <v>3982599</v>
      </c>
      <c r="J40" s="461">
        <v>2944369</v>
      </c>
      <c r="K40" s="461">
        <v>2391343</v>
      </c>
      <c r="L40" s="461">
        <v>553026</v>
      </c>
      <c r="M40" s="461">
        <v>0</v>
      </c>
      <c r="N40" s="461">
        <v>0</v>
      </c>
      <c r="O40" s="461">
        <v>0</v>
      </c>
      <c r="P40" s="461">
        <v>995196</v>
      </c>
      <c r="Q40" s="461">
        <v>29444</v>
      </c>
      <c r="R40" s="461">
        <v>13590</v>
      </c>
      <c r="S40" s="462">
        <v>5.8133999999999997</v>
      </c>
      <c r="T40" s="462">
        <v>4.0599999999999996</v>
      </c>
      <c r="U40" s="535">
        <v>1.7534000000000001</v>
      </c>
      <c r="V40" s="465">
        <f t="shared" ref="V40:CA40" si="64">SUM(V38:V39)</f>
        <v>0</v>
      </c>
      <c r="W40" s="461">
        <f t="shared" si="64"/>
        <v>0</v>
      </c>
      <c r="X40" s="461">
        <f t="shared" si="64"/>
        <v>0</v>
      </c>
      <c r="Y40" s="461">
        <f t="shared" si="64"/>
        <v>0</v>
      </c>
      <c r="Z40" s="461">
        <f t="shared" si="64"/>
        <v>0</v>
      </c>
      <c r="AA40" s="461">
        <f t="shared" si="64"/>
        <v>160438</v>
      </c>
      <c r="AB40" s="461">
        <f t="shared" si="64"/>
        <v>0</v>
      </c>
      <c r="AC40" s="461">
        <f t="shared" si="64"/>
        <v>0</v>
      </c>
      <c r="AD40" s="461">
        <f t="shared" si="64"/>
        <v>0</v>
      </c>
      <c r="AE40" s="461">
        <f t="shared" si="64"/>
        <v>160438</v>
      </c>
      <c r="AF40" s="461">
        <f t="shared" si="64"/>
        <v>160438</v>
      </c>
      <c r="AG40" s="461">
        <f t="shared" si="64"/>
        <v>0</v>
      </c>
      <c r="AH40" s="461">
        <f t="shared" si="64"/>
        <v>0</v>
      </c>
      <c r="AI40" s="461">
        <f t="shared" si="64"/>
        <v>0</v>
      </c>
      <c r="AJ40" s="461">
        <f t="shared" si="64"/>
        <v>0</v>
      </c>
      <c r="AK40" s="461">
        <f t="shared" si="64"/>
        <v>0</v>
      </c>
      <c r="AL40" s="461">
        <f t="shared" si="64"/>
        <v>0</v>
      </c>
      <c r="AM40" s="461">
        <f t="shared" si="64"/>
        <v>0</v>
      </c>
      <c r="AN40" s="461">
        <f t="shared" si="64"/>
        <v>0</v>
      </c>
      <c r="AO40" s="461">
        <f t="shared" si="64"/>
        <v>0</v>
      </c>
      <c r="AP40" s="461">
        <f t="shared" si="64"/>
        <v>160438</v>
      </c>
      <c r="AQ40" s="461">
        <f t="shared" si="64"/>
        <v>160438</v>
      </c>
      <c r="AR40" s="461">
        <f t="shared" si="64"/>
        <v>54228</v>
      </c>
      <c r="AS40" s="461">
        <f t="shared" si="64"/>
        <v>1604</v>
      </c>
      <c r="AT40" s="461">
        <f t="shared" si="64"/>
        <v>0</v>
      </c>
      <c r="AU40" s="461">
        <f t="shared" si="64"/>
        <v>765</v>
      </c>
      <c r="AV40" s="461">
        <f t="shared" si="64"/>
        <v>765</v>
      </c>
      <c r="AW40" s="461">
        <f t="shared" si="64"/>
        <v>217035</v>
      </c>
      <c r="AX40" s="462">
        <f t="shared" si="64"/>
        <v>0</v>
      </c>
      <c r="AY40" s="462">
        <f t="shared" si="64"/>
        <v>0</v>
      </c>
      <c r="AZ40" s="462">
        <f t="shared" si="64"/>
        <v>0</v>
      </c>
      <c r="BA40" s="462">
        <f t="shared" si="64"/>
        <v>0</v>
      </c>
      <c r="BB40" s="462">
        <f t="shared" ref="BB40" si="65">SUM(BB38:BB39)</f>
        <v>0.48</v>
      </c>
      <c r="BC40" s="462">
        <f t="shared" si="64"/>
        <v>0</v>
      </c>
      <c r="BD40" s="462">
        <f t="shared" si="64"/>
        <v>0</v>
      </c>
      <c r="BE40" s="462">
        <f t="shared" ref="BE40" si="66">SUM(BE38:BE39)</f>
        <v>0</v>
      </c>
      <c r="BF40" s="462">
        <f t="shared" si="64"/>
        <v>0</v>
      </c>
      <c r="BG40" s="462">
        <f t="shared" si="64"/>
        <v>0.48</v>
      </c>
      <c r="BH40" s="279">
        <f t="shared" si="64"/>
        <v>0.48</v>
      </c>
      <c r="BI40" s="781">
        <f t="shared" si="64"/>
        <v>4199634</v>
      </c>
      <c r="BJ40" s="461">
        <f t="shared" si="64"/>
        <v>3104807</v>
      </c>
      <c r="BK40" s="461">
        <f t="shared" si="64"/>
        <v>2391343</v>
      </c>
      <c r="BL40" s="461">
        <f t="shared" si="64"/>
        <v>713464</v>
      </c>
      <c r="BM40" s="461">
        <f t="shared" si="64"/>
        <v>0</v>
      </c>
      <c r="BN40" s="461">
        <f t="shared" si="64"/>
        <v>0</v>
      </c>
      <c r="BO40" s="461">
        <f t="shared" si="64"/>
        <v>0</v>
      </c>
      <c r="BP40" s="461">
        <f t="shared" si="64"/>
        <v>1049424</v>
      </c>
      <c r="BQ40" s="461">
        <f t="shared" si="64"/>
        <v>31048</v>
      </c>
      <c r="BR40" s="461">
        <f t="shared" si="64"/>
        <v>14355</v>
      </c>
      <c r="BS40" s="462">
        <f t="shared" si="64"/>
        <v>6.2933999999999992</v>
      </c>
      <c r="BT40" s="462">
        <f t="shared" si="64"/>
        <v>4.0599999999999996</v>
      </c>
      <c r="BU40" s="279">
        <f t="shared" si="64"/>
        <v>2.2334000000000001</v>
      </c>
      <c r="BV40" s="850">
        <f t="shared" si="64"/>
        <v>0</v>
      </c>
      <c r="BW40" s="713">
        <f t="shared" si="64"/>
        <v>0</v>
      </c>
      <c r="BX40" s="713">
        <f t="shared" si="64"/>
        <v>0</v>
      </c>
      <c r="BY40" s="713">
        <f t="shared" si="64"/>
        <v>0</v>
      </c>
      <c r="BZ40" s="713">
        <f t="shared" si="64"/>
        <v>0</v>
      </c>
      <c r="CA40" s="851">
        <f t="shared" si="64"/>
        <v>0</v>
      </c>
    </row>
    <row r="41" spans="1:79" ht="12.95" customHeight="1" x14ac:dyDescent="0.25">
      <c r="A41" s="280">
        <v>8</v>
      </c>
      <c r="B41" s="370">
        <v>5466</v>
      </c>
      <c r="C41" s="370">
        <v>600098885</v>
      </c>
      <c r="D41" s="370">
        <v>72743794</v>
      </c>
      <c r="E41" s="371" t="s">
        <v>463</v>
      </c>
      <c r="F41" s="370">
        <v>3111</v>
      </c>
      <c r="G41" s="373" t="s">
        <v>304</v>
      </c>
      <c r="H41" s="285" t="s">
        <v>271</v>
      </c>
      <c r="I41" s="420">
        <v>8970454</v>
      </c>
      <c r="J41" s="415">
        <v>6630156</v>
      </c>
      <c r="K41" s="415">
        <v>6031633</v>
      </c>
      <c r="L41" s="415">
        <v>598523</v>
      </c>
      <c r="M41" s="415">
        <v>0</v>
      </c>
      <c r="N41" s="415">
        <v>0</v>
      </c>
      <c r="O41" s="415">
        <v>0</v>
      </c>
      <c r="P41" s="68">
        <v>2240993</v>
      </c>
      <c r="Q41" s="68">
        <v>66302</v>
      </c>
      <c r="R41" s="415">
        <v>33003</v>
      </c>
      <c r="S41" s="416">
        <v>12.046800000000001</v>
      </c>
      <c r="T41" s="416">
        <v>10</v>
      </c>
      <c r="U41" s="423">
        <v>2.0468000000000002</v>
      </c>
      <c r="V41" s="424">
        <f t="shared" ref="V41:W43" si="67">AG41*-1</f>
        <v>0</v>
      </c>
      <c r="W41" s="418">
        <f t="shared" si="67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ref="AO41:AP43" si="68">AD41+AL41</f>
        <v>0</v>
      </c>
      <c r="AP41" s="418">
        <f t="shared" si="68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8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9">
        <v>0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421">
        <f>SUM(BF41:BG41)</f>
        <v>0</v>
      </c>
      <c r="BI41" s="780">
        <f>I41+AW41</f>
        <v>8970454</v>
      </c>
      <c r="BJ41" s="418">
        <f>J41+AF41</f>
        <v>6630156</v>
      </c>
      <c r="BK41" s="418">
        <f t="shared" ref="BK41:BL43" si="69">K41+AD41</f>
        <v>6031633</v>
      </c>
      <c r="BL41" s="418">
        <f t="shared" si="69"/>
        <v>598523</v>
      </c>
      <c r="BM41" s="418">
        <f>M41+AN41</f>
        <v>0</v>
      </c>
      <c r="BN41" s="418">
        <f t="shared" ref="BN41:BO43" si="70">N41+AL41</f>
        <v>0</v>
      </c>
      <c r="BO41" s="418">
        <f t="shared" si="70"/>
        <v>0</v>
      </c>
      <c r="BP41" s="418">
        <f t="shared" ref="BP41:BQ43" si="71">P41+AR41</f>
        <v>2240993</v>
      </c>
      <c r="BQ41" s="418">
        <f t="shared" si="71"/>
        <v>66302</v>
      </c>
      <c r="BR41" s="418">
        <f>R41+AV41</f>
        <v>33003</v>
      </c>
      <c r="BS41" s="419">
        <f>S41+BH41</f>
        <v>12.046800000000001</v>
      </c>
      <c r="BT41" s="419">
        <f t="shared" ref="BT41:BU43" si="72">T41+BF41</f>
        <v>10</v>
      </c>
      <c r="BU41" s="421">
        <f t="shared" si="72"/>
        <v>2.0468000000000002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80">
        <v>8</v>
      </c>
      <c r="B42" s="370">
        <v>5466</v>
      </c>
      <c r="C42" s="370">
        <v>600098885</v>
      </c>
      <c r="D42" s="370">
        <v>72743794</v>
      </c>
      <c r="E42" s="371" t="s">
        <v>463</v>
      </c>
      <c r="F42" s="370">
        <v>3111</v>
      </c>
      <c r="G42" s="331" t="s">
        <v>292</v>
      </c>
      <c r="H42" s="285" t="s">
        <v>271</v>
      </c>
      <c r="I42" s="420">
        <v>272484</v>
      </c>
      <c r="J42" s="415">
        <v>202140</v>
      </c>
      <c r="K42" s="415">
        <v>202140</v>
      </c>
      <c r="L42" s="415">
        <v>0</v>
      </c>
      <c r="M42" s="415">
        <v>0</v>
      </c>
      <c r="N42" s="415">
        <v>0</v>
      </c>
      <c r="O42" s="415">
        <v>0</v>
      </c>
      <c r="P42" s="68">
        <v>68323</v>
      </c>
      <c r="Q42" s="68">
        <v>2021</v>
      </c>
      <c r="R42" s="415">
        <v>0</v>
      </c>
      <c r="S42" s="416">
        <v>0.5</v>
      </c>
      <c r="T42" s="416">
        <v>0.5</v>
      </c>
      <c r="U42" s="423">
        <v>0</v>
      </c>
      <c r="V42" s="424">
        <f t="shared" si="67"/>
        <v>0</v>
      </c>
      <c r="W42" s="418">
        <f t="shared" si="67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68"/>
        <v>0</v>
      </c>
      <c r="AP42" s="418">
        <f t="shared" si="68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8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421">
        <f>SUM(BF42:BG42)</f>
        <v>0</v>
      </c>
      <c r="BI42" s="780">
        <f>I42+AW42</f>
        <v>272484</v>
      </c>
      <c r="BJ42" s="418">
        <f>J42+AF42</f>
        <v>202140</v>
      </c>
      <c r="BK42" s="418">
        <f t="shared" si="69"/>
        <v>202140</v>
      </c>
      <c r="BL42" s="418">
        <f t="shared" si="69"/>
        <v>0</v>
      </c>
      <c r="BM42" s="418">
        <f>M42+AN42</f>
        <v>0</v>
      </c>
      <c r="BN42" s="418">
        <f t="shared" si="70"/>
        <v>0</v>
      </c>
      <c r="BO42" s="418">
        <f t="shared" si="70"/>
        <v>0</v>
      </c>
      <c r="BP42" s="418">
        <f t="shared" si="71"/>
        <v>68323</v>
      </c>
      <c r="BQ42" s="418">
        <f t="shared" si="71"/>
        <v>2021</v>
      </c>
      <c r="BR42" s="418">
        <f>R42+AV42</f>
        <v>0</v>
      </c>
      <c r="BS42" s="419">
        <f>S42+BH42</f>
        <v>0.5</v>
      </c>
      <c r="BT42" s="419">
        <f t="shared" si="72"/>
        <v>0.5</v>
      </c>
      <c r="BU42" s="421">
        <f t="shared" si="72"/>
        <v>0</v>
      </c>
      <c r="BV42" s="420"/>
      <c r="BW42" s="415"/>
      <c r="BX42" s="415"/>
      <c r="BY42" s="415"/>
      <c r="BZ42" s="415"/>
      <c r="CA42" s="510"/>
    </row>
    <row r="43" spans="1:79" ht="12.95" customHeight="1" x14ac:dyDescent="0.25">
      <c r="A43" s="280">
        <v>8</v>
      </c>
      <c r="B43" s="212">
        <v>5466</v>
      </c>
      <c r="C43" s="212">
        <v>600098885</v>
      </c>
      <c r="D43" s="212">
        <v>72743794</v>
      </c>
      <c r="E43" s="372" t="s">
        <v>463</v>
      </c>
      <c r="F43" s="212">
        <v>3141</v>
      </c>
      <c r="G43" s="373" t="s">
        <v>294</v>
      </c>
      <c r="H43" s="285" t="s">
        <v>272</v>
      </c>
      <c r="I43" s="420">
        <v>760930</v>
      </c>
      <c r="J43" s="415">
        <v>472481</v>
      </c>
      <c r="K43" s="415">
        <v>0</v>
      </c>
      <c r="L43" s="415">
        <v>472481</v>
      </c>
      <c r="M43" s="415">
        <v>90000</v>
      </c>
      <c r="N43" s="415">
        <v>0</v>
      </c>
      <c r="O43" s="415">
        <v>90000</v>
      </c>
      <c r="P43" s="68">
        <v>190119</v>
      </c>
      <c r="Q43" s="68">
        <v>4725</v>
      </c>
      <c r="R43" s="415">
        <v>3605</v>
      </c>
      <c r="S43" s="416">
        <v>1.4767000000000001</v>
      </c>
      <c r="T43" s="416">
        <v>0</v>
      </c>
      <c r="U43" s="423">
        <v>1.4767000000000001</v>
      </c>
      <c r="V43" s="424">
        <f t="shared" si="67"/>
        <v>0</v>
      </c>
      <c r="W43" s="418">
        <f t="shared" si="67"/>
        <v>0</v>
      </c>
      <c r="X43" s="418">
        <v>0</v>
      </c>
      <c r="Y43" s="418">
        <v>0</v>
      </c>
      <c r="Z43" s="418">
        <v>0</v>
      </c>
      <c r="AA43" s="418">
        <v>281439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281439</v>
      </c>
      <c r="AF43" s="418">
        <f>SUM(AD43:AE43)</f>
        <v>281439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0</v>
      </c>
      <c r="AN43" s="418">
        <f>SUM(AL43:AM43)</f>
        <v>0</v>
      </c>
      <c r="AO43" s="418">
        <f t="shared" si="68"/>
        <v>0</v>
      </c>
      <c r="AP43" s="418">
        <f t="shared" si="68"/>
        <v>281439</v>
      </c>
      <c r="AQ43" s="418">
        <f>SUM(AO43:AP43)</f>
        <v>281439</v>
      </c>
      <c r="AR43" s="68">
        <f>ROUND((AF43+AG43+AH43+AI43)*33.8%,0)</f>
        <v>95126</v>
      </c>
      <c r="AS43" s="68">
        <f>ROUND(AF43*1%,0)</f>
        <v>2814</v>
      </c>
      <c r="AT43" s="418">
        <v>0</v>
      </c>
      <c r="AU43" s="418">
        <v>1751</v>
      </c>
      <c r="AV43" s="418">
        <f>AT43+AU43</f>
        <v>1751</v>
      </c>
      <c r="AW43" s="418">
        <f>AQ43+AR43+AS43+AV43</f>
        <v>381130</v>
      </c>
      <c r="AX43" s="419">
        <v>0</v>
      </c>
      <c r="AY43" s="419">
        <v>0</v>
      </c>
      <c r="AZ43" s="419">
        <v>0</v>
      </c>
      <c r="BA43" s="419">
        <v>0</v>
      </c>
      <c r="BB43" s="419">
        <v>0.84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0.84</v>
      </c>
      <c r="BH43" s="421">
        <f>SUM(BF43:BG43)</f>
        <v>0.84</v>
      </c>
      <c r="BI43" s="780">
        <f>I43+AW43</f>
        <v>1142060</v>
      </c>
      <c r="BJ43" s="418">
        <f>J43+AF43</f>
        <v>753920</v>
      </c>
      <c r="BK43" s="418">
        <f t="shared" si="69"/>
        <v>0</v>
      </c>
      <c r="BL43" s="418">
        <f t="shared" si="69"/>
        <v>753920</v>
      </c>
      <c r="BM43" s="418">
        <f>M43+AN43</f>
        <v>90000</v>
      </c>
      <c r="BN43" s="418">
        <f t="shared" si="70"/>
        <v>0</v>
      </c>
      <c r="BO43" s="418">
        <f t="shared" si="70"/>
        <v>90000</v>
      </c>
      <c r="BP43" s="418">
        <f t="shared" si="71"/>
        <v>285245</v>
      </c>
      <c r="BQ43" s="418">
        <f t="shared" si="71"/>
        <v>7539</v>
      </c>
      <c r="BR43" s="418">
        <f>R43+AV43</f>
        <v>5356</v>
      </c>
      <c r="BS43" s="419">
        <f>S43+BH43</f>
        <v>2.3167</v>
      </c>
      <c r="BT43" s="419">
        <f t="shared" si="72"/>
        <v>0</v>
      </c>
      <c r="BU43" s="421">
        <f t="shared" si="72"/>
        <v>2.3167</v>
      </c>
      <c r="BV43" s="420"/>
      <c r="BW43" s="415"/>
      <c r="BX43" s="415"/>
      <c r="BY43" s="415"/>
      <c r="BZ43" s="415"/>
      <c r="CA43" s="510"/>
    </row>
    <row r="44" spans="1:79" ht="12.95" customHeight="1" x14ac:dyDescent="0.25">
      <c r="A44" s="213">
        <v>8</v>
      </c>
      <c r="B44" s="45">
        <v>5466</v>
      </c>
      <c r="C44" s="45">
        <v>600098885</v>
      </c>
      <c r="D44" s="45">
        <v>72743794</v>
      </c>
      <c r="E44" s="374" t="s">
        <v>464</v>
      </c>
      <c r="F44" s="45"/>
      <c r="G44" s="374"/>
      <c r="H44" s="182"/>
      <c r="I44" s="465">
        <v>10003868</v>
      </c>
      <c r="J44" s="461">
        <v>7304777</v>
      </c>
      <c r="K44" s="461">
        <v>6233773</v>
      </c>
      <c r="L44" s="461">
        <v>1071004</v>
      </c>
      <c r="M44" s="461">
        <v>90000</v>
      </c>
      <c r="N44" s="461">
        <v>0</v>
      </c>
      <c r="O44" s="461">
        <v>90000</v>
      </c>
      <c r="P44" s="461">
        <v>2499435</v>
      </c>
      <c r="Q44" s="461">
        <v>73048</v>
      </c>
      <c r="R44" s="461">
        <v>36608</v>
      </c>
      <c r="S44" s="462">
        <v>14.023500000000002</v>
      </c>
      <c r="T44" s="462">
        <v>10.5</v>
      </c>
      <c r="U44" s="535">
        <v>3.5235000000000003</v>
      </c>
      <c r="V44" s="465">
        <f t="shared" ref="V44:CA44" si="73">SUM(V41:V43)</f>
        <v>0</v>
      </c>
      <c r="W44" s="461">
        <f t="shared" si="73"/>
        <v>0</v>
      </c>
      <c r="X44" s="461">
        <f t="shared" si="73"/>
        <v>0</v>
      </c>
      <c r="Y44" s="461">
        <f t="shared" si="73"/>
        <v>0</v>
      </c>
      <c r="Z44" s="461">
        <f t="shared" si="73"/>
        <v>0</v>
      </c>
      <c r="AA44" s="461">
        <f t="shared" si="73"/>
        <v>281439</v>
      </c>
      <c r="AB44" s="461">
        <f t="shared" si="73"/>
        <v>0</v>
      </c>
      <c r="AC44" s="461">
        <f t="shared" si="73"/>
        <v>0</v>
      </c>
      <c r="AD44" s="461">
        <f t="shared" si="73"/>
        <v>0</v>
      </c>
      <c r="AE44" s="461">
        <f t="shared" si="73"/>
        <v>281439</v>
      </c>
      <c r="AF44" s="461">
        <f t="shared" si="73"/>
        <v>281439</v>
      </c>
      <c r="AG44" s="461">
        <f t="shared" si="73"/>
        <v>0</v>
      </c>
      <c r="AH44" s="461">
        <f t="shared" si="73"/>
        <v>0</v>
      </c>
      <c r="AI44" s="461">
        <f t="shared" si="73"/>
        <v>0</v>
      </c>
      <c r="AJ44" s="461">
        <f t="shared" si="73"/>
        <v>0</v>
      </c>
      <c r="AK44" s="461">
        <f t="shared" si="73"/>
        <v>0</v>
      </c>
      <c r="AL44" s="461">
        <f t="shared" si="73"/>
        <v>0</v>
      </c>
      <c r="AM44" s="461">
        <f t="shared" si="73"/>
        <v>0</v>
      </c>
      <c r="AN44" s="461">
        <f t="shared" si="73"/>
        <v>0</v>
      </c>
      <c r="AO44" s="461">
        <f t="shared" si="73"/>
        <v>0</v>
      </c>
      <c r="AP44" s="461">
        <f t="shared" si="73"/>
        <v>281439</v>
      </c>
      <c r="AQ44" s="461">
        <f t="shared" si="73"/>
        <v>281439</v>
      </c>
      <c r="AR44" s="461">
        <f t="shared" si="73"/>
        <v>95126</v>
      </c>
      <c r="AS44" s="461">
        <f t="shared" si="73"/>
        <v>2814</v>
      </c>
      <c r="AT44" s="461">
        <f t="shared" si="73"/>
        <v>0</v>
      </c>
      <c r="AU44" s="461">
        <f t="shared" si="73"/>
        <v>1751</v>
      </c>
      <c r="AV44" s="461">
        <f t="shared" si="73"/>
        <v>1751</v>
      </c>
      <c r="AW44" s="461">
        <f t="shared" si="73"/>
        <v>381130</v>
      </c>
      <c r="AX44" s="462">
        <f t="shared" si="73"/>
        <v>0</v>
      </c>
      <c r="AY44" s="462">
        <f t="shared" si="73"/>
        <v>0</v>
      </c>
      <c r="AZ44" s="462">
        <f t="shared" si="73"/>
        <v>0</v>
      </c>
      <c r="BA44" s="462">
        <f t="shared" si="73"/>
        <v>0</v>
      </c>
      <c r="BB44" s="462">
        <f t="shared" ref="BB44" si="74">SUM(BB41:BB43)</f>
        <v>0.84</v>
      </c>
      <c r="BC44" s="462">
        <f t="shared" si="73"/>
        <v>0</v>
      </c>
      <c r="BD44" s="462">
        <f t="shared" si="73"/>
        <v>0</v>
      </c>
      <c r="BE44" s="462">
        <f t="shared" ref="BE44" si="75">SUM(BE41:BE43)</f>
        <v>0</v>
      </c>
      <c r="BF44" s="462">
        <f t="shared" si="73"/>
        <v>0</v>
      </c>
      <c r="BG44" s="462">
        <f t="shared" si="73"/>
        <v>0.84</v>
      </c>
      <c r="BH44" s="279">
        <f t="shared" si="73"/>
        <v>0.84</v>
      </c>
      <c r="BI44" s="781">
        <f t="shared" si="73"/>
        <v>10384998</v>
      </c>
      <c r="BJ44" s="461">
        <f t="shared" si="73"/>
        <v>7586216</v>
      </c>
      <c r="BK44" s="461">
        <f t="shared" si="73"/>
        <v>6233773</v>
      </c>
      <c r="BL44" s="461">
        <f t="shared" si="73"/>
        <v>1352443</v>
      </c>
      <c r="BM44" s="461">
        <f t="shared" si="73"/>
        <v>90000</v>
      </c>
      <c r="BN44" s="461">
        <f t="shared" si="73"/>
        <v>0</v>
      </c>
      <c r="BO44" s="461">
        <f t="shared" si="73"/>
        <v>90000</v>
      </c>
      <c r="BP44" s="461">
        <f t="shared" si="73"/>
        <v>2594561</v>
      </c>
      <c r="BQ44" s="461">
        <f t="shared" si="73"/>
        <v>75862</v>
      </c>
      <c r="BR44" s="461">
        <f t="shared" si="73"/>
        <v>38359</v>
      </c>
      <c r="BS44" s="462">
        <f t="shared" si="73"/>
        <v>14.863500000000002</v>
      </c>
      <c r="BT44" s="462">
        <f t="shared" si="73"/>
        <v>10.5</v>
      </c>
      <c r="BU44" s="279">
        <f t="shared" si="73"/>
        <v>4.3635000000000002</v>
      </c>
      <c r="BV44" s="850">
        <f t="shared" si="73"/>
        <v>0</v>
      </c>
      <c r="BW44" s="713">
        <f t="shared" si="73"/>
        <v>0</v>
      </c>
      <c r="BX44" s="713">
        <f t="shared" si="73"/>
        <v>0</v>
      </c>
      <c r="BY44" s="713">
        <f t="shared" si="73"/>
        <v>0</v>
      </c>
      <c r="BZ44" s="713">
        <f t="shared" si="73"/>
        <v>0</v>
      </c>
      <c r="CA44" s="851">
        <f t="shared" si="73"/>
        <v>0</v>
      </c>
    </row>
    <row r="45" spans="1:79" ht="12.95" customHeight="1" x14ac:dyDescent="0.25">
      <c r="A45" s="280">
        <v>9</v>
      </c>
      <c r="B45" s="212">
        <v>5702</v>
      </c>
      <c r="C45" s="212">
        <v>600099547</v>
      </c>
      <c r="D45" s="212">
        <v>855022</v>
      </c>
      <c r="E45" s="371" t="s">
        <v>465</v>
      </c>
      <c r="F45" s="382">
        <v>3233</v>
      </c>
      <c r="G45" s="371" t="s">
        <v>386</v>
      </c>
      <c r="H45" s="285" t="s">
        <v>272</v>
      </c>
      <c r="I45" s="420">
        <v>4585618</v>
      </c>
      <c r="J45" s="415">
        <v>3398081</v>
      </c>
      <c r="K45" s="415">
        <v>2719494</v>
      </c>
      <c r="L45" s="415">
        <v>678587</v>
      </c>
      <c r="M45" s="415">
        <v>0</v>
      </c>
      <c r="N45" s="415">
        <v>0</v>
      </c>
      <c r="O45" s="415">
        <v>0</v>
      </c>
      <c r="P45" s="68">
        <v>1148551</v>
      </c>
      <c r="Q45" s="68">
        <v>33981</v>
      </c>
      <c r="R45" s="415">
        <v>5005</v>
      </c>
      <c r="S45" s="416">
        <v>7.1</v>
      </c>
      <c r="T45" s="417">
        <v>4.92</v>
      </c>
      <c r="U45" s="423">
        <v>2.1800000000000002</v>
      </c>
      <c r="V45" s="424">
        <f>AG45*-1</f>
        <v>0</v>
      </c>
      <c r="W45" s="418">
        <f>AH45*-1</f>
        <v>0</v>
      </c>
      <c r="X45" s="418">
        <v>0</v>
      </c>
      <c r="Y45" s="418">
        <v>0</v>
      </c>
      <c r="Z45" s="418">
        <v>0</v>
      </c>
      <c r="AA45" s="418">
        <v>339277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339277</v>
      </c>
      <c r="AF45" s="418">
        <f>SUM(AD45:AE45)</f>
        <v>339277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>AD45+AL45</f>
        <v>0</v>
      </c>
      <c r="AP45" s="418">
        <f>AE45+AM45</f>
        <v>339277</v>
      </c>
      <c r="AQ45" s="418">
        <f>SUM(AO45:AP45)</f>
        <v>339277</v>
      </c>
      <c r="AR45" s="68">
        <f>ROUND((AF45+AG45+AH45+AI45)*33.8%,0)</f>
        <v>114676</v>
      </c>
      <c r="AS45" s="68">
        <f>ROUND(AF45*1%,0)</f>
        <v>3393</v>
      </c>
      <c r="AT45" s="418">
        <v>0</v>
      </c>
      <c r="AU45" s="418">
        <v>2002</v>
      </c>
      <c r="AV45" s="418">
        <f>AT45+AU45</f>
        <v>2002</v>
      </c>
      <c r="AW45" s="418">
        <f>AQ45+AR45+AS45+AV45</f>
        <v>459348</v>
      </c>
      <c r="AX45" s="419">
        <v>0</v>
      </c>
      <c r="AY45" s="419">
        <v>0</v>
      </c>
      <c r="AZ45" s="419">
        <v>0</v>
      </c>
      <c r="BA45" s="419">
        <v>0</v>
      </c>
      <c r="BB45" s="419">
        <v>1.0900000000000001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1.0900000000000001</v>
      </c>
      <c r="BH45" s="421">
        <f>SUM(BF45:BG45)</f>
        <v>1.0900000000000001</v>
      </c>
      <c r="BI45" s="780">
        <f>I45+AW45</f>
        <v>5044966</v>
      </c>
      <c r="BJ45" s="418">
        <f>J45+AF45</f>
        <v>3737358</v>
      </c>
      <c r="BK45" s="418">
        <f>K45+AD45</f>
        <v>2719494</v>
      </c>
      <c r="BL45" s="418">
        <f>L45+AE45</f>
        <v>1017864</v>
      </c>
      <c r="BM45" s="418">
        <f>M45+AN45</f>
        <v>0</v>
      </c>
      <c r="BN45" s="418">
        <f>N45+AL45</f>
        <v>0</v>
      </c>
      <c r="BO45" s="418">
        <f>O45+AM45</f>
        <v>0</v>
      </c>
      <c r="BP45" s="418">
        <f>P45+AR45</f>
        <v>1263227</v>
      </c>
      <c r="BQ45" s="418">
        <f>Q45+AS45</f>
        <v>37374</v>
      </c>
      <c r="BR45" s="418">
        <f>R45+AV45</f>
        <v>7007</v>
      </c>
      <c r="BS45" s="419">
        <f>S45+BH45</f>
        <v>8.19</v>
      </c>
      <c r="BT45" s="419">
        <f>T45+BF45</f>
        <v>4.92</v>
      </c>
      <c r="BU45" s="421">
        <f>U45+BG45</f>
        <v>3.2700000000000005</v>
      </c>
      <c r="BV45" s="420"/>
      <c r="BW45" s="415"/>
      <c r="BX45" s="415"/>
      <c r="BY45" s="415"/>
      <c r="BZ45" s="415"/>
      <c r="CA45" s="510"/>
    </row>
    <row r="46" spans="1:79" ht="12.95" customHeight="1" x14ac:dyDescent="0.25">
      <c r="A46" s="213">
        <v>9</v>
      </c>
      <c r="B46" s="45">
        <v>5702</v>
      </c>
      <c r="C46" s="45">
        <v>600099547</v>
      </c>
      <c r="D46" s="45">
        <v>855022</v>
      </c>
      <c r="E46" s="383" t="s">
        <v>466</v>
      </c>
      <c r="F46" s="384"/>
      <c r="G46" s="383"/>
      <c r="H46" s="385"/>
      <c r="I46" s="487">
        <v>4585618</v>
      </c>
      <c r="J46" s="483">
        <v>3398081</v>
      </c>
      <c r="K46" s="483">
        <v>2719494</v>
      </c>
      <c r="L46" s="483">
        <v>678587</v>
      </c>
      <c r="M46" s="483">
        <v>0</v>
      </c>
      <c r="N46" s="483">
        <v>0</v>
      </c>
      <c r="O46" s="483">
        <v>0</v>
      </c>
      <c r="P46" s="483">
        <v>1148551</v>
      </c>
      <c r="Q46" s="483">
        <v>33981</v>
      </c>
      <c r="R46" s="483">
        <v>5005</v>
      </c>
      <c r="S46" s="484">
        <v>7.1</v>
      </c>
      <c r="T46" s="484">
        <v>4.92</v>
      </c>
      <c r="U46" s="656">
        <v>2.1800000000000002</v>
      </c>
      <c r="V46" s="487">
        <f t="shared" ref="V46:CA46" si="76">SUM(V45)</f>
        <v>0</v>
      </c>
      <c r="W46" s="483">
        <f t="shared" si="76"/>
        <v>0</v>
      </c>
      <c r="X46" s="483">
        <f t="shared" si="76"/>
        <v>0</v>
      </c>
      <c r="Y46" s="483">
        <f t="shared" si="76"/>
        <v>0</v>
      </c>
      <c r="Z46" s="483">
        <f t="shared" si="76"/>
        <v>0</v>
      </c>
      <c r="AA46" s="483">
        <f t="shared" si="76"/>
        <v>339277</v>
      </c>
      <c r="AB46" s="483">
        <f t="shared" si="76"/>
        <v>0</v>
      </c>
      <c r="AC46" s="483">
        <f t="shared" si="76"/>
        <v>0</v>
      </c>
      <c r="AD46" s="483">
        <f t="shared" si="76"/>
        <v>0</v>
      </c>
      <c r="AE46" s="483">
        <f t="shared" si="76"/>
        <v>339277</v>
      </c>
      <c r="AF46" s="483">
        <f t="shared" si="76"/>
        <v>339277</v>
      </c>
      <c r="AG46" s="483">
        <f t="shared" si="76"/>
        <v>0</v>
      </c>
      <c r="AH46" s="483">
        <f t="shared" si="76"/>
        <v>0</v>
      </c>
      <c r="AI46" s="483">
        <f t="shared" si="76"/>
        <v>0</v>
      </c>
      <c r="AJ46" s="483">
        <f t="shared" si="76"/>
        <v>0</v>
      </c>
      <c r="AK46" s="483">
        <f t="shared" si="76"/>
        <v>0</v>
      </c>
      <c r="AL46" s="483">
        <f t="shared" si="76"/>
        <v>0</v>
      </c>
      <c r="AM46" s="483">
        <f t="shared" si="76"/>
        <v>0</v>
      </c>
      <c r="AN46" s="483">
        <f t="shared" si="76"/>
        <v>0</v>
      </c>
      <c r="AO46" s="483">
        <f t="shared" si="76"/>
        <v>0</v>
      </c>
      <c r="AP46" s="483">
        <f t="shared" si="76"/>
        <v>339277</v>
      </c>
      <c r="AQ46" s="483">
        <f t="shared" si="76"/>
        <v>339277</v>
      </c>
      <c r="AR46" s="483">
        <f t="shared" si="76"/>
        <v>114676</v>
      </c>
      <c r="AS46" s="483">
        <f t="shared" si="76"/>
        <v>3393</v>
      </c>
      <c r="AT46" s="483">
        <f t="shared" si="76"/>
        <v>0</v>
      </c>
      <c r="AU46" s="483">
        <f t="shared" si="76"/>
        <v>2002</v>
      </c>
      <c r="AV46" s="483">
        <f t="shared" si="76"/>
        <v>2002</v>
      </c>
      <c r="AW46" s="483">
        <f t="shared" si="76"/>
        <v>459348</v>
      </c>
      <c r="AX46" s="484">
        <f t="shared" si="76"/>
        <v>0</v>
      </c>
      <c r="AY46" s="484">
        <f t="shared" si="76"/>
        <v>0</v>
      </c>
      <c r="AZ46" s="484">
        <f t="shared" si="76"/>
        <v>0</v>
      </c>
      <c r="BA46" s="484">
        <f t="shared" si="76"/>
        <v>0</v>
      </c>
      <c r="BB46" s="484">
        <f t="shared" ref="BB46" si="77">SUM(BB45)</f>
        <v>1.0900000000000001</v>
      </c>
      <c r="BC46" s="484">
        <f t="shared" si="76"/>
        <v>0</v>
      </c>
      <c r="BD46" s="484">
        <f t="shared" si="76"/>
        <v>0</v>
      </c>
      <c r="BE46" s="484">
        <f t="shared" ref="BE46" si="78">SUM(BE45)</f>
        <v>0</v>
      </c>
      <c r="BF46" s="484">
        <f t="shared" si="76"/>
        <v>0</v>
      </c>
      <c r="BG46" s="484">
        <f t="shared" si="76"/>
        <v>1.0900000000000001</v>
      </c>
      <c r="BH46" s="375">
        <f t="shared" si="76"/>
        <v>1.0900000000000001</v>
      </c>
      <c r="BI46" s="792">
        <f t="shared" si="76"/>
        <v>5044966</v>
      </c>
      <c r="BJ46" s="483">
        <f t="shared" si="76"/>
        <v>3737358</v>
      </c>
      <c r="BK46" s="483">
        <f t="shared" si="76"/>
        <v>2719494</v>
      </c>
      <c r="BL46" s="483">
        <f t="shared" si="76"/>
        <v>1017864</v>
      </c>
      <c r="BM46" s="483">
        <f t="shared" si="76"/>
        <v>0</v>
      </c>
      <c r="BN46" s="483">
        <f t="shared" si="76"/>
        <v>0</v>
      </c>
      <c r="BO46" s="483">
        <f t="shared" si="76"/>
        <v>0</v>
      </c>
      <c r="BP46" s="483">
        <f t="shared" si="76"/>
        <v>1263227</v>
      </c>
      <c r="BQ46" s="483">
        <f t="shared" si="76"/>
        <v>37374</v>
      </c>
      <c r="BR46" s="483">
        <f t="shared" si="76"/>
        <v>7007</v>
      </c>
      <c r="BS46" s="484">
        <f t="shared" si="76"/>
        <v>8.19</v>
      </c>
      <c r="BT46" s="484">
        <f t="shared" si="76"/>
        <v>4.92</v>
      </c>
      <c r="BU46" s="375">
        <f t="shared" si="76"/>
        <v>3.2700000000000005</v>
      </c>
      <c r="BV46" s="869">
        <f t="shared" si="76"/>
        <v>0</v>
      </c>
      <c r="BW46" s="733">
        <f t="shared" si="76"/>
        <v>0</v>
      </c>
      <c r="BX46" s="733">
        <f t="shared" si="76"/>
        <v>0</v>
      </c>
      <c r="BY46" s="733">
        <f t="shared" si="76"/>
        <v>0</v>
      </c>
      <c r="BZ46" s="733">
        <f t="shared" si="76"/>
        <v>0</v>
      </c>
      <c r="CA46" s="870">
        <f t="shared" si="76"/>
        <v>0</v>
      </c>
    </row>
    <row r="47" spans="1:79" ht="12.95" customHeight="1" x14ac:dyDescent="0.25">
      <c r="A47" s="280">
        <v>10</v>
      </c>
      <c r="B47" s="212">
        <v>5458</v>
      </c>
      <c r="C47" s="212">
        <v>600099288</v>
      </c>
      <c r="D47" s="212">
        <v>856126</v>
      </c>
      <c r="E47" s="372" t="s">
        <v>467</v>
      </c>
      <c r="F47" s="212">
        <v>3113</v>
      </c>
      <c r="G47" s="372" t="s">
        <v>308</v>
      </c>
      <c r="H47" s="285" t="s">
        <v>271</v>
      </c>
      <c r="I47" s="420">
        <v>42188662</v>
      </c>
      <c r="J47" s="415">
        <v>30775098</v>
      </c>
      <c r="K47" s="415">
        <v>28885207</v>
      </c>
      <c r="L47" s="415">
        <v>1889891</v>
      </c>
      <c r="M47" s="415">
        <v>120000</v>
      </c>
      <c r="N47" s="415">
        <v>90000</v>
      </c>
      <c r="O47" s="415">
        <v>30000</v>
      </c>
      <c r="P47" s="68">
        <v>10442543</v>
      </c>
      <c r="Q47" s="68">
        <v>307751</v>
      </c>
      <c r="R47" s="415">
        <v>543270</v>
      </c>
      <c r="S47" s="416">
        <v>44.883200000000002</v>
      </c>
      <c r="T47" s="416">
        <v>39.0032</v>
      </c>
      <c r="U47" s="423">
        <v>5.88</v>
      </c>
      <c r="V47" s="424">
        <f t="shared" ref="V47:W51" si="79">AG47*-1</f>
        <v>0</v>
      </c>
      <c r="W47" s="418">
        <f t="shared" si="79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ref="AO47:AP51" si="80">AD47+AL47</f>
        <v>0</v>
      </c>
      <c r="AP47" s="418">
        <f t="shared" si="80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421">
        <f>SUM(BF47:BG47)</f>
        <v>0</v>
      </c>
      <c r="BI47" s="780">
        <f>I47+AW47</f>
        <v>42188662</v>
      </c>
      <c r="BJ47" s="418">
        <f>J47+AF47</f>
        <v>30775098</v>
      </c>
      <c r="BK47" s="418">
        <f t="shared" ref="BK47:BL51" si="81">K47+AD47</f>
        <v>28885207</v>
      </c>
      <c r="BL47" s="418">
        <f t="shared" si="81"/>
        <v>1889891</v>
      </c>
      <c r="BM47" s="418">
        <f>M47+AN47</f>
        <v>120000</v>
      </c>
      <c r="BN47" s="418">
        <f t="shared" ref="BN47:BO51" si="82">N47+AL47</f>
        <v>90000</v>
      </c>
      <c r="BO47" s="418">
        <f t="shared" si="82"/>
        <v>30000</v>
      </c>
      <c r="BP47" s="418">
        <f t="shared" ref="BP47:BQ51" si="83">P47+AR47</f>
        <v>10442543</v>
      </c>
      <c r="BQ47" s="418">
        <f t="shared" si="83"/>
        <v>307751</v>
      </c>
      <c r="BR47" s="418">
        <f>R47+AV47</f>
        <v>543270</v>
      </c>
      <c r="BS47" s="419">
        <f>S47+BH47</f>
        <v>44.883200000000002</v>
      </c>
      <c r="BT47" s="419">
        <f t="shared" ref="BT47:BU51" si="84">T47+BF47</f>
        <v>39.0032</v>
      </c>
      <c r="BU47" s="421">
        <f t="shared" si="84"/>
        <v>5.88</v>
      </c>
      <c r="BV47" s="420">
        <v>760272</v>
      </c>
      <c r="BW47" s="415">
        <v>564000</v>
      </c>
      <c r="BX47" s="415">
        <v>0</v>
      </c>
      <c r="BY47" s="415">
        <v>190632</v>
      </c>
      <c r="BZ47" s="415">
        <v>5640</v>
      </c>
      <c r="CA47" s="510">
        <v>1</v>
      </c>
    </row>
    <row r="48" spans="1:79" ht="12.95" customHeight="1" x14ac:dyDescent="0.25">
      <c r="A48" s="280">
        <v>10</v>
      </c>
      <c r="B48" s="212">
        <v>5458</v>
      </c>
      <c r="C48" s="212">
        <v>600099288</v>
      </c>
      <c r="D48" s="212">
        <v>856126</v>
      </c>
      <c r="E48" s="372" t="s">
        <v>467</v>
      </c>
      <c r="F48" s="212">
        <v>3113</v>
      </c>
      <c r="G48" s="323" t="s">
        <v>291</v>
      </c>
      <c r="H48" s="285" t="s">
        <v>272</v>
      </c>
      <c r="I48" s="420">
        <v>4487458</v>
      </c>
      <c r="J48" s="415">
        <v>3328974</v>
      </c>
      <c r="K48" s="415">
        <v>3328974</v>
      </c>
      <c r="L48" s="415">
        <v>0</v>
      </c>
      <c r="M48" s="415">
        <v>0</v>
      </c>
      <c r="N48" s="415">
        <v>0</v>
      </c>
      <c r="O48" s="415">
        <v>0</v>
      </c>
      <c r="P48" s="68">
        <v>1125194</v>
      </c>
      <c r="Q48" s="68">
        <v>33290</v>
      </c>
      <c r="R48" s="415">
        <v>0</v>
      </c>
      <c r="S48" s="416">
        <v>8.67</v>
      </c>
      <c r="T48" s="416">
        <v>8.67</v>
      </c>
      <c r="U48" s="423">
        <v>0</v>
      </c>
      <c r="V48" s="424">
        <f t="shared" si="79"/>
        <v>0</v>
      </c>
      <c r="W48" s="418">
        <f t="shared" si="79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0</v>
      </c>
      <c r="AF48" s="418">
        <f>SUM(AD48:AE48)</f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>AG48+AI48+AJ48</f>
        <v>0</v>
      </c>
      <c r="AM48" s="418">
        <f>AH48+AK48</f>
        <v>0</v>
      </c>
      <c r="AN48" s="418">
        <f>SUM(AL48:AM48)</f>
        <v>0</v>
      </c>
      <c r="AO48" s="418">
        <f t="shared" si="80"/>
        <v>0</v>
      </c>
      <c r="AP48" s="418">
        <f t="shared" si="80"/>
        <v>0</v>
      </c>
      <c r="AQ48" s="418">
        <f>SUM(AO48:AP48)</f>
        <v>0</v>
      </c>
      <c r="AR48" s="68">
        <f>ROUND((AF48+AG48+AH48+AI48)*33.8%,0)</f>
        <v>0</v>
      </c>
      <c r="AS48" s="68">
        <f>ROUND(AF48*1%,0)</f>
        <v>0</v>
      </c>
      <c r="AT48" s="418">
        <v>0</v>
      </c>
      <c r="AU48" s="418">
        <v>0</v>
      </c>
      <c r="AV48" s="418">
        <f>AT48+AU48</f>
        <v>0</v>
      </c>
      <c r="AW48" s="418">
        <f>AQ48+AR48+AS48+AV48</f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>AX48+AZ48+BA48+BC48+BD48</f>
        <v>0</v>
      </c>
      <c r="BG48" s="419">
        <f>AY48+BB48+BE48</f>
        <v>0</v>
      </c>
      <c r="BH48" s="421">
        <f>SUM(BF48:BG48)</f>
        <v>0</v>
      </c>
      <c r="BI48" s="780">
        <f>I48+AW48</f>
        <v>4487458</v>
      </c>
      <c r="BJ48" s="418">
        <f>J48+AF48</f>
        <v>3328974</v>
      </c>
      <c r="BK48" s="418">
        <f t="shared" si="81"/>
        <v>3328974</v>
      </c>
      <c r="BL48" s="418">
        <f t="shared" si="81"/>
        <v>0</v>
      </c>
      <c r="BM48" s="418">
        <f>M48+AN48</f>
        <v>0</v>
      </c>
      <c r="BN48" s="418">
        <f t="shared" si="82"/>
        <v>0</v>
      </c>
      <c r="BO48" s="418">
        <f t="shared" si="82"/>
        <v>0</v>
      </c>
      <c r="BP48" s="418">
        <f t="shared" si="83"/>
        <v>1125194</v>
      </c>
      <c r="BQ48" s="418">
        <f t="shared" si="83"/>
        <v>33290</v>
      </c>
      <c r="BR48" s="418">
        <f>R48+AV48</f>
        <v>0</v>
      </c>
      <c r="BS48" s="419">
        <f>S48+BH48</f>
        <v>8.67</v>
      </c>
      <c r="BT48" s="419">
        <f t="shared" si="84"/>
        <v>8.67</v>
      </c>
      <c r="BU48" s="421">
        <f t="shared" si="84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10</v>
      </c>
      <c r="B49" s="212">
        <v>5458</v>
      </c>
      <c r="C49" s="212">
        <v>600099288</v>
      </c>
      <c r="D49" s="212">
        <v>856126</v>
      </c>
      <c r="E49" s="371" t="s">
        <v>467</v>
      </c>
      <c r="F49" s="382">
        <v>3141</v>
      </c>
      <c r="G49" s="373" t="s">
        <v>294</v>
      </c>
      <c r="H49" s="285" t="s">
        <v>272</v>
      </c>
      <c r="I49" s="420">
        <v>2399773</v>
      </c>
      <c r="J49" s="415">
        <v>1755210</v>
      </c>
      <c r="K49" s="415">
        <v>0</v>
      </c>
      <c r="L49" s="415">
        <v>1755210</v>
      </c>
      <c r="M49" s="415">
        <v>10000</v>
      </c>
      <c r="N49" s="415">
        <v>0</v>
      </c>
      <c r="O49" s="415">
        <v>10000</v>
      </c>
      <c r="P49" s="68">
        <v>596641</v>
      </c>
      <c r="Q49" s="68">
        <v>17552</v>
      </c>
      <c r="R49" s="415">
        <v>20370</v>
      </c>
      <c r="S49" s="416">
        <v>5.2933000000000003</v>
      </c>
      <c r="T49" s="416">
        <v>0</v>
      </c>
      <c r="U49" s="423">
        <v>5.2933000000000003</v>
      </c>
      <c r="V49" s="424">
        <f t="shared" si="79"/>
        <v>0</v>
      </c>
      <c r="W49" s="418">
        <f t="shared" si="79"/>
        <v>0</v>
      </c>
      <c r="X49" s="418">
        <v>0</v>
      </c>
      <c r="Y49" s="418">
        <v>0</v>
      </c>
      <c r="Z49" s="418">
        <v>0</v>
      </c>
      <c r="AA49" s="418">
        <v>881530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881530</v>
      </c>
      <c r="AF49" s="418">
        <f>SUM(AD49:AE49)</f>
        <v>881530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si="80"/>
        <v>0</v>
      </c>
      <c r="AP49" s="418">
        <f t="shared" si="80"/>
        <v>881530</v>
      </c>
      <c r="AQ49" s="418">
        <f>SUM(AO49:AP49)</f>
        <v>881530</v>
      </c>
      <c r="AR49" s="68">
        <f>ROUND((AF49+AG49+AH49+AI49)*33.8%,0)</f>
        <v>297957</v>
      </c>
      <c r="AS49" s="68">
        <f>ROUND(AF49*1%,0)</f>
        <v>8815</v>
      </c>
      <c r="AT49" s="418">
        <v>0</v>
      </c>
      <c r="AU49" s="418">
        <v>9894</v>
      </c>
      <c r="AV49" s="418">
        <f>AT49+AU49</f>
        <v>9894</v>
      </c>
      <c r="AW49" s="418">
        <f>AQ49+AR49+AS49+AV49</f>
        <v>1198196</v>
      </c>
      <c r="AX49" s="419">
        <v>0</v>
      </c>
      <c r="AY49" s="419">
        <v>0</v>
      </c>
      <c r="AZ49" s="419">
        <v>0</v>
      </c>
      <c r="BA49" s="419">
        <v>0</v>
      </c>
      <c r="BB49" s="419">
        <v>2.65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2.65</v>
      </c>
      <c r="BH49" s="421">
        <f>SUM(BF49:BG49)</f>
        <v>2.65</v>
      </c>
      <c r="BI49" s="780">
        <f>I49+AW49</f>
        <v>3597969</v>
      </c>
      <c r="BJ49" s="418">
        <f>J49+AF49</f>
        <v>2636740</v>
      </c>
      <c r="BK49" s="418">
        <f t="shared" si="81"/>
        <v>0</v>
      </c>
      <c r="BL49" s="418">
        <f t="shared" si="81"/>
        <v>2636740</v>
      </c>
      <c r="BM49" s="418">
        <f>M49+AN49</f>
        <v>10000</v>
      </c>
      <c r="BN49" s="418">
        <f t="shared" si="82"/>
        <v>0</v>
      </c>
      <c r="BO49" s="418">
        <f t="shared" si="82"/>
        <v>10000</v>
      </c>
      <c r="BP49" s="418">
        <f t="shared" si="83"/>
        <v>894598</v>
      </c>
      <c r="BQ49" s="418">
        <f t="shared" si="83"/>
        <v>26367</v>
      </c>
      <c r="BR49" s="418">
        <f>R49+AV49</f>
        <v>30264</v>
      </c>
      <c r="BS49" s="419">
        <f>S49+BH49</f>
        <v>7.9433000000000007</v>
      </c>
      <c r="BT49" s="419">
        <f t="shared" si="84"/>
        <v>0</v>
      </c>
      <c r="BU49" s="421">
        <f t="shared" si="84"/>
        <v>7.9433000000000007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280">
        <v>10</v>
      </c>
      <c r="B50" s="212">
        <v>5458</v>
      </c>
      <c r="C50" s="212">
        <v>600099288</v>
      </c>
      <c r="D50" s="212">
        <v>856126</v>
      </c>
      <c r="E50" s="372" t="s">
        <v>467</v>
      </c>
      <c r="F50" s="212">
        <v>3143</v>
      </c>
      <c r="G50" s="323" t="s">
        <v>595</v>
      </c>
      <c r="H50" s="285" t="s">
        <v>271</v>
      </c>
      <c r="I50" s="420">
        <v>3080947</v>
      </c>
      <c r="J50" s="415">
        <v>2285569</v>
      </c>
      <c r="K50" s="415">
        <v>2285569</v>
      </c>
      <c r="L50" s="415">
        <v>0</v>
      </c>
      <c r="M50" s="415">
        <v>0</v>
      </c>
      <c r="N50" s="415">
        <v>0</v>
      </c>
      <c r="O50" s="415">
        <v>0</v>
      </c>
      <c r="P50" s="68">
        <v>772522</v>
      </c>
      <c r="Q50" s="68">
        <v>22856</v>
      </c>
      <c r="R50" s="415">
        <v>0</v>
      </c>
      <c r="S50" s="416">
        <v>4.3997999999999999</v>
      </c>
      <c r="T50" s="416">
        <v>4.3997999999999999</v>
      </c>
      <c r="U50" s="423">
        <v>0</v>
      </c>
      <c r="V50" s="424">
        <f t="shared" si="79"/>
        <v>0</v>
      </c>
      <c r="W50" s="418">
        <f t="shared" si="79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80"/>
        <v>0</v>
      </c>
      <c r="AP50" s="418">
        <f t="shared" si="80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8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421">
        <f>SUM(BF50:BG50)</f>
        <v>0</v>
      </c>
      <c r="BI50" s="780">
        <f>I50+AW50</f>
        <v>3080947</v>
      </c>
      <c r="BJ50" s="418">
        <f>J50+AF50</f>
        <v>2285569</v>
      </c>
      <c r="BK50" s="418">
        <f t="shared" si="81"/>
        <v>2285569</v>
      </c>
      <c r="BL50" s="418">
        <f t="shared" si="81"/>
        <v>0</v>
      </c>
      <c r="BM50" s="418">
        <f>M50+AN50</f>
        <v>0</v>
      </c>
      <c r="BN50" s="418">
        <f t="shared" si="82"/>
        <v>0</v>
      </c>
      <c r="BO50" s="418">
        <f t="shared" si="82"/>
        <v>0</v>
      </c>
      <c r="BP50" s="418">
        <f t="shared" si="83"/>
        <v>772522</v>
      </c>
      <c r="BQ50" s="418">
        <f t="shared" si="83"/>
        <v>22856</v>
      </c>
      <c r="BR50" s="418">
        <f>R50+AV50</f>
        <v>0</v>
      </c>
      <c r="BS50" s="419">
        <f>S50+BH50</f>
        <v>4.3997999999999999</v>
      </c>
      <c r="BT50" s="419">
        <f t="shared" si="84"/>
        <v>4.3997999999999999</v>
      </c>
      <c r="BU50" s="421">
        <f t="shared" si="84"/>
        <v>0</v>
      </c>
      <c r="BV50" s="420"/>
      <c r="BW50" s="415"/>
      <c r="BX50" s="415"/>
      <c r="BY50" s="415"/>
      <c r="BZ50" s="415"/>
      <c r="CA50" s="510"/>
    </row>
    <row r="51" spans="1:79" ht="12.95" customHeight="1" x14ac:dyDescent="0.25">
      <c r="A51" s="280">
        <v>10</v>
      </c>
      <c r="B51" s="212">
        <v>5458</v>
      </c>
      <c r="C51" s="212">
        <v>600099288</v>
      </c>
      <c r="D51" s="212">
        <v>856126</v>
      </c>
      <c r="E51" s="372" t="s">
        <v>467</v>
      </c>
      <c r="F51" s="212">
        <v>3143</v>
      </c>
      <c r="G51" s="323" t="s">
        <v>596</v>
      </c>
      <c r="H51" s="285" t="s">
        <v>272</v>
      </c>
      <c r="I51" s="420">
        <v>71502</v>
      </c>
      <c r="J51" s="415">
        <v>31322</v>
      </c>
      <c r="K51" s="415">
        <v>0</v>
      </c>
      <c r="L51" s="415">
        <v>31322</v>
      </c>
      <c r="M51" s="415">
        <v>20000</v>
      </c>
      <c r="N51" s="415">
        <v>0</v>
      </c>
      <c r="O51" s="415">
        <v>20000</v>
      </c>
      <c r="P51" s="68">
        <v>17347</v>
      </c>
      <c r="Q51" s="68">
        <v>313</v>
      </c>
      <c r="R51" s="415">
        <v>2520</v>
      </c>
      <c r="S51" s="416">
        <v>0.19439999999999999</v>
      </c>
      <c r="T51" s="416">
        <v>0</v>
      </c>
      <c r="U51" s="423">
        <v>0.19439999999999999</v>
      </c>
      <c r="V51" s="424">
        <f t="shared" si="79"/>
        <v>0</v>
      </c>
      <c r="W51" s="418">
        <f t="shared" si="79"/>
        <v>0</v>
      </c>
      <c r="X51" s="418">
        <v>0</v>
      </c>
      <c r="Y51" s="418">
        <v>0</v>
      </c>
      <c r="Z51" s="418">
        <v>0</v>
      </c>
      <c r="AA51" s="418">
        <v>25678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25678</v>
      </c>
      <c r="AF51" s="418">
        <f>SUM(AD51:AE51)</f>
        <v>25678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80"/>
        <v>0</v>
      </c>
      <c r="AP51" s="418">
        <f t="shared" si="80"/>
        <v>25678</v>
      </c>
      <c r="AQ51" s="418">
        <f>SUM(AO51:AP51)</f>
        <v>25678</v>
      </c>
      <c r="AR51" s="68">
        <f>ROUND((AF51+AG51+AH51+AI51)*33.8%,0)</f>
        <v>8679</v>
      </c>
      <c r="AS51" s="68">
        <f>ROUND(AF51*1%,0)</f>
        <v>257</v>
      </c>
      <c r="AT51" s="418">
        <v>0</v>
      </c>
      <c r="AU51" s="418">
        <v>1260</v>
      </c>
      <c r="AV51" s="418">
        <f>AT51+AU51</f>
        <v>1260</v>
      </c>
      <c r="AW51" s="418">
        <f>AQ51+AR51+AS51+AV51</f>
        <v>35874</v>
      </c>
      <c r="AX51" s="419">
        <v>0</v>
      </c>
      <c r="AY51" s="419">
        <v>0</v>
      </c>
      <c r="AZ51" s="419">
        <v>0</v>
      </c>
      <c r="BA51" s="419">
        <v>0</v>
      </c>
      <c r="BB51" s="419">
        <v>0.1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0.1</v>
      </c>
      <c r="BH51" s="421">
        <f>SUM(BF51:BG51)</f>
        <v>0.1</v>
      </c>
      <c r="BI51" s="780">
        <f>I51+AW51</f>
        <v>107376</v>
      </c>
      <c r="BJ51" s="418">
        <f>J51+AF51</f>
        <v>57000</v>
      </c>
      <c r="BK51" s="418">
        <f t="shared" si="81"/>
        <v>0</v>
      </c>
      <c r="BL51" s="418">
        <f t="shared" si="81"/>
        <v>57000</v>
      </c>
      <c r="BM51" s="418">
        <f>M51+AN51</f>
        <v>20000</v>
      </c>
      <c r="BN51" s="418">
        <f t="shared" si="82"/>
        <v>0</v>
      </c>
      <c r="BO51" s="418">
        <f t="shared" si="82"/>
        <v>20000</v>
      </c>
      <c r="BP51" s="418">
        <f t="shared" si="83"/>
        <v>26026</v>
      </c>
      <c r="BQ51" s="418">
        <f t="shared" si="83"/>
        <v>570</v>
      </c>
      <c r="BR51" s="418">
        <f>R51+AV51</f>
        <v>3780</v>
      </c>
      <c r="BS51" s="419">
        <f>S51+BH51</f>
        <v>0.2944</v>
      </c>
      <c r="BT51" s="419">
        <f t="shared" si="84"/>
        <v>0</v>
      </c>
      <c r="BU51" s="421">
        <f t="shared" si="84"/>
        <v>0.2944</v>
      </c>
      <c r="BV51" s="420"/>
      <c r="BW51" s="415"/>
      <c r="BX51" s="415"/>
      <c r="BY51" s="415"/>
      <c r="BZ51" s="415"/>
      <c r="CA51" s="510"/>
    </row>
    <row r="52" spans="1:79" ht="12.95" customHeight="1" x14ac:dyDescent="0.25">
      <c r="A52" s="213">
        <v>10</v>
      </c>
      <c r="B52" s="45">
        <v>5458</v>
      </c>
      <c r="C52" s="45">
        <v>600099288</v>
      </c>
      <c r="D52" s="45">
        <v>856126</v>
      </c>
      <c r="E52" s="374" t="s">
        <v>468</v>
      </c>
      <c r="F52" s="45"/>
      <c r="G52" s="374"/>
      <c r="H52" s="182"/>
      <c r="I52" s="488">
        <v>52228342</v>
      </c>
      <c r="J52" s="485">
        <v>38176173</v>
      </c>
      <c r="K52" s="485">
        <v>34499750</v>
      </c>
      <c r="L52" s="485">
        <v>3676423</v>
      </c>
      <c r="M52" s="485">
        <v>150000</v>
      </c>
      <c r="N52" s="485">
        <v>90000</v>
      </c>
      <c r="O52" s="485">
        <v>60000</v>
      </c>
      <c r="P52" s="485">
        <v>12954247</v>
      </c>
      <c r="Q52" s="485">
        <v>381762</v>
      </c>
      <c r="R52" s="485">
        <v>566160</v>
      </c>
      <c r="S52" s="486">
        <v>63.440700000000007</v>
      </c>
      <c r="T52" s="486">
        <v>52.073</v>
      </c>
      <c r="U52" s="657">
        <v>11.367700000000001</v>
      </c>
      <c r="V52" s="488">
        <f t="shared" ref="V52:CA52" si="85">SUM(V47:V51)</f>
        <v>0</v>
      </c>
      <c r="W52" s="485">
        <f t="shared" si="85"/>
        <v>0</v>
      </c>
      <c r="X52" s="485">
        <f t="shared" si="85"/>
        <v>0</v>
      </c>
      <c r="Y52" s="485">
        <f t="shared" si="85"/>
        <v>0</v>
      </c>
      <c r="Z52" s="485">
        <f t="shared" si="85"/>
        <v>0</v>
      </c>
      <c r="AA52" s="485">
        <f t="shared" si="85"/>
        <v>907208</v>
      </c>
      <c r="AB52" s="485">
        <f t="shared" si="85"/>
        <v>0</v>
      </c>
      <c r="AC52" s="485">
        <f t="shared" si="85"/>
        <v>0</v>
      </c>
      <c r="AD52" s="485">
        <f t="shared" si="85"/>
        <v>0</v>
      </c>
      <c r="AE52" s="485">
        <f t="shared" si="85"/>
        <v>907208</v>
      </c>
      <c r="AF52" s="485">
        <f t="shared" si="85"/>
        <v>907208</v>
      </c>
      <c r="AG52" s="485">
        <f t="shared" si="85"/>
        <v>0</v>
      </c>
      <c r="AH52" s="485">
        <f t="shared" si="85"/>
        <v>0</v>
      </c>
      <c r="AI52" s="485">
        <f t="shared" si="85"/>
        <v>0</v>
      </c>
      <c r="AJ52" s="485">
        <f t="shared" si="85"/>
        <v>0</v>
      </c>
      <c r="AK52" s="485">
        <f t="shared" si="85"/>
        <v>0</v>
      </c>
      <c r="AL52" s="485">
        <f t="shared" si="85"/>
        <v>0</v>
      </c>
      <c r="AM52" s="485">
        <f t="shared" si="85"/>
        <v>0</v>
      </c>
      <c r="AN52" s="485">
        <f t="shared" si="85"/>
        <v>0</v>
      </c>
      <c r="AO52" s="485">
        <f t="shared" si="85"/>
        <v>0</v>
      </c>
      <c r="AP52" s="485">
        <f t="shared" si="85"/>
        <v>907208</v>
      </c>
      <c r="AQ52" s="485">
        <f t="shared" si="85"/>
        <v>907208</v>
      </c>
      <c r="AR52" s="485">
        <f t="shared" si="85"/>
        <v>306636</v>
      </c>
      <c r="AS52" s="485">
        <f t="shared" si="85"/>
        <v>9072</v>
      </c>
      <c r="AT52" s="485">
        <f t="shared" si="85"/>
        <v>0</v>
      </c>
      <c r="AU52" s="485">
        <f t="shared" si="85"/>
        <v>11154</v>
      </c>
      <c r="AV52" s="485">
        <f t="shared" si="85"/>
        <v>11154</v>
      </c>
      <c r="AW52" s="485">
        <f t="shared" si="85"/>
        <v>1234070</v>
      </c>
      <c r="AX52" s="486">
        <f t="shared" si="85"/>
        <v>0</v>
      </c>
      <c r="AY52" s="486">
        <f t="shared" si="85"/>
        <v>0</v>
      </c>
      <c r="AZ52" s="486">
        <f t="shared" si="85"/>
        <v>0</v>
      </c>
      <c r="BA52" s="486">
        <f t="shared" si="85"/>
        <v>0</v>
      </c>
      <c r="BB52" s="486">
        <f t="shared" ref="BB52" si="86">SUM(BB47:BB51)</f>
        <v>2.75</v>
      </c>
      <c r="BC52" s="486">
        <f t="shared" si="85"/>
        <v>0</v>
      </c>
      <c r="BD52" s="486">
        <f t="shared" si="85"/>
        <v>0</v>
      </c>
      <c r="BE52" s="486">
        <f t="shared" ref="BE52" si="87">SUM(BE47:BE51)</f>
        <v>0</v>
      </c>
      <c r="BF52" s="486">
        <f t="shared" si="85"/>
        <v>0</v>
      </c>
      <c r="BG52" s="486">
        <f t="shared" si="85"/>
        <v>2.75</v>
      </c>
      <c r="BH52" s="379">
        <f t="shared" si="85"/>
        <v>2.75</v>
      </c>
      <c r="BI52" s="793">
        <f t="shared" si="85"/>
        <v>53462412</v>
      </c>
      <c r="BJ52" s="485">
        <f t="shared" si="85"/>
        <v>39083381</v>
      </c>
      <c r="BK52" s="485">
        <f t="shared" si="85"/>
        <v>34499750</v>
      </c>
      <c r="BL52" s="485">
        <f t="shared" si="85"/>
        <v>4583631</v>
      </c>
      <c r="BM52" s="485">
        <f t="shared" si="85"/>
        <v>150000</v>
      </c>
      <c r="BN52" s="485">
        <f t="shared" si="85"/>
        <v>90000</v>
      </c>
      <c r="BO52" s="485">
        <f t="shared" si="85"/>
        <v>60000</v>
      </c>
      <c r="BP52" s="485">
        <f t="shared" si="85"/>
        <v>13260883</v>
      </c>
      <c r="BQ52" s="485">
        <f t="shared" si="85"/>
        <v>390834</v>
      </c>
      <c r="BR52" s="485">
        <f t="shared" si="85"/>
        <v>577314</v>
      </c>
      <c r="BS52" s="486">
        <f t="shared" si="85"/>
        <v>66.190700000000007</v>
      </c>
      <c r="BT52" s="486">
        <f t="shared" si="85"/>
        <v>52.073</v>
      </c>
      <c r="BU52" s="379">
        <f t="shared" si="85"/>
        <v>14.117699999999999</v>
      </c>
      <c r="BV52" s="871">
        <f t="shared" si="85"/>
        <v>760272</v>
      </c>
      <c r="BW52" s="734">
        <f t="shared" si="85"/>
        <v>564000</v>
      </c>
      <c r="BX52" s="734">
        <f t="shared" si="85"/>
        <v>0</v>
      </c>
      <c r="BY52" s="734">
        <f t="shared" si="85"/>
        <v>190632</v>
      </c>
      <c r="BZ52" s="734">
        <f t="shared" si="85"/>
        <v>5640</v>
      </c>
      <c r="CA52" s="872">
        <f t="shared" si="85"/>
        <v>1</v>
      </c>
    </row>
    <row r="53" spans="1:79" ht="12.95" customHeight="1" x14ac:dyDescent="0.25">
      <c r="A53" s="280">
        <v>11</v>
      </c>
      <c r="B53" s="212">
        <v>5456</v>
      </c>
      <c r="C53" s="212">
        <v>600099369</v>
      </c>
      <c r="D53" s="212">
        <v>854794</v>
      </c>
      <c r="E53" s="372" t="s">
        <v>469</v>
      </c>
      <c r="F53" s="212">
        <v>3113</v>
      </c>
      <c r="G53" s="372" t="s">
        <v>308</v>
      </c>
      <c r="H53" s="285" t="s">
        <v>271</v>
      </c>
      <c r="I53" s="420">
        <v>51438989</v>
      </c>
      <c r="J53" s="415">
        <v>37540240</v>
      </c>
      <c r="K53" s="415">
        <v>35251809</v>
      </c>
      <c r="L53" s="415">
        <v>2288431</v>
      </c>
      <c r="M53" s="415">
        <v>150000</v>
      </c>
      <c r="N53" s="415">
        <v>90000</v>
      </c>
      <c r="O53" s="415">
        <v>60000</v>
      </c>
      <c r="P53" s="68">
        <v>12739301</v>
      </c>
      <c r="Q53" s="68">
        <v>375402</v>
      </c>
      <c r="R53" s="415">
        <v>634046</v>
      </c>
      <c r="S53" s="416">
        <v>56.7361</v>
      </c>
      <c r="T53" s="416">
        <v>49.449400000000004</v>
      </c>
      <c r="U53" s="423">
        <v>7.2866999999999997</v>
      </c>
      <c r="V53" s="424">
        <f t="shared" ref="V53:W57" si="88">AG53*-1</f>
        <v>0</v>
      </c>
      <c r="W53" s="418">
        <f t="shared" si="88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ref="AO53:AP57" si="89">AD53+AL53</f>
        <v>0</v>
      </c>
      <c r="AP53" s="418">
        <f t="shared" si="89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8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780">
        <f>I53+AW53</f>
        <v>51438989</v>
      </c>
      <c r="BJ53" s="418">
        <f>J53+AF53</f>
        <v>37540240</v>
      </c>
      <c r="BK53" s="418">
        <f t="shared" ref="BK53:BL57" si="90">K53+AD53</f>
        <v>35251809</v>
      </c>
      <c r="BL53" s="418">
        <f t="shared" si="90"/>
        <v>2288431</v>
      </c>
      <c r="BM53" s="418">
        <f>M53+AN53</f>
        <v>150000</v>
      </c>
      <c r="BN53" s="418">
        <f t="shared" ref="BN53:BO57" si="91">N53+AL53</f>
        <v>90000</v>
      </c>
      <c r="BO53" s="418">
        <f t="shared" si="91"/>
        <v>60000</v>
      </c>
      <c r="BP53" s="418">
        <f t="shared" ref="BP53:BQ57" si="92">P53+AR53</f>
        <v>12739301</v>
      </c>
      <c r="BQ53" s="418">
        <f t="shared" si="92"/>
        <v>375402</v>
      </c>
      <c r="BR53" s="418">
        <f>R53+AV53</f>
        <v>634046</v>
      </c>
      <c r="BS53" s="419">
        <f>S53+BH53</f>
        <v>56.7361</v>
      </c>
      <c r="BT53" s="419">
        <f t="shared" ref="BT53:BU57" si="93">T53+BF53</f>
        <v>49.449400000000004</v>
      </c>
      <c r="BU53" s="421">
        <f t="shared" si="93"/>
        <v>7.2866999999999997</v>
      </c>
      <c r="BV53" s="420">
        <v>760272</v>
      </c>
      <c r="BW53" s="415">
        <v>564000</v>
      </c>
      <c r="BX53" s="415">
        <v>0</v>
      </c>
      <c r="BY53" s="415">
        <v>190632</v>
      </c>
      <c r="BZ53" s="415">
        <v>5640</v>
      </c>
      <c r="CA53" s="510">
        <v>1</v>
      </c>
    </row>
    <row r="54" spans="1:79" ht="12.95" customHeight="1" x14ac:dyDescent="0.25">
      <c r="A54" s="280">
        <v>11</v>
      </c>
      <c r="B54" s="212">
        <v>5456</v>
      </c>
      <c r="C54" s="212">
        <v>600099369</v>
      </c>
      <c r="D54" s="212">
        <v>854794</v>
      </c>
      <c r="E54" s="211" t="s">
        <v>469</v>
      </c>
      <c r="F54" s="212">
        <v>3113</v>
      </c>
      <c r="G54" s="323" t="s">
        <v>291</v>
      </c>
      <c r="H54" s="285" t="s">
        <v>272</v>
      </c>
      <c r="I54" s="420">
        <v>5383654</v>
      </c>
      <c r="J54" s="415">
        <v>3989494</v>
      </c>
      <c r="K54" s="415">
        <v>3993094</v>
      </c>
      <c r="L54" s="415">
        <v>-3600</v>
      </c>
      <c r="M54" s="415">
        <v>3600</v>
      </c>
      <c r="N54" s="415">
        <v>0</v>
      </c>
      <c r="O54" s="415">
        <v>3600</v>
      </c>
      <c r="P54" s="68">
        <v>1349665</v>
      </c>
      <c r="Q54" s="68">
        <v>39895</v>
      </c>
      <c r="R54" s="415">
        <v>1000</v>
      </c>
      <c r="S54" s="416">
        <v>10.56</v>
      </c>
      <c r="T54" s="416">
        <v>10.56</v>
      </c>
      <c r="U54" s="423">
        <v>0</v>
      </c>
      <c r="V54" s="424">
        <f t="shared" si="88"/>
        <v>0</v>
      </c>
      <c r="W54" s="418">
        <f t="shared" si="88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89"/>
        <v>0</v>
      </c>
      <c r="AP54" s="418">
        <f t="shared" si="89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421">
        <f>SUM(BF54:BG54)</f>
        <v>0</v>
      </c>
      <c r="BI54" s="780">
        <f>I54+AW54</f>
        <v>5383654</v>
      </c>
      <c r="BJ54" s="418">
        <f>J54+AF54</f>
        <v>3989494</v>
      </c>
      <c r="BK54" s="418">
        <f t="shared" si="90"/>
        <v>3993094</v>
      </c>
      <c r="BL54" s="418">
        <f t="shared" si="90"/>
        <v>-3600</v>
      </c>
      <c r="BM54" s="418">
        <f>M54+AN54</f>
        <v>3600</v>
      </c>
      <c r="BN54" s="418">
        <f t="shared" si="91"/>
        <v>0</v>
      </c>
      <c r="BO54" s="418">
        <f t="shared" si="91"/>
        <v>3600</v>
      </c>
      <c r="BP54" s="418">
        <f t="shared" si="92"/>
        <v>1349665</v>
      </c>
      <c r="BQ54" s="418">
        <f t="shared" si="92"/>
        <v>39895</v>
      </c>
      <c r="BR54" s="418">
        <f>R54+AV54</f>
        <v>1000</v>
      </c>
      <c r="BS54" s="419">
        <f>S54+BH54</f>
        <v>10.56</v>
      </c>
      <c r="BT54" s="419">
        <f t="shared" si="93"/>
        <v>10.56</v>
      </c>
      <c r="BU54" s="421">
        <f t="shared" si="93"/>
        <v>0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11</v>
      </c>
      <c r="B55" s="212">
        <v>5456</v>
      </c>
      <c r="C55" s="212">
        <v>600099369</v>
      </c>
      <c r="D55" s="212">
        <v>854794</v>
      </c>
      <c r="E55" s="371" t="s">
        <v>469</v>
      </c>
      <c r="F55" s="382">
        <v>3141</v>
      </c>
      <c r="G55" s="373" t="s">
        <v>294</v>
      </c>
      <c r="H55" s="285" t="s">
        <v>272</v>
      </c>
      <c r="I55" s="420">
        <v>4012946</v>
      </c>
      <c r="J55" s="415">
        <v>2943764</v>
      </c>
      <c r="K55" s="415">
        <v>0</v>
      </c>
      <c r="L55" s="415">
        <v>2943764</v>
      </c>
      <c r="M55" s="415">
        <v>6400</v>
      </c>
      <c r="N55" s="415">
        <v>0</v>
      </c>
      <c r="O55" s="415">
        <v>6400</v>
      </c>
      <c r="P55" s="68">
        <v>997155</v>
      </c>
      <c r="Q55" s="68">
        <v>29438</v>
      </c>
      <c r="R55" s="415">
        <v>36189</v>
      </c>
      <c r="S55" s="416">
        <v>8.8466000000000005</v>
      </c>
      <c r="T55" s="416">
        <v>0</v>
      </c>
      <c r="U55" s="423">
        <v>8.8466000000000005</v>
      </c>
      <c r="V55" s="424">
        <f t="shared" si="88"/>
        <v>0</v>
      </c>
      <c r="W55" s="418">
        <f t="shared" si="88"/>
        <v>0</v>
      </c>
      <c r="X55" s="418">
        <v>0</v>
      </c>
      <c r="Y55" s="418">
        <v>0</v>
      </c>
      <c r="Z55" s="418">
        <v>0</v>
      </c>
      <c r="AA55" s="418">
        <f>1277263+199858</f>
        <v>1477121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1477121</v>
      </c>
      <c r="AF55" s="418">
        <f>SUM(AD55:AE55)</f>
        <v>1477121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89"/>
        <v>0</v>
      </c>
      <c r="AP55" s="418">
        <f t="shared" si="89"/>
        <v>1477121</v>
      </c>
      <c r="AQ55" s="418">
        <f>SUM(AO55:AP55)</f>
        <v>1477121</v>
      </c>
      <c r="AR55" s="68">
        <f>ROUND((AF55+AG55+AH55+AI55)*33.8%,0)</f>
        <v>499267</v>
      </c>
      <c r="AS55" s="68">
        <f>ROUND(AF55*1%,0)</f>
        <v>14771</v>
      </c>
      <c r="AT55" s="418">
        <v>0</v>
      </c>
      <c r="AU55" s="418">
        <f>14328+3135</f>
        <v>17463</v>
      </c>
      <c r="AV55" s="418">
        <f>AT55+AU55</f>
        <v>17463</v>
      </c>
      <c r="AW55" s="418">
        <f>AQ55+AR55+AS55+AV55</f>
        <v>2008622</v>
      </c>
      <c r="AX55" s="419">
        <v>0</v>
      </c>
      <c r="AY55" s="419">
        <v>0</v>
      </c>
      <c r="AZ55" s="419">
        <v>0</v>
      </c>
      <c r="BA55" s="419">
        <v>0</v>
      </c>
      <c r="BB55" s="419">
        <f>3.83+0.6</f>
        <v>4.43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4.43</v>
      </c>
      <c r="BH55" s="421">
        <f>SUM(BF55:BG55)</f>
        <v>4.43</v>
      </c>
      <c r="BI55" s="780">
        <f>I55+AW55</f>
        <v>6021568</v>
      </c>
      <c r="BJ55" s="418">
        <f>J55+AF55</f>
        <v>4420885</v>
      </c>
      <c r="BK55" s="418">
        <f t="shared" si="90"/>
        <v>0</v>
      </c>
      <c r="BL55" s="418">
        <f t="shared" si="90"/>
        <v>4420885</v>
      </c>
      <c r="BM55" s="418">
        <f>M55+AN55</f>
        <v>6400</v>
      </c>
      <c r="BN55" s="418">
        <f t="shared" si="91"/>
        <v>0</v>
      </c>
      <c r="BO55" s="418">
        <f t="shared" si="91"/>
        <v>6400</v>
      </c>
      <c r="BP55" s="418">
        <f t="shared" si="92"/>
        <v>1496422</v>
      </c>
      <c r="BQ55" s="418">
        <f t="shared" si="92"/>
        <v>44209</v>
      </c>
      <c r="BR55" s="418">
        <f>R55+AV55</f>
        <v>53652</v>
      </c>
      <c r="BS55" s="419">
        <f>S55+BH55</f>
        <v>13.2766</v>
      </c>
      <c r="BT55" s="419">
        <f t="shared" si="93"/>
        <v>0</v>
      </c>
      <c r="BU55" s="421">
        <f t="shared" si="93"/>
        <v>13.2766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80">
        <v>11</v>
      </c>
      <c r="B56" s="212">
        <v>5456</v>
      </c>
      <c r="C56" s="212">
        <v>600099369</v>
      </c>
      <c r="D56" s="212">
        <v>854794</v>
      </c>
      <c r="E56" s="211" t="s">
        <v>469</v>
      </c>
      <c r="F56" s="212">
        <v>3143</v>
      </c>
      <c r="G56" s="323" t="s">
        <v>595</v>
      </c>
      <c r="H56" s="285" t="s">
        <v>271</v>
      </c>
      <c r="I56" s="420">
        <v>3675551</v>
      </c>
      <c r="J56" s="415">
        <v>2726670</v>
      </c>
      <c r="K56" s="415">
        <v>2726670</v>
      </c>
      <c r="L56" s="415">
        <v>0</v>
      </c>
      <c r="M56" s="415">
        <v>0</v>
      </c>
      <c r="N56" s="415">
        <v>0</v>
      </c>
      <c r="O56" s="415">
        <v>0</v>
      </c>
      <c r="P56" s="68">
        <v>921614</v>
      </c>
      <c r="Q56" s="68">
        <v>27267</v>
      </c>
      <c r="R56" s="415">
        <v>0</v>
      </c>
      <c r="S56" s="416">
        <v>5.2784000000000004</v>
      </c>
      <c r="T56" s="416">
        <v>5.2784000000000004</v>
      </c>
      <c r="U56" s="423">
        <v>0</v>
      </c>
      <c r="V56" s="424">
        <f t="shared" si="88"/>
        <v>0</v>
      </c>
      <c r="W56" s="418">
        <f t="shared" si="88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>SUM(AD56:AE56)</f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89"/>
        <v>0</v>
      </c>
      <c r="AP56" s="418">
        <f t="shared" si="89"/>
        <v>0</v>
      </c>
      <c r="AQ56" s="418">
        <f>SUM(AO56:AP56)</f>
        <v>0</v>
      </c>
      <c r="AR56" s="68">
        <f>ROUND((AF56+AG56+AH56+AI56)*33.8%,0)</f>
        <v>0</v>
      </c>
      <c r="AS56" s="68">
        <f>ROUND(AF56*1%,0)</f>
        <v>0</v>
      </c>
      <c r="AT56" s="418">
        <v>0</v>
      </c>
      <c r="AU56" s="418">
        <v>0</v>
      </c>
      <c r="AV56" s="418">
        <f>AT56+AU56</f>
        <v>0</v>
      </c>
      <c r="AW56" s="418">
        <f>AQ56+AR56+AS56+AV56</f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</v>
      </c>
      <c r="BH56" s="421">
        <f>SUM(BF56:BG56)</f>
        <v>0</v>
      </c>
      <c r="BI56" s="780">
        <f>I56+AW56</f>
        <v>3675551</v>
      </c>
      <c r="BJ56" s="418">
        <f>J56+AF56</f>
        <v>2726670</v>
      </c>
      <c r="BK56" s="418">
        <f t="shared" si="90"/>
        <v>2726670</v>
      </c>
      <c r="BL56" s="418">
        <f t="shared" si="90"/>
        <v>0</v>
      </c>
      <c r="BM56" s="418">
        <f>M56+AN56</f>
        <v>0</v>
      </c>
      <c r="BN56" s="418">
        <f t="shared" si="91"/>
        <v>0</v>
      </c>
      <c r="BO56" s="418">
        <f t="shared" si="91"/>
        <v>0</v>
      </c>
      <c r="BP56" s="418">
        <f t="shared" si="92"/>
        <v>921614</v>
      </c>
      <c r="BQ56" s="418">
        <f t="shared" si="92"/>
        <v>27267</v>
      </c>
      <c r="BR56" s="418">
        <f>R56+AV56</f>
        <v>0</v>
      </c>
      <c r="BS56" s="419">
        <f>S56+BH56</f>
        <v>5.2784000000000004</v>
      </c>
      <c r="BT56" s="419">
        <f t="shared" si="93"/>
        <v>5.2784000000000004</v>
      </c>
      <c r="BU56" s="421">
        <f t="shared" si="93"/>
        <v>0</v>
      </c>
      <c r="BV56" s="420"/>
      <c r="BW56" s="415"/>
      <c r="BX56" s="415"/>
      <c r="BY56" s="415"/>
      <c r="BZ56" s="415"/>
      <c r="CA56" s="510"/>
    </row>
    <row r="57" spans="1:79" ht="12.95" customHeight="1" x14ac:dyDescent="0.25">
      <c r="A57" s="280">
        <v>11</v>
      </c>
      <c r="B57" s="212">
        <v>5456</v>
      </c>
      <c r="C57" s="212">
        <v>600099369</v>
      </c>
      <c r="D57" s="212">
        <v>854794</v>
      </c>
      <c r="E57" s="211" t="s">
        <v>469</v>
      </c>
      <c r="F57" s="212">
        <v>3143</v>
      </c>
      <c r="G57" s="323" t="s">
        <v>596</v>
      </c>
      <c r="H57" s="285" t="s">
        <v>272</v>
      </c>
      <c r="I57" s="420">
        <v>76828</v>
      </c>
      <c r="J57" s="415">
        <v>54991</v>
      </c>
      <c r="K57" s="415">
        <v>0</v>
      </c>
      <c r="L57" s="415">
        <v>54991</v>
      </c>
      <c r="M57" s="415">
        <v>0</v>
      </c>
      <c r="N57" s="415">
        <v>0</v>
      </c>
      <c r="O57" s="415">
        <v>0</v>
      </c>
      <c r="P57" s="68">
        <v>18587</v>
      </c>
      <c r="Q57" s="68">
        <v>550</v>
      </c>
      <c r="R57" s="415">
        <v>2700</v>
      </c>
      <c r="S57" s="416">
        <v>0.20830000000000001</v>
      </c>
      <c r="T57" s="416">
        <v>0</v>
      </c>
      <c r="U57" s="423">
        <v>0.20830000000000001</v>
      </c>
      <c r="V57" s="424">
        <f t="shared" si="88"/>
        <v>0</v>
      </c>
      <c r="W57" s="418">
        <f t="shared" si="88"/>
        <v>0</v>
      </c>
      <c r="X57" s="418">
        <v>0</v>
      </c>
      <c r="Y57" s="418">
        <v>0</v>
      </c>
      <c r="Z57" s="418">
        <v>0</v>
      </c>
      <c r="AA57" s="418">
        <v>27509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27509</v>
      </c>
      <c r="AF57" s="418">
        <f>SUM(AD57:AE57)</f>
        <v>27509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 t="shared" si="89"/>
        <v>0</v>
      </c>
      <c r="AP57" s="418">
        <f t="shared" si="89"/>
        <v>27509</v>
      </c>
      <c r="AQ57" s="418">
        <f>SUM(AO57:AP57)</f>
        <v>27509</v>
      </c>
      <c r="AR57" s="68">
        <f>ROUND((AF57+AG57+AH57+AI57)*33.8%,0)</f>
        <v>9298</v>
      </c>
      <c r="AS57" s="68">
        <f>ROUND(AF57*1%,0)</f>
        <v>275</v>
      </c>
      <c r="AT57" s="418">
        <v>0</v>
      </c>
      <c r="AU57" s="418">
        <v>1350</v>
      </c>
      <c r="AV57" s="418">
        <f>AT57+AU57</f>
        <v>1350</v>
      </c>
      <c r="AW57" s="418">
        <f>AQ57+AR57+AS57+AV57</f>
        <v>38432</v>
      </c>
      <c r="AX57" s="419">
        <v>0</v>
      </c>
      <c r="AY57" s="419">
        <v>0</v>
      </c>
      <c r="AZ57" s="419">
        <v>0</v>
      </c>
      <c r="BA57" s="419">
        <v>0</v>
      </c>
      <c r="BB57" s="419">
        <v>0.1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0.1</v>
      </c>
      <c r="BH57" s="421">
        <f>SUM(BF57:BG57)</f>
        <v>0.1</v>
      </c>
      <c r="BI57" s="780">
        <f>I57+AW57</f>
        <v>115260</v>
      </c>
      <c r="BJ57" s="418">
        <f>J57+AF57</f>
        <v>82500</v>
      </c>
      <c r="BK57" s="418">
        <f t="shared" si="90"/>
        <v>0</v>
      </c>
      <c r="BL57" s="418">
        <f t="shared" si="90"/>
        <v>82500</v>
      </c>
      <c r="BM57" s="418">
        <f>M57+AN57</f>
        <v>0</v>
      </c>
      <c r="BN57" s="418">
        <f t="shared" si="91"/>
        <v>0</v>
      </c>
      <c r="BO57" s="418">
        <f t="shared" si="91"/>
        <v>0</v>
      </c>
      <c r="BP57" s="418">
        <f t="shared" si="92"/>
        <v>27885</v>
      </c>
      <c r="BQ57" s="418">
        <f t="shared" si="92"/>
        <v>825</v>
      </c>
      <c r="BR57" s="418">
        <f>R57+AV57</f>
        <v>4050</v>
      </c>
      <c r="BS57" s="419">
        <f>S57+BH57</f>
        <v>0.30830000000000002</v>
      </c>
      <c r="BT57" s="419">
        <f t="shared" si="93"/>
        <v>0</v>
      </c>
      <c r="BU57" s="421">
        <f t="shared" si="93"/>
        <v>0.30830000000000002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213">
        <v>11</v>
      </c>
      <c r="B58" s="48">
        <v>5456</v>
      </c>
      <c r="C58" s="48">
        <v>600099369</v>
      </c>
      <c r="D58" s="48">
        <v>854794</v>
      </c>
      <c r="E58" s="374" t="s">
        <v>470</v>
      </c>
      <c r="F58" s="48"/>
      <c r="G58" s="387"/>
      <c r="H58" s="185"/>
      <c r="I58" s="465">
        <v>64587968</v>
      </c>
      <c r="J58" s="461">
        <v>47255159</v>
      </c>
      <c r="K58" s="461">
        <v>41971573</v>
      </c>
      <c r="L58" s="461">
        <v>5283586</v>
      </c>
      <c r="M58" s="461">
        <v>160000</v>
      </c>
      <c r="N58" s="461">
        <v>90000</v>
      </c>
      <c r="O58" s="461">
        <v>70000</v>
      </c>
      <c r="P58" s="461">
        <v>16026322</v>
      </c>
      <c r="Q58" s="461">
        <v>472552</v>
      </c>
      <c r="R58" s="461">
        <v>673935</v>
      </c>
      <c r="S58" s="462">
        <v>81.62939999999999</v>
      </c>
      <c r="T58" s="462">
        <v>65.287800000000004</v>
      </c>
      <c r="U58" s="535">
        <v>16.3416</v>
      </c>
      <c r="V58" s="465">
        <f t="shared" ref="V58:CA58" si="94">SUM(V53:V57)</f>
        <v>0</v>
      </c>
      <c r="W58" s="461">
        <f t="shared" si="94"/>
        <v>0</v>
      </c>
      <c r="X58" s="461">
        <f t="shared" si="94"/>
        <v>0</v>
      </c>
      <c r="Y58" s="461">
        <f t="shared" si="94"/>
        <v>0</v>
      </c>
      <c r="Z58" s="461">
        <f t="shared" si="94"/>
        <v>0</v>
      </c>
      <c r="AA58" s="461">
        <f t="shared" si="94"/>
        <v>1504630</v>
      </c>
      <c r="AB58" s="461">
        <f t="shared" si="94"/>
        <v>0</v>
      </c>
      <c r="AC58" s="461">
        <f t="shared" si="94"/>
        <v>0</v>
      </c>
      <c r="AD58" s="461">
        <f t="shared" si="94"/>
        <v>0</v>
      </c>
      <c r="AE58" s="461">
        <f t="shared" si="94"/>
        <v>1504630</v>
      </c>
      <c r="AF58" s="461">
        <f t="shared" si="94"/>
        <v>1504630</v>
      </c>
      <c r="AG58" s="461">
        <f t="shared" si="94"/>
        <v>0</v>
      </c>
      <c r="AH58" s="461">
        <f t="shared" si="94"/>
        <v>0</v>
      </c>
      <c r="AI58" s="461">
        <f t="shared" si="94"/>
        <v>0</v>
      </c>
      <c r="AJ58" s="461">
        <f t="shared" si="94"/>
        <v>0</v>
      </c>
      <c r="AK58" s="461">
        <f t="shared" si="94"/>
        <v>0</v>
      </c>
      <c r="AL58" s="461">
        <f t="shared" si="94"/>
        <v>0</v>
      </c>
      <c r="AM58" s="461">
        <f t="shared" si="94"/>
        <v>0</v>
      </c>
      <c r="AN58" s="461">
        <f t="shared" si="94"/>
        <v>0</v>
      </c>
      <c r="AO58" s="461">
        <f t="shared" si="94"/>
        <v>0</v>
      </c>
      <c r="AP58" s="461">
        <f t="shared" si="94"/>
        <v>1504630</v>
      </c>
      <c r="AQ58" s="461">
        <f t="shared" si="94"/>
        <v>1504630</v>
      </c>
      <c r="AR58" s="461">
        <f t="shared" si="94"/>
        <v>508565</v>
      </c>
      <c r="AS58" s="461">
        <f t="shared" si="94"/>
        <v>15046</v>
      </c>
      <c r="AT58" s="461">
        <f t="shared" si="94"/>
        <v>0</v>
      </c>
      <c r="AU58" s="461">
        <f t="shared" si="94"/>
        <v>18813</v>
      </c>
      <c r="AV58" s="461">
        <f t="shared" si="94"/>
        <v>18813</v>
      </c>
      <c r="AW58" s="461">
        <f t="shared" si="94"/>
        <v>2047054</v>
      </c>
      <c r="AX58" s="462">
        <f t="shared" si="94"/>
        <v>0</v>
      </c>
      <c r="AY58" s="462">
        <f t="shared" si="94"/>
        <v>0</v>
      </c>
      <c r="AZ58" s="462">
        <f t="shared" si="94"/>
        <v>0</v>
      </c>
      <c r="BA58" s="462">
        <f t="shared" si="94"/>
        <v>0</v>
      </c>
      <c r="BB58" s="462">
        <f t="shared" ref="BB58" si="95">SUM(BB53:BB57)</f>
        <v>4.5299999999999994</v>
      </c>
      <c r="BC58" s="462">
        <f t="shared" si="94"/>
        <v>0</v>
      </c>
      <c r="BD58" s="462">
        <f t="shared" si="94"/>
        <v>0</v>
      </c>
      <c r="BE58" s="462">
        <f t="shared" ref="BE58" si="96">SUM(BE53:BE57)</f>
        <v>0</v>
      </c>
      <c r="BF58" s="462">
        <f t="shared" si="94"/>
        <v>0</v>
      </c>
      <c r="BG58" s="462">
        <f t="shared" si="94"/>
        <v>4.5299999999999994</v>
      </c>
      <c r="BH58" s="279">
        <f t="shared" si="94"/>
        <v>4.5299999999999994</v>
      </c>
      <c r="BI58" s="781">
        <f t="shared" si="94"/>
        <v>66635022</v>
      </c>
      <c r="BJ58" s="461">
        <f t="shared" si="94"/>
        <v>48759789</v>
      </c>
      <c r="BK58" s="461">
        <f t="shared" si="94"/>
        <v>41971573</v>
      </c>
      <c r="BL58" s="461">
        <f t="shared" si="94"/>
        <v>6788216</v>
      </c>
      <c r="BM58" s="461">
        <f t="shared" si="94"/>
        <v>160000</v>
      </c>
      <c r="BN58" s="461">
        <f t="shared" si="94"/>
        <v>90000</v>
      </c>
      <c r="BO58" s="461">
        <f t="shared" si="94"/>
        <v>70000</v>
      </c>
      <c r="BP58" s="461">
        <f t="shared" si="94"/>
        <v>16534887</v>
      </c>
      <c r="BQ58" s="461">
        <f t="shared" si="94"/>
        <v>487598</v>
      </c>
      <c r="BR58" s="461">
        <f t="shared" si="94"/>
        <v>692748</v>
      </c>
      <c r="BS58" s="462">
        <f t="shared" si="94"/>
        <v>86.159400000000005</v>
      </c>
      <c r="BT58" s="462">
        <f t="shared" si="94"/>
        <v>65.287800000000004</v>
      </c>
      <c r="BU58" s="279">
        <f t="shared" si="94"/>
        <v>20.871599999999997</v>
      </c>
      <c r="BV58" s="850">
        <f t="shared" si="94"/>
        <v>760272</v>
      </c>
      <c r="BW58" s="713">
        <f t="shared" si="94"/>
        <v>564000</v>
      </c>
      <c r="BX58" s="713">
        <f t="shared" si="94"/>
        <v>0</v>
      </c>
      <c r="BY58" s="713">
        <f t="shared" si="94"/>
        <v>190632</v>
      </c>
      <c r="BZ58" s="713">
        <f t="shared" si="94"/>
        <v>5640</v>
      </c>
      <c r="CA58" s="851">
        <f t="shared" si="94"/>
        <v>1</v>
      </c>
    </row>
    <row r="59" spans="1:79" ht="12.95" customHeight="1" x14ac:dyDescent="0.25">
      <c r="A59" s="280">
        <v>12</v>
      </c>
      <c r="B59" s="212">
        <v>5481</v>
      </c>
      <c r="C59" s="212">
        <v>600099075</v>
      </c>
      <c r="D59" s="212">
        <v>72742739</v>
      </c>
      <c r="E59" s="372" t="s">
        <v>471</v>
      </c>
      <c r="F59" s="212">
        <v>3117</v>
      </c>
      <c r="G59" s="372" t="s">
        <v>308</v>
      </c>
      <c r="H59" s="285" t="s">
        <v>271</v>
      </c>
      <c r="I59" s="420">
        <v>6482084</v>
      </c>
      <c r="J59" s="415">
        <v>4662197</v>
      </c>
      <c r="K59" s="415">
        <v>4182911</v>
      </c>
      <c r="L59" s="415">
        <v>479286</v>
      </c>
      <c r="M59" s="415">
        <v>55700</v>
      </c>
      <c r="N59" s="415">
        <v>43700</v>
      </c>
      <c r="O59" s="415">
        <v>12000</v>
      </c>
      <c r="P59" s="68">
        <v>1594648</v>
      </c>
      <c r="Q59" s="68">
        <v>46622</v>
      </c>
      <c r="R59" s="415">
        <v>122917</v>
      </c>
      <c r="S59" s="416">
        <v>7.5445000000000002</v>
      </c>
      <c r="T59" s="416">
        <v>6.1447000000000003</v>
      </c>
      <c r="U59" s="423">
        <v>1.3997999999999999</v>
      </c>
      <c r="V59" s="424">
        <f t="shared" ref="V59:W63" si="97">AG59*-1</f>
        <v>0</v>
      </c>
      <c r="W59" s="418">
        <f t="shared" si="97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>V59+X59+Y59+Z59+AB59</f>
        <v>0</v>
      </c>
      <c r="AE59" s="418">
        <f>W59+AA59+AC59</f>
        <v>0</v>
      </c>
      <c r="AF59" s="418">
        <f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>AG59+AI59+AJ59</f>
        <v>0</v>
      </c>
      <c r="AM59" s="418">
        <f>AH59+AK59</f>
        <v>0</v>
      </c>
      <c r="AN59" s="418">
        <f>SUM(AL59:AM59)</f>
        <v>0</v>
      </c>
      <c r="AO59" s="418">
        <f t="shared" ref="AO59:AP63" si="98">AD59+AL59</f>
        <v>0</v>
      </c>
      <c r="AP59" s="418">
        <f t="shared" si="98"/>
        <v>0</v>
      </c>
      <c r="AQ59" s="418">
        <f>SUM(AO59:AP59)</f>
        <v>0</v>
      </c>
      <c r="AR59" s="68">
        <f>ROUND((AF59+AG59+AH59+AI59)*33.8%,0)</f>
        <v>0</v>
      </c>
      <c r="AS59" s="68">
        <f>ROUND(AF59*1%,0)</f>
        <v>0</v>
      </c>
      <c r="AT59" s="418">
        <v>0</v>
      </c>
      <c r="AU59" s="418">
        <v>0</v>
      </c>
      <c r="AV59" s="418">
        <f>AT59+AU59</f>
        <v>0</v>
      </c>
      <c r="AW59" s="418">
        <f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>AX59+AZ59+BA59+BC59+BD59</f>
        <v>0</v>
      </c>
      <c r="BG59" s="419">
        <f>AY59+BB59+BE59</f>
        <v>0</v>
      </c>
      <c r="BH59" s="421">
        <f>SUM(BF59:BG59)</f>
        <v>0</v>
      </c>
      <c r="BI59" s="780">
        <f>I59+AW59</f>
        <v>6482084</v>
      </c>
      <c r="BJ59" s="418">
        <f>J59+AF59</f>
        <v>4662197</v>
      </c>
      <c r="BK59" s="418">
        <f t="shared" ref="BK59:BL63" si="99">K59+AD59</f>
        <v>4182911</v>
      </c>
      <c r="BL59" s="418">
        <f t="shared" si="99"/>
        <v>479286</v>
      </c>
      <c r="BM59" s="418">
        <f>M59+AN59</f>
        <v>55700</v>
      </c>
      <c r="BN59" s="418">
        <f t="shared" ref="BN59:BO63" si="100">N59+AL59</f>
        <v>43700</v>
      </c>
      <c r="BO59" s="418">
        <f t="shared" si="100"/>
        <v>12000</v>
      </c>
      <c r="BP59" s="418">
        <f t="shared" ref="BP59:BQ63" si="101">P59+AR59</f>
        <v>1594648</v>
      </c>
      <c r="BQ59" s="418">
        <f t="shared" si="101"/>
        <v>46622</v>
      </c>
      <c r="BR59" s="418">
        <f>R59+AV59</f>
        <v>122917</v>
      </c>
      <c r="BS59" s="419">
        <f>S59+BH59</f>
        <v>7.5445000000000002</v>
      </c>
      <c r="BT59" s="419">
        <f t="shared" ref="BT59:BU63" si="102">T59+BF59</f>
        <v>6.1447000000000003</v>
      </c>
      <c r="BU59" s="421">
        <f t="shared" si="102"/>
        <v>1.3997999999999999</v>
      </c>
      <c r="BV59" s="420">
        <v>152054</v>
      </c>
      <c r="BW59" s="415">
        <v>112800</v>
      </c>
      <c r="BX59" s="415">
        <v>0</v>
      </c>
      <c r="BY59" s="415">
        <v>38126</v>
      </c>
      <c r="BZ59" s="415">
        <v>1128</v>
      </c>
      <c r="CA59" s="510">
        <v>0.2</v>
      </c>
    </row>
    <row r="60" spans="1:79" ht="12.95" customHeight="1" x14ac:dyDescent="0.25">
      <c r="A60" s="280">
        <v>12</v>
      </c>
      <c r="B60" s="212">
        <v>5481</v>
      </c>
      <c r="C60" s="212">
        <v>600099075</v>
      </c>
      <c r="D60" s="212">
        <v>72742739</v>
      </c>
      <c r="E60" s="211" t="s">
        <v>471</v>
      </c>
      <c r="F60" s="212">
        <v>3117</v>
      </c>
      <c r="G60" s="323" t="s">
        <v>291</v>
      </c>
      <c r="H60" s="285" t="s">
        <v>272</v>
      </c>
      <c r="I60" s="420">
        <v>890235</v>
      </c>
      <c r="J60" s="415">
        <v>660412</v>
      </c>
      <c r="K60" s="415">
        <v>660412</v>
      </c>
      <c r="L60" s="415">
        <v>0</v>
      </c>
      <c r="M60" s="415">
        <v>0</v>
      </c>
      <c r="N60" s="415">
        <v>0</v>
      </c>
      <c r="O60" s="415">
        <v>0</v>
      </c>
      <c r="P60" s="68">
        <v>223219</v>
      </c>
      <c r="Q60" s="68">
        <v>6604</v>
      </c>
      <c r="R60" s="415">
        <v>0</v>
      </c>
      <c r="S60" s="416">
        <v>1.7000000000000002</v>
      </c>
      <c r="T60" s="416">
        <v>1.7000000000000002</v>
      </c>
      <c r="U60" s="423">
        <v>0</v>
      </c>
      <c r="V60" s="424">
        <f t="shared" si="97"/>
        <v>0</v>
      </c>
      <c r="W60" s="418">
        <f t="shared" si="97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 t="shared" si="98"/>
        <v>0</v>
      </c>
      <c r="AP60" s="418">
        <f t="shared" si="98"/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8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421">
        <f>SUM(BF60:BG60)</f>
        <v>0</v>
      </c>
      <c r="BI60" s="780">
        <f>I60+AW60</f>
        <v>890235</v>
      </c>
      <c r="BJ60" s="418">
        <f>J60+AF60</f>
        <v>660412</v>
      </c>
      <c r="BK60" s="418">
        <f t="shared" si="99"/>
        <v>660412</v>
      </c>
      <c r="BL60" s="418">
        <f t="shared" si="99"/>
        <v>0</v>
      </c>
      <c r="BM60" s="418">
        <f>M60+AN60</f>
        <v>0</v>
      </c>
      <c r="BN60" s="418">
        <f t="shared" si="100"/>
        <v>0</v>
      </c>
      <c r="BO60" s="418">
        <f t="shared" si="100"/>
        <v>0</v>
      </c>
      <c r="BP60" s="418">
        <f t="shared" si="101"/>
        <v>223219</v>
      </c>
      <c r="BQ60" s="418">
        <f t="shared" si="101"/>
        <v>6604</v>
      </c>
      <c r="BR60" s="418">
        <f>R60+AV60</f>
        <v>0</v>
      </c>
      <c r="BS60" s="419">
        <f>S60+BH60</f>
        <v>1.7000000000000002</v>
      </c>
      <c r="BT60" s="419">
        <f t="shared" si="102"/>
        <v>1.7000000000000002</v>
      </c>
      <c r="BU60" s="421">
        <f t="shared" si="102"/>
        <v>0</v>
      </c>
      <c r="BV60" s="420"/>
      <c r="BW60" s="415"/>
      <c r="BX60" s="415"/>
      <c r="BY60" s="415"/>
      <c r="BZ60" s="415"/>
      <c r="CA60" s="510"/>
    </row>
    <row r="61" spans="1:79" ht="12.95" customHeight="1" x14ac:dyDescent="0.25">
      <c r="A61" s="280">
        <v>12</v>
      </c>
      <c r="B61" s="212">
        <v>5481</v>
      </c>
      <c r="C61" s="212">
        <v>600099075</v>
      </c>
      <c r="D61" s="212">
        <v>72742739</v>
      </c>
      <c r="E61" s="211" t="s">
        <v>471</v>
      </c>
      <c r="F61" s="212">
        <v>3141</v>
      </c>
      <c r="G61" s="323" t="s">
        <v>294</v>
      </c>
      <c r="H61" s="285" t="s">
        <v>272</v>
      </c>
      <c r="I61" s="420">
        <v>235761</v>
      </c>
      <c r="J61" s="415">
        <v>148410</v>
      </c>
      <c r="K61" s="415">
        <v>0</v>
      </c>
      <c r="L61" s="634">
        <v>148410</v>
      </c>
      <c r="M61" s="415">
        <v>25000</v>
      </c>
      <c r="N61" s="415">
        <v>0</v>
      </c>
      <c r="O61" s="415">
        <v>25000</v>
      </c>
      <c r="P61" s="68">
        <v>58613</v>
      </c>
      <c r="Q61" s="68">
        <v>1484</v>
      </c>
      <c r="R61" s="634">
        <v>2254</v>
      </c>
      <c r="S61" s="416">
        <v>0.52</v>
      </c>
      <c r="T61" s="416">
        <v>0</v>
      </c>
      <c r="U61" s="772">
        <v>0.52</v>
      </c>
      <c r="V61" s="424">
        <f t="shared" si="97"/>
        <v>0</v>
      </c>
      <c r="W61" s="418">
        <f t="shared" si="97"/>
        <v>0</v>
      </c>
      <c r="X61" s="418">
        <v>0</v>
      </c>
      <c r="Y61" s="418">
        <v>0</v>
      </c>
      <c r="Z61" s="418">
        <v>0</v>
      </c>
      <c r="AA61" s="418">
        <v>86023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86023</v>
      </c>
      <c r="AF61" s="418">
        <f>SUM(AD61:AE61)</f>
        <v>86023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>AG61+AI61+AJ61</f>
        <v>0</v>
      </c>
      <c r="AM61" s="418">
        <f>AH61+AK61</f>
        <v>0</v>
      </c>
      <c r="AN61" s="418">
        <f>SUM(AL61:AM61)</f>
        <v>0</v>
      </c>
      <c r="AO61" s="418">
        <f t="shared" si="98"/>
        <v>0</v>
      </c>
      <c r="AP61" s="418">
        <f t="shared" si="98"/>
        <v>86023</v>
      </c>
      <c r="AQ61" s="418">
        <f>SUM(AO61:AP61)</f>
        <v>86023</v>
      </c>
      <c r="AR61" s="68">
        <f>ROUND((AF61+AG61+AH61+AI61)*33.8%,0)</f>
        <v>29076</v>
      </c>
      <c r="AS61" s="68">
        <f>ROUND(AF61*1%,0)</f>
        <v>860</v>
      </c>
      <c r="AT61" s="418">
        <v>0</v>
      </c>
      <c r="AU61" s="418">
        <v>1078</v>
      </c>
      <c r="AV61" s="418">
        <f>AT61+AU61</f>
        <v>1078</v>
      </c>
      <c r="AW61" s="418">
        <f>AQ61+AR61+AS61+AV61</f>
        <v>117037</v>
      </c>
      <c r="AX61" s="419">
        <v>0</v>
      </c>
      <c r="AY61" s="419">
        <v>0</v>
      </c>
      <c r="AZ61" s="419">
        <v>0</v>
      </c>
      <c r="BA61" s="419">
        <v>0</v>
      </c>
      <c r="BB61" s="419">
        <v>0.26</v>
      </c>
      <c r="BC61" s="419">
        <v>0</v>
      </c>
      <c r="BD61" s="419">
        <v>0</v>
      </c>
      <c r="BE61" s="419">
        <v>0</v>
      </c>
      <c r="BF61" s="419">
        <f>AX61+AZ61+BA61+BC61+BD61</f>
        <v>0</v>
      </c>
      <c r="BG61" s="419">
        <f>AY61+BB61+BE61</f>
        <v>0.26</v>
      </c>
      <c r="BH61" s="421">
        <f>SUM(BF61:BG61)</f>
        <v>0.26</v>
      </c>
      <c r="BI61" s="780">
        <f>I61+AW61</f>
        <v>352798</v>
      </c>
      <c r="BJ61" s="418">
        <f>J61+AF61</f>
        <v>234433</v>
      </c>
      <c r="BK61" s="418">
        <f t="shared" si="99"/>
        <v>0</v>
      </c>
      <c r="BL61" s="418">
        <f t="shared" si="99"/>
        <v>234433</v>
      </c>
      <c r="BM61" s="418">
        <f>M61+AN61</f>
        <v>25000</v>
      </c>
      <c r="BN61" s="418">
        <f t="shared" si="100"/>
        <v>0</v>
      </c>
      <c r="BO61" s="418">
        <f t="shared" si="100"/>
        <v>25000</v>
      </c>
      <c r="BP61" s="418">
        <f t="shared" si="101"/>
        <v>87689</v>
      </c>
      <c r="BQ61" s="418">
        <f t="shared" si="101"/>
        <v>2344</v>
      </c>
      <c r="BR61" s="418">
        <f>R61+AV61</f>
        <v>3332</v>
      </c>
      <c r="BS61" s="419">
        <f>S61+BH61</f>
        <v>0.78</v>
      </c>
      <c r="BT61" s="419">
        <f t="shared" si="102"/>
        <v>0</v>
      </c>
      <c r="BU61" s="421">
        <f t="shared" si="102"/>
        <v>0.78</v>
      </c>
      <c r="BV61" s="420"/>
      <c r="BW61" s="415"/>
      <c r="BX61" s="415"/>
      <c r="BY61" s="415"/>
      <c r="BZ61" s="415"/>
      <c r="CA61" s="510"/>
    </row>
    <row r="62" spans="1:79" ht="12.95" customHeight="1" x14ac:dyDescent="0.25">
      <c r="A62" s="280">
        <v>12</v>
      </c>
      <c r="B62" s="212">
        <v>5481</v>
      </c>
      <c r="C62" s="212">
        <v>600099075</v>
      </c>
      <c r="D62" s="212">
        <v>72742739</v>
      </c>
      <c r="E62" s="211" t="s">
        <v>471</v>
      </c>
      <c r="F62" s="212">
        <v>3143</v>
      </c>
      <c r="G62" s="323" t="s">
        <v>595</v>
      </c>
      <c r="H62" s="285" t="s">
        <v>271</v>
      </c>
      <c r="I62" s="420">
        <v>1086658</v>
      </c>
      <c r="J62" s="415">
        <v>806126</v>
      </c>
      <c r="K62" s="415">
        <v>806126</v>
      </c>
      <c r="L62" s="415">
        <v>0</v>
      </c>
      <c r="M62" s="415">
        <v>0</v>
      </c>
      <c r="N62" s="415">
        <v>0</v>
      </c>
      <c r="O62" s="415">
        <v>0</v>
      </c>
      <c r="P62" s="68">
        <v>272471</v>
      </c>
      <c r="Q62" s="68">
        <v>8061</v>
      </c>
      <c r="R62" s="415">
        <v>0</v>
      </c>
      <c r="S62" s="416">
        <v>1.5</v>
      </c>
      <c r="T62" s="416">
        <v>1.5</v>
      </c>
      <c r="U62" s="423">
        <v>0</v>
      </c>
      <c r="V62" s="424">
        <f t="shared" si="97"/>
        <v>0</v>
      </c>
      <c r="W62" s="418">
        <f t="shared" si="97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si="98"/>
        <v>0</v>
      </c>
      <c r="AP62" s="418">
        <f t="shared" si="98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8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780">
        <f>I62+AW62</f>
        <v>1086658</v>
      </c>
      <c r="BJ62" s="418">
        <f>J62+AF62</f>
        <v>806126</v>
      </c>
      <c r="BK62" s="418">
        <f t="shared" si="99"/>
        <v>806126</v>
      </c>
      <c r="BL62" s="418">
        <f t="shared" si="99"/>
        <v>0</v>
      </c>
      <c r="BM62" s="418">
        <f>M62+AN62</f>
        <v>0</v>
      </c>
      <c r="BN62" s="418">
        <f t="shared" si="100"/>
        <v>0</v>
      </c>
      <c r="BO62" s="418">
        <f t="shared" si="100"/>
        <v>0</v>
      </c>
      <c r="BP62" s="418">
        <f t="shared" si="101"/>
        <v>272471</v>
      </c>
      <c r="BQ62" s="418">
        <f t="shared" si="101"/>
        <v>8061</v>
      </c>
      <c r="BR62" s="418">
        <f>R62+AV62</f>
        <v>0</v>
      </c>
      <c r="BS62" s="419">
        <f>S62+BH62</f>
        <v>1.5</v>
      </c>
      <c r="BT62" s="419">
        <f t="shared" si="102"/>
        <v>1.5</v>
      </c>
      <c r="BU62" s="421">
        <f t="shared" si="102"/>
        <v>0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12</v>
      </c>
      <c r="B63" s="212">
        <v>5481</v>
      </c>
      <c r="C63" s="212">
        <v>600099075</v>
      </c>
      <c r="D63" s="212">
        <v>72742739</v>
      </c>
      <c r="E63" s="211" t="s">
        <v>471</v>
      </c>
      <c r="F63" s="212">
        <v>3143</v>
      </c>
      <c r="G63" s="323" t="s">
        <v>596</v>
      </c>
      <c r="H63" s="285" t="s">
        <v>272</v>
      </c>
      <c r="I63" s="420">
        <v>30208</v>
      </c>
      <c r="J63" s="415">
        <v>21622</v>
      </c>
      <c r="K63" s="415">
        <v>0</v>
      </c>
      <c r="L63" s="415">
        <v>21622</v>
      </c>
      <c r="M63" s="415">
        <v>0</v>
      </c>
      <c r="N63" s="415">
        <v>0</v>
      </c>
      <c r="O63" s="415">
        <v>0</v>
      </c>
      <c r="P63" s="68">
        <v>7308</v>
      </c>
      <c r="Q63" s="68">
        <v>216</v>
      </c>
      <c r="R63" s="415">
        <v>1062</v>
      </c>
      <c r="S63" s="416">
        <v>8.1900000000000001E-2</v>
      </c>
      <c r="T63" s="416">
        <v>0</v>
      </c>
      <c r="U63" s="423">
        <v>8.1900000000000001E-2</v>
      </c>
      <c r="V63" s="424">
        <f t="shared" si="97"/>
        <v>0</v>
      </c>
      <c r="W63" s="418">
        <f t="shared" si="97"/>
        <v>0</v>
      </c>
      <c r="X63" s="418">
        <v>0</v>
      </c>
      <c r="Y63" s="418">
        <v>0</v>
      </c>
      <c r="Z63" s="418">
        <v>0</v>
      </c>
      <c r="AA63" s="418">
        <v>10828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10828</v>
      </c>
      <c r="AF63" s="418">
        <f>SUM(AD63:AE63)</f>
        <v>10828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98"/>
        <v>0</v>
      </c>
      <c r="AP63" s="418">
        <f t="shared" si="98"/>
        <v>10828</v>
      </c>
      <c r="AQ63" s="418">
        <f>SUM(AO63:AP63)</f>
        <v>10828</v>
      </c>
      <c r="AR63" s="68">
        <f>ROUND((AF63+AG63+AH63+AI63)*33.8%,0)</f>
        <v>3660</v>
      </c>
      <c r="AS63" s="68">
        <f>ROUND(AF63*1%,0)</f>
        <v>108</v>
      </c>
      <c r="AT63" s="418">
        <v>0</v>
      </c>
      <c r="AU63" s="418">
        <v>531</v>
      </c>
      <c r="AV63" s="418">
        <f>AT63+AU63</f>
        <v>531</v>
      </c>
      <c r="AW63" s="418">
        <f>AQ63+AR63+AS63+AV63</f>
        <v>15127</v>
      </c>
      <c r="AX63" s="419">
        <v>0</v>
      </c>
      <c r="AY63" s="419">
        <v>0</v>
      </c>
      <c r="AZ63" s="419">
        <v>0</v>
      </c>
      <c r="BA63" s="419">
        <v>0</v>
      </c>
      <c r="BB63" s="419">
        <v>0.04</v>
      </c>
      <c r="BC63" s="41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0.04</v>
      </c>
      <c r="BH63" s="421">
        <f>SUM(BF63:BG63)</f>
        <v>0.04</v>
      </c>
      <c r="BI63" s="780">
        <f>I63+AW63</f>
        <v>45335</v>
      </c>
      <c r="BJ63" s="418">
        <f>J63+AF63</f>
        <v>32450</v>
      </c>
      <c r="BK63" s="418">
        <f t="shared" si="99"/>
        <v>0</v>
      </c>
      <c r="BL63" s="418">
        <f t="shared" si="99"/>
        <v>32450</v>
      </c>
      <c r="BM63" s="418">
        <f>M63+AN63</f>
        <v>0</v>
      </c>
      <c r="BN63" s="418">
        <f t="shared" si="100"/>
        <v>0</v>
      </c>
      <c r="BO63" s="418">
        <f t="shared" si="100"/>
        <v>0</v>
      </c>
      <c r="BP63" s="418">
        <f t="shared" si="101"/>
        <v>10968</v>
      </c>
      <c r="BQ63" s="418">
        <f t="shared" si="101"/>
        <v>324</v>
      </c>
      <c r="BR63" s="418">
        <f>R63+AV63</f>
        <v>1593</v>
      </c>
      <c r="BS63" s="419">
        <f>S63+BH63</f>
        <v>0.12190000000000001</v>
      </c>
      <c r="BT63" s="419">
        <f t="shared" si="102"/>
        <v>0</v>
      </c>
      <c r="BU63" s="421">
        <f t="shared" si="102"/>
        <v>0.12190000000000001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13">
        <v>12</v>
      </c>
      <c r="B64" s="45">
        <v>5481</v>
      </c>
      <c r="C64" s="45">
        <v>600099075</v>
      </c>
      <c r="D64" s="45">
        <v>72742739</v>
      </c>
      <c r="E64" s="374" t="s">
        <v>472</v>
      </c>
      <c r="F64" s="45"/>
      <c r="G64" s="374"/>
      <c r="H64" s="182"/>
      <c r="I64" s="478">
        <v>8724946</v>
      </c>
      <c r="J64" s="476">
        <v>6298767</v>
      </c>
      <c r="K64" s="476">
        <v>5649449</v>
      </c>
      <c r="L64" s="476">
        <v>649318</v>
      </c>
      <c r="M64" s="476">
        <v>80700</v>
      </c>
      <c r="N64" s="476">
        <v>43700</v>
      </c>
      <c r="O64" s="476">
        <v>37000</v>
      </c>
      <c r="P64" s="476">
        <v>2156259</v>
      </c>
      <c r="Q64" s="476">
        <v>62987</v>
      </c>
      <c r="R64" s="476">
        <v>126233</v>
      </c>
      <c r="S64" s="477">
        <v>11.346399999999999</v>
      </c>
      <c r="T64" s="477">
        <v>9.3446999999999996</v>
      </c>
      <c r="U64" s="536">
        <v>2.0017</v>
      </c>
      <c r="V64" s="478">
        <f t="shared" ref="V64:CA64" si="103">SUM(V59:V63)</f>
        <v>0</v>
      </c>
      <c r="W64" s="476">
        <f t="shared" si="103"/>
        <v>0</v>
      </c>
      <c r="X64" s="476">
        <f t="shared" si="103"/>
        <v>0</v>
      </c>
      <c r="Y64" s="476">
        <f t="shared" si="103"/>
        <v>0</v>
      </c>
      <c r="Z64" s="476">
        <f t="shared" si="103"/>
        <v>0</v>
      </c>
      <c r="AA64" s="476">
        <f t="shared" si="103"/>
        <v>96851</v>
      </c>
      <c r="AB64" s="476">
        <f t="shared" si="103"/>
        <v>0</v>
      </c>
      <c r="AC64" s="476">
        <f t="shared" si="103"/>
        <v>0</v>
      </c>
      <c r="AD64" s="476">
        <f t="shared" si="103"/>
        <v>0</v>
      </c>
      <c r="AE64" s="476">
        <f t="shared" si="103"/>
        <v>96851</v>
      </c>
      <c r="AF64" s="476">
        <f t="shared" si="103"/>
        <v>96851</v>
      </c>
      <c r="AG64" s="476">
        <f t="shared" si="103"/>
        <v>0</v>
      </c>
      <c r="AH64" s="476">
        <f t="shared" si="103"/>
        <v>0</v>
      </c>
      <c r="AI64" s="476">
        <f t="shared" si="103"/>
        <v>0</v>
      </c>
      <c r="AJ64" s="476">
        <f t="shared" si="103"/>
        <v>0</v>
      </c>
      <c r="AK64" s="476">
        <f t="shared" si="103"/>
        <v>0</v>
      </c>
      <c r="AL64" s="476">
        <f t="shared" si="103"/>
        <v>0</v>
      </c>
      <c r="AM64" s="476">
        <f t="shared" si="103"/>
        <v>0</v>
      </c>
      <c r="AN64" s="476">
        <f t="shared" si="103"/>
        <v>0</v>
      </c>
      <c r="AO64" s="476">
        <f t="shared" si="103"/>
        <v>0</v>
      </c>
      <c r="AP64" s="476">
        <f t="shared" si="103"/>
        <v>96851</v>
      </c>
      <c r="AQ64" s="476">
        <f t="shared" si="103"/>
        <v>96851</v>
      </c>
      <c r="AR64" s="476">
        <f t="shared" si="103"/>
        <v>32736</v>
      </c>
      <c r="AS64" s="476">
        <f t="shared" si="103"/>
        <v>968</v>
      </c>
      <c r="AT64" s="476">
        <f t="shared" si="103"/>
        <v>0</v>
      </c>
      <c r="AU64" s="476">
        <f t="shared" si="103"/>
        <v>1609</v>
      </c>
      <c r="AV64" s="476">
        <f t="shared" si="103"/>
        <v>1609</v>
      </c>
      <c r="AW64" s="476">
        <f t="shared" si="103"/>
        <v>132164</v>
      </c>
      <c r="AX64" s="477">
        <f t="shared" si="103"/>
        <v>0</v>
      </c>
      <c r="AY64" s="477">
        <f t="shared" si="103"/>
        <v>0</v>
      </c>
      <c r="AZ64" s="477">
        <f t="shared" si="103"/>
        <v>0</v>
      </c>
      <c r="BA64" s="477">
        <f t="shared" si="103"/>
        <v>0</v>
      </c>
      <c r="BB64" s="477">
        <f t="shared" ref="BB64" si="104">SUM(BB59:BB63)</f>
        <v>0.3</v>
      </c>
      <c r="BC64" s="477">
        <f t="shared" si="103"/>
        <v>0</v>
      </c>
      <c r="BD64" s="477">
        <f t="shared" si="103"/>
        <v>0</v>
      </c>
      <c r="BE64" s="477">
        <f t="shared" ref="BE64" si="105">SUM(BE59:BE63)</f>
        <v>0</v>
      </c>
      <c r="BF64" s="477">
        <f t="shared" si="103"/>
        <v>0</v>
      </c>
      <c r="BG64" s="477">
        <f t="shared" si="103"/>
        <v>0.3</v>
      </c>
      <c r="BH64" s="351">
        <f t="shared" si="103"/>
        <v>0.3</v>
      </c>
      <c r="BI64" s="782">
        <f t="shared" si="103"/>
        <v>8857110</v>
      </c>
      <c r="BJ64" s="476">
        <f t="shared" si="103"/>
        <v>6395618</v>
      </c>
      <c r="BK64" s="476">
        <f t="shared" si="103"/>
        <v>5649449</v>
      </c>
      <c r="BL64" s="476">
        <f t="shared" si="103"/>
        <v>746169</v>
      </c>
      <c r="BM64" s="476">
        <f t="shared" si="103"/>
        <v>80700</v>
      </c>
      <c r="BN64" s="476">
        <f t="shared" si="103"/>
        <v>43700</v>
      </c>
      <c r="BO64" s="476">
        <f t="shared" si="103"/>
        <v>37000</v>
      </c>
      <c r="BP64" s="476">
        <f t="shared" si="103"/>
        <v>2188995</v>
      </c>
      <c r="BQ64" s="476">
        <f t="shared" si="103"/>
        <v>63955</v>
      </c>
      <c r="BR64" s="476">
        <f t="shared" si="103"/>
        <v>127842</v>
      </c>
      <c r="BS64" s="477">
        <f t="shared" si="103"/>
        <v>11.6464</v>
      </c>
      <c r="BT64" s="477">
        <f t="shared" si="103"/>
        <v>9.3446999999999996</v>
      </c>
      <c r="BU64" s="351">
        <f t="shared" si="103"/>
        <v>2.3017000000000003</v>
      </c>
      <c r="BV64" s="864">
        <f t="shared" si="103"/>
        <v>152054</v>
      </c>
      <c r="BW64" s="729">
        <f t="shared" si="103"/>
        <v>112800</v>
      </c>
      <c r="BX64" s="729">
        <f t="shared" si="103"/>
        <v>0</v>
      </c>
      <c r="BY64" s="729">
        <f t="shared" si="103"/>
        <v>38126</v>
      </c>
      <c r="BZ64" s="729">
        <f t="shared" si="103"/>
        <v>1128</v>
      </c>
      <c r="CA64" s="865">
        <f t="shared" si="103"/>
        <v>0.2</v>
      </c>
    </row>
    <row r="65" spans="1:79" ht="12.95" customHeight="1" x14ac:dyDescent="0.25">
      <c r="A65" s="280">
        <v>13</v>
      </c>
      <c r="B65" s="212">
        <v>5492</v>
      </c>
      <c r="C65" s="212">
        <v>691007322</v>
      </c>
      <c r="D65" s="212">
        <v>71294180</v>
      </c>
      <c r="E65" s="211" t="s">
        <v>473</v>
      </c>
      <c r="F65" s="212">
        <v>3114</v>
      </c>
      <c r="G65" s="331" t="s">
        <v>525</v>
      </c>
      <c r="H65" s="285" t="s">
        <v>271</v>
      </c>
      <c r="I65" s="420">
        <v>14486428</v>
      </c>
      <c r="J65" s="415">
        <v>10546375</v>
      </c>
      <c r="K65" s="415">
        <v>9699883</v>
      </c>
      <c r="L65" s="415">
        <v>846492</v>
      </c>
      <c r="M65" s="415">
        <v>110000</v>
      </c>
      <c r="N65" s="415">
        <v>0</v>
      </c>
      <c r="O65" s="415">
        <v>110000</v>
      </c>
      <c r="P65" s="68">
        <v>3601855</v>
      </c>
      <c r="Q65" s="68">
        <v>105464</v>
      </c>
      <c r="R65" s="415">
        <v>122734</v>
      </c>
      <c r="S65" s="416">
        <v>15.43</v>
      </c>
      <c r="T65" s="416">
        <v>13</v>
      </c>
      <c r="U65" s="423">
        <v>2.4299999999999997</v>
      </c>
      <c r="V65" s="424">
        <f t="shared" ref="V65:W68" si="106">AG65*-1</f>
        <v>0</v>
      </c>
      <c r="W65" s="418">
        <f t="shared" si="106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>SUM(AD65:AE65)</f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0</v>
      </c>
      <c r="AN65" s="418">
        <f>SUM(AL65:AM65)</f>
        <v>0</v>
      </c>
      <c r="AO65" s="418">
        <f t="shared" ref="AO65:AP68" si="107">AD65+AL65</f>
        <v>0</v>
      </c>
      <c r="AP65" s="418">
        <f t="shared" si="107"/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0</v>
      </c>
      <c r="AT65" s="418">
        <v>0</v>
      </c>
      <c r="AU65" s="418">
        <v>0</v>
      </c>
      <c r="AV65" s="418">
        <f>AT65+AU65</f>
        <v>0</v>
      </c>
      <c r="AW65" s="418">
        <f>AQ65+AR65+AS65+AV65</f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0</v>
      </c>
      <c r="BH65" s="421">
        <f>SUM(BF65:BG65)</f>
        <v>0</v>
      </c>
      <c r="BI65" s="780">
        <f>I65+AW65</f>
        <v>14486428</v>
      </c>
      <c r="BJ65" s="418">
        <f>J65+AF65</f>
        <v>10546375</v>
      </c>
      <c r="BK65" s="418">
        <f t="shared" ref="BK65:BL68" si="108">K65+AD65</f>
        <v>9699883</v>
      </c>
      <c r="BL65" s="418">
        <f t="shared" si="108"/>
        <v>846492</v>
      </c>
      <c r="BM65" s="418">
        <f>M65+AN65</f>
        <v>110000</v>
      </c>
      <c r="BN65" s="418">
        <f t="shared" ref="BN65:BO68" si="109">N65+AL65</f>
        <v>0</v>
      </c>
      <c r="BO65" s="418">
        <f t="shared" si="109"/>
        <v>110000</v>
      </c>
      <c r="BP65" s="418">
        <f t="shared" ref="BP65:BQ68" si="110">P65+AR65</f>
        <v>3601855</v>
      </c>
      <c r="BQ65" s="418">
        <f t="shared" si="110"/>
        <v>105464</v>
      </c>
      <c r="BR65" s="418">
        <f>R65+AV65</f>
        <v>122734</v>
      </c>
      <c r="BS65" s="419">
        <f>S65+BH65</f>
        <v>15.43</v>
      </c>
      <c r="BT65" s="419">
        <f t="shared" ref="BT65:BU68" si="111">T65+BF65</f>
        <v>13</v>
      </c>
      <c r="BU65" s="421">
        <f t="shared" si="111"/>
        <v>2.4299999999999997</v>
      </c>
      <c r="BV65" s="420"/>
      <c r="BW65" s="415"/>
      <c r="BX65" s="415"/>
      <c r="BY65" s="415"/>
      <c r="BZ65" s="415"/>
      <c r="CA65" s="510"/>
    </row>
    <row r="66" spans="1:79" ht="12.95" customHeight="1" x14ac:dyDescent="0.25">
      <c r="A66" s="280">
        <v>13</v>
      </c>
      <c r="B66" s="212">
        <v>5492</v>
      </c>
      <c r="C66" s="212">
        <v>691007322</v>
      </c>
      <c r="D66" s="212">
        <v>71294180</v>
      </c>
      <c r="E66" s="211" t="s">
        <v>473</v>
      </c>
      <c r="F66" s="212">
        <v>3114</v>
      </c>
      <c r="G66" s="331" t="s">
        <v>292</v>
      </c>
      <c r="H66" s="285" t="s">
        <v>271</v>
      </c>
      <c r="I66" s="420">
        <v>1900704</v>
      </c>
      <c r="J66" s="415">
        <v>1410018</v>
      </c>
      <c r="K66" s="415">
        <v>1410018</v>
      </c>
      <c r="L66" s="415">
        <v>0</v>
      </c>
      <c r="M66" s="415">
        <v>0</v>
      </c>
      <c r="N66" s="415">
        <v>0</v>
      </c>
      <c r="O66" s="415">
        <v>0</v>
      </c>
      <c r="P66" s="68">
        <v>476586</v>
      </c>
      <c r="Q66" s="68">
        <v>14100</v>
      </c>
      <c r="R66" s="415">
        <v>0</v>
      </c>
      <c r="S66" s="416">
        <v>3.3889</v>
      </c>
      <c r="T66" s="416">
        <v>3.3889</v>
      </c>
      <c r="U66" s="423">
        <v>0</v>
      </c>
      <c r="V66" s="424">
        <f t="shared" si="106"/>
        <v>0</v>
      </c>
      <c r="W66" s="418">
        <f t="shared" si="106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si="107"/>
        <v>0</v>
      </c>
      <c r="AP66" s="418">
        <f t="shared" si="107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8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780">
        <f>I66+AW66</f>
        <v>1900704</v>
      </c>
      <c r="BJ66" s="418">
        <f>J66+AF66</f>
        <v>1410018</v>
      </c>
      <c r="BK66" s="418">
        <f t="shared" si="108"/>
        <v>1410018</v>
      </c>
      <c r="BL66" s="418">
        <f t="shared" si="108"/>
        <v>0</v>
      </c>
      <c r="BM66" s="418">
        <f>M66+AN66</f>
        <v>0</v>
      </c>
      <c r="BN66" s="418">
        <f t="shared" si="109"/>
        <v>0</v>
      </c>
      <c r="BO66" s="418">
        <f t="shared" si="109"/>
        <v>0</v>
      </c>
      <c r="BP66" s="418">
        <f t="shared" si="110"/>
        <v>476586</v>
      </c>
      <c r="BQ66" s="418">
        <f t="shared" si="110"/>
        <v>14100</v>
      </c>
      <c r="BR66" s="418">
        <f>R66+AV66</f>
        <v>0</v>
      </c>
      <c r="BS66" s="419">
        <f>S66+BH66</f>
        <v>3.3889</v>
      </c>
      <c r="BT66" s="419">
        <f t="shared" si="111"/>
        <v>3.3889</v>
      </c>
      <c r="BU66" s="421">
        <f t="shared" si="111"/>
        <v>0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280">
        <v>13</v>
      </c>
      <c r="B67" s="212">
        <v>5492</v>
      </c>
      <c r="C67" s="212">
        <v>691007322</v>
      </c>
      <c r="D67" s="212">
        <v>71294180</v>
      </c>
      <c r="E67" s="372" t="s">
        <v>473</v>
      </c>
      <c r="F67" s="212">
        <v>3143</v>
      </c>
      <c r="G67" s="323" t="s">
        <v>595</v>
      </c>
      <c r="H67" s="285" t="s">
        <v>271</v>
      </c>
      <c r="I67" s="420">
        <v>525049</v>
      </c>
      <c r="J67" s="415">
        <v>389502</v>
      </c>
      <c r="K67" s="415">
        <v>389502</v>
      </c>
      <c r="L67" s="415">
        <v>0</v>
      </c>
      <c r="M67" s="415">
        <v>0</v>
      </c>
      <c r="N67" s="415">
        <v>0</v>
      </c>
      <c r="O67" s="415">
        <v>0</v>
      </c>
      <c r="P67" s="68">
        <v>131652</v>
      </c>
      <c r="Q67" s="68">
        <v>3895</v>
      </c>
      <c r="R67" s="415">
        <v>0</v>
      </c>
      <c r="S67" s="416">
        <v>0.79990000000000006</v>
      </c>
      <c r="T67" s="416">
        <v>0.79990000000000006</v>
      </c>
      <c r="U67" s="423">
        <v>0</v>
      </c>
      <c r="V67" s="424">
        <f t="shared" si="106"/>
        <v>0</v>
      </c>
      <c r="W67" s="418">
        <f t="shared" si="106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07"/>
        <v>0</v>
      </c>
      <c r="AP67" s="418">
        <f t="shared" si="107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8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421">
        <f>SUM(BF67:BG67)</f>
        <v>0</v>
      </c>
      <c r="BI67" s="780">
        <f>I67+AW67</f>
        <v>525049</v>
      </c>
      <c r="BJ67" s="418">
        <f>J67+AF67</f>
        <v>389502</v>
      </c>
      <c r="BK67" s="418">
        <f t="shared" si="108"/>
        <v>389502</v>
      </c>
      <c r="BL67" s="418">
        <f t="shared" si="108"/>
        <v>0</v>
      </c>
      <c r="BM67" s="418">
        <f>M67+AN67</f>
        <v>0</v>
      </c>
      <c r="BN67" s="418">
        <f t="shared" si="109"/>
        <v>0</v>
      </c>
      <c r="BO67" s="418">
        <f t="shared" si="109"/>
        <v>0</v>
      </c>
      <c r="BP67" s="418">
        <f t="shared" si="110"/>
        <v>131652</v>
      </c>
      <c r="BQ67" s="418">
        <f t="shared" si="110"/>
        <v>3895</v>
      </c>
      <c r="BR67" s="418">
        <f>R67+AV67</f>
        <v>0</v>
      </c>
      <c r="BS67" s="419">
        <f>S67+BH67</f>
        <v>0.79990000000000006</v>
      </c>
      <c r="BT67" s="419">
        <f t="shared" si="111"/>
        <v>0.79990000000000006</v>
      </c>
      <c r="BU67" s="421">
        <f t="shared" si="111"/>
        <v>0</v>
      </c>
      <c r="BV67" s="420"/>
      <c r="BW67" s="415"/>
      <c r="BX67" s="415"/>
      <c r="BY67" s="415"/>
      <c r="BZ67" s="415"/>
      <c r="CA67" s="510"/>
    </row>
    <row r="68" spans="1:79" ht="12.95" customHeight="1" x14ac:dyDescent="0.25">
      <c r="A68" s="280">
        <v>13</v>
      </c>
      <c r="B68" s="212">
        <v>5492</v>
      </c>
      <c r="C68" s="212">
        <v>691007322</v>
      </c>
      <c r="D68" s="212">
        <v>71294180</v>
      </c>
      <c r="E68" s="372" t="s">
        <v>473</v>
      </c>
      <c r="F68" s="212">
        <v>3143</v>
      </c>
      <c r="G68" s="323" t="s">
        <v>596</v>
      </c>
      <c r="H68" s="285" t="s">
        <v>272</v>
      </c>
      <c r="I68" s="420">
        <v>7672</v>
      </c>
      <c r="J68" s="415">
        <v>5491</v>
      </c>
      <c r="K68" s="415">
        <v>0</v>
      </c>
      <c r="L68" s="415">
        <v>5491</v>
      </c>
      <c r="M68" s="415">
        <v>0</v>
      </c>
      <c r="N68" s="415">
        <v>0</v>
      </c>
      <c r="O68" s="415">
        <v>0</v>
      </c>
      <c r="P68" s="68">
        <v>1856</v>
      </c>
      <c r="Q68" s="68">
        <v>55</v>
      </c>
      <c r="R68" s="415">
        <v>270</v>
      </c>
      <c r="S68" s="416">
        <v>2.0799999999999999E-2</v>
      </c>
      <c r="T68" s="416">
        <v>0</v>
      </c>
      <c r="U68" s="423">
        <v>2.0799999999999999E-2</v>
      </c>
      <c r="V68" s="424">
        <f t="shared" si="106"/>
        <v>0</v>
      </c>
      <c r="W68" s="418">
        <f t="shared" si="106"/>
        <v>0</v>
      </c>
      <c r="X68" s="418">
        <v>0</v>
      </c>
      <c r="Y68" s="418">
        <v>0</v>
      </c>
      <c r="Z68" s="418">
        <v>0</v>
      </c>
      <c r="AA68" s="418">
        <v>2759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2759</v>
      </c>
      <c r="AF68" s="418">
        <f>SUM(AD68:AE68)</f>
        <v>2759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07"/>
        <v>0</v>
      </c>
      <c r="AP68" s="418">
        <f t="shared" si="107"/>
        <v>2759</v>
      </c>
      <c r="AQ68" s="418">
        <f>SUM(AO68:AP68)</f>
        <v>2759</v>
      </c>
      <c r="AR68" s="68">
        <f>ROUND((AF68+AG68+AH68+AI68)*33.8%,0)</f>
        <v>933</v>
      </c>
      <c r="AS68" s="68">
        <f>ROUND(AF68*1%,0)</f>
        <v>28</v>
      </c>
      <c r="AT68" s="418">
        <v>0</v>
      </c>
      <c r="AU68" s="418">
        <v>135</v>
      </c>
      <c r="AV68" s="418">
        <f>AT68+AU68</f>
        <v>135</v>
      </c>
      <c r="AW68" s="418">
        <f>AQ68+AR68+AS68+AV68</f>
        <v>3855</v>
      </c>
      <c r="AX68" s="419">
        <v>0</v>
      </c>
      <c r="AY68" s="419">
        <v>0</v>
      </c>
      <c r="AZ68" s="419">
        <v>0</v>
      </c>
      <c r="BA68" s="419">
        <v>0</v>
      </c>
      <c r="BB68" s="419">
        <v>0.01</v>
      </c>
      <c r="BC68" s="41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0.01</v>
      </c>
      <c r="BH68" s="421">
        <f>SUM(BF68:BG68)</f>
        <v>0.01</v>
      </c>
      <c r="BI68" s="780">
        <f>I68+AW68</f>
        <v>11527</v>
      </c>
      <c r="BJ68" s="418">
        <f>J68+AF68</f>
        <v>8250</v>
      </c>
      <c r="BK68" s="418">
        <f t="shared" si="108"/>
        <v>0</v>
      </c>
      <c r="BL68" s="418">
        <f t="shared" si="108"/>
        <v>8250</v>
      </c>
      <c r="BM68" s="418">
        <f>M68+AN68</f>
        <v>0</v>
      </c>
      <c r="BN68" s="418">
        <f t="shared" si="109"/>
        <v>0</v>
      </c>
      <c r="BO68" s="418">
        <f t="shared" si="109"/>
        <v>0</v>
      </c>
      <c r="BP68" s="418">
        <f t="shared" si="110"/>
        <v>2789</v>
      </c>
      <c r="BQ68" s="418">
        <f t="shared" si="110"/>
        <v>83</v>
      </c>
      <c r="BR68" s="418">
        <f>R68+AV68</f>
        <v>405</v>
      </c>
      <c r="BS68" s="419">
        <f>S68+BH68</f>
        <v>3.0800000000000001E-2</v>
      </c>
      <c r="BT68" s="419">
        <f t="shared" si="111"/>
        <v>0</v>
      </c>
      <c r="BU68" s="421">
        <f t="shared" si="111"/>
        <v>3.0800000000000001E-2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13">
        <v>13</v>
      </c>
      <c r="B69" s="45">
        <v>5492</v>
      </c>
      <c r="C69" s="45">
        <v>691007322</v>
      </c>
      <c r="D69" s="45">
        <v>71294180</v>
      </c>
      <c r="E69" s="374" t="s">
        <v>474</v>
      </c>
      <c r="F69" s="45"/>
      <c r="G69" s="374"/>
      <c r="H69" s="182"/>
      <c r="I69" s="478">
        <v>16919853</v>
      </c>
      <c r="J69" s="476">
        <v>12351386</v>
      </c>
      <c r="K69" s="476">
        <v>11499403</v>
      </c>
      <c r="L69" s="476">
        <v>851983</v>
      </c>
      <c r="M69" s="476">
        <v>110000</v>
      </c>
      <c r="N69" s="476">
        <v>0</v>
      </c>
      <c r="O69" s="476">
        <v>110000</v>
      </c>
      <c r="P69" s="476">
        <v>4211949</v>
      </c>
      <c r="Q69" s="476">
        <v>123514</v>
      </c>
      <c r="R69" s="476">
        <v>123004</v>
      </c>
      <c r="S69" s="477">
        <v>19.639600000000002</v>
      </c>
      <c r="T69" s="477">
        <v>17.188800000000001</v>
      </c>
      <c r="U69" s="536">
        <v>2.4507999999999996</v>
      </c>
      <c r="V69" s="478">
        <f t="shared" ref="V69:CA69" si="112">SUM(V65:V68)</f>
        <v>0</v>
      </c>
      <c r="W69" s="476">
        <f t="shared" si="112"/>
        <v>0</v>
      </c>
      <c r="X69" s="476">
        <f t="shared" si="112"/>
        <v>0</v>
      </c>
      <c r="Y69" s="476">
        <f t="shared" si="112"/>
        <v>0</v>
      </c>
      <c r="Z69" s="476">
        <f t="shared" si="112"/>
        <v>0</v>
      </c>
      <c r="AA69" s="476">
        <f t="shared" si="112"/>
        <v>2759</v>
      </c>
      <c r="AB69" s="476">
        <f t="shared" si="112"/>
        <v>0</v>
      </c>
      <c r="AC69" s="476">
        <f t="shared" si="112"/>
        <v>0</v>
      </c>
      <c r="AD69" s="476">
        <f t="shared" si="112"/>
        <v>0</v>
      </c>
      <c r="AE69" s="476">
        <f t="shared" si="112"/>
        <v>2759</v>
      </c>
      <c r="AF69" s="476">
        <f t="shared" si="112"/>
        <v>2759</v>
      </c>
      <c r="AG69" s="476">
        <f t="shared" si="112"/>
        <v>0</v>
      </c>
      <c r="AH69" s="476">
        <f t="shared" si="112"/>
        <v>0</v>
      </c>
      <c r="AI69" s="476">
        <f t="shared" si="112"/>
        <v>0</v>
      </c>
      <c r="AJ69" s="476">
        <f t="shared" si="112"/>
        <v>0</v>
      </c>
      <c r="AK69" s="476">
        <f t="shared" si="112"/>
        <v>0</v>
      </c>
      <c r="AL69" s="476">
        <f t="shared" si="112"/>
        <v>0</v>
      </c>
      <c r="AM69" s="476">
        <f t="shared" si="112"/>
        <v>0</v>
      </c>
      <c r="AN69" s="476">
        <f t="shared" si="112"/>
        <v>0</v>
      </c>
      <c r="AO69" s="476">
        <f t="shared" si="112"/>
        <v>0</v>
      </c>
      <c r="AP69" s="476">
        <f t="shared" si="112"/>
        <v>2759</v>
      </c>
      <c r="AQ69" s="476">
        <f t="shared" si="112"/>
        <v>2759</v>
      </c>
      <c r="AR69" s="476">
        <f t="shared" si="112"/>
        <v>933</v>
      </c>
      <c r="AS69" s="476">
        <f t="shared" si="112"/>
        <v>28</v>
      </c>
      <c r="AT69" s="476">
        <f t="shared" si="112"/>
        <v>0</v>
      </c>
      <c r="AU69" s="476">
        <f t="shared" si="112"/>
        <v>135</v>
      </c>
      <c r="AV69" s="476">
        <f t="shared" si="112"/>
        <v>135</v>
      </c>
      <c r="AW69" s="476">
        <f t="shared" si="112"/>
        <v>3855</v>
      </c>
      <c r="AX69" s="477">
        <f t="shared" si="112"/>
        <v>0</v>
      </c>
      <c r="AY69" s="477">
        <f t="shared" si="112"/>
        <v>0</v>
      </c>
      <c r="AZ69" s="477">
        <f t="shared" si="112"/>
        <v>0</v>
      </c>
      <c r="BA69" s="477">
        <f t="shared" si="112"/>
        <v>0</v>
      </c>
      <c r="BB69" s="477">
        <f t="shared" ref="BB69" si="113">SUM(BB65:BB68)</f>
        <v>0.01</v>
      </c>
      <c r="BC69" s="477">
        <f t="shared" si="112"/>
        <v>0</v>
      </c>
      <c r="BD69" s="477">
        <f t="shared" si="112"/>
        <v>0</v>
      </c>
      <c r="BE69" s="477">
        <f t="shared" ref="BE69" si="114">SUM(BE65:BE68)</f>
        <v>0</v>
      </c>
      <c r="BF69" s="477">
        <f t="shared" si="112"/>
        <v>0</v>
      </c>
      <c r="BG69" s="477">
        <f t="shared" si="112"/>
        <v>0.01</v>
      </c>
      <c r="BH69" s="351">
        <f t="shared" si="112"/>
        <v>0.01</v>
      </c>
      <c r="BI69" s="782">
        <f t="shared" si="112"/>
        <v>16923708</v>
      </c>
      <c r="BJ69" s="476">
        <f t="shared" si="112"/>
        <v>12354145</v>
      </c>
      <c r="BK69" s="476">
        <f t="shared" si="112"/>
        <v>11499403</v>
      </c>
      <c r="BL69" s="476">
        <f t="shared" si="112"/>
        <v>854742</v>
      </c>
      <c r="BM69" s="476">
        <f t="shared" si="112"/>
        <v>110000</v>
      </c>
      <c r="BN69" s="476">
        <f t="shared" si="112"/>
        <v>0</v>
      </c>
      <c r="BO69" s="476">
        <f t="shared" si="112"/>
        <v>110000</v>
      </c>
      <c r="BP69" s="476">
        <f t="shared" si="112"/>
        <v>4212882</v>
      </c>
      <c r="BQ69" s="476">
        <f t="shared" si="112"/>
        <v>123542</v>
      </c>
      <c r="BR69" s="476">
        <f t="shared" si="112"/>
        <v>123139</v>
      </c>
      <c r="BS69" s="477">
        <f t="shared" si="112"/>
        <v>19.6496</v>
      </c>
      <c r="BT69" s="477">
        <f t="shared" si="112"/>
        <v>17.188800000000001</v>
      </c>
      <c r="BU69" s="351">
        <f t="shared" si="112"/>
        <v>2.4607999999999999</v>
      </c>
      <c r="BV69" s="864">
        <f t="shared" si="112"/>
        <v>0</v>
      </c>
      <c r="BW69" s="729">
        <f t="shared" si="112"/>
        <v>0</v>
      </c>
      <c r="BX69" s="729">
        <f t="shared" si="112"/>
        <v>0</v>
      </c>
      <c r="BY69" s="729">
        <f t="shared" si="112"/>
        <v>0</v>
      </c>
      <c r="BZ69" s="729">
        <f t="shared" si="112"/>
        <v>0</v>
      </c>
      <c r="CA69" s="865">
        <f t="shared" si="112"/>
        <v>0</v>
      </c>
    </row>
    <row r="70" spans="1:79" ht="12.95" customHeight="1" x14ac:dyDescent="0.25">
      <c r="A70" s="280">
        <v>14</v>
      </c>
      <c r="B70" s="212">
        <v>5457</v>
      </c>
      <c r="C70" s="212">
        <v>600099377</v>
      </c>
      <c r="D70" s="212">
        <v>855049</v>
      </c>
      <c r="E70" s="372" t="s">
        <v>475</v>
      </c>
      <c r="F70" s="212">
        <v>3113</v>
      </c>
      <c r="G70" s="372" t="s">
        <v>308</v>
      </c>
      <c r="H70" s="285" t="s">
        <v>271</v>
      </c>
      <c r="I70" s="420">
        <v>41500063</v>
      </c>
      <c r="J70" s="415">
        <v>30123549</v>
      </c>
      <c r="K70" s="415">
        <v>28111553</v>
      </c>
      <c r="L70" s="415">
        <v>2011996</v>
      </c>
      <c r="M70" s="415">
        <v>228880</v>
      </c>
      <c r="N70" s="415">
        <v>208880</v>
      </c>
      <c r="O70" s="415">
        <v>20000</v>
      </c>
      <c r="P70" s="68">
        <v>10259121</v>
      </c>
      <c r="Q70" s="68">
        <v>301235</v>
      </c>
      <c r="R70" s="415">
        <v>587278</v>
      </c>
      <c r="S70" s="416">
        <v>45.273800000000001</v>
      </c>
      <c r="T70" s="416">
        <v>39.020499999999998</v>
      </c>
      <c r="U70" s="423">
        <v>6.2533000000000003</v>
      </c>
      <c r="V70" s="424">
        <f t="shared" ref="V70:W75" si="115">AG70*-1</f>
        <v>0</v>
      </c>
      <c r="W70" s="418">
        <f t="shared" si="115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ref="AD70:AD75" si="116">V70+X70+Y70+Z70+AB70</f>
        <v>0</v>
      </c>
      <c r="AE70" s="418">
        <f t="shared" ref="AE70:AE75" si="117">W70+AA70+AC70</f>
        <v>0</v>
      </c>
      <c r="AF70" s="418">
        <f t="shared" ref="AF70:AF75" si="118">SUM(AD70:AE70)</f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ref="AL70:AL75" si="119">AG70+AI70+AJ70</f>
        <v>0</v>
      </c>
      <c r="AM70" s="418">
        <f t="shared" ref="AM70:AM75" si="120">AH70+AK70</f>
        <v>0</v>
      </c>
      <c r="AN70" s="418">
        <f t="shared" ref="AN70:AN75" si="121">SUM(AL70:AM70)</f>
        <v>0</v>
      </c>
      <c r="AO70" s="418">
        <f t="shared" ref="AO70:AP75" si="122">AD70+AL70</f>
        <v>0</v>
      </c>
      <c r="AP70" s="418">
        <f t="shared" si="122"/>
        <v>0</v>
      </c>
      <c r="AQ70" s="418">
        <f t="shared" ref="AQ70:AQ75" si="123">SUM(AO70:AP70)</f>
        <v>0</v>
      </c>
      <c r="AR70" s="68">
        <f t="shared" ref="AR70:AR75" si="124">ROUND((AF70+AG70+AH70+AI70)*33.8%,0)</f>
        <v>0</v>
      </c>
      <c r="AS70" s="68">
        <f t="shared" ref="AS70:AS75" si="125">ROUND(AF70*1%,0)</f>
        <v>0</v>
      </c>
      <c r="AT70" s="418">
        <v>0</v>
      </c>
      <c r="AU70" s="418">
        <v>0</v>
      </c>
      <c r="AV70" s="418">
        <f t="shared" ref="AV70:AV75" si="126">AT70+AU70</f>
        <v>0</v>
      </c>
      <c r="AW70" s="418">
        <f t="shared" ref="AW70:AW75" si="127">AQ70+AR70+AS70+AV70</f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ref="BF70:BF75" si="128">AX70+AZ70+BA70+BC70+BD70</f>
        <v>0</v>
      </c>
      <c r="BG70" s="419">
        <f t="shared" ref="BG70:BG75" si="129">AY70+BB70+BE70</f>
        <v>0</v>
      </c>
      <c r="BH70" s="421">
        <f t="shared" ref="BH70:BH75" si="130">SUM(BF70:BG70)</f>
        <v>0</v>
      </c>
      <c r="BI70" s="780">
        <f t="shared" ref="BI70:BI75" si="131">I70+AW70</f>
        <v>41500063</v>
      </c>
      <c r="BJ70" s="418">
        <f t="shared" ref="BJ70:BJ75" si="132">J70+AF70</f>
        <v>30123549</v>
      </c>
      <c r="BK70" s="418">
        <f t="shared" ref="BK70:BL75" si="133">K70+AD70</f>
        <v>28111553</v>
      </c>
      <c r="BL70" s="418">
        <f t="shared" si="133"/>
        <v>2011996</v>
      </c>
      <c r="BM70" s="418">
        <f t="shared" ref="BM70:BM75" si="134">M70+AN70</f>
        <v>228880</v>
      </c>
      <c r="BN70" s="418">
        <f t="shared" ref="BN70:BO75" si="135">N70+AL70</f>
        <v>208880</v>
      </c>
      <c r="BO70" s="418">
        <f t="shared" si="135"/>
        <v>20000</v>
      </c>
      <c r="BP70" s="418">
        <f t="shared" ref="BP70:BQ75" si="136">P70+AR70</f>
        <v>10259121</v>
      </c>
      <c r="BQ70" s="418">
        <f t="shared" si="136"/>
        <v>301235</v>
      </c>
      <c r="BR70" s="418">
        <f t="shared" ref="BR70:BR75" si="137">R70+AV70</f>
        <v>587278</v>
      </c>
      <c r="BS70" s="419">
        <f t="shared" ref="BS70:BS75" si="138">S70+BH70</f>
        <v>45.273800000000001</v>
      </c>
      <c r="BT70" s="419">
        <f t="shared" ref="BT70:BU75" si="139">T70+BF70</f>
        <v>39.020499999999998</v>
      </c>
      <c r="BU70" s="421">
        <f t="shared" si="139"/>
        <v>6.2533000000000003</v>
      </c>
      <c r="BV70" s="420">
        <v>380136</v>
      </c>
      <c r="BW70" s="415">
        <v>282000</v>
      </c>
      <c r="BX70" s="415">
        <v>0</v>
      </c>
      <c r="BY70" s="415">
        <v>95316</v>
      </c>
      <c r="BZ70" s="415">
        <v>2820</v>
      </c>
      <c r="CA70" s="510">
        <v>0.5</v>
      </c>
    </row>
    <row r="71" spans="1:79" ht="12.95" customHeight="1" x14ac:dyDescent="0.25">
      <c r="A71" s="280">
        <v>14</v>
      </c>
      <c r="B71" s="212">
        <v>5457</v>
      </c>
      <c r="C71" s="212">
        <v>600099377</v>
      </c>
      <c r="D71" s="212">
        <v>855049</v>
      </c>
      <c r="E71" s="211" t="s">
        <v>475</v>
      </c>
      <c r="F71" s="212">
        <v>3113</v>
      </c>
      <c r="G71" s="323" t="s">
        <v>291</v>
      </c>
      <c r="H71" s="285" t="s">
        <v>272</v>
      </c>
      <c r="I71" s="420">
        <v>4457249</v>
      </c>
      <c r="J71" s="415">
        <v>3290430</v>
      </c>
      <c r="K71" s="415">
        <v>3290430</v>
      </c>
      <c r="L71" s="415">
        <v>0</v>
      </c>
      <c r="M71" s="415">
        <v>0</v>
      </c>
      <c r="N71" s="415">
        <v>0</v>
      </c>
      <c r="O71" s="415">
        <v>0</v>
      </c>
      <c r="P71" s="68">
        <v>1112165</v>
      </c>
      <c r="Q71" s="68">
        <v>32904</v>
      </c>
      <c r="R71" s="415">
        <v>21750</v>
      </c>
      <c r="S71" s="416">
        <v>8.61</v>
      </c>
      <c r="T71" s="416">
        <v>8.61</v>
      </c>
      <c r="U71" s="423">
        <v>0</v>
      </c>
      <c r="V71" s="424">
        <f t="shared" si="115"/>
        <v>0</v>
      </c>
      <c r="W71" s="418">
        <f t="shared" si="115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si="116"/>
        <v>0</v>
      </c>
      <c r="AE71" s="418">
        <f t="shared" si="117"/>
        <v>0</v>
      </c>
      <c r="AF71" s="418">
        <f t="shared" si="118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19"/>
        <v>0</v>
      </c>
      <c r="AM71" s="418">
        <f t="shared" si="120"/>
        <v>0</v>
      </c>
      <c r="AN71" s="418">
        <f t="shared" si="121"/>
        <v>0</v>
      </c>
      <c r="AO71" s="418">
        <f t="shared" si="122"/>
        <v>0</v>
      </c>
      <c r="AP71" s="418">
        <f t="shared" si="122"/>
        <v>0</v>
      </c>
      <c r="AQ71" s="418">
        <f t="shared" si="123"/>
        <v>0</v>
      </c>
      <c r="AR71" s="68">
        <f t="shared" si="124"/>
        <v>0</v>
      </c>
      <c r="AS71" s="68">
        <f t="shared" si="125"/>
        <v>0</v>
      </c>
      <c r="AT71" s="418">
        <v>0</v>
      </c>
      <c r="AU71" s="418">
        <v>0</v>
      </c>
      <c r="AV71" s="418">
        <f t="shared" si="126"/>
        <v>0</v>
      </c>
      <c r="AW71" s="418">
        <f t="shared" si="127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28"/>
        <v>0</v>
      </c>
      <c r="BG71" s="419">
        <f t="shared" si="129"/>
        <v>0</v>
      </c>
      <c r="BH71" s="421">
        <f t="shared" si="130"/>
        <v>0</v>
      </c>
      <c r="BI71" s="780">
        <f t="shared" si="131"/>
        <v>4457249</v>
      </c>
      <c r="BJ71" s="418">
        <f t="shared" si="132"/>
        <v>3290430</v>
      </c>
      <c r="BK71" s="418">
        <f t="shared" si="133"/>
        <v>3290430</v>
      </c>
      <c r="BL71" s="418">
        <f t="shared" si="133"/>
        <v>0</v>
      </c>
      <c r="BM71" s="418">
        <f t="shared" si="134"/>
        <v>0</v>
      </c>
      <c r="BN71" s="418">
        <f t="shared" si="135"/>
        <v>0</v>
      </c>
      <c r="BO71" s="418">
        <f t="shared" si="135"/>
        <v>0</v>
      </c>
      <c r="BP71" s="418">
        <f t="shared" si="136"/>
        <v>1112165</v>
      </c>
      <c r="BQ71" s="418">
        <f t="shared" si="136"/>
        <v>32904</v>
      </c>
      <c r="BR71" s="418">
        <f t="shared" si="137"/>
        <v>21750</v>
      </c>
      <c r="BS71" s="419">
        <f t="shared" si="138"/>
        <v>8.61</v>
      </c>
      <c r="BT71" s="419">
        <f t="shared" si="139"/>
        <v>8.61</v>
      </c>
      <c r="BU71" s="421">
        <f t="shared" si="139"/>
        <v>0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280">
        <v>14</v>
      </c>
      <c r="B72" s="370">
        <v>5457</v>
      </c>
      <c r="C72" s="370">
        <v>600099377</v>
      </c>
      <c r="D72" s="370">
        <v>855049</v>
      </c>
      <c r="E72" s="371" t="s">
        <v>475</v>
      </c>
      <c r="F72" s="370">
        <v>3141</v>
      </c>
      <c r="G72" s="373" t="s">
        <v>294</v>
      </c>
      <c r="H72" s="285" t="s">
        <v>272</v>
      </c>
      <c r="I72" s="420">
        <v>911251</v>
      </c>
      <c r="J72" s="415">
        <v>636960</v>
      </c>
      <c r="K72" s="415">
        <v>0</v>
      </c>
      <c r="L72" s="415">
        <v>636960</v>
      </c>
      <c r="M72" s="415">
        <v>30000</v>
      </c>
      <c r="N72" s="415">
        <v>0</v>
      </c>
      <c r="O72" s="415">
        <v>30000</v>
      </c>
      <c r="P72" s="68">
        <v>225432</v>
      </c>
      <c r="Q72" s="68">
        <v>6370</v>
      </c>
      <c r="R72" s="415">
        <v>12489</v>
      </c>
      <c r="S72" s="416">
        <v>2</v>
      </c>
      <c r="T72" s="416">
        <v>0</v>
      </c>
      <c r="U72" s="423">
        <v>2</v>
      </c>
      <c r="V72" s="424">
        <f t="shared" si="115"/>
        <v>0</v>
      </c>
      <c r="W72" s="418">
        <f t="shared" si="115"/>
        <v>0</v>
      </c>
      <c r="X72" s="418">
        <v>0</v>
      </c>
      <c r="Y72" s="418">
        <v>0</v>
      </c>
      <c r="Z72" s="418">
        <v>0</v>
      </c>
      <c r="AA72" s="418">
        <v>334436</v>
      </c>
      <c r="AB72" s="418">
        <v>0</v>
      </c>
      <c r="AC72" s="418">
        <v>0</v>
      </c>
      <c r="AD72" s="418">
        <f t="shared" si="116"/>
        <v>0</v>
      </c>
      <c r="AE72" s="418">
        <f t="shared" si="117"/>
        <v>334436</v>
      </c>
      <c r="AF72" s="418">
        <f t="shared" si="118"/>
        <v>334436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19"/>
        <v>0</v>
      </c>
      <c r="AM72" s="418">
        <f t="shared" si="120"/>
        <v>0</v>
      </c>
      <c r="AN72" s="418">
        <f t="shared" si="121"/>
        <v>0</v>
      </c>
      <c r="AO72" s="418">
        <f t="shared" si="122"/>
        <v>0</v>
      </c>
      <c r="AP72" s="418">
        <f t="shared" si="122"/>
        <v>334436</v>
      </c>
      <c r="AQ72" s="418">
        <f t="shared" si="123"/>
        <v>334436</v>
      </c>
      <c r="AR72" s="68">
        <f t="shared" si="124"/>
        <v>113039</v>
      </c>
      <c r="AS72" s="68">
        <f t="shared" si="125"/>
        <v>3344</v>
      </c>
      <c r="AT72" s="418">
        <v>0</v>
      </c>
      <c r="AU72" s="418">
        <v>5973</v>
      </c>
      <c r="AV72" s="418">
        <f t="shared" si="126"/>
        <v>5973</v>
      </c>
      <c r="AW72" s="418">
        <f t="shared" si="127"/>
        <v>456792</v>
      </c>
      <c r="AX72" s="419">
        <v>0</v>
      </c>
      <c r="AY72" s="419">
        <v>0</v>
      </c>
      <c r="AZ72" s="419">
        <v>0</v>
      </c>
      <c r="BA72" s="419">
        <v>0</v>
      </c>
      <c r="BB72" s="419">
        <v>1</v>
      </c>
      <c r="BC72" s="419">
        <v>0</v>
      </c>
      <c r="BD72" s="419">
        <v>0</v>
      </c>
      <c r="BE72" s="419">
        <v>0</v>
      </c>
      <c r="BF72" s="419">
        <f t="shared" si="128"/>
        <v>0</v>
      </c>
      <c r="BG72" s="419">
        <f t="shared" si="129"/>
        <v>1</v>
      </c>
      <c r="BH72" s="421">
        <f t="shared" si="130"/>
        <v>1</v>
      </c>
      <c r="BI72" s="780">
        <f t="shared" si="131"/>
        <v>1368043</v>
      </c>
      <c r="BJ72" s="418">
        <f t="shared" si="132"/>
        <v>971396</v>
      </c>
      <c r="BK72" s="418">
        <f t="shared" si="133"/>
        <v>0</v>
      </c>
      <c r="BL72" s="418">
        <f t="shared" si="133"/>
        <v>971396</v>
      </c>
      <c r="BM72" s="418">
        <f t="shared" si="134"/>
        <v>30000</v>
      </c>
      <c r="BN72" s="418">
        <f t="shared" si="135"/>
        <v>0</v>
      </c>
      <c r="BO72" s="418">
        <f t="shared" si="135"/>
        <v>30000</v>
      </c>
      <c r="BP72" s="418">
        <f t="shared" si="136"/>
        <v>338471</v>
      </c>
      <c r="BQ72" s="418">
        <f t="shared" si="136"/>
        <v>9714</v>
      </c>
      <c r="BR72" s="418">
        <f t="shared" si="137"/>
        <v>18462</v>
      </c>
      <c r="BS72" s="419">
        <f t="shared" si="138"/>
        <v>3</v>
      </c>
      <c r="BT72" s="419">
        <f t="shared" si="139"/>
        <v>0</v>
      </c>
      <c r="BU72" s="421">
        <f t="shared" si="139"/>
        <v>3</v>
      </c>
      <c r="BV72" s="420"/>
      <c r="BW72" s="415"/>
      <c r="BX72" s="415"/>
      <c r="BY72" s="415"/>
      <c r="BZ72" s="415"/>
      <c r="CA72" s="510"/>
    </row>
    <row r="73" spans="1:79" ht="12.95" customHeight="1" x14ac:dyDescent="0.25">
      <c r="A73" s="280">
        <v>14</v>
      </c>
      <c r="B73" s="212">
        <v>5457</v>
      </c>
      <c r="C73" s="212">
        <v>600099377</v>
      </c>
      <c r="D73" s="212">
        <v>855049</v>
      </c>
      <c r="E73" s="372" t="s">
        <v>475</v>
      </c>
      <c r="F73" s="212">
        <v>3143</v>
      </c>
      <c r="G73" s="323" t="s">
        <v>595</v>
      </c>
      <c r="H73" s="285" t="s">
        <v>271</v>
      </c>
      <c r="I73" s="420">
        <v>3677719</v>
      </c>
      <c r="J73" s="415">
        <v>2718352</v>
      </c>
      <c r="K73" s="415">
        <v>2718352</v>
      </c>
      <c r="L73" s="415">
        <v>0</v>
      </c>
      <c r="M73" s="415">
        <v>10000</v>
      </c>
      <c r="N73" s="415">
        <v>10000</v>
      </c>
      <c r="O73" s="415">
        <v>0</v>
      </c>
      <c r="P73" s="68">
        <v>922183</v>
      </c>
      <c r="Q73" s="68">
        <v>27184</v>
      </c>
      <c r="R73" s="415">
        <v>0</v>
      </c>
      <c r="S73" s="416">
        <v>5.25</v>
      </c>
      <c r="T73" s="416">
        <v>5.25</v>
      </c>
      <c r="U73" s="423">
        <v>0</v>
      </c>
      <c r="V73" s="424">
        <f t="shared" si="115"/>
        <v>0</v>
      </c>
      <c r="W73" s="418">
        <f t="shared" si="115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116"/>
        <v>0</v>
      </c>
      <c r="AE73" s="418">
        <f t="shared" si="117"/>
        <v>0</v>
      </c>
      <c r="AF73" s="418">
        <f t="shared" si="118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19"/>
        <v>0</v>
      </c>
      <c r="AM73" s="418">
        <f t="shared" si="120"/>
        <v>0</v>
      </c>
      <c r="AN73" s="418">
        <f t="shared" si="121"/>
        <v>0</v>
      </c>
      <c r="AO73" s="418">
        <f t="shared" si="122"/>
        <v>0</v>
      </c>
      <c r="AP73" s="418">
        <f t="shared" si="122"/>
        <v>0</v>
      </c>
      <c r="AQ73" s="418">
        <f t="shared" si="123"/>
        <v>0</v>
      </c>
      <c r="AR73" s="68">
        <f t="shared" si="124"/>
        <v>0</v>
      </c>
      <c r="AS73" s="68">
        <f t="shared" si="125"/>
        <v>0</v>
      </c>
      <c r="AT73" s="418">
        <v>0</v>
      </c>
      <c r="AU73" s="418">
        <v>0</v>
      </c>
      <c r="AV73" s="418">
        <f t="shared" si="126"/>
        <v>0</v>
      </c>
      <c r="AW73" s="418">
        <f t="shared" si="127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28"/>
        <v>0</v>
      </c>
      <c r="BG73" s="419">
        <f t="shared" si="129"/>
        <v>0</v>
      </c>
      <c r="BH73" s="421">
        <f t="shared" si="130"/>
        <v>0</v>
      </c>
      <c r="BI73" s="780">
        <f t="shared" si="131"/>
        <v>3677719</v>
      </c>
      <c r="BJ73" s="418">
        <f t="shared" si="132"/>
        <v>2718352</v>
      </c>
      <c r="BK73" s="418">
        <f t="shared" si="133"/>
        <v>2718352</v>
      </c>
      <c r="BL73" s="418">
        <f t="shared" si="133"/>
        <v>0</v>
      </c>
      <c r="BM73" s="418">
        <f t="shared" si="134"/>
        <v>10000</v>
      </c>
      <c r="BN73" s="418">
        <f t="shared" si="135"/>
        <v>10000</v>
      </c>
      <c r="BO73" s="418">
        <f t="shared" si="135"/>
        <v>0</v>
      </c>
      <c r="BP73" s="418">
        <f t="shared" si="136"/>
        <v>922183</v>
      </c>
      <c r="BQ73" s="418">
        <f t="shared" si="136"/>
        <v>27184</v>
      </c>
      <c r="BR73" s="418">
        <f t="shared" si="137"/>
        <v>0</v>
      </c>
      <c r="BS73" s="419">
        <f t="shared" si="138"/>
        <v>5.25</v>
      </c>
      <c r="BT73" s="419">
        <f t="shared" si="139"/>
        <v>5.25</v>
      </c>
      <c r="BU73" s="421">
        <f t="shared" si="139"/>
        <v>0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280">
        <v>14</v>
      </c>
      <c r="B74" s="212">
        <v>5457</v>
      </c>
      <c r="C74" s="212">
        <v>600099377</v>
      </c>
      <c r="D74" s="212">
        <v>855049</v>
      </c>
      <c r="E74" s="372" t="s">
        <v>475</v>
      </c>
      <c r="F74" s="212">
        <v>3143</v>
      </c>
      <c r="G74" s="323" t="s">
        <v>596</v>
      </c>
      <c r="H74" s="285" t="s">
        <v>272</v>
      </c>
      <c r="I74" s="420">
        <v>86566</v>
      </c>
      <c r="J74" s="415">
        <v>61961</v>
      </c>
      <c r="K74" s="415">
        <v>0</v>
      </c>
      <c r="L74" s="415">
        <v>61961</v>
      </c>
      <c r="M74" s="415">
        <v>0</v>
      </c>
      <c r="N74" s="415">
        <v>0</v>
      </c>
      <c r="O74" s="415">
        <v>0</v>
      </c>
      <c r="P74" s="68">
        <v>20943</v>
      </c>
      <c r="Q74" s="68">
        <v>620</v>
      </c>
      <c r="R74" s="415">
        <v>3042</v>
      </c>
      <c r="S74" s="416">
        <v>0.23469999999999999</v>
      </c>
      <c r="T74" s="416">
        <v>0</v>
      </c>
      <c r="U74" s="423">
        <v>0.23469999999999999</v>
      </c>
      <c r="V74" s="424">
        <f t="shared" si="115"/>
        <v>0</v>
      </c>
      <c r="W74" s="418">
        <f t="shared" si="115"/>
        <v>0</v>
      </c>
      <c r="X74" s="418">
        <v>0</v>
      </c>
      <c r="Y74" s="418">
        <v>0</v>
      </c>
      <c r="Z74" s="418">
        <v>0</v>
      </c>
      <c r="AA74" s="418">
        <v>30989</v>
      </c>
      <c r="AB74" s="418">
        <v>0</v>
      </c>
      <c r="AC74" s="418">
        <v>0</v>
      </c>
      <c r="AD74" s="418">
        <f t="shared" si="116"/>
        <v>0</v>
      </c>
      <c r="AE74" s="418">
        <f t="shared" si="117"/>
        <v>30989</v>
      </c>
      <c r="AF74" s="418">
        <f t="shared" si="118"/>
        <v>30989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19"/>
        <v>0</v>
      </c>
      <c r="AM74" s="418">
        <f t="shared" si="120"/>
        <v>0</v>
      </c>
      <c r="AN74" s="418">
        <f t="shared" si="121"/>
        <v>0</v>
      </c>
      <c r="AO74" s="418">
        <f t="shared" si="122"/>
        <v>0</v>
      </c>
      <c r="AP74" s="418">
        <f t="shared" si="122"/>
        <v>30989</v>
      </c>
      <c r="AQ74" s="418">
        <f t="shared" si="123"/>
        <v>30989</v>
      </c>
      <c r="AR74" s="68">
        <f t="shared" si="124"/>
        <v>10474</v>
      </c>
      <c r="AS74" s="68">
        <f t="shared" si="125"/>
        <v>310</v>
      </c>
      <c r="AT74" s="418">
        <v>0</v>
      </c>
      <c r="AU74" s="418">
        <v>1521</v>
      </c>
      <c r="AV74" s="418">
        <f t="shared" si="126"/>
        <v>1521</v>
      </c>
      <c r="AW74" s="418">
        <f t="shared" si="127"/>
        <v>43294</v>
      </c>
      <c r="AX74" s="419">
        <v>0</v>
      </c>
      <c r="AY74" s="419">
        <v>0</v>
      </c>
      <c r="AZ74" s="419">
        <v>0</v>
      </c>
      <c r="BA74" s="419">
        <v>0</v>
      </c>
      <c r="BB74" s="419">
        <v>0.12</v>
      </c>
      <c r="BC74" s="419">
        <v>0</v>
      </c>
      <c r="BD74" s="419">
        <v>0</v>
      </c>
      <c r="BE74" s="419">
        <v>0</v>
      </c>
      <c r="BF74" s="419">
        <f t="shared" si="128"/>
        <v>0</v>
      </c>
      <c r="BG74" s="419">
        <f t="shared" si="129"/>
        <v>0.12</v>
      </c>
      <c r="BH74" s="421">
        <f t="shared" si="130"/>
        <v>0.12</v>
      </c>
      <c r="BI74" s="780">
        <f t="shared" si="131"/>
        <v>129860</v>
      </c>
      <c r="BJ74" s="418">
        <f t="shared" si="132"/>
        <v>92950</v>
      </c>
      <c r="BK74" s="418">
        <f t="shared" si="133"/>
        <v>0</v>
      </c>
      <c r="BL74" s="418">
        <f t="shared" si="133"/>
        <v>92950</v>
      </c>
      <c r="BM74" s="418">
        <f t="shared" si="134"/>
        <v>0</v>
      </c>
      <c r="BN74" s="418">
        <f t="shared" si="135"/>
        <v>0</v>
      </c>
      <c r="BO74" s="418">
        <f t="shared" si="135"/>
        <v>0</v>
      </c>
      <c r="BP74" s="418">
        <f t="shared" si="136"/>
        <v>31417</v>
      </c>
      <c r="BQ74" s="418">
        <f t="shared" si="136"/>
        <v>930</v>
      </c>
      <c r="BR74" s="418">
        <f t="shared" si="137"/>
        <v>4563</v>
      </c>
      <c r="BS74" s="419">
        <f t="shared" si="138"/>
        <v>0.35470000000000002</v>
      </c>
      <c r="BT74" s="419">
        <f t="shared" si="139"/>
        <v>0</v>
      </c>
      <c r="BU74" s="421">
        <f t="shared" si="139"/>
        <v>0.35470000000000002</v>
      </c>
      <c r="BV74" s="420"/>
      <c r="BW74" s="415"/>
      <c r="BX74" s="415"/>
      <c r="BY74" s="415"/>
      <c r="BZ74" s="415"/>
      <c r="CA74" s="510"/>
    </row>
    <row r="75" spans="1:79" ht="12.95" customHeight="1" x14ac:dyDescent="0.25">
      <c r="A75" s="280">
        <v>14</v>
      </c>
      <c r="B75" s="212">
        <v>5457</v>
      </c>
      <c r="C75" s="212">
        <v>600099377</v>
      </c>
      <c r="D75" s="212">
        <v>855049</v>
      </c>
      <c r="E75" s="211" t="s">
        <v>475</v>
      </c>
      <c r="F75" s="212">
        <v>3143</v>
      </c>
      <c r="G75" s="323" t="s">
        <v>296</v>
      </c>
      <c r="H75" s="285" t="s">
        <v>272</v>
      </c>
      <c r="I75" s="420">
        <v>761689</v>
      </c>
      <c r="J75" s="415">
        <v>563983</v>
      </c>
      <c r="K75" s="415">
        <v>519974</v>
      </c>
      <c r="L75" s="634">
        <v>44009</v>
      </c>
      <c r="M75" s="415">
        <v>0</v>
      </c>
      <c r="N75" s="415">
        <v>0</v>
      </c>
      <c r="O75" s="415">
        <v>0</v>
      </c>
      <c r="P75" s="635">
        <v>190626</v>
      </c>
      <c r="Q75" s="635">
        <v>5640</v>
      </c>
      <c r="R75" s="634">
        <v>1440</v>
      </c>
      <c r="S75" s="416">
        <v>1.2</v>
      </c>
      <c r="T75" s="636">
        <v>1.03</v>
      </c>
      <c r="U75" s="772">
        <v>0.17</v>
      </c>
      <c r="V75" s="424">
        <f t="shared" si="115"/>
        <v>0</v>
      </c>
      <c r="W75" s="418">
        <f t="shared" si="115"/>
        <v>0</v>
      </c>
      <c r="X75" s="418">
        <v>0</v>
      </c>
      <c r="Y75" s="418">
        <v>0</v>
      </c>
      <c r="Z75" s="418">
        <v>0</v>
      </c>
      <c r="AA75" s="418">
        <v>21991</v>
      </c>
      <c r="AB75" s="418">
        <v>0</v>
      </c>
      <c r="AC75" s="418">
        <v>0</v>
      </c>
      <c r="AD75" s="418">
        <f t="shared" si="116"/>
        <v>0</v>
      </c>
      <c r="AE75" s="418">
        <f t="shared" si="117"/>
        <v>21991</v>
      </c>
      <c r="AF75" s="418">
        <f t="shared" si="118"/>
        <v>21991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19"/>
        <v>0</v>
      </c>
      <c r="AM75" s="418">
        <f t="shared" si="120"/>
        <v>0</v>
      </c>
      <c r="AN75" s="418">
        <f t="shared" si="121"/>
        <v>0</v>
      </c>
      <c r="AO75" s="418">
        <f t="shared" si="122"/>
        <v>0</v>
      </c>
      <c r="AP75" s="418">
        <f t="shared" si="122"/>
        <v>21991</v>
      </c>
      <c r="AQ75" s="418">
        <f t="shared" si="123"/>
        <v>21991</v>
      </c>
      <c r="AR75" s="68">
        <f t="shared" si="124"/>
        <v>7433</v>
      </c>
      <c r="AS75" s="68">
        <f t="shared" si="125"/>
        <v>220</v>
      </c>
      <c r="AT75" s="418">
        <v>0</v>
      </c>
      <c r="AU75" s="418">
        <v>720</v>
      </c>
      <c r="AV75" s="418">
        <f t="shared" si="126"/>
        <v>720</v>
      </c>
      <c r="AW75" s="418">
        <f t="shared" si="127"/>
        <v>30364</v>
      </c>
      <c r="AX75" s="419">
        <v>0</v>
      </c>
      <c r="AY75" s="419">
        <v>0</v>
      </c>
      <c r="AZ75" s="419">
        <v>0</v>
      </c>
      <c r="BA75" s="419">
        <v>0</v>
      </c>
      <c r="BB75" s="419">
        <v>0.08</v>
      </c>
      <c r="BC75" s="419">
        <v>0</v>
      </c>
      <c r="BD75" s="419">
        <v>0</v>
      </c>
      <c r="BE75" s="419">
        <v>0</v>
      </c>
      <c r="BF75" s="419">
        <f t="shared" si="128"/>
        <v>0</v>
      </c>
      <c r="BG75" s="419">
        <f t="shared" si="129"/>
        <v>0.08</v>
      </c>
      <c r="BH75" s="421">
        <f t="shared" si="130"/>
        <v>0.08</v>
      </c>
      <c r="BI75" s="780">
        <f t="shared" si="131"/>
        <v>792053</v>
      </c>
      <c r="BJ75" s="418">
        <f t="shared" si="132"/>
        <v>585974</v>
      </c>
      <c r="BK75" s="418">
        <f t="shared" si="133"/>
        <v>519974</v>
      </c>
      <c r="BL75" s="418">
        <f t="shared" si="133"/>
        <v>66000</v>
      </c>
      <c r="BM75" s="418">
        <f t="shared" si="134"/>
        <v>0</v>
      </c>
      <c r="BN75" s="418">
        <f t="shared" si="135"/>
        <v>0</v>
      </c>
      <c r="BO75" s="418">
        <f t="shared" si="135"/>
        <v>0</v>
      </c>
      <c r="BP75" s="418">
        <f t="shared" si="136"/>
        <v>198059</v>
      </c>
      <c r="BQ75" s="418">
        <f t="shared" si="136"/>
        <v>5860</v>
      </c>
      <c r="BR75" s="418">
        <f t="shared" si="137"/>
        <v>2160</v>
      </c>
      <c r="BS75" s="419">
        <f t="shared" si="138"/>
        <v>1.28</v>
      </c>
      <c r="BT75" s="419">
        <f t="shared" si="139"/>
        <v>1.03</v>
      </c>
      <c r="BU75" s="421">
        <f t="shared" si="139"/>
        <v>0.25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13">
        <v>14</v>
      </c>
      <c r="B76" s="48">
        <v>5457</v>
      </c>
      <c r="C76" s="48">
        <v>600099377</v>
      </c>
      <c r="D76" s="48">
        <v>855049</v>
      </c>
      <c r="E76" s="374" t="s">
        <v>476</v>
      </c>
      <c r="F76" s="48"/>
      <c r="G76" s="387"/>
      <c r="H76" s="185"/>
      <c r="I76" s="487">
        <v>51394537</v>
      </c>
      <c r="J76" s="483">
        <v>37395235</v>
      </c>
      <c r="K76" s="483">
        <v>34640309</v>
      </c>
      <c r="L76" s="483">
        <v>2754926</v>
      </c>
      <c r="M76" s="483">
        <v>268880</v>
      </c>
      <c r="N76" s="483">
        <v>218880</v>
      </c>
      <c r="O76" s="483">
        <v>50000</v>
      </c>
      <c r="P76" s="483">
        <v>12730470</v>
      </c>
      <c r="Q76" s="483">
        <v>373953</v>
      </c>
      <c r="R76" s="483">
        <v>625999</v>
      </c>
      <c r="S76" s="484">
        <v>62.5685</v>
      </c>
      <c r="T76" s="484">
        <v>53.910499999999999</v>
      </c>
      <c r="U76" s="656">
        <v>8.6579999999999995</v>
      </c>
      <c r="V76" s="487">
        <f t="shared" ref="V76:CA76" si="140">SUM(V70:V75)</f>
        <v>0</v>
      </c>
      <c r="W76" s="483">
        <f t="shared" si="140"/>
        <v>0</v>
      </c>
      <c r="X76" s="483">
        <f t="shared" si="140"/>
        <v>0</v>
      </c>
      <c r="Y76" s="483">
        <f t="shared" si="140"/>
        <v>0</v>
      </c>
      <c r="Z76" s="483">
        <f t="shared" si="140"/>
        <v>0</v>
      </c>
      <c r="AA76" s="483">
        <f t="shared" si="140"/>
        <v>387416</v>
      </c>
      <c r="AB76" s="483">
        <f t="shared" si="140"/>
        <v>0</v>
      </c>
      <c r="AC76" s="483">
        <f t="shared" si="140"/>
        <v>0</v>
      </c>
      <c r="AD76" s="483">
        <f t="shared" si="140"/>
        <v>0</v>
      </c>
      <c r="AE76" s="483">
        <f t="shared" si="140"/>
        <v>387416</v>
      </c>
      <c r="AF76" s="483">
        <f t="shared" si="140"/>
        <v>387416</v>
      </c>
      <c r="AG76" s="483">
        <f t="shared" si="140"/>
        <v>0</v>
      </c>
      <c r="AH76" s="483">
        <f t="shared" si="140"/>
        <v>0</v>
      </c>
      <c r="AI76" s="483">
        <f t="shared" si="140"/>
        <v>0</v>
      </c>
      <c r="AJ76" s="483">
        <f t="shared" si="140"/>
        <v>0</v>
      </c>
      <c r="AK76" s="483">
        <f t="shared" si="140"/>
        <v>0</v>
      </c>
      <c r="AL76" s="483">
        <f t="shared" si="140"/>
        <v>0</v>
      </c>
      <c r="AM76" s="483">
        <f t="shared" si="140"/>
        <v>0</v>
      </c>
      <c r="AN76" s="483">
        <f t="shared" si="140"/>
        <v>0</v>
      </c>
      <c r="AO76" s="483">
        <f t="shared" si="140"/>
        <v>0</v>
      </c>
      <c r="AP76" s="483">
        <f t="shared" si="140"/>
        <v>387416</v>
      </c>
      <c r="AQ76" s="483">
        <f t="shared" si="140"/>
        <v>387416</v>
      </c>
      <c r="AR76" s="483">
        <f t="shared" si="140"/>
        <v>130946</v>
      </c>
      <c r="AS76" s="483">
        <f t="shared" si="140"/>
        <v>3874</v>
      </c>
      <c r="AT76" s="483">
        <f t="shared" si="140"/>
        <v>0</v>
      </c>
      <c r="AU76" s="483">
        <f t="shared" si="140"/>
        <v>8214</v>
      </c>
      <c r="AV76" s="483">
        <f t="shared" si="140"/>
        <v>8214</v>
      </c>
      <c r="AW76" s="483">
        <f t="shared" si="140"/>
        <v>530450</v>
      </c>
      <c r="AX76" s="484">
        <f t="shared" si="140"/>
        <v>0</v>
      </c>
      <c r="AY76" s="484">
        <f t="shared" si="140"/>
        <v>0</v>
      </c>
      <c r="AZ76" s="484">
        <f t="shared" si="140"/>
        <v>0</v>
      </c>
      <c r="BA76" s="484">
        <f t="shared" si="140"/>
        <v>0</v>
      </c>
      <c r="BB76" s="484">
        <f t="shared" ref="BB76" si="141">SUM(BB70:BB75)</f>
        <v>1.2000000000000002</v>
      </c>
      <c r="BC76" s="484">
        <f t="shared" si="140"/>
        <v>0</v>
      </c>
      <c r="BD76" s="484">
        <f t="shared" si="140"/>
        <v>0</v>
      </c>
      <c r="BE76" s="484">
        <f t="shared" ref="BE76" si="142">SUM(BE70:BE75)</f>
        <v>0</v>
      </c>
      <c r="BF76" s="484">
        <f t="shared" si="140"/>
        <v>0</v>
      </c>
      <c r="BG76" s="484">
        <f t="shared" si="140"/>
        <v>1.2000000000000002</v>
      </c>
      <c r="BH76" s="375">
        <f t="shared" si="140"/>
        <v>1.2000000000000002</v>
      </c>
      <c r="BI76" s="792">
        <f t="shared" si="140"/>
        <v>51924987</v>
      </c>
      <c r="BJ76" s="483">
        <f t="shared" si="140"/>
        <v>37782651</v>
      </c>
      <c r="BK76" s="483">
        <f t="shared" si="140"/>
        <v>34640309</v>
      </c>
      <c r="BL76" s="483">
        <f t="shared" si="140"/>
        <v>3142342</v>
      </c>
      <c r="BM76" s="483">
        <f t="shared" si="140"/>
        <v>268880</v>
      </c>
      <c r="BN76" s="483">
        <f t="shared" si="140"/>
        <v>218880</v>
      </c>
      <c r="BO76" s="483">
        <f t="shared" si="140"/>
        <v>50000</v>
      </c>
      <c r="BP76" s="483">
        <f t="shared" si="140"/>
        <v>12861416</v>
      </c>
      <c r="BQ76" s="483">
        <f t="shared" si="140"/>
        <v>377827</v>
      </c>
      <c r="BR76" s="483">
        <f t="shared" si="140"/>
        <v>634213</v>
      </c>
      <c r="BS76" s="484">
        <f t="shared" si="140"/>
        <v>63.768500000000003</v>
      </c>
      <c r="BT76" s="484">
        <f t="shared" si="140"/>
        <v>53.910499999999999</v>
      </c>
      <c r="BU76" s="375">
        <f t="shared" si="140"/>
        <v>9.8579999999999988</v>
      </c>
      <c r="BV76" s="869">
        <f t="shared" si="140"/>
        <v>380136</v>
      </c>
      <c r="BW76" s="733">
        <f t="shared" si="140"/>
        <v>282000</v>
      </c>
      <c r="BX76" s="733">
        <f t="shared" si="140"/>
        <v>0</v>
      </c>
      <c r="BY76" s="733">
        <f t="shared" si="140"/>
        <v>95316</v>
      </c>
      <c r="BZ76" s="733">
        <f t="shared" si="140"/>
        <v>2820</v>
      </c>
      <c r="CA76" s="870">
        <f t="shared" si="140"/>
        <v>0.5</v>
      </c>
    </row>
    <row r="77" spans="1:79" ht="12.95" customHeight="1" x14ac:dyDescent="0.25">
      <c r="A77" s="280">
        <v>15</v>
      </c>
      <c r="B77" s="212">
        <v>5459</v>
      </c>
      <c r="C77" s="212">
        <v>600099415</v>
      </c>
      <c r="D77" s="212">
        <v>70946086</v>
      </c>
      <c r="E77" s="372" t="s">
        <v>477</v>
      </c>
      <c r="F77" s="212">
        <v>3231</v>
      </c>
      <c r="G77" s="372" t="s">
        <v>477</v>
      </c>
      <c r="H77" s="285" t="s">
        <v>271</v>
      </c>
      <c r="I77" s="420">
        <v>23937572</v>
      </c>
      <c r="J77" s="415">
        <v>17737669</v>
      </c>
      <c r="K77" s="415">
        <v>17087355</v>
      </c>
      <c r="L77" s="415">
        <v>650314</v>
      </c>
      <c r="M77" s="415">
        <v>0</v>
      </c>
      <c r="N77" s="415">
        <v>0</v>
      </c>
      <c r="O77" s="415">
        <v>0</v>
      </c>
      <c r="P77" s="68">
        <v>5995332</v>
      </c>
      <c r="Q77" s="68">
        <v>177377</v>
      </c>
      <c r="R77" s="415">
        <v>27194</v>
      </c>
      <c r="S77" s="416">
        <v>28.907799999999998</v>
      </c>
      <c r="T77" s="417">
        <v>27.082999999999998</v>
      </c>
      <c r="U77" s="423">
        <v>1.8248</v>
      </c>
      <c r="V77" s="424">
        <f>AG77*-1</f>
        <v>0</v>
      </c>
      <c r="W77" s="418">
        <f>AH77*-1</f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>AD77+AL77</f>
        <v>0</v>
      </c>
      <c r="AP77" s="418">
        <f>AE77+AM77</f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8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421">
        <f>SUM(BF77:BG77)</f>
        <v>0</v>
      </c>
      <c r="BI77" s="780">
        <f>I77+AW77</f>
        <v>23937572</v>
      </c>
      <c r="BJ77" s="418">
        <f>J77+AF77</f>
        <v>17737669</v>
      </c>
      <c r="BK77" s="418">
        <f>K77+AD77</f>
        <v>17087355</v>
      </c>
      <c r="BL77" s="418">
        <f>L77+AE77</f>
        <v>650314</v>
      </c>
      <c r="BM77" s="418">
        <f>M77+AN77</f>
        <v>0</v>
      </c>
      <c r="BN77" s="418">
        <f>N77+AL77</f>
        <v>0</v>
      </c>
      <c r="BO77" s="418">
        <f>O77+AM77</f>
        <v>0</v>
      </c>
      <c r="BP77" s="418">
        <f>P77+AR77</f>
        <v>5995332</v>
      </c>
      <c r="BQ77" s="418">
        <f>Q77+AS77</f>
        <v>177377</v>
      </c>
      <c r="BR77" s="418">
        <f>R77+AV77</f>
        <v>27194</v>
      </c>
      <c r="BS77" s="419">
        <f>S77+BH77</f>
        <v>28.907799999999998</v>
      </c>
      <c r="BT77" s="419">
        <f>T77+BF77</f>
        <v>27.082999999999998</v>
      </c>
      <c r="BU77" s="421">
        <f>U77+BG77</f>
        <v>1.8248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13">
        <v>15</v>
      </c>
      <c r="B78" s="45">
        <v>5459</v>
      </c>
      <c r="C78" s="45">
        <v>600099415</v>
      </c>
      <c r="D78" s="45">
        <v>70946086</v>
      </c>
      <c r="E78" s="374" t="s">
        <v>478</v>
      </c>
      <c r="F78" s="45"/>
      <c r="G78" s="374"/>
      <c r="H78" s="182"/>
      <c r="I78" s="465">
        <v>23937572</v>
      </c>
      <c r="J78" s="461">
        <v>17737669</v>
      </c>
      <c r="K78" s="461">
        <v>17087355</v>
      </c>
      <c r="L78" s="461">
        <v>650314</v>
      </c>
      <c r="M78" s="461">
        <v>0</v>
      </c>
      <c r="N78" s="461">
        <v>0</v>
      </c>
      <c r="O78" s="461">
        <v>0</v>
      </c>
      <c r="P78" s="461">
        <v>5995332</v>
      </c>
      <c r="Q78" s="461">
        <v>177377</v>
      </c>
      <c r="R78" s="461">
        <v>27194</v>
      </c>
      <c r="S78" s="462">
        <v>28.907799999999998</v>
      </c>
      <c r="T78" s="462">
        <v>27.082999999999998</v>
      </c>
      <c r="U78" s="535">
        <v>1.8248</v>
      </c>
      <c r="V78" s="465">
        <f t="shared" ref="V78:CA78" si="143">SUM(V77)</f>
        <v>0</v>
      </c>
      <c r="W78" s="461">
        <f t="shared" si="143"/>
        <v>0</v>
      </c>
      <c r="X78" s="461">
        <f t="shared" si="143"/>
        <v>0</v>
      </c>
      <c r="Y78" s="461">
        <f t="shared" si="143"/>
        <v>0</v>
      </c>
      <c r="Z78" s="461">
        <f t="shared" si="143"/>
        <v>0</v>
      </c>
      <c r="AA78" s="461">
        <f t="shared" si="143"/>
        <v>0</v>
      </c>
      <c r="AB78" s="461">
        <f t="shared" si="143"/>
        <v>0</v>
      </c>
      <c r="AC78" s="461">
        <f t="shared" si="143"/>
        <v>0</v>
      </c>
      <c r="AD78" s="461">
        <f t="shared" si="143"/>
        <v>0</v>
      </c>
      <c r="AE78" s="461">
        <f t="shared" si="143"/>
        <v>0</v>
      </c>
      <c r="AF78" s="461">
        <f t="shared" si="143"/>
        <v>0</v>
      </c>
      <c r="AG78" s="461">
        <f t="shared" si="143"/>
        <v>0</v>
      </c>
      <c r="AH78" s="461">
        <f t="shared" si="143"/>
        <v>0</v>
      </c>
      <c r="AI78" s="461">
        <f t="shared" si="143"/>
        <v>0</v>
      </c>
      <c r="AJ78" s="461">
        <f t="shared" si="143"/>
        <v>0</v>
      </c>
      <c r="AK78" s="461">
        <f t="shared" si="143"/>
        <v>0</v>
      </c>
      <c r="AL78" s="461">
        <f t="shared" si="143"/>
        <v>0</v>
      </c>
      <c r="AM78" s="461">
        <f t="shared" si="143"/>
        <v>0</v>
      </c>
      <c r="AN78" s="461">
        <f t="shared" si="143"/>
        <v>0</v>
      </c>
      <c r="AO78" s="461">
        <f t="shared" si="143"/>
        <v>0</v>
      </c>
      <c r="AP78" s="461">
        <f t="shared" si="143"/>
        <v>0</v>
      </c>
      <c r="AQ78" s="461">
        <f t="shared" si="143"/>
        <v>0</v>
      </c>
      <c r="AR78" s="461">
        <f t="shared" si="143"/>
        <v>0</v>
      </c>
      <c r="AS78" s="461">
        <f t="shared" si="143"/>
        <v>0</v>
      </c>
      <c r="AT78" s="461">
        <f t="shared" si="143"/>
        <v>0</v>
      </c>
      <c r="AU78" s="461">
        <f t="shared" si="143"/>
        <v>0</v>
      </c>
      <c r="AV78" s="461">
        <f t="shared" si="143"/>
        <v>0</v>
      </c>
      <c r="AW78" s="461">
        <f t="shared" si="143"/>
        <v>0</v>
      </c>
      <c r="AX78" s="462">
        <f t="shared" si="143"/>
        <v>0</v>
      </c>
      <c r="AY78" s="462">
        <f t="shared" si="143"/>
        <v>0</v>
      </c>
      <c r="AZ78" s="462">
        <f t="shared" si="143"/>
        <v>0</v>
      </c>
      <c r="BA78" s="462">
        <f t="shared" si="143"/>
        <v>0</v>
      </c>
      <c r="BB78" s="462">
        <f t="shared" ref="BB78" si="144">SUM(BB77)</f>
        <v>0</v>
      </c>
      <c r="BC78" s="462">
        <f t="shared" si="143"/>
        <v>0</v>
      </c>
      <c r="BD78" s="462">
        <f t="shared" si="143"/>
        <v>0</v>
      </c>
      <c r="BE78" s="462">
        <f t="shared" ref="BE78" si="145">SUM(BE77)</f>
        <v>0</v>
      </c>
      <c r="BF78" s="462">
        <f t="shared" si="143"/>
        <v>0</v>
      </c>
      <c r="BG78" s="462">
        <f t="shared" si="143"/>
        <v>0</v>
      </c>
      <c r="BH78" s="279">
        <f t="shared" si="143"/>
        <v>0</v>
      </c>
      <c r="BI78" s="781">
        <f t="shared" si="143"/>
        <v>23937572</v>
      </c>
      <c r="BJ78" s="461">
        <f t="shared" si="143"/>
        <v>17737669</v>
      </c>
      <c r="BK78" s="461">
        <f t="shared" si="143"/>
        <v>17087355</v>
      </c>
      <c r="BL78" s="461">
        <f t="shared" si="143"/>
        <v>650314</v>
      </c>
      <c r="BM78" s="461">
        <f t="shared" si="143"/>
        <v>0</v>
      </c>
      <c r="BN78" s="461">
        <f t="shared" si="143"/>
        <v>0</v>
      </c>
      <c r="BO78" s="461">
        <f t="shared" si="143"/>
        <v>0</v>
      </c>
      <c r="BP78" s="461">
        <f t="shared" si="143"/>
        <v>5995332</v>
      </c>
      <c r="BQ78" s="461">
        <f t="shared" si="143"/>
        <v>177377</v>
      </c>
      <c r="BR78" s="461">
        <f t="shared" si="143"/>
        <v>27194</v>
      </c>
      <c r="BS78" s="462">
        <f t="shared" si="143"/>
        <v>28.907799999999998</v>
      </c>
      <c r="BT78" s="462">
        <f t="shared" si="143"/>
        <v>27.082999999999998</v>
      </c>
      <c r="BU78" s="279">
        <f t="shared" si="143"/>
        <v>1.8248</v>
      </c>
      <c r="BV78" s="850">
        <f t="shared" si="143"/>
        <v>0</v>
      </c>
      <c r="BW78" s="713">
        <f t="shared" si="143"/>
        <v>0</v>
      </c>
      <c r="BX78" s="713">
        <f t="shared" si="143"/>
        <v>0</v>
      </c>
      <c r="BY78" s="713">
        <f t="shared" si="143"/>
        <v>0</v>
      </c>
      <c r="BZ78" s="713">
        <f t="shared" si="143"/>
        <v>0</v>
      </c>
      <c r="CA78" s="851">
        <f t="shared" si="143"/>
        <v>0</v>
      </c>
    </row>
    <row r="79" spans="1:79" ht="12.95" customHeight="1" x14ac:dyDescent="0.25">
      <c r="A79" s="280">
        <v>16</v>
      </c>
      <c r="B79" s="376">
        <v>5482</v>
      </c>
      <c r="C79" s="376">
        <v>600098982</v>
      </c>
      <c r="D79" s="376">
        <v>71006923</v>
      </c>
      <c r="E79" s="372" t="s">
        <v>479</v>
      </c>
      <c r="F79" s="212">
        <v>3111</v>
      </c>
      <c r="G79" s="373" t="s">
        <v>304</v>
      </c>
      <c r="H79" s="285" t="s">
        <v>271</v>
      </c>
      <c r="I79" s="420">
        <v>1798273</v>
      </c>
      <c r="J79" s="415">
        <v>1328484</v>
      </c>
      <c r="K79" s="415">
        <v>1261916</v>
      </c>
      <c r="L79" s="415">
        <v>66568</v>
      </c>
      <c r="M79" s="415">
        <v>0</v>
      </c>
      <c r="N79" s="415">
        <v>0</v>
      </c>
      <c r="O79" s="415">
        <v>0</v>
      </c>
      <c r="P79" s="68">
        <v>449028</v>
      </c>
      <c r="Q79" s="68">
        <v>13285</v>
      </c>
      <c r="R79" s="415">
        <v>7476</v>
      </c>
      <c r="S79" s="416">
        <v>2.2667000000000002</v>
      </c>
      <c r="T79" s="416">
        <v>2</v>
      </c>
      <c r="U79" s="423">
        <v>0.26669999999999999</v>
      </c>
      <c r="V79" s="424">
        <f t="shared" ref="V79:W84" si="146">AG79*-1</f>
        <v>0</v>
      </c>
      <c r="W79" s="418">
        <f t="shared" si="146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ref="AD79:AD84" si="147">V79+X79+Y79+Z79+AB79</f>
        <v>0</v>
      </c>
      <c r="AE79" s="418">
        <f t="shared" ref="AE79:AE84" si="148">W79+AA79+AC79</f>
        <v>0</v>
      </c>
      <c r="AF79" s="418">
        <f t="shared" ref="AF79:AF84" si="149">SUM(AD79:AE79)</f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ref="AL79:AL84" si="150">AG79+AI79+AJ79</f>
        <v>0</v>
      </c>
      <c r="AM79" s="418">
        <f t="shared" ref="AM79:AM84" si="151">AH79+AK79</f>
        <v>0</v>
      </c>
      <c r="AN79" s="418">
        <f t="shared" ref="AN79:AN84" si="152">SUM(AL79:AM79)</f>
        <v>0</v>
      </c>
      <c r="AO79" s="418">
        <f t="shared" ref="AO79:AP84" si="153">AD79+AL79</f>
        <v>0</v>
      </c>
      <c r="AP79" s="418">
        <f t="shared" si="153"/>
        <v>0</v>
      </c>
      <c r="AQ79" s="418">
        <f t="shared" ref="AQ79:AQ84" si="154">SUM(AO79:AP79)</f>
        <v>0</v>
      </c>
      <c r="AR79" s="68">
        <f t="shared" ref="AR79:AR84" si="155">ROUND((AF79+AG79+AH79+AI79)*33.8%,0)</f>
        <v>0</v>
      </c>
      <c r="AS79" s="68">
        <f t="shared" ref="AS79:AS84" si="156">ROUND(AF79*1%,0)</f>
        <v>0</v>
      </c>
      <c r="AT79" s="418">
        <v>0</v>
      </c>
      <c r="AU79" s="418">
        <v>0</v>
      </c>
      <c r="AV79" s="418">
        <f t="shared" ref="AV79:AV84" si="157">AT79+AU79</f>
        <v>0</v>
      </c>
      <c r="AW79" s="418">
        <f t="shared" ref="AW79:AW84" si="158">AQ79+AR79+AS79+AV79</f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ref="BF79:BF84" si="159">AX79+AZ79+BA79+BC79+BD79</f>
        <v>0</v>
      </c>
      <c r="BG79" s="419">
        <f t="shared" ref="BG79:BG84" si="160">AY79+BB79+BE79</f>
        <v>0</v>
      </c>
      <c r="BH79" s="421">
        <f t="shared" ref="BH79:BH84" si="161">SUM(BF79:BG79)</f>
        <v>0</v>
      </c>
      <c r="BI79" s="780">
        <f t="shared" ref="BI79:BI84" si="162">I79+AW79</f>
        <v>1798273</v>
      </c>
      <c r="BJ79" s="418">
        <f t="shared" ref="BJ79:BJ84" si="163">J79+AF79</f>
        <v>1328484</v>
      </c>
      <c r="BK79" s="418">
        <f t="shared" ref="BK79:BL84" si="164">K79+AD79</f>
        <v>1261916</v>
      </c>
      <c r="BL79" s="418">
        <f t="shared" si="164"/>
        <v>66568</v>
      </c>
      <c r="BM79" s="418">
        <f t="shared" ref="BM79:BM84" si="165">M79+AN79</f>
        <v>0</v>
      </c>
      <c r="BN79" s="418">
        <f t="shared" ref="BN79:BO84" si="166">N79+AL79</f>
        <v>0</v>
      </c>
      <c r="BO79" s="418">
        <f t="shared" si="166"/>
        <v>0</v>
      </c>
      <c r="BP79" s="418">
        <f t="shared" ref="BP79:BQ84" si="167">P79+AR79</f>
        <v>449028</v>
      </c>
      <c r="BQ79" s="418">
        <f t="shared" si="167"/>
        <v>13285</v>
      </c>
      <c r="BR79" s="418">
        <f t="shared" ref="BR79:BR84" si="168">R79+AV79</f>
        <v>7476</v>
      </c>
      <c r="BS79" s="419">
        <f t="shared" ref="BS79:BS84" si="169">S79+BH79</f>
        <v>2.2667000000000002</v>
      </c>
      <c r="BT79" s="419">
        <f t="shared" ref="BT79:BU84" si="170">T79+BF79</f>
        <v>2</v>
      </c>
      <c r="BU79" s="421">
        <f t="shared" si="170"/>
        <v>0.26669999999999999</v>
      </c>
      <c r="BV79" s="420"/>
      <c r="BW79" s="415"/>
      <c r="BX79" s="415"/>
      <c r="BY79" s="415"/>
      <c r="BZ79" s="415"/>
      <c r="CA79" s="510"/>
    </row>
    <row r="80" spans="1:79" ht="12.95" customHeight="1" x14ac:dyDescent="0.25">
      <c r="A80" s="280">
        <v>16</v>
      </c>
      <c r="B80" s="212">
        <v>5482</v>
      </c>
      <c r="C80" s="212">
        <v>600098982</v>
      </c>
      <c r="D80" s="212">
        <v>71006923</v>
      </c>
      <c r="E80" s="372" t="s">
        <v>479</v>
      </c>
      <c r="F80" s="212">
        <v>3117</v>
      </c>
      <c r="G80" s="372" t="s">
        <v>308</v>
      </c>
      <c r="H80" s="285" t="s">
        <v>271</v>
      </c>
      <c r="I80" s="420">
        <v>4582779</v>
      </c>
      <c r="J80" s="415">
        <v>3347324</v>
      </c>
      <c r="K80" s="415">
        <v>2957310</v>
      </c>
      <c r="L80" s="415">
        <v>390014</v>
      </c>
      <c r="M80" s="415">
        <v>0</v>
      </c>
      <c r="N80" s="415">
        <v>0</v>
      </c>
      <c r="O80" s="415">
        <v>0</v>
      </c>
      <c r="P80" s="68">
        <v>1131396</v>
      </c>
      <c r="Q80" s="68">
        <v>33473</v>
      </c>
      <c r="R80" s="415">
        <v>70586</v>
      </c>
      <c r="S80" s="416">
        <v>5.5058000000000007</v>
      </c>
      <c r="T80" s="416">
        <v>4.4545000000000003</v>
      </c>
      <c r="U80" s="423">
        <v>1.0512999999999999</v>
      </c>
      <c r="V80" s="424">
        <f t="shared" si="146"/>
        <v>0</v>
      </c>
      <c r="W80" s="418">
        <f t="shared" si="14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147"/>
        <v>0</v>
      </c>
      <c r="AE80" s="418">
        <f t="shared" si="148"/>
        <v>0</v>
      </c>
      <c r="AF80" s="418">
        <f t="shared" si="149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50"/>
        <v>0</v>
      </c>
      <c r="AM80" s="418">
        <f t="shared" si="151"/>
        <v>0</v>
      </c>
      <c r="AN80" s="418">
        <f t="shared" si="152"/>
        <v>0</v>
      </c>
      <c r="AO80" s="418">
        <f t="shared" si="153"/>
        <v>0</v>
      </c>
      <c r="AP80" s="418">
        <f t="shared" si="153"/>
        <v>0</v>
      </c>
      <c r="AQ80" s="418">
        <f t="shared" si="154"/>
        <v>0</v>
      </c>
      <c r="AR80" s="68">
        <f t="shared" si="155"/>
        <v>0</v>
      </c>
      <c r="AS80" s="68">
        <f t="shared" si="156"/>
        <v>0</v>
      </c>
      <c r="AT80" s="418">
        <v>0</v>
      </c>
      <c r="AU80" s="418">
        <v>0</v>
      </c>
      <c r="AV80" s="418">
        <f t="shared" si="157"/>
        <v>0</v>
      </c>
      <c r="AW80" s="418">
        <f t="shared" si="158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59"/>
        <v>0</v>
      </c>
      <c r="BG80" s="419">
        <f t="shared" si="160"/>
        <v>0</v>
      </c>
      <c r="BH80" s="421">
        <f t="shared" si="161"/>
        <v>0</v>
      </c>
      <c r="BI80" s="780">
        <f t="shared" si="162"/>
        <v>4582779</v>
      </c>
      <c r="BJ80" s="418">
        <f t="shared" si="163"/>
        <v>3347324</v>
      </c>
      <c r="BK80" s="418">
        <f t="shared" si="164"/>
        <v>2957310</v>
      </c>
      <c r="BL80" s="418">
        <f t="shared" si="164"/>
        <v>390014</v>
      </c>
      <c r="BM80" s="418">
        <f t="shared" si="165"/>
        <v>0</v>
      </c>
      <c r="BN80" s="418">
        <f t="shared" si="166"/>
        <v>0</v>
      </c>
      <c r="BO80" s="418">
        <f t="shared" si="166"/>
        <v>0</v>
      </c>
      <c r="BP80" s="418">
        <f t="shared" si="167"/>
        <v>1131396</v>
      </c>
      <c r="BQ80" s="418">
        <f t="shared" si="167"/>
        <v>33473</v>
      </c>
      <c r="BR80" s="418">
        <f t="shared" si="168"/>
        <v>70586</v>
      </c>
      <c r="BS80" s="419">
        <f t="shared" si="169"/>
        <v>5.5058000000000007</v>
      </c>
      <c r="BT80" s="419">
        <f t="shared" si="170"/>
        <v>4.4545000000000003</v>
      </c>
      <c r="BU80" s="421">
        <f t="shared" si="170"/>
        <v>1.0512999999999999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280">
        <v>16</v>
      </c>
      <c r="B81" s="212">
        <v>5482</v>
      </c>
      <c r="C81" s="212">
        <v>600098982</v>
      </c>
      <c r="D81" s="212">
        <v>71006923</v>
      </c>
      <c r="E81" s="372" t="s">
        <v>479</v>
      </c>
      <c r="F81" s="212">
        <v>3117</v>
      </c>
      <c r="G81" s="323" t="s">
        <v>291</v>
      </c>
      <c r="H81" s="285" t="s">
        <v>272</v>
      </c>
      <c r="I81" s="420">
        <v>249921</v>
      </c>
      <c r="J81" s="415">
        <v>185401</v>
      </c>
      <c r="K81" s="415">
        <v>185401</v>
      </c>
      <c r="L81" s="415">
        <v>0</v>
      </c>
      <c r="M81" s="415">
        <v>0</v>
      </c>
      <c r="N81" s="415">
        <v>0</v>
      </c>
      <c r="O81" s="415">
        <v>0</v>
      </c>
      <c r="P81" s="68">
        <v>62666</v>
      </c>
      <c r="Q81" s="68">
        <v>1854</v>
      </c>
      <c r="R81" s="415">
        <v>0</v>
      </c>
      <c r="S81" s="416">
        <v>0.5</v>
      </c>
      <c r="T81" s="416">
        <v>0.5</v>
      </c>
      <c r="U81" s="423">
        <v>0</v>
      </c>
      <c r="V81" s="424">
        <f t="shared" si="146"/>
        <v>0</v>
      </c>
      <c r="W81" s="418">
        <f t="shared" si="146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47"/>
        <v>0</v>
      </c>
      <c r="AE81" s="418">
        <f t="shared" si="148"/>
        <v>0</v>
      </c>
      <c r="AF81" s="418">
        <f t="shared" si="149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50"/>
        <v>0</v>
      </c>
      <c r="AM81" s="418">
        <f t="shared" si="151"/>
        <v>0</v>
      </c>
      <c r="AN81" s="418">
        <f t="shared" si="152"/>
        <v>0</v>
      </c>
      <c r="AO81" s="418">
        <f t="shared" si="153"/>
        <v>0</v>
      </c>
      <c r="AP81" s="418">
        <f t="shared" si="153"/>
        <v>0</v>
      </c>
      <c r="AQ81" s="418">
        <f t="shared" si="154"/>
        <v>0</v>
      </c>
      <c r="AR81" s="68">
        <f t="shared" si="155"/>
        <v>0</v>
      </c>
      <c r="AS81" s="68">
        <f t="shared" si="156"/>
        <v>0</v>
      </c>
      <c r="AT81" s="418">
        <v>0</v>
      </c>
      <c r="AU81" s="418">
        <v>0</v>
      </c>
      <c r="AV81" s="418">
        <f t="shared" si="157"/>
        <v>0</v>
      </c>
      <c r="AW81" s="418">
        <f t="shared" si="158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59"/>
        <v>0</v>
      </c>
      <c r="BG81" s="419">
        <f t="shared" si="160"/>
        <v>0</v>
      </c>
      <c r="BH81" s="421">
        <f t="shared" si="161"/>
        <v>0</v>
      </c>
      <c r="BI81" s="780">
        <f t="shared" si="162"/>
        <v>249921</v>
      </c>
      <c r="BJ81" s="418">
        <f t="shared" si="163"/>
        <v>185401</v>
      </c>
      <c r="BK81" s="418">
        <f t="shared" si="164"/>
        <v>185401</v>
      </c>
      <c r="BL81" s="418">
        <f t="shared" si="164"/>
        <v>0</v>
      </c>
      <c r="BM81" s="418">
        <f t="shared" si="165"/>
        <v>0</v>
      </c>
      <c r="BN81" s="418">
        <f t="shared" si="166"/>
        <v>0</v>
      </c>
      <c r="BO81" s="418">
        <f t="shared" si="166"/>
        <v>0</v>
      </c>
      <c r="BP81" s="418">
        <f t="shared" si="167"/>
        <v>62666</v>
      </c>
      <c r="BQ81" s="418">
        <f t="shared" si="167"/>
        <v>1854</v>
      </c>
      <c r="BR81" s="418">
        <f t="shared" si="168"/>
        <v>0</v>
      </c>
      <c r="BS81" s="419">
        <f t="shared" si="169"/>
        <v>0.5</v>
      </c>
      <c r="BT81" s="419">
        <f t="shared" si="170"/>
        <v>0.5</v>
      </c>
      <c r="BU81" s="421">
        <f t="shared" si="170"/>
        <v>0</v>
      </c>
      <c r="BV81" s="420"/>
      <c r="BW81" s="415"/>
      <c r="BX81" s="415"/>
      <c r="BY81" s="415"/>
      <c r="BZ81" s="415"/>
      <c r="CA81" s="510"/>
    </row>
    <row r="82" spans="1:79" ht="12.95" customHeight="1" x14ac:dyDescent="0.25">
      <c r="A82" s="280">
        <v>16</v>
      </c>
      <c r="B82" s="376">
        <v>5482</v>
      </c>
      <c r="C82" s="376">
        <v>600098982</v>
      </c>
      <c r="D82" s="376">
        <v>71006923</v>
      </c>
      <c r="E82" s="372" t="s">
        <v>479</v>
      </c>
      <c r="F82" s="212">
        <v>3141</v>
      </c>
      <c r="G82" s="373" t="s">
        <v>294</v>
      </c>
      <c r="H82" s="285" t="s">
        <v>272</v>
      </c>
      <c r="I82" s="420">
        <v>701266</v>
      </c>
      <c r="J82" s="415">
        <v>517994</v>
      </c>
      <c r="K82" s="415">
        <v>0</v>
      </c>
      <c r="L82" s="415">
        <v>517994</v>
      </c>
      <c r="M82" s="415">
        <v>0</v>
      </c>
      <c r="N82" s="415">
        <v>0</v>
      </c>
      <c r="O82" s="415">
        <v>0</v>
      </c>
      <c r="P82" s="68">
        <v>175082</v>
      </c>
      <c r="Q82" s="68">
        <v>5180</v>
      </c>
      <c r="R82" s="415">
        <v>3010</v>
      </c>
      <c r="S82" s="416">
        <v>1.5532999999999999</v>
      </c>
      <c r="T82" s="416">
        <v>0</v>
      </c>
      <c r="U82" s="423">
        <v>1.5532999999999999</v>
      </c>
      <c r="V82" s="424">
        <f t="shared" si="146"/>
        <v>0</v>
      </c>
      <c r="W82" s="418">
        <f t="shared" si="146"/>
        <v>0</v>
      </c>
      <c r="X82" s="418">
        <v>0</v>
      </c>
      <c r="Y82" s="418">
        <v>0</v>
      </c>
      <c r="Z82" s="418">
        <v>0</v>
      </c>
      <c r="AA82" s="418">
        <v>260264</v>
      </c>
      <c r="AB82" s="418">
        <v>0</v>
      </c>
      <c r="AC82" s="418">
        <v>0</v>
      </c>
      <c r="AD82" s="418">
        <f t="shared" si="147"/>
        <v>0</v>
      </c>
      <c r="AE82" s="418">
        <f t="shared" si="148"/>
        <v>260264</v>
      </c>
      <c r="AF82" s="418">
        <f t="shared" si="149"/>
        <v>260264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50"/>
        <v>0</v>
      </c>
      <c r="AM82" s="418">
        <f t="shared" si="151"/>
        <v>0</v>
      </c>
      <c r="AN82" s="418">
        <f t="shared" si="152"/>
        <v>0</v>
      </c>
      <c r="AO82" s="418">
        <f t="shared" si="153"/>
        <v>0</v>
      </c>
      <c r="AP82" s="418">
        <f t="shared" si="153"/>
        <v>260264</v>
      </c>
      <c r="AQ82" s="418">
        <f t="shared" si="154"/>
        <v>260264</v>
      </c>
      <c r="AR82" s="68">
        <f t="shared" si="155"/>
        <v>87969</v>
      </c>
      <c r="AS82" s="68">
        <f t="shared" si="156"/>
        <v>2603</v>
      </c>
      <c r="AT82" s="418">
        <v>0</v>
      </c>
      <c r="AU82" s="418">
        <v>1462</v>
      </c>
      <c r="AV82" s="418">
        <f t="shared" si="157"/>
        <v>1462</v>
      </c>
      <c r="AW82" s="418">
        <f t="shared" si="158"/>
        <v>352298</v>
      </c>
      <c r="AX82" s="419">
        <v>0</v>
      </c>
      <c r="AY82" s="419">
        <v>0</v>
      </c>
      <c r="AZ82" s="419">
        <v>0</v>
      </c>
      <c r="BA82" s="419">
        <v>0</v>
      </c>
      <c r="BB82" s="419">
        <v>0.78</v>
      </c>
      <c r="BC82" s="419">
        <v>0</v>
      </c>
      <c r="BD82" s="419">
        <v>0</v>
      </c>
      <c r="BE82" s="419">
        <v>0</v>
      </c>
      <c r="BF82" s="419">
        <f t="shared" si="159"/>
        <v>0</v>
      </c>
      <c r="BG82" s="419">
        <f t="shared" si="160"/>
        <v>0.78</v>
      </c>
      <c r="BH82" s="421">
        <f t="shared" si="161"/>
        <v>0.78</v>
      </c>
      <c r="BI82" s="780">
        <f t="shared" si="162"/>
        <v>1053564</v>
      </c>
      <c r="BJ82" s="418">
        <f t="shared" si="163"/>
        <v>778258</v>
      </c>
      <c r="BK82" s="418">
        <f t="shared" si="164"/>
        <v>0</v>
      </c>
      <c r="BL82" s="418">
        <f t="shared" si="164"/>
        <v>778258</v>
      </c>
      <c r="BM82" s="418">
        <f t="shared" si="165"/>
        <v>0</v>
      </c>
      <c r="BN82" s="418">
        <f t="shared" si="166"/>
        <v>0</v>
      </c>
      <c r="BO82" s="418">
        <f t="shared" si="166"/>
        <v>0</v>
      </c>
      <c r="BP82" s="418">
        <f t="shared" si="167"/>
        <v>263051</v>
      </c>
      <c r="BQ82" s="418">
        <f t="shared" si="167"/>
        <v>7783</v>
      </c>
      <c r="BR82" s="418">
        <f t="shared" si="168"/>
        <v>4472</v>
      </c>
      <c r="BS82" s="419">
        <f t="shared" si="169"/>
        <v>2.3332999999999999</v>
      </c>
      <c r="BT82" s="419">
        <f t="shared" si="170"/>
        <v>0</v>
      </c>
      <c r="BU82" s="421">
        <f t="shared" si="170"/>
        <v>2.3332999999999999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280">
        <v>16</v>
      </c>
      <c r="B83" s="212">
        <v>5482</v>
      </c>
      <c r="C83" s="212">
        <v>600098982</v>
      </c>
      <c r="D83" s="212">
        <v>71006923</v>
      </c>
      <c r="E83" s="372" t="s">
        <v>479</v>
      </c>
      <c r="F83" s="212">
        <v>3143</v>
      </c>
      <c r="G83" s="323" t="s">
        <v>595</v>
      </c>
      <c r="H83" s="285" t="s">
        <v>271</v>
      </c>
      <c r="I83" s="420">
        <v>1150555</v>
      </c>
      <c r="J83" s="415">
        <v>853528</v>
      </c>
      <c r="K83" s="415">
        <v>853528</v>
      </c>
      <c r="L83" s="415">
        <v>0</v>
      </c>
      <c r="M83" s="415">
        <v>0</v>
      </c>
      <c r="N83" s="415">
        <v>0</v>
      </c>
      <c r="O83" s="415">
        <v>0</v>
      </c>
      <c r="P83" s="68">
        <v>288492</v>
      </c>
      <c r="Q83" s="68">
        <v>8535</v>
      </c>
      <c r="R83" s="415">
        <v>0</v>
      </c>
      <c r="S83" s="416">
        <v>1.75</v>
      </c>
      <c r="T83" s="416">
        <v>1.75</v>
      </c>
      <c r="U83" s="423">
        <v>0</v>
      </c>
      <c r="V83" s="424">
        <f t="shared" si="146"/>
        <v>0</v>
      </c>
      <c r="W83" s="418">
        <f t="shared" si="146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147"/>
        <v>0</v>
      </c>
      <c r="AE83" s="418">
        <f t="shared" si="148"/>
        <v>0</v>
      </c>
      <c r="AF83" s="418">
        <f t="shared" si="149"/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50"/>
        <v>0</v>
      </c>
      <c r="AM83" s="418">
        <f t="shared" si="151"/>
        <v>0</v>
      </c>
      <c r="AN83" s="418">
        <f t="shared" si="152"/>
        <v>0</v>
      </c>
      <c r="AO83" s="418">
        <f t="shared" si="153"/>
        <v>0</v>
      </c>
      <c r="AP83" s="418">
        <f t="shared" si="153"/>
        <v>0</v>
      </c>
      <c r="AQ83" s="418">
        <f t="shared" si="154"/>
        <v>0</v>
      </c>
      <c r="AR83" s="68">
        <f t="shared" si="155"/>
        <v>0</v>
      </c>
      <c r="AS83" s="68">
        <f t="shared" si="156"/>
        <v>0</v>
      </c>
      <c r="AT83" s="418">
        <v>0</v>
      </c>
      <c r="AU83" s="418">
        <v>0</v>
      </c>
      <c r="AV83" s="418">
        <f t="shared" si="157"/>
        <v>0</v>
      </c>
      <c r="AW83" s="418">
        <f t="shared" si="158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159"/>
        <v>0</v>
      </c>
      <c r="BG83" s="419">
        <f t="shared" si="160"/>
        <v>0</v>
      </c>
      <c r="BH83" s="421">
        <f t="shared" si="161"/>
        <v>0</v>
      </c>
      <c r="BI83" s="780">
        <f t="shared" si="162"/>
        <v>1150555</v>
      </c>
      <c r="BJ83" s="418">
        <f t="shared" si="163"/>
        <v>853528</v>
      </c>
      <c r="BK83" s="418">
        <f t="shared" si="164"/>
        <v>853528</v>
      </c>
      <c r="BL83" s="418">
        <f t="shared" si="164"/>
        <v>0</v>
      </c>
      <c r="BM83" s="418">
        <f t="shared" si="165"/>
        <v>0</v>
      </c>
      <c r="BN83" s="418">
        <f t="shared" si="166"/>
        <v>0</v>
      </c>
      <c r="BO83" s="418">
        <f t="shared" si="166"/>
        <v>0</v>
      </c>
      <c r="BP83" s="418">
        <f t="shared" si="167"/>
        <v>288492</v>
      </c>
      <c r="BQ83" s="418">
        <f t="shared" si="167"/>
        <v>8535</v>
      </c>
      <c r="BR83" s="418">
        <f t="shared" si="168"/>
        <v>0</v>
      </c>
      <c r="BS83" s="419">
        <f t="shared" si="169"/>
        <v>1.75</v>
      </c>
      <c r="BT83" s="419">
        <f t="shared" si="170"/>
        <v>1.75</v>
      </c>
      <c r="BU83" s="421">
        <f t="shared" si="170"/>
        <v>0</v>
      </c>
      <c r="BV83" s="420"/>
      <c r="BW83" s="415"/>
      <c r="BX83" s="415"/>
      <c r="BY83" s="415"/>
      <c r="BZ83" s="415"/>
      <c r="CA83" s="510"/>
    </row>
    <row r="84" spans="1:79" ht="12.95" customHeight="1" x14ac:dyDescent="0.25">
      <c r="A84" s="280">
        <v>16</v>
      </c>
      <c r="B84" s="212">
        <v>5482</v>
      </c>
      <c r="C84" s="212">
        <v>600098982</v>
      </c>
      <c r="D84" s="212">
        <v>71006923</v>
      </c>
      <c r="E84" s="372" t="s">
        <v>479</v>
      </c>
      <c r="F84" s="212">
        <v>3143</v>
      </c>
      <c r="G84" s="323" t="s">
        <v>596</v>
      </c>
      <c r="H84" s="285" t="s">
        <v>272</v>
      </c>
      <c r="I84" s="420">
        <v>20506</v>
      </c>
      <c r="J84" s="415">
        <v>14678</v>
      </c>
      <c r="K84" s="415">
        <v>0</v>
      </c>
      <c r="L84" s="415">
        <v>14678</v>
      </c>
      <c r="M84" s="415">
        <v>0</v>
      </c>
      <c r="N84" s="415">
        <v>0</v>
      </c>
      <c r="O84" s="415">
        <v>0</v>
      </c>
      <c r="P84" s="68">
        <v>4961</v>
      </c>
      <c r="Q84" s="68">
        <v>147</v>
      </c>
      <c r="R84" s="415">
        <v>720</v>
      </c>
      <c r="S84" s="416">
        <v>5.5599999999999997E-2</v>
      </c>
      <c r="T84" s="416">
        <v>0</v>
      </c>
      <c r="U84" s="423">
        <v>5.5599999999999997E-2</v>
      </c>
      <c r="V84" s="424">
        <f t="shared" si="146"/>
        <v>0</v>
      </c>
      <c r="W84" s="418">
        <f t="shared" si="146"/>
        <v>0</v>
      </c>
      <c r="X84" s="418">
        <v>0</v>
      </c>
      <c r="Y84" s="418">
        <v>0</v>
      </c>
      <c r="Z84" s="418">
        <v>0</v>
      </c>
      <c r="AA84" s="418">
        <v>7322</v>
      </c>
      <c r="AB84" s="418">
        <v>0</v>
      </c>
      <c r="AC84" s="418">
        <v>0</v>
      </c>
      <c r="AD84" s="418">
        <f t="shared" si="147"/>
        <v>0</v>
      </c>
      <c r="AE84" s="418">
        <f t="shared" si="148"/>
        <v>7322</v>
      </c>
      <c r="AF84" s="418">
        <f t="shared" si="149"/>
        <v>7322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50"/>
        <v>0</v>
      </c>
      <c r="AM84" s="418">
        <f t="shared" si="151"/>
        <v>0</v>
      </c>
      <c r="AN84" s="418">
        <f t="shared" si="152"/>
        <v>0</v>
      </c>
      <c r="AO84" s="418">
        <f t="shared" si="153"/>
        <v>0</v>
      </c>
      <c r="AP84" s="418">
        <f t="shared" si="153"/>
        <v>7322</v>
      </c>
      <c r="AQ84" s="418">
        <f t="shared" si="154"/>
        <v>7322</v>
      </c>
      <c r="AR84" s="68">
        <f t="shared" si="155"/>
        <v>2475</v>
      </c>
      <c r="AS84" s="68">
        <f t="shared" si="156"/>
        <v>73</v>
      </c>
      <c r="AT84" s="418">
        <v>0</v>
      </c>
      <c r="AU84" s="418">
        <v>360</v>
      </c>
      <c r="AV84" s="418">
        <f t="shared" si="157"/>
        <v>360</v>
      </c>
      <c r="AW84" s="418">
        <f t="shared" si="158"/>
        <v>10230</v>
      </c>
      <c r="AX84" s="419">
        <v>0</v>
      </c>
      <c r="AY84" s="419">
        <v>0</v>
      </c>
      <c r="AZ84" s="419">
        <v>0</v>
      </c>
      <c r="BA84" s="419">
        <v>0</v>
      </c>
      <c r="BB84" s="419">
        <v>0.03</v>
      </c>
      <c r="BC84" s="419">
        <v>0</v>
      </c>
      <c r="BD84" s="419">
        <v>0</v>
      </c>
      <c r="BE84" s="419">
        <v>0</v>
      </c>
      <c r="BF84" s="419">
        <f t="shared" si="159"/>
        <v>0</v>
      </c>
      <c r="BG84" s="419">
        <f t="shared" si="160"/>
        <v>0.03</v>
      </c>
      <c r="BH84" s="421">
        <f t="shared" si="161"/>
        <v>0.03</v>
      </c>
      <c r="BI84" s="780">
        <f t="shared" si="162"/>
        <v>30736</v>
      </c>
      <c r="BJ84" s="418">
        <f t="shared" si="163"/>
        <v>22000</v>
      </c>
      <c r="BK84" s="418">
        <f t="shared" si="164"/>
        <v>0</v>
      </c>
      <c r="BL84" s="418">
        <f t="shared" si="164"/>
        <v>22000</v>
      </c>
      <c r="BM84" s="418">
        <f t="shared" si="165"/>
        <v>0</v>
      </c>
      <c r="BN84" s="418">
        <f t="shared" si="166"/>
        <v>0</v>
      </c>
      <c r="BO84" s="418">
        <f t="shared" si="166"/>
        <v>0</v>
      </c>
      <c r="BP84" s="418">
        <f t="shared" si="167"/>
        <v>7436</v>
      </c>
      <c r="BQ84" s="418">
        <f t="shared" si="167"/>
        <v>220</v>
      </c>
      <c r="BR84" s="418">
        <f t="shared" si="168"/>
        <v>1080</v>
      </c>
      <c r="BS84" s="419">
        <f t="shared" si="169"/>
        <v>8.5599999999999996E-2</v>
      </c>
      <c r="BT84" s="419">
        <f t="shared" si="170"/>
        <v>0</v>
      </c>
      <c r="BU84" s="421">
        <f t="shared" si="170"/>
        <v>8.5599999999999996E-2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13">
        <v>16</v>
      </c>
      <c r="B85" s="45">
        <v>5482</v>
      </c>
      <c r="C85" s="45">
        <v>600098982</v>
      </c>
      <c r="D85" s="45">
        <v>71006923</v>
      </c>
      <c r="E85" s="374" t="s">
        <v>480</v>
      </c>
      <c r="F85" s="45"/>
      <c r="G85" s="374"/>
      <c r="H85" s="182"/>
      <c r="I85" s="465">
        <v>8503300</v>
      </c>
      <c r="J85" s="461">
        <v>6247409</v>
      </c>
      <c r="K85" s="461">
        <v>5258155</v>
      </c>
      <c r="L85" s="461">
        <v>989254</v>
      </c>
      <c r="M85" s="461">
        <v>0</v>
      </c>
      <c r="N85" s="461">
        <v>0</v>
      </c>
      <c r="O85" s="461">
        <v>0</v>
      </c>
      <c r="P85" s="461">
        <v>2111625</v>
      </c>
      <c r="Q85" s="461">
        <v>62474</v>
      </c>
      <c r="R85" s="461">
        <v>81792</v>
      </c>
      <c r="S85" s="462">
        <v>11.631400000000001</v>
      </c>
      <c r="T85" s="462">
        <v>8.7044999999999995</v>
      </c>
      <c r="U85" s="535">
        <v>2.9268999999999998</v>
      </c>
      <c r="V85" s="465">
        <f t="shared" ref="V85:CA85" si="171">SUM(V79:V84)</f>
        <v>0</v>
      </c>
      <c r="W85" s="461">
        <f t="shared" si="171"/>
        <v>0</v>
      </c>
      <c r="X85" s="461">
        <f t="shared" si="171"/>
        <v>0</v>
      </c>
      <c r="Y85" s="461">
        <f t="shared" si="171"/>
        <v>0</v>
      </c>
      <c r="Z85" s="461">
        <f t="shared" si="171"/>
        <v>0</v>
      </c>
      <c r="AA85" s="461">
        <f t="shared" si="171"/>
        <v>267586</v>
      </c>
      <c r="AB85" s="461">
        <f t="shared" si="171"/>
        <v>0</v>
      </c>
      <c r="AC85" s="461">
        <f t="shared" si="171"/>
        <v>0</v>
      </c>
      <c r="AD85" s="461">
        <f t="shared" si="171"/>
        <v>0</v>
      </c>
      <c r="AE85" s="461">
        <f t="shared" si="171"/>
        <v>267586</v>
      </c>
      <c r="AF85" s="461">
        <f t="shared" si="171"/>
        <v>267586</v>
      </c>
      <c r="AG85" s="461">
        <f t="shared" si="171"/>
        <v>0</v>
      </c>
      <c r="AH85" s="461">
        <f t="shared" si="171"/>
        <v>0</v>
      </c>
      <c r="AI85" s="461">
        <f t="shared" si="171"/>
        <v>0</v>
      </c>
      <c r="AJ85" s="461">
        <f t="shared" si="171"/>
        <v>0</v>
      </c>
      <c r="AK85" s="461">
        <f t="shared" si="171"/>
        <v>0</v>
      </c>
      <c r="AL85" s="461">
        <f t="shared" si="171"/>
        <v>0</v>
      </c>
      <c r="AM85" s="461">
        <f t="shared" si="171"/>
        <v>0</v>
      </c>
      <c r="AN85" s="461">
        <f t="shared" si="171"/>
        <v>0</v>
      </c>
      <c r="AO85" s="461">
        <f t="shared" si="171"/>
        <v>0</v>
      </c>
      <c r="AP85" s="461">
        <f t="shared" si="171"/>
        <v>267586</v>
      </c>
      <c r="AQ85" s="461">
        <f t="shared" si="171"/>
        <v>267586</v>
      </c>
      <c r="AR85" s="461">
        <f t="shared" si="171"/>
        <v>90444</v>
      </c>
      <c r="AS85" s="461">
        <f t="shared" si="171"/>
        <v>2676</v>
      </c>
      <c r="AT85" s="461">
        <f t="shared" si="171"/>
        <v>0</v>
      </c>
      <c r="AU85" s="461">
        <f t="shared" si="171"/>
        <v>1822</v>
      </c>
      <c r="AV85" s="461">
        <f t="shared" si="171"/>
        <v>1822</v>
      </c>
      <c r="AW85" s="461">
        <f t="shared" si="171"/>
        <v>362528</v>
      </c>
      <c r="AX85" s="462">
        <f t="shared" si="171"/>
        <v>0</v>
      </c>
      <c r="AY85" s="462">
        <f t="shared" si="171"/>
        <v>0</v>
      </c>
      <c r="AZ85" s="462">
        <f t="shared" si="171"/>
        <v>0</v>
      </c>
      <c r="BA85" s="462">
        <f t="shared" si="171"/>
        <v>0</v>
      </c>
      <c r="BB85" s="462">
        <f t="shared" ref="BB85" si="172">SUM(BB79:BB84)</f>
        <v>0.81</v>
      </c>
      <c r="BC85" s="462">
        <f t="shared" si="171"/>
        <v>0</v>
      </c>
      <c r="BD85" s="462">
        <f t="shared" si="171"/>
        <v>0</v>
      </c>
      <c r="BE85" s="462">
        <f t="shared" ref="BE85" si="173">SUM(BE79:BE84)</f>
        <v>0</v>
      </c>
      <c r="BF85" s="462">
        <f t="shared" si="171"/>
        <v>0</v>
      </c>
      <c r="BG85" s="462">
        <f t="shared" si="171"/>
        <v>0.81</v>
      </c>
      <c r="BH85" s="279">
        <f t="shared" si="171"/>
        <v>0.81</v>
      </c>
      <c r="BI85" s="781">
        <f t="shared" si="171"/>
        <v>8865828</v>
      </c>
      <c r="BJ85" s="461">
        <f t="shared" si="171"/>
        <v>6514995</v>
      </c>
      <c r="BK85" s="461">
        <f t="shared" si="171"/>
        <v>5258155</v>
      </c>
      <c r="BL85" s="461">
        <f t="shared" si="171"/>
        <v>1256840</v>
      </c>
      <c r="BM85" s="461">
        <f t="shared" si="171"/>
        <v>0</v>
      </c>
      <c r="BN85" s="461">
        <f t="shared" si="171"/>
        <v>0</v>
      </c>
      <c r="BO85" s="461">
        <f t="shared" si="171"/>
        <v>0</v>
      </c>
      <c r="BP85" s="461">
        <f t="shared" si="171"/>
        <v>2202069</v>
      </c>
      <c r="BQ85" s="461">
        <f t="shared" si="171"/>
        <v>65150</v>
      </c>
      <c r="BR85" s="461">
        <f t="shared" si="171"/>
        <v>83614</v>
      </c>
      <c r="BS85" s="462">
        <f t="shared" si="171"/>
        <v>12.4414</v>
      </c>
      <c r="BT85" s="462">
        <f t="shared" si="171"/>
        <v>8.7044999999999995</v>
      </c>
      <c r="BU85" s="279">
        <f t="shared" si="171"/>
        <v>3.7368999999999999</v>
      </c>
      <c r="BV85" s="850">
        <f t="shared" si="171"/>
        <v>0</v>
      </c>
      <c r="BW85" s="713">
        <f t="shared" si="171"/>
        <v>0</v>
      </c>
      <c r="BX85" s="713">
        <f t="shared" si="171"/>
        <v>0</v>
      </c>
      <c r="BY85" s="713">
        <f t="shared" si="171"/>
        <v>0</v>
      </c>
      <c r="BZ85" s="713">
        <f t="shared" si="171"/>
        <v>0</v>
      </c>
      <c r="CA85" s="851">
        <f t="shared" si="171"/>
        <v>0</v>
      </c>
    </row>
    <row r="86" spans="1:79" ht="12.95" customHeight="1" x14ac:dyDescent="0.25">
      <c r="A86" s="280">
        <v>17</v>
      </c>
      <c r="B86" s="381">
        <v>3421</v>
      </c>
      <c r="C86" s="381">
        <v>600077985</v>
      </c>
      <c r="D86" s="281">
        <v>72741651</v>
      </c>
      <c r="E86" s="380" t="s">
        <v>481</v>
      </c>
      <c r="F86" s="381">
        <v>3111</v>
      </c>
      <c r="G86" s="373" t="s">
        <v>304</v>
      </c>
      <c r="H86" s="285" t="s">
        <v>271</v>
      </c>
      <c r="I86" s="420">
        <v>5886212</v>
      </c>
      <c r="J86" s="415">
        <v>4291028</v>
      </c>
      <c r="K86" s="415">
        <v>3877482</v>
      </c>
      <c r="L86" s="415">
        <v>413546</v>
      </c>
      <c r="M86" s="415">
        <v>60000</v>
      </c>
      <c r="N86" s="415">
        <v>30000</v>
      </c>
      <c r="O86" s="415">
        <v>30000</v>
      </c>
      <c r="P86" s="68">
        <v>1470647</v>
      </c>
      <c r="Q86" s="68">
        <v>42910</v>
      </c>
      <c r="R86" s="415">
        <v>21627</v>
      </c>
      <c r="S86" s="416">
        <v>8.5916999999999994</v>
      </c>
      <c r="T86" s="416">
        <v>7.2084000000000001</v>
      </c>
      <c r="U86" s="423">
        <v>1.3833</v>
      </c>
      <c r="V86" s="424">
        <f t="shared" ref="V86:W88" si="174">AG86*-1</f>
        <v>0</v>
      </c>
      <c r="W86" s="418">
        <f t="shared" si="174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ref="AO86:AP88" si="175">AD86+AL86</f>
        <v>0</v>
      </c>
      <c r="AP86" s="418">
        <f t="shared" si="175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780">
        <f>I86+AW86</f>
        <v>5886212</v>
      </c>
      <c r="BJ86" s="418">
        <f>J86+AF86</f>
        <v>4291028</v>
      </c>
      <c r="BK86" s="418">
        <f t="shared" ref="BK86:BL88" si="176">K86+AD86</f>
        <v>3877482</v>
      </c>
      <c r="BL86" s="418">
        <f t="shared" si="176"/>
        <v>413546</v>
      </c>
      <c r="BM86" s="418">
        <f>M86+AN86</f>
        <v>60000</v>
      </c>
      <c r="BN86" s="418">
        <f t="shared" ref="BN86:BO88" si="177">N86+AL86</f>
        <v>30000</v>
      </c>
      <c r="BO86" s="418">
        <f t="shared" si="177"/>
        <v>30000</v>
      </c>
      <c r="BP86" s="418">
        <f t="shared" ref="BP86:BQ88" si="178">P86+AR86</f>
        <v>1470647</v>
      </c>
      <c r="BQ86" s="418">
        <f t="shared" si="178"/>
        <v>42910</v>
      </c>
      <c r="BR86" s="418">
        <f>R86+AV86</f>
        <v>21627</v>
      </c>
      <c r="BS86" s="419">
        <f>S86+BH86</f>
        <v>8.5916999999999994</v>
      </c>
      <c r="BT86" s="419">
        <f t="shared" ref="BT86:BU88" si="179">T86+BF86</f>
        <v>7.2084000000000001</v>
      </c>
      <c r="BU86" s="421">
        <f t="shared" si="179"/>
        <v>1.3833</v>
      </c>
      <c r="BV86" s="420"/>
      <c r="BW86" s="415"/>
      <c r="BX86" s="415"/>
      <c r="BY86" s="415"/>
      <c r="BZ86" s="415"/>
      <c r="CA86" s="510"/>
    </row>
    <row r="87" spans="1:79" ht="12.95" customHeight="1" x14ac:dyDescent="0.25">
      <c r="A87" s="280">
        <v>17</v>
      </c>
      <c r="B87" s="212">
        <v>3421</v>
      </c>
      <c r="C87" s="212">
        <v>600077985</v>
      </c>
      <c r="D87" s="281">
        <v>72741651</v>
      </c>
      <c r="E87" s="211" t="s">
        <v>481</v>
      </c>
      <c r="F87" s="381">
        <v>3111</v>
      </c>
      <c r="G87" s="323" t="s">
        <v>291</v>
      </c>
      <c r="H87" s="285" t="s">
        <v>272</v>
      </c>
      <c r="I87" s="420">
        <v>499840</v>
      </c>
      <c r="J87" s="415">
        <v>370801</v>
      </c>
      <c r="K87" s="415">
        <v>370801</v>
      </c>
      <c r="L87" s="415">
        <v>0</v>
      </c>
      <c r="M87" s="415">
        <v>0</v>
      </c>
      <c r="N87" s="415">
        <v>0</v>
      </c>
      <c r="O87" s="415">
        <v>0</v>
      </c>
      <c r="P87" s="68">
        <v>125331</v>
      </c>
      <c r="Q87" s="68">
        <v>3708</v>
      </c>
      <c r="R87" s="415">
        <v>0</v>
      </c>
      <c r="S87" s="416">
        <v>1</v>
      </c>
      <c r="T87" s="416">
        <v>1</v>
      </c>
      <c r="U87" s="423">
        <v>0</v>
      </c>
      <c r="V87" s="424">
        <f t="shared" si="174"/>
        <v>0</v>
      </c>
      <c r="W87" s="418">
        <f t="shared" si="174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0</v>
      </c>
      <c r="AF87" s="418">
        <f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75"/>
        <v>0</v>
      </c>
      <c r="AP87" s="418">
        <f t="shared" si="175"/>
        <v>0</v>
      </c>
      <c r="AQ87" s="418">
        <f>SUM(AO87:AP87)</f>
        <v>0</v>
      </c>
      <c r="AR87" s="68">
        <f>ROUND((AF87+AG87+AH87+AI87)*33.8%,0)</f>
        <v>0</v>
      </c>
      <c r="AS87" s="68">
        <f>ROUND(AF87*1%,0)</f>
        <v>0</v>
      </c>
      <c r="AT87" s="418">
        <v>0</v>
      </c>
      <c r="AU87" s="418">
        <v>0</v>
      </c>
      <c r="AV87" s="418">
        <f>AT87+AU87</f>
        <v>0</v>
      </c>
      <c r="AW87" s="418">
        <f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</v>
      </c>
      <c r="BH87" s="421">
        <f>SUM(BF87:BG87)</f>
        <v>0</v>
      </c>
      <c r="BI87" s="780">
        <f>I87+AW87</f>
        <v>499840</v>
      </c>
      <c r="BJ87" s="418">
        <f>J87+AF87</f>
        <v>370801</v>
      </c>
      <c r="BK87" s="418">
        <f t="shared" si="176"/>
        <v>370801</v>
      </c>
      <c r="BL87" s="418">
        <f t="shared" si="176"/>
        <v>0</v>
      </c>
      <c r="BM87" s="418">
        <f>M87+AN87</f>
        <v>0</v>
      </c>
      <c r="BN87" s="418">
        <f t="shared" si="177"/>
        <v>0</v>
      </c>
      <c r="BO87" s="418">
        <f t="shared" si="177"/>
        <v>0</v>
      </c>
      <c r="BP87" s="418">
        <f t="shared" si="178"/>
        <v>125331</v>
      </c>
      <c r="BQ87" s="418">
        <f t="shared" si="178"/>
        <v>3708</v>
      </c>
      <c r="BR87" s="418">
        <f>R87+AV87</f>
        <v>0</v>
      </c>
      <c r="BS87" s="419">
        <f>S87+BH87</f>
        <v>1</v>
      </c>
      <c r="BT87" s="419">
        <f t="shared" si="179"/>
        <v>1</v>
      </c>
      <c r="BU87" s="421">
        <f t="shared" si="179"/>
        <v>0</v>
      </c>
      <c r="BV87" s="420"/>
      <c r="BW87" s="415"/>
      <c r="BX87" s="415"/>
      <c r="BY87" s="415"/>
      <c r="BZ87" s="415"/>
      <c r="CA87" s="510"/>
    </row>
    <row r="88" spans="1:79" ht="12.95" customHeight="1" x14ac:dyDescent="0.25">
      <c r="A88" s="280">
        <v>17</v>
      </c>
      <c r="B88" s="212">
        <v>3421</v>
      </c>
      <c r="C88" s="212">
        <v>600077985</v>
      </c>
      <c r="D88" s="281">
        <v>72741651</v>
      </c>
      <c r="E88" s="211" t="s">
        <v>481</v>
      </c>
      <c r="F88" s="212">
        <v>3141</v>
      </c>
      <c r="G88" s="373" t="s">
        <v>294</v>
      </c>
      <c r="H88" s="285" t="s">
        <v>272</v>
      </c>
      <c r="I88" s="420">
        <v>644181</v>
      </c>
      <c r="J88" s="415">
        <v>475776</v>
      </c>
      <c r="K88" s="415">
        <v>0</v>
      </c>
      <c r="L88" s="415">
        <v>475776</v>
      </c>
      <c r="M88" s="415">
        <v>0</v>
      </c>
      <c r="N88" s="415">
        <v>0</v>
      </c>
      <c r="O88" s="415">
        <v>0</v>
      </c>
      <c r="P88" s="68">
        <v>160812</v>
      </c>
      <c r="Q88" s="68">
        <v>4758</v>
      </c>
      <c r="R88" s="415">
        <v>2835</v>
      </c>
      <c r="S88" s="416">
        <v>1.4267000000000001</v>
      </c>
      <c r="T88" s="416">
        <v>0</v>
      </c>
      <c r="U88" s="423">
        <v>1.4267000000000001</v>
      </c>
      <c r="V88" s="424">
        <f t="shared" si="174"/>
        <v>0</v>
      </c>
      <c r="W88" s="418">
        <f t="shared" si="174"/>
        <v>0</v>
      </c>
      <c r="X88" s="418">
        <v>0</v>
      </c>
      <c r="Y88" s="418">
        <v>0</v>
      </c>
      <c r="Z88" s="418">
        <v>0</v>
      </c>
      <c r="AA88" s="418">
        <v>236725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236725</v>
      </c>
      <c r="AF88" s="418">
        <f>SUM(AD88:AE88)</f>
        <v>236725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75"/>
        <v>0</v>
      </c>
      <c r="AP88" s="418">
        <f t="shared" si="175"/>
        <v>236725</v>
      </c>
      <c r="AQ88" s="418">
        <f>SUM(AO88:AP88)</f>
        <v>236725</v>
      </c>
      <c r="AR88" s="68">
        <f>ROUND((AF88+AG88+AH88+AI88)*33.8%,0)</f>
        <v>80013</v>
      </c>
      <c r="AS88" s="68">
        <f>ROUND(AF88*1%,0)</f>
        <v>2367</v>
      </c>
      <c r="AT88" s="418">
        <v>0</v>
      </c>
      <c r="AU88" s="418">
        <v>1377</v>
      </c>
      <c r="AV88" s="418">
        <f>AT88+AU88</f>
        <v>1377</v>
      </c>
      <c r="AW88" s="418">
        <f>AQ88+AR88+AS88+AV88</f>
        <v>320482</v>
      </c>
      <c r="AX88" s="419">
        <v>0</v>
      </c>
      <c r="AY88" s="419">
        <v>0</v>
      </c>
      <c r="AZ88" s="419">
        <v>0</v>
      </c>
      <c r="BA88" s="419">
        <v>0</v>
      </c>
      <c r="BB88" s="419">
        <v>0.71</v>
      </c>
      <c r="BC88" s="41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0.71</v>
      </c>
      <c r="BH88" s="421">
        <f>SUM(BF88:BG88)</f>
        <v>0.71</v>
      </c>
      <c r="BI88" s="780">
        <f>I88+AW88</f>
        <v>964663</v>
      </c>
      <c r="BJ88" s="418">
        <f>J88+AF88</f>
        <v>712501</v>
      </c>
      <c r="BK88" s="418">
        <f t="shared" si="176"/>
        <v>0</v>
      </c>
      <c r="BL88" s="418">
        <f t="shared" si="176"/>
        <v>712501</v>
      </c>
      <c r="BM88" s="418">
        <f>M88+AN88</f>
        <v>0</v>
      </c>
      <c r="BN88" s="418">
        <f t="shared" si="177"/>
        <v>0</v>
      </c>
      <c r="BO88" s="418">
        <f t="shared" si="177"/>
        <v>0</v>
      </c>
      <c r="BP88" s="418">
        <f t="shared" si="178"/>
        <v>240825</v>
      </c>
      <c r="BQ88" s="418">
        <f t="shared" si="178"/>
        <v>7125</v>
      </c>
      <c r="BR88" s="418">
        <f>R88+AV88</f>
        <v>4212</v>
      </c>
      <c r="BS88" s="419">
        <f>S88+BH88</f>
        <v>2.1367000000000003</v>
      </c>
      <c r="BT88" s="419">
        <f t="shared" si="179"/>
        <v>0</v>
      </c>
      <c r="BU88" s="421">
        <f t="shared" si="179"/>
        <v>2.1367000000000003</v>
      </c>
      <c r="BV88" s="420"/>
      <c r="BW88" s="415"/>
      <c r="BX88" s="415"/>
      <c r="BY88" s="415"/>
      <c r="BZ88" s="415"/>
      <c r="CA88" s="510"/>
    </row>
    <row r="89" spans="1:79" ht="12.95" customHeight="1" x14ac:dyDescent="0.25">
      <c r="A89" s="213">
        <v>17</v>
      </c>
      <c r="B89" s="46">
        <v>3421</v>
      </c>
      <c r="C89" s="46">
        <v>600077985</v>
      </c>
      <c r="D89" s="48">
        <v>72741651</v>
      </c>
      <c r="E89" s="374" t="s">
        <v>482</v>
      </c>
      <c r="F89" s="48"/>
      <c r="G89" s="387"/>
      <c r="H89" s="185"/>
      <c r="I89" s="478">
        <v>7030233</v>
      </c>
      <c r="J89" s="476">
        <v>5137605</v>
      </c>
      <c r="K89" s="476">
        <v>4248283</v>
      </c>
      <c r="L89" s="476">
        <v>889322</v>
      </c>
      <c r="M89" s="476">
        <v>60000</v>
      </c>
      <c r="N89" s="476">
        <v>30000</v>
      </c>
      <c r="O89" s="476">
        <v>30000</v>
      </c>
      <c r="P89" s="476">
        <v>1756790</v>
      </c>
      <c r="Q89" s="476">
        <v>51376</v>
      </c>
      <c r="R89" s="476">
        <v>24462</v>
      </c>
      <c r="S89" s="477">
        <v>11.0184</v>
      </c>
      <c r="T89" s="477">
        <v>8.208400000000001</v>
      </c>
      <c r="U89" s="536">
        <v>2.81</v>
      </c>
      <c r="V89" s="478">
        <f t="shared" ref="V89:CA89" si="180">SUM(V86:V88)</f>
        <v>0</v>
      </c>
      <c r="W89" s="476">
        <f t="shared" si="180"/>
        <v>0</v>
      </c>
      <c r="X89" s="476">
        <f t="shared" si="180"/>
        <v>0</v>
      </c>
      <c r="Y89" s="476">
        <f t="shared" si="180"/>
        <v>0</v>
      </c>
      <c r="Z89" s="476">
        <f t="shared" si="180"/>
        <v>0</v>
      </c>
      <c r="AA89" s="476">
        <f t="shared" si="180"/>
        <v>236725</v>
      </c>
      <c r="AB89" s="476">
        <f t="shared" si="180"/>
        <v>0</v>
      </c>
      <c r="AC89" s="476">
        <f t="shared" si="180"/>
        <v>0</v>
      </c>
      <c r="AD89" s="476">
        <f t="shared" si="180"/>
        <v>0</v>
      </c>
      <c r="AE89" s="476">
        <f t="shared" si="180"/>
        <v>236725</v>
      </c>
      <c r="AF89" s="476">
        <f t="shared" si="180"/>
        <v>236725</v>
      </c>
      <c r="AG89" s="476">
        <f t="shared" si="180"/>
        <v>0</v>
      </c>
      <c r="AH89" s="476">
        <f t="shared" si="180"/>
        <v>0</v>
      </c>
      <c r="AI89" s="476">
        <f t="shared" si="180"/>
        <v>0</v>
      </c>
      <c r="AJ89" s="476">
        <f t="shared" si="180"/>
        <v>0</v>
      </c>
      <c r="AK89" s="476">
        <f t="shared" si="180"/>
        <v>0</v>
      </c>
      <c r="AL89" s="476">
        <f t="shared" si="180"/>
        <v>0</v>
      </c>
      <c r="AM89" s="476">
        <f t="shared" si="180"/>
        <v>0</v>
      </c>
      <c r="AN89" s="476">
        <f t="shared" si="180"/>
        <v>0</v>
      </c>
      <c r="AO89" s="476">
        <f t="shared" si="180"/>
        <v>0</v>
      </c>
      <c r="AP89" s="476">
        <f t="shared" si="180"/>
        <v>236725</v>
      </c>
      <c r="AQ89" s="476">
        <f t="shared" si="180"/>
        <v>236725</v>
      </c>
      <c r="AR89" s="476">
        <f t="shared" si="180"/>
        <v>80013</v>
      </c>
      <c r="AS89" s="476">
        <f t="shared" si="180"/>
        <v>2367</v>
      </c>
      <c r="AT89" s="476">
        <f t="shared" si="180"/>
        <v>0</v>
      </c>
      <c r="AU89" s="476">
        <f t="shared" si="180"/>
        <v>1377</v>
      </c>
      <c r="AV89" s="476">
        <f t="shared" si="180"/>
        <v>1377</v>
      </c>
      <c r="AW89" s="476">
        <f t="shared" si="180"/>
        <v>320482</v>
      </c>
      <c r="AX89" s="477">
        <f t="shared" si="180"/>
        <v>0</v>
      </c>
      <c r="AY89" s="477">
        <f t="shared" si="180"/>
        <v>0</v>
      </c>
      <c r="AZ89" s="477">
        <f t="shared" si="180"/>
        <v>0</v>
      </c>
      <c r="BA89" s="477">
        <f t="shared" si="180"/>
        <v>0</v>
      </c>
      <c r="BB89" s="477">
        <f t="shared" ref="BB89" si="181">SUM(BB86:BB88)</f>
        <v>0.71</v>
      </c>
      <c r="BC89" s="477">
        <f t="shared" si="180"/>
        <v>0</v>
      </c>
      <c r="BD89" s="477">
        <f t="shared" si="180"/>
        <v>0</v>
      </c>
      <c r="BE89" s="477">
        <f t="shared" ref="BE89" si="182">SUM(BE86:BE88)</f>
        <v>0</v>
      </c>
      <c r="BF89" s="477">
        <f t="shared" si="180"/>
        <v>0</v>
      </c>
      <c r="BG89" s="477">
        <f t="shared" si="180"/>
        <v>0.71</v>
      </c>
      <c r="BH89" s="351">
        <f t="shared" si="180"/>
        <v>0.71</v>
      </c>
      <c r="BI89" s="782">
        <f t="shared" si="180"/>
        <v>7350715</v>
      </c>
      <c r="BJ89" s="476">
        <f t="shared" si="180"/>
        <v>5374330</v>
      </c>
      <c r="BK89" s="476">
        <f t="shared" si="180"/>
        <v>4248283</v>
      </c>
      <c r="BL89" s="476">
        <f t="shared" si="180"/>
        <v>1126047</v>
      </c>
      <c r="BM89" s="476">
        <f t="shared" si="180"/>
        <v>60000</v>
      </c>
      <c r="BN89" s="476">
        <f t="shared" si="180"/>
        <v>30000</v>
      </c>
      <c r="BO89" s="476">
        <f t="shared" si="180"/>
        <v>30000</v>
      </c>
      <c r="BP89" s="476">
        <f t="shared" si="180"/>
        <v>1836803</v>
      </c>
      <c r="BQ89" s="476">
        <f t="shared" si="180"/>
        <v>53743</v>
      </c>
      <c r="BR89" s="476">
        <f t="shared" si="180"/>
        <v>25839</v>
      </c>
      <c r="BS89" s="477">
        <f t="shared" si="180"/>
        <v>11.728400000000001</v>
      </c>
      <c r="BT89" s="477">
        <f t="shared" si="180"/>
        <v>8.208400000000001</v>
      </c>
      <c r="BU89" s="351">
        <f t="shared" si="180"/>
        <v>3.5200000000000005</v>
      </c>
      <c r="BV89" s="864">
        <f t="shared" si="180"/>
        <v>0</v>
      </c>
      <c r="BW89" s="729">
        <f t="shared" si="180"/>
        <v>0</v>
      </c>
      <c r="BX89" s="729">
        <f t="shared" si="180"/>
        <v>0</v>
      </c>
      <c r="BY89" s="729">
        <f t="shared" si="180"/>
        <v>0</v>
      </c>
      <c r="BZ89" s="729">
        <f t="shared" si="180"/>
        <v>0</v>
      </c>
      <c r="CA89" s="865">
        <f t="shared" si="180"/>
        <v>0</v>
      </c>
    </row>
    <row r="90" spans="1:79" ht="12.95" customHeight="1" x14ac:dyDescent="0.25">
      <c r="A90" s="280">
        <v>18</v>
      </c>
      <c r="B90" s="212">
        <v>3420</v>
      </c>
      <c r="C90" s="212">
        <v>600078442</v>
      </c>
      <c r="D90" s="281">
        <v>72741571</v>
      </c>
      <c r="E90" s="372" t="s">
        <v>483</v>
      </c>
      <c r="F90" s="212">
        <v>3113</v>
      </c>
      <c r="G90" s="372" t="s">
        <v>308</v>
      </c>
      <c r="H90" s="285" t="s">
        <v>271</v>
      </c>
      <c r="I90" s="420">
        <v>15896398</v>
      </c>
      <c r="J90" s="415">
        <v>11573664</v>
      </c>
      <c r="K90" s="415">
        <v>10498480</v>
      </c>
      <c r="L90" s="415">
        <v>1075184</v>
      </c>
      <c r="M90" s="415">
        <v>53000</v>
      </c>
      <c r="N90" s="415">
        <v>53000</v>
      </c>
      <c r="O90" s="415">
        <v>0</v>
      </c>
      <c r="P90" s="68">
        <v>3929812</v>
      </c>
      <c r="Q90" s="68">
        <v>115737</v>
      </c>
      <c r="R90" s="415">
        <v>224185</v>
      </c>
      <c r="S90" s="416">
        <v>18.799099999999999</v>
      </c>
      <c r="T90" s="416">
        <v>15.6928</v>
      </c>
      <c r="U90" s="423">
        <v>3.1063000000000001</v>
      </c>
      <c r="V90" s="424">
        <f t="shared" ref="V90:W94" si="183">AG90*-1</f>
        <v>0</v>
      </c>
      <c r="W90" s="418">
        <f t="shared" si="183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ref="AO90:AP94" si="184">AD90+AL90</f>
        <v>0</v>
      </c>
      <c r="AP90" s="418">
        <f t="shared" si="184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421">
        <f>SUM(BF90:BG90)</f>
        <v>0</v>
      </c>
      <c r="BI90" s="780">
        <f>I90+AW90</f>
        <v>15896398</v>
      </c>
      <c r="BJ90" s="418">
        <f>J90+AF90</f>
        <v>11573664</v>
      </c>
      <c r="BK90" s="418">
        <f t="shared" ref="BK90:BL94" si="185">K90+AD90</f>
        <v>10498480</v>
      </c>
      <c r="BL90" s="418">
        <f t="shared" si="185"/>
        <v>1075184</v>
      </c>
      <c r="BM90" s="418">
        <f>M90+AN90</f>
        <v>53000</v>
      </c>
      <c r="BN90" s="418">
        <f t="shared" ref="BN90:BO94" si="186">N90+AL90</f>
        <v>53000</v>
      </c>
      <c r="BO90" s="418">
        <f t="shared" si="186"/>
        <v>0</v>
      </c>
      <c r="BP90" s="418">
        <f t="shared" ref="BP90:BQ94" si="187">P90+AR90</f>
        <v>3929812</v>
      </c>
      <c r="BQ90" s="418">
        <f t="shared" si="187"/>
        <v>115737</v>
      </c>
      <c r="BR90" s="418">
        <f>R90+AV90</f>
        <v>224185</v>
      </c>
      <c r="BS90" s="419">
        <f>S90+BH90</f>
        <v>18.799099999999999</v>
      </c>
      <c r="BT90" s="419">
        <f t="shared" ref="BT90:BU94" si="188">T90+BF90</f>
        <v>15.6928</v>
      </c>
      <c r="BU90" s="421">
        <f t="shared" si="188"/>
        <v>3.1063000000000001</v>
      </c>
      <c r="BV90" s="420">
        <v>380136</v>
      </c>
      <c r="BW90" s="415">
        <v>282000</v>
      </c>
      <c r="BX90" s="415">
        <v>0</v>
      </c>
      <c r="BY90" s="415">
        <v>95316</v>
      </c>
      <c r="BZ90" s="415">
        <v>2820</v>
      </c>
      <c r="CA90" s="510">
        <v>0.5</v>
      </c>
    </row>
    <row r="91" spans="1:79" ht="12.95" customHeight="1" x14ac:dyDescent="0.25">
      <c r="A91" s="280">
        <v>18</v>
      </c>
      <c r="B91" s="376">
        <v>3420</v>
      </c>
      <c r="C91" s="376">
        <v>600078442</v>
      </c>
      <c r="D91" s="281">
        <v>72741571</v>
      </c>
      <c r="E91" s="372" t="s">
        <v>483</v>
      </c>
      <c r="F91" s="212">
        <v>3113</v>
      </c>
      <c r="G91" s="323" t="s">
        <v>291</v>
      </c>
      <c r="H91" s="285" t="s">
        <v>272</v>
      </c>
      <c r="I91" s="420">
        <v>499841</v>
      </c>
      <c r="J91" s="415">
        <v>370802</v>
      </c>
      <c r="K91" s="415">
        <v>370802</v>
      </c>
      <c r="L91" s="415">
        <v>0</v>
      </c>
      <c r="M91" s="415">
        <v>0</v>
      </c>
      <c r="N91" s="415">
        <v>0</v>
      </c>
      <c r="O91" s="415">
        <v>0</v>
      </c>
      <c r="P91" s="68">
        <v>125331</v>
      </c>
      <c r="Q91" s="68">
        <v>3708</v>
      </c>
      <c r="R91" s="415">
        <v>0</v>
      </c>
      <c r="S91" s="416">
        <v>1</v>
      </c>
      <c r="T91" s="416">
        <v>1</v>
      </c>
      <c r="U91" s="423">
        <v>0</v>
      </c>
      <c r="V91" s="424">
        <f t="shared" si="183"/>
        <v>0</v>
      </c>
      <c r="W91" s="418">
        <f t="shared" si="183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184"/>
        <v>0</v>
      </c>
      <c r="AP91" s="418">
        <f t="shared" si="184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8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780">
        <f>I91+AW91</f>
        <v>499841</v>
      </c>
      <c r="BJ91" s="418">
        <f>J91+AF91</f>
        <v>370802</v>
      </c>
      <c r="BK91" s="418">
        <f t="shared" si="185"/>
        <v>370802</v>
      </c>
      <c r="BL91" s="418">
        <f t="shared" si="185"/>
        <v>0</v>
      </c>
      <c r="BM91" s="418">
        <f>M91+AN91</f>
        <v>0</v>
      </c>
      <c r="BN91" s="418">
        <f t="shared" si="186"/>
        <v>0</v>
      </c>
      <c r="BO91" s="418">
        <f t="shared" si="186"/>
        <v>0</v>
      </c>
      <c r="BP91" s="418">
        <f t="shared" si="187"/>
        <v>125331</v>
      </c>
      <c r="BQ91" s="418">
        <f t="shared" si="187"/>
        <v>3708</v>
      </c>
      <c r="BR91" s="418">
        <f>R91+AV91</f>
        <v>0</v>
      </c>
      <c r="BS91" s="419">
        <f>S91+BH91</f>
        <v>1</v>
      </c>
      <c r="BT91" s="419">
        <f t="shared" si="188"/>
        <v>1</v>
      </c>
      <c r="BU91" s="421">
        <f t="shared" si="188"/>
        <v>0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280">
        <v>18</v>
      </c>
      <c r="B92" s="212">
        <v>3420</v>
      </c>
      <c r="C92" s="212">
        <v>600078442</v>
      </c>
      <c r="D92" s="281">
        <v>72741571</v>
      </c>
      <c r="E92" s="211" t="s">
        <v>483</v>
      </c>
      <c r="F92" s="212">
        <v>3141</v>
      </c>
      <c r="G92" s="373" t="s">
        <v>294</v>
      </c>
      <c r="H92" s="285" t="s">
        <v>272</v>
      </c>
      <c r="I92" s="420">
        <v>1016927</v>
      </c>
      <c r="J92" s="415">
        <v>749230</v>
      </c>
      <c r="K92" s="415">
        <v>0</v>
      </c>
      <c r="L92" s="415">
        <v>749230</v>
      </c>
      <c r="M92" s="415">
        <v>0</v>
      </c>
      <c r="N92" s="415">
        <v>0</v>
      </c>
      <c r="O92" s="415">
        <v>0</v>
      </c>
      <c r="P92" s="68">
        <v>253240</v>
      </c>
      <c r="Q92" s="68">
        <v>7492</v>
      </c>
      <c r="R92" s="415">
        <v>6965</v>
      </c>
      <c r="S92" s="416">
        <v>2.2467000000000001</v>
      </c>
      <c r="T92" s="416">
        <v>0</v>
      </c>
      <c r="U92" s="423">
        <v>2.2467000000000001</v>
      </c>
      <c r="V92" s="424">
        <f t="shared" si="183"/>
        <v>0</v>
      </c>
      <c r="W92" s="418">
        <f t="shared" si="183"/>
        <v>0</v>
      </c>
      <c r="X92" s="418">
        <v>0</v>
      </c>
      <c r="Y92" s="418">
        <v>0</v>
      </c>
      <c r="Z92" s="418">
        <v>0</v>
      </c>
      <c r="AA92" s="418">
        <v>374991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374991</v>
      </c>
      <c r="AF92" s="418">
        <f>SUM(AD92:AE92)</f>
        <v>374991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84"/>
        <v>0</v>
      </c>
      <c r="AP92" s="418">
        <f t="shared" si="184"/>
        <v>374991</v>
      </c>
      <c r="AQ92" s="418">
        <f>SUM(AO92:AP92)</f>
        <v>374991</v>
      </c>
      <c r="AR92" s="68">
        <f>ROUND((AF92+AG92+AH92+AI92)*33.8%,0)</f>
        <v>126747</v>
      </c>
      <c r="AS92" s="68">
        <f>ROUND(AF92*1%,0)</f>
        <v>3750</v>
      </c>
      <c r="AT92" s="418">
        <v>0</v>
      </c>
      <c r="AU92" s="418">
        <v>3383</v>
      </c>
      <c r="AV92" s="418">
        <f>AT92+AU92</f>
        <v>3383</v>
      </c>
      <c r="AW92" s="418">
        <f>AQ92+AR92+AS92+AV92</f>
        <v>508871</v>
      </c>
      <c r="AX92" s="419">
        <v>0</v>
      </c>
      <c r="AY92" s="419">
        <v>0</v>
      </c>
      <c r="AZ92" s="419">
        <v>0</v>
      </c>
      <c r="BA92" s="419">
        <v>0</v>
      </c>
      <c r="BB92" s="419">
        <v>1.1200000000000001</v>
      </c>
      <c r="BC92" s="41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1.1200000000000001</v>
      </c>
      <c r="BH92" s="421">
        <f>SUM(BF92:BG92)</f>
        <v>1.1200000000000001</v>
      </c>
      <c r="BI92" s="780">
        <f>I92+AW92</f>
        <v>1525798</v>
      </c>
      <c r="BJ92" s="418">
        <f>J92+AF92</f>
        <v>1124221</v>
      </c>
      <c r="BK92" s="418">
        <f t="shared" si="185"/>
        <v>0</v>
      </c>
      <c r="BL92" s="418">
        <f t="shared" si="185"/>
        <v>1124221</v>
      </c>
      <c r="BM92" s="418">
        <f>M92+AN92</f>
        <v>0</v>
      </c>
      <c r="BN92" s="418">
        <f t="shared" si="186"/>
        <v>0</v>
      </c>
      <c r="BO92" s="418">
        <f t="shared" si="186"/>
        <v>0</v>
      </c>
      <c r="BP92" s="418">
        <f t="shared" si="187"/>
        <v>379987</v>
      </c>
      <c r="BQ92" s="418">
        <f t="shared" si="187"/>
        <v>11242</v>
      </c>
      <c r="BR92" s="418">
        <f>R92+AV92</f>
        <v>10348</v>
      </c>
      <c r="BS92" s="419">
        <f>S92+BH92</f>
        <v>3.3667000000000002</v>
      </c>
      <c r="BT92" s="419">
        <f t="shared" si="188"/>
        <v>0</v>
      </c>
      <c r="BU92" s="421">
        <f t="shared" si="188"/>
        <v>3.3667000000000002</v>
      </c>
      <c r="BV92" s="420"/>
      <c r="BW92" s="415"/>
      <c r="BX92" s="415"/>
      <c r="BY92" s="415"/>
      <c r="BZ92" s="415"/>
      <c r="CA92" s="510"/>
    </row>
    <row r="93" spans="1:79" ht="12.95" customHeight="1" x14ac:dyDescent="0.25">
      <c r="A93" s="280">
        <v>18</v>
      </c>
      <c r="B93" s="376">
        <v>3420</v>
      </c>
      <c r="C93" s="376">
        <v>600078442</v>
      </c>
      <c r="D93" s="281">
        <v>72741571</v>
      </c>
      <c r="E93" s="372" t="s">
        <v>483</v>
      </c>
      <c r="F93" s="212">
        <v>3143</v>
      </c>
      <c r="G93" s="323" t="s">
        <v>595</v>
      </c>
      <c r="H93" s="285" t="s">
        <v>271</v>
      </c>
      <c r="I93" s="420">
        <v>965637</v>
      </c>
      <c r="J93" s="415">
        <v>716348</v>
      </c>
      <c r="K93" s="415">
        <v>716348</v>
      </c>
      <c r="L93" s="415">
        <v>0</v>
      </c>
      <c r="M93" s="415">
        <v>0</v>
      </c>
      <c r="N93" s="415">
        <v>0</v>
      </c>
      <c r="O93" s="415">
        <v>0</v>
      </c>
      <c r="P93" s="68">
        <v>242126</v>
      </c>
      <c r="Q93" s="68">
        <v>7163</v>
      </c>
      <c r="R93" s="415">
        <v>0</v>
      </c>
      <c r="S93" s="416">
        <v>1.5</v>
      </c>
      <c r="T93" s="416">
        <v>1.5</v>
      </c>
      <c r="U93" s="423">
        <v>0</v>
      </c>
      <c r="V93" s="424">
        <f t="shared" si="183"/>
        <v>0</v>
      </c>
      <c r="W93" s="418">
        <f t="shared" si="183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84"/>
        <v>0</v>
      </c>
      <c r="AP93" s="418">
        <f t="shared" si="184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21">
        <f>SUM(BF93:BG93)</f>
        <v>0</v>
      </c>
      <c r="BI93" s="780">
        <f>I93+AW93</f>
        <v>965637</v>
      </c>
      <c r="BJ93" s="418">
        <f>J93+AF93</f>
        <v>716348</v>
      </c>
      <c r="BK93" s="418">
        <f t="shared" si="185"/>
        <v>716348</v>
      </c>
      <c r="BL93" s="418">
        <f t="shared" si="185"/>
        <v>0</v>
      </c>
      <c r="BM93" s="418">
        <f>M93+AN93</f>
        <v>0</v>
      </c>
      <c r="BN93" s="418">
        <f t="shared" si="186"/>
        <v>0</v>
      </c>
      <c r="BO93" s="418">
        <f t="shared" si="186"/>
        <v>0</v>
      </c>
      <c r="BP93" s="418">
        <f t="shared" si="187"/>
        <v>242126</v>
      </c>
      <c r="BQ93" s="418">
        <f t="shared" si="187"/>
        <v>7163</v>
      </c>
      <c r="BR93" s="418">
        <f>R93+AV93</f>
        <v>0</v>
      </c>
      <c r="BS93" s="419">
        <f>S93+BH93</f>
        <v>1.5</v>
      </c>
      <c r="BT93" s="419">
        <f t="shared" si="188"/>
        <v>1.5</v>
      </c>
      <c r="BU93" s="421">
        <f t="shared" si="188"/>
        <v>0</v>
      </c>
      <c r="BV93" s="420"/>
      <c r="BW93" s="415"/>
      <c r="BX93" s="415"/>
      <c r="BY93" s="415"/>
      <c r="BZ93" s="415"/>
      <c r="CA93" s="510"/>
    </row>
    <row r="94" spans="1:79" ht="12.95" customHeight="1" x14ac:dyDescent="0.25">
      <c r="A94" s="280">
        <v>18</v>
      </c>
      <c r="B94" s="376">
        <v>3420</v>
      </c>
      <c r="C94" s="376">
        <v>600078442</v>
      </c>
      <c r="D94" s="281">
        <v>72741571</v>
      </c>
      <c r="E94" s="372" t="s">
        <v>483</v>
      </c>
      <c r="F94" s="212">
        <v>3143</v>
      </c>
      <c r="G94" s="323" t="s">
        <v>596</v>
      </c>
      <c r="H94" s="285" t="s">
        <v>272</v>
      </c>
      <c r="I94" s="420">
        <v>26114</v>
      </c>
      <c r="J94" s="415">
        <v>18691</v>
      </c>
      <c r="K94" s="415">
        <v>0</v>
      </c>
      <c r="L94" s="415">
        <v>18691</v>
      </c>
      <c r="M94" s="415">
        <v>0</v>
      </c>
      <c r="N94" s="415">
        <v>0</v>
      </c>
      <c r="O94" s="415">
        <v>0</v>
      </c>
      <c r="P94" s="68">
        <v>6318</v>
      </c>
      <c r="Q94" s="68">
        <v>187</v>
      </c>
      <c r="R94" s="415">
        <v>918</v>
      </c>
      <c r="S94" s="416">
        <v>7.0800000000000002E-2</v>
      </c>
      <c r="T94" s="416">
        <v>0</v>
      </c>
      <c r="U94" s="423">
        <v>7.0800000000000002E-2</v>
      </c>
      <c r="V94" s="424">
        <f t="shared" si="183"/>
        <v>0</v>
      </c>
      <c r="W94" s="418">
        <f t="shared" si="183"/>
        <v>0</v>
      </c>
      <c r="X94" s="418">
        <v>0</v>
      </c>
      <c r="Y94" s="418">
        <v>0</v>
      </c>
      <c r="Z94" s="418">
        <v>0</v>
      </c>
      <c r="AA94" s="418">
        <v>9359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9359</v>
      </c>
      <c r="AF94" s="418">
        <f>SUM(AD94:AE94)</f>
        <v>9359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84"/>
        <v>0</v>
      </c>
      <c r="AP94" s="418">
        <f t="shared" si="184"/>
        <v>9359</v>
      </c>
      <c r="AQ94" s="418">
        <f>SUM(AO94:AP94)</f>
        <v>9359</v>
      </c>
      <c r="AR94" s="68">
        <f>ROUND((AF94+AG94+AH94+AI94)*33.8%,0)</f>
        <v>3163</v>
      </c>
      <c r="AS94" s="68">
        <f>ROUND(AF94*1%,0)</f>
        <v>94</v>
      </c>
      <c r="AT94" s="418">
        <v>0</v>
      </c>
      <c r="AU94" s="418">
        <v>459</v>
      </c>
      <c r="AV94" s="418">
        <f>AT94+AU94</f>
        <v>459</v>
      </c>
      <c r="AW94" s="418">
        <f>AQ94+AR94+AS94+AV94</f>
        <v>13075</v>
      </c>
      <c r="AX94" s="419">
        <v>0</v>
      </c>
      <c r="AY94" s="419">
        <v>0</v>
      </c>
      <c r="AZ94" s="419">
        <v>0</v>
      </c>
      <c r="BA94" s="419">
        <v>0</v>
      </c>
      <c r="BB94" s="419">
        <v>0.04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0.04</v>
      </c>
      <c r="BH94" s="421">
        <f>SUM(BF94:BG94)</f>
        <v>0.04</v>
      </c>
      <c r="BI94" s="780">
        <f>I94+AW94</f>
        <v>39189</v>
      </c>
      <c r="BJ94" s="418">
        <f>J94+AF94</f>
        <v>28050</v>
      </c>
      <c r="BK94" s="418">
        <f t="shared" si="185"/>
        <v>0</v>
      </c>
      <c r="BL94" s="418">
        <f t="shared" si="185"/>
        <v>28050</v>
      </c>
      <c r="BM94" s="418">
        <f>M94+AN94</f>
        <v>0</v>
      </c>
      <c r="BN94" s="418">
        <f t="shared" si="186"/>
        <v>0</v>
      </c>
      <c r="BO94" s="418">
        <f t="shared" si="186"/>
        <v>0</v>
      </c>
      <c r="BP94" s="418">
        <f t="shared" si="187"/>
        <v>9481</v>
      </c>
      <c r="BQ94" s="418">
        <f t="shared" si="187"/>
        <v>281</v>
      </c>
      <c r="BR94" s="418">
        <f>R94+AV94</f>
        <v>1377</v>
      </c>
      <c r="BS94" s="419">
        <f>S94+BH94</f>
        <v>0.11080000000000001</v>
      </c>
      <c r="BT94" s="419">
        <f t="shared" si="188"/>
        <v>0</v>
      </c>
      <c r="BU94" s="421">
        <f t="shared" si="188"/>
        <v>0.11080000000000001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13">
        <v>18</v>
      </c>
      <c r="B95" s="46">
        <v>3420</v>
      </c>
      <c r="C95" s="46">
        <v>600078442</v>
      </c>
      <c r="D95" s="46">
        <v>72741571</v>
      </c>
      <c r="E95" s="374" t="s">
        <v>484</v>
      </c>
      <c r="F95" s="45"/>
      <c r="G95" s="374"/>
      <c r="H95" s="182"/>
      <c r="I95" s="465">
        <v>18404917</v>
      </c>
      <c r="J95" s="461">
        <v>13428735</v>
      </c>
      <c r="K95" s="461">
        <v>11585630</v>
      </c>
      <c r="L95" s="461">
        <v>1843105</v>
      </c>
      <c r="M95" s="461">
        <v>53000</v>
      </c>
      <c r="N95" s="461">
        <v>53000</v>
      </c>
      <c r="O95" s="461">
        <v>0</v>
      </c>
      <c r="P95" s="461">
        <v>4556827</v>
      </c>
      <c r="Q95" s="461">
        <v>134287</v>
      </c>
      <c r="R95" s="461">
        <v>232068</v>
      </c>
      <c r="S95" s="462">
        <v>23.616599999999998</v>
      </c>
      <c r="T95" s="462">
        <v>18.192799999999998</v>
      </c>
      <c r="U95" s="535">
        <v>5.4238</v>
      </c>
      <c r="V95" s="465">
        <f t="shared" ref="V95:CA95" si="189">SUM(V90:V94)</f>
        <v>0</v>
      </c>
      <c r="W95" s="461">
        <f t="shared" si="189"/>
        <v>0</v>
      </c>
      <c r="X95" s="461">
        <f t="shared" si="189"/>
        <v>0</v>
      </c>
      <c r="Y95" s="461">
        <f t="shared" si="189"/>
        <v>0</v>
      </c>
      <c r="Z95" s="461">
        <f t="shared" si="189"/>
        <v>0</v>
      </c>
      <c r="AA95" s="461">
        <f t="shared" si="189"/>
        <v>384350</v>
      </c>
      <c r="AB95" s="461">
        <f t="shared" si="189"/>
        <v>0</v>
      </c>
      <c r="AC95" s="461">
        <f t="shared" si="189"/>
        <v>0</v>
      </c>
      <c r="AD95" s="461">
        <f t="shared" si="189"/>
        <v>0</v>
      </c>
      <c r="AE95" s="461">
        <f t="shared" si="189"/>
        <v>384350</v>
      </c>
      <c r="AF95" s="461">
        <f t="shared" si="189"/>
        <v>384350</v>
      </c>
      <c r="AG95" s="461">
        <f t="shared" si="189"/>
        <v>0</v>
      </c>
      <c r="AH95" s="461">
        <f t="shared" si="189"/>
        <v>0</v>
      </c>
      <c r="AI95" s="461">
        <f t="shared" si="189"/>
        <v>0</v>
      </c>
      <c r="AJ95" s="461">
        <f t="shared" si="189"/>
        <v>0</v>
      </c>
      <c r="AK95" s="461">
        <f t="shared" si="189"/>
        <v>0</v>
      </c>
      <c r="AL95" s="461">
        <f t="shared" si="189"/>
        <v>0</v>
      </c>
      <c r="AM95" s="461">
        <f t="shared" si="189"/>
        <v>0</v>
      </c>
      <c r="AN95" s="461">
        <f t="shared" si="189"/>
        <v>0</v>
      </c>
      <c r="AO95" s="461">
        <f t="shared" si="189"/>
        <v>0</v>
      </c>
      <c r="AP95" s="461">
        <f t="shared" si="189"/>
        <v>384350</v>
      </c>
      <c r="AQ95" s="461">
        <f t="shared" si="189"/>
        <v>384350</v>
      </c>
      <c r="AR95" s="461">
        <f t="shared" si="189"/>
        <v>129910</v>
      </c>
      <c r="AS95" s="461">
        <f t="shared" si="189"/>
        <v>3844</v>
      </c>
      <c r="AT95" s="461">
        <f t="shared" si="189"/>
        <v>0</v>
      </c>
      <c r="AU95" s="461">
        <f t="shared" si="189"/>
        <v>3842</v>
      </c>
      <c r="AV95" s="461">
        <f t="shared" si="189"/>
        <v>3842</v>
      </c>
      <c r="AW95" s="461">
        <f t="shared" si="189"/>
        <v>521946</v>
      </c>
      <c r="AX95" s="462">
        <f t="shared" si="189"/>
        <v>0</v>
      </c>
      <c r="AY95" s="462">
        <f t="shared" si="189"/>
        <v>0</v>
      </c>
      <c r="AZ95" s="462">
        <f t="shared" si="189"/>
        <v>0</v>
      </c>
      <c r="BA95" s="462">
        <f t="shared" si="189"/>
        <v>0</v>
      </c>
      <c r="BB95" s="462">
        <f t="shared" ref="BB95" si="190">SUM(BB90:BB94)</f>
        <v>1.1600000000000001</v>
      </c>
      <c r="BC95" s="462">
        <f t="shared" si="189"/>
        <v>0</v>
      </c>
      <c r="BD95" s="462">
        <f t="shared" si="189"/>
        <v>0</v>
      </c>
      <c r="BE95" s="462">
        <f t="shared" ref="BE95" si="191">SUM(BE90:BE94)</f>
        <v>0</v>
      </c>
      <c r="BF95" s="462">
        <f t="shared" si="189"/>
        <v>0</v>
      </c>
      <c r="BG95" s="462">
        <f t="shared" si="189"/>
        <v>1.1600000000000001</v>
      </c>
      <c r="BH95" s="279">
        <f t="shared" si="189"/>
        <v>1.1600000000000001</v>
      </c>
      <c r="BI95" s="781">
        <f t="shared" si="189"/>
        <v>18926863</v>
      </c>
      <c r="BJ95" s="461">
        <f t="shared" si="189"/>
        <v>13813085</v>
      </c>
      <c r="BK95" s="461">
        <f t="shared" si="189"/>
        <v>11585630</v>
      </c>
      <c r="BL95" s="461">
        <f t="shared" si="189"/>
        <v>2227455</v>
      </c>
      <c r="BM95" s="461">
        <f t="shared" si="189"/>
        <v>53000</v>
      </c>
      <c r="BN95" s="461">
        <f t="shared" si="189"/>
        <v>53000</v>
      </c>
      <c r="BO95" s="461">
        <f t="shared" si="189"/>
        <v>0</v>
      </c>
      <c r="BP95" s="461">
        <f t="shared" si="189"/>
        <v>4686737</v>
      </c>
      <c r="BQ95" s="461">
        <f t="shared" si="189"/>
        <v>138131</v>
      </c>
      <c r="BR95" s="461">
        <f t="shared" si="189"/>
        <v>235910</v>
      </c>
      <c r="BS95" s="462">
        <f t="shared" si="189"/>
        <v>24.776600000000002</v>
      </c>
      <c r="BT95" s="462">
        <f t="shared" si="189"/>
        <v>18.192799999999998</v>
      </c>
      <c r="BU95" s="279">
        <f t="shared" si="189"/>
        <v>6.583800000000001</v>
      </c>
      <c r="BV95" s="850">
        <f t="shared" si="189"/>
        <v>380136</v>
      </c>
      <c r="BW95" s="713">
        <f t="shared" si="189"/>
        <v>282000</v>
      </c>
      <c r="BX95" s="713">
        <f t="shared" si="189"/>
        <v>0</v>
      </c>
      <c r="BY95" s="713">
        <f t="shared" si="189"/>
        <v>95316</v>
      </c>
      <c r="BZ95" s="713">
        <f t="shared" si="189"/>
        <v>2820</v>
      </c>
      <c r="CA95" s="851">
        <f t="shared" si="189"/>
        <v>0.5</v>
      </c>
    </row>
    <row r="96" spans="1:79" ht="12.95" customHeight="1" x14ac:dyDescent="0.25">
      <c r="A96" s="280">
        <v>19</v>
      </c>
      <c r="B96" s="370">
        <v>5493</v>
      </c>
      <c r="C96" s="370">
        <v>691009813</v>
      </c>
      <c r="D96" s="281">
        <v>6181457</v>
      </c>
      <c r="E96" s="371" t="s">
        <v>485</v>
      </c>
      <c r="F96" s="370">
        <v>3111</v>
      </c>
      <c r="G96" s="373" t="s">
        <v>304</v>
      </c>
      <c r="H96" s="285" t="s">
        <v>271</v>
      </c>
      <c r="I96" s="420">
        <v>3500050</v>
      </c>
      <c r="J96" s="415">
        <v>2588553</v>
      </c>
      <c r="K96" s="415">
        <v>2366761</v>
      </c>
      <c r="L96" s="415">
        <v>221792</v>
      </c>
      <c r="M96" s="415">
        <v>0</v>
      </c>
      <c r="N96" s="415">
        <v>0</v>
      </c>
      <c r="O96" s="415">
        <v>0</v>
      </c>
      <c r="P96" s="68">
        <v>874931</v>
      </c>
      <c r="Q96" s="68">
        <v>25886</v>
      </c>
      <c r="R96" s="415">
        <v>10680</v>
      </c>
      <c r="S96" s="416">
        <v>4.9726999999999997</v>
      </c>
      <c r="T96" s="416">
        <v>4.226</v>
      </c>
      <c r="U96" s="423">
        <v>0.74669999999999992</v>
      </c>
      <c r="V96" s="424">
        <f t="shared" ref="V96:W98" si="192">AG96*-1</f>
        <v>0</v>
      </c>
      <c r="W96" s="418">
        <f t="shared" si="192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ref="AO96:AP98" si="193">AD96+AL96</f>
        <v>0</v>
      </c>
      <c r="AP96" s="418">
        <f t="shared" si="193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421">
        <f>SUM(BF96:BG96)</f>
        <v>0</v>
      </c>
      <c r="BI96" s="780">
        <f>I96+AW96</f>
        <v>3500050</v>
      </c>
      <c r="BJ96" s="418">
        <f>J96+AF96</f>
        <v>2588553</v>
      </c>
      <c r="BK96" s="418">
        <f t="shared" ref="BK96:BL98" si="194">K96+AD96</f>
        <v>2366761</v>
      </c>
      <c r="BL96" s="418">
        <f t="shared" si="194"/>
        <v>221792</v>
      </c>
      <c r="BM96" s="418">
        <f>M96+AN96</f>
        <v>0</v>
      </c>
      <c r="BN96" s="418">
        <f t="shared" ref="BN96:BO98" si="195">N96+AL96</f>
        <v>0</v>
      </c>
      <c r="BO96" s="418">
        <f t="shared" si="195"/>
        <v>0</v>
      </c>
      <c r="BP96" s="418">
        <f t="shared" ref="BP96:BQ98" si="196">P96+AR96</f>
        <v>874931</v>
      </c>
      <c r="BQ96" s="418">
        <f t="shared" si="196"/>
        <v>25886</v>
      </c>
      <c r="BR96" s="418">
        <f>R96+AV96</f>
        <v>10680</v>
      </c>
      <c r="BS96" s="419">
        <f>S96+BH96</f>
        <v>4.9726999999999997</v>
      </c>
      <c r="BT96" s="419">
        <f t="shared" ref="BT96:BU98" si="197">T96+BF96</f>
        <v>4.226</v>
      </c>
      <c r="BU96" s="421">
        <f t="shared" si="197"/>
        <v>0.74669999999999992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280">
        <v>19</v>
      </c>
      <c r="B97" s="370">
        <v>5493</v>
      </c>
      <c r="C97" s="370">
        <v>691009813</v>
      </c>
      <c r="D97" s="281">
        <v>6181457</v>
      </c>
      <c r="E97" s="371" t="s">
        <v>485</v>
      </c>
      <c r="F97" s="370">
        <v>3111</v>
      </c>
      <c r="G97" s="323" t="s">
        <v>291</v>
      </c>
      <c r="H97" s="285" t="s">
        <v>272</v>
      </c>
      <c r="I97" s="420">
        <v>0</v>
      </c>
      <c r="J97" s="415">
        <v>0</v>
      </c>
      <c r="K97" s="415">
        <v>0</v>
      </c>
      <c r="L97" s="415">
        <v>0</v>
      </c>
      <c r="M97" s="415">
        <v>0</v>
      </c>
      <c r="N97" s="415">
        <v>0</v>
      </c>
      <c r="O97" s="415">
        <v>0</v>
      </c>
      <c r="P97" s="68">
        <v>0</v>
      </c>
      <c r="Q97" s="68">
        <v>0</v>
      </c>
      <c r="R97" s="415">
        <v>0</v>
      </c>
      <c r="S97" s="416">
        <v>0</v>
      </c>
      <c r="T97" s="416">
        <v>0</v>
      </c>
      <c r="U97" s="423">
        <v>0</v>
      </c>
      <c r="V97" s="424">
        <f t="shared" si="192"/>
        <v>0</v>
      </c>
      <c r="W97" s="418">
        <f t="shared" si="192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193"/>
        <v>0</v>
      </c>
      <c r="AP97" s="418">
        <f t="shared" si="193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8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421">
        <f>SUM(BF97:BG97)</f>
        <v>0</v>
      </c>
      <c r="BI97" s="780">
        <f>I97+AW97</f>
        <v>0</v>
      </c>
      <c r="BJ97" s="418">
        <f>J97+AF97</f>
        <v>0</v>
      </c>
      <c r="BK97" s="418">
        <f t="shared" si="194"/>
        <v>0</v>
      </c>
      <c r="BL97" s="418">
        <f t="shared" si="194"/>
        <v>0</v>
      </c>
      <c r="BM97" s="418">
        <f>M97+AN97</f>
        <v>0</v>
      </c>
      <c r="BN97" s="418">
        <f t="shared" si="195"/>
        <v>0</v>
      </c>
      <c r="BO97" s="418">
        <f t="shared" si="195"/>
        <v>0</v>
      </c>
      <c r="BP97" s="418">
        <f t="shared" si="196"/>
        <v>0</v>
      </c>
      <c r="BQ97" s="418">
        <f t="shared" si="196"/>
        <v>0</v>
      </c>
      <c r="BR97" s="418">
        <f>R97+AV97</f>
        <v>0</v>
      </c>
      <c r="BS97" s="419">
        <f>S97+BH97</f>
        <v>0</v>
      </c>
      <c r="BT97" s="419">
        <f t="shared" si="197"/>
        <v>0</v>
      </c>
      <c r="BU97" s="421">
        <f t="shared" si="197"/>
        <v>0</v>
      </c>
      <c r="BV97" s="420"/>
      <c r="BW97" s="415"/>
      <c r="BX97" s="415"/>
      <c r="BY97" s="415"/>
      <c r="BZ97" s="415"/>
      <c r="CA97" s="510"/>
    </row>
    <row r="98" spans="1:79" ht="12.95" customHeight="1" x14ac:dyDescent="0.25">
      <c r="A98" s="280">
        <v>19</v>
      </c>
      <c r="B98" s="381">
        <v>5493</v>
      </c>
      <c r="C98" s="381">
        <v>691009813</v>
      </c>
      <c r="D98" s="281">
        <v>6181457</v>
      </c>
      <c r="E98" s="380" t="s">
        <v>485</v>
      </c>
      <c r="F98" s="381">
        <v>3141</v>
      </c>
      <c r="G98" s="373" t="s">
        <v>294</v>
      </c>
      <c r="H98" s="285" t="s">
        <v>272</v>
      </c>
      <c r="I98" s="420">
        <v>156750</v>
      </c>
      <c r="J98" s="415">
        <v>115618</v>
      </c>
      <c r="K98" s="415">
        <v>0</v>
      </c>
      <c r="L98" s="415">
        <v>115618</v>
      </c>
      <c r="M98" s="415">
        <v>0</v>
      </c>
      <c r="N98" s="415">
        <v>0</v>
      </c>
      <c r="O98" s="415">
        <v>0</v>
      </c>
      <c r="P98" s="68">
        <v>39079</v>
      </c>
      <c r="Q98" s="68">
        <v>1156</v>
      </c>
      <c r="R98" s="415">
        <v>897</v>
      </c>
      <c r="S98" s="416">
        <v>0.34670000000000001</v>
      </c>
      <c r="T98" s="416">
        <v>0</v>
      </c>
      <c r="U98" s="423">
        <v>0.34670000000000001</v>
      </c>
      <c r="V98" s="424">
        <f t="shared" si="192"/>
        <v>0</v>
      </c>
      <c r="W98" s="418">
        <f t="shared" si="192"/>
        <v>0</v>
      </c>
      <c r="X98" s="418">
        <v>0</v>
      </c>
      <c r="Y98" s="418">
        <v>0</v>
      </c>
      <c r="Z98" s="418">
        <v>0</v>
      </c>
      <c r="AA98" s="418">
        <v>57539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57539</v>
      </c>
      <c r="AF98" s="418">
        <f>SUM(AD98:AE98)</f>
        <v>57539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>AG98+AI98+AJ98</f>
        <v>0</v>
      </c>
      <c r="AM98" s="418">
        <f>AH98+AK98</f>
        <v>0</v>
      </c>
      <c r="AN98" s="418">
        <f>SUM(AL98:AM98)</f>
        <v>0</v>
      </c>
      <c r="AO98" s="418">
        <f t="shared" si="193"/>
        <v>0</v>
      </c>
      <c r="AP98" s="418">
        <f t="shared" si="193"/>
        <v>57539</v>
      </c>
      <c r="AQ98" s="418">
        <f>SUM(AO98:AP98)</f>
        <v>57539</v>
      </c>
      <c r="AR98" s="68">
        <f>ROUND((AF98+AG98+AH98+AI98)*33.8%,0)</f>
        <v>19448</v>
      </c>
      <c r="AS98" s="68">
        <f>ROUND(AF98*1%,0)</f>
        <v>575</v>
      </c>
      <c r="AT98" s="418">
        <v>0</v>
      </c>
      <c r="AU98" s="418">
        <v>429</v>
      </c>
      <c r="AV98" s="418">
        <f>AT98+AU98</f>
        <v>429</v>
      </c>
      <c r="AW98" s="418">
        <f>AQ98+AR98+AS98+AV98</f>
        <v>77991</v>
      </c>
      <c r="AX98" s="419">
        <v>0</v>
      </c>
      <c r="AY98" s="419">
        <v>0</v>
      </c>
      <c r="AZ98" s="419">
        <v>0</v>
      </c>
      <c r="BA98" s="419">
        <v>0</v>
      </c>
      <c r="BB98" s="419">
        <v>0.17</v>
      </c>
      <c r="BC98" s="419">
        <v>0</v>
      </c>
      <c r="BD98" s="419">
        <v>0</v>
      </c>
      <c r="BE98" s="419">
        <v>0</v>
      </c>
      <c r="BF98" s="419">
        <f>AX98+AZ98+BA98+BC98+BD98</f>
        <v>0</v>
      </c>
      <c r="BG98" s="419">
        <f>AY98+BB98+BE98</f>
        <v>0.17</v>
      </c>
      <c r="BH98" s="421">
        <f>SUM(BF98:BG98)</f>
        <v>0.17</v>
      </c>
      <c r="BI98" s="780">
        <f>I98+AW98</f>
        <v>234741</v>
      </c>
      <c r="BJ98" s="418">
        <f>J98+AF98</f>
        <v>173157</v>
      </c>
      <c r="BK98" s="418">
        <f t="shared" si="194"/>
        <v>0</v>
      </c>
      <c r="BL98" s="418">
        <f t="shared" si="194"/>
        <v>173157</v>
      </c>
      <c r="BM98" s="418">
        <f>M98+AN98</f>
        <v>0</v>
      </c>
      <c r="BN98" s="418">
        <f t="shared" si="195"/>
        <v>0</v>
      </c>
      <c r="BO98" s="418">
        <f t="shared" si="195"/>
        <v>0</v>
      </c>
      <c r="BP98" s="418">
        <f t="shared" si="196"/>
        <v>58527</v>
      </c>
      <c r="BQ98" s="418">
        <f t="shared" si="196"/>
        <v>1731</v>
      </c>
      <c r="BR98" s="418">
        <f>R98+AV98</f>
        <v>1326</v>
      </c>
      <c r="BS98" s="419">
        <f>S98+BH98</f>
        <v>0.51670000000000005</v>
      </c>
      <c r="BT98" s="419">
        <f t="shared" si="197"/>
        <v>0</v>
      </c>
      <c r="BU98" s="421">
        <f t="shared" si="197"/>
        <v>0.51670000000000005</v>
      </c>
      <c r="BV98" s="420"/>
      <c r="BW98" s="415"/>
      <c r="BX98" s="415"/>
      <c r="BY98" s="415"/>
      <c r="BZ98" s="415"/>
      <c r="CA98" s="510"/>
    </row>
    <row r="99" spans="1:79" ht="12.95" customHeight="1" x14ac:dyDescent="0.25">
      <c r="A99" s="213">
        <v>19</v>
      </c>
      <c r="B99" s="47">
        <v>5493</v>
      </c>
      <c r="C99" s="47">
        <v>691009813</v>
      </c>
      <c r="D99" s="47">
        <v>6181457</v>
      </c>
      <c r="E99" s="386" t="s">
        <v>486</v>
      </c>
      <c r="F99" s="47"/>
      <c r="G99" s="386"/>
      <c r="H99" s="184"/>
      <c r="I99" s="465">
        <v>3656800</v>
      </c>
      <c r="J99" s="461">
        <v>2704171</v>
      </c>
      <c r="K99" s="461">
        <v>2366761</v>
      </c>
      <c r="L99" s="461">
        <v>337410</v>
      </c>
      <c r="M99" s="461">
        <v>0</v>
      </c>
      <c r="N99" s="461">
        <v>0</v>
      </c>
      <c r="O99" s="461">
        <v>0</v>
      </c>
      <c r="P99" s="461">
        <v>914010</v>
      </c>
      <c r="Q99" s="461">
        <v>27042</v>
      </c>
      <c r="R99" s="461">
        <v>11577</v>
      </c>
      <c r="S99" s="462">
        <v>5.3193999999999999</v>
      </c>
      <c r="T99" s="462">
        <v>4.226</v>
      </c>
      <c r="U99" s="535">
        <v>1.0933999999999999</v>
      </c>
      <c r="V99" s="465">
        <f t="shared" ref="V99:CA99" si="198">SUM(V96:V98)</f>
        <v>0</v>
      </c>
      <c r="W99" s="461">
        <f t="shared" si="198"/>
        <v>0</v>
      </c>
      <c r="X99" s="461">
        <f t="shared" si="198"/>
        <v>0</v>
      </c>
      <c r="Y99" s="461">
        <f t="shared" si="198"/>
        <v>0</v>
      </c>
      <c r="Z99" s="461">
        <f t="shared" si="198"/>
        <v>0</v>
      </c>
      <c r="AA99" s="461">
        <f t="shared" si="198"/>
        <v>57539</v>
      </c>
      <c r="AB99" s="461">
        <f t="shared" si="198"/>
        <v>0</v>
      </c>
      <c r="AC99" s="461">
        <f t="shared" si="198"/>
        <v>0</v>
      </c>
      <c r="AD99" s="461">
        <f t="shared" si="198"/>
        <v>0</v>
      </c>
      <c r="AE99" s="461">
        <f t="shared" si="198"/>
        <v>57539</v>
      </c>
      <c r="AF99" s="461">
        <f t="shared" si="198"/>
        <v>57539</v>
      </c>
      <c r="AG99" s="461">
        <f t="shared" si="198"/>
        <v>0</v>
      </c>
      <c r="AH99" s="461">
        <f t="shared" si="198"/>
        <v>0</v>
      </c>
      <c r="AI99" s="461">
        <f t="shared" si="198"/>
        <v>0</v>
      </c>
      <c r="AJ99" s="461">
        <f t="shared" si="198"/>
        <v>0</v>
      </c>
      <c r="AK99" s="461">
        <f t="shared" si="198"/>
        <v>0</v>
      </c>
      <c r="AL99" s="461">
        <f t="shared" si="198"/>
        <v>0</v>
      </c>
      <c r="AM99" s="461">
        <f t="shared" si="198"/>
        <v>0</v>
      </c>
      <c r="AN99" s="461">
        <f t="shared" si="198"/>
        <v>0</v>
      </c>
      <c r="AO99" s="461">
        <f t="shared" si="198"/>
        <v>0</v>
      </c>
      <c r="AP99" s="461">
        <f t="shared" si="198"/>
        <v>57539</v>
      </c>
      <c r="AQ99" s="461">
        <f t="shared" si="198"/>
        <v>57539</v>
      </c>
      <c r="AR99" s="461">
        <f t="shared" si="198"/>
        <v>19448</v>
      </c>
      <c r="AS99" s="461">
        <f t="shared" si="198"/>
        <v>575</v>
      </c>
      <c r="AT99" s="461">
        <f t="shared" si="198"/>
        <v>0</v>
      </c>
      <c r="AU99" s="461">
        <f t="shared" si="198"/>
        <v>429</v>
      </c>
      <c r="AV99" s="461">
        <f t="shared" si="198"/>
        <v>429</v>
      </c>
      <c r="AW99" s="461">
        <f t="shared" si="198"/>
        <v>77991</v>
      </c>
      <c r="AX99" s="462">
        <f t="shared" si="198"/>
        <v>0</v>
      </c>
      <c r="AY99" s="462">
        <f t="shared" si="198"/>
        <v>0</v>
      </c>
      <c r="AZ99" s="462">
        <f t="shared" si="198"/>
        <v>0</v>
      </c>
      <c r="BA99" s="462">
        <f t="shared" si="198"/>
        <v>0</v>
      </c>
      <c r="BB99" s="462">
        <f t="shared" ref="BB99" si="199">SUM(BB96:BB98)</f>
        <v>0.17</v>
      </c>
      <c r="BC99" s="462">
        <f t="shared" si="198"/>
        <v>0</v>
      </c>
      <c r="BD99" s="462">
        <f t="shared" si="198"/>
        <v>0</v>
      </c>
      <c r="BE99" s="462">
        <f t="shared" ref="BE99" si="200">SUM(BE96:BE98)</f>
        <v>0</v>
      </c>
      <c r="BF99" s="462">
        <f t="shared" si="198"/>
        <v>0</v>
      </c>
      <c r="BG99" s="462">
        <f t="shared" si="198"/>
        <v>0.17</v>
      </c>
      <c r="BH99" s="279">
        <f t="shared" si="198"/>
        <v>0.17</v>
      </c>
      <c r="BI99" s="781">
        <f t="shared" si="198"/>
        <v>3734791</v>
      </c>
      <c r="BJ99" s="461">
        <f t="shared" si="198"/>
        <v>2761710</v>
      </c>
      <c r="BK99" s="461">
        <f t="shared" si="198"/>
        <v>2366761</v>
      </c>
      <c r="BL99" s="461">
        <f t="shared" si="198"/>
        <v>394949</v>
      </c>
      <c r="BM99" s="461">
        <f t="shared" si="198"/>
        <v>0</v>
      </c>
      <c r="BN99" s="461">
        <f t="shared" si="198"/>
        <v>0</v>
      </c>
      <c r="BO99" s="461">
        <f t="shared" si="198"/>
        <v>0</v>
      </c>
      <c r="BP99" s="461">
        <f t="shared" si="198"/>
        <v>933458</v>
      </c>
      <c r="BQ99" s="461">
        <f t="shared" si="198"/>
        <v>27617</v>
      </c>
      <c r="BR99" s="461">
        <f t="shared" si="198"/>
        <v>12006</v>
      </c>
      <c r="BS99" s="462">
        <f t="shared" si="198"/>
        <v>5.4893999999999998</v>
      </c>
      <c r="BT99" s="462">
        <f t="shared" si="198"/>
        <v>4.226</v>
      </c>
      <c r="BU99" s="279">
        <f t="shared" si="198"/>
        <v>1.2633999999999999</v>
      </c>
      <c r="BV99" s="850">
        <f t="shared" si="198"/>
        <v>0</v>
      </c>
      <c r="BW99" s="713">
        <f t="shared" si="198"/>
        <v>0</v>
      </c>
      <c r="BX99" s="713">
        <f t="shared" si="198"/>
        <v>0</v>
      </c>
      <c r="BY99" s="713">
        <f t="shared" si="198"/>
        <v>0</v>
      </c>
      <c r="BZ99" s="713">
        <f t="shared" si="198"/>
        <v>0</v>
      </c>
      <c r="CA99" s="851">
        <f t="shared" si="198"/>
        <v>0</v>
      </c>
    </row>
    <row r="100" spans="1:79" ht="12.95" customHeight="1" x14ac:dyDescent="0.25">
      <c r="A100" s="280">
        <v>20</v>
      </c>
      <c r="B100" s="212">
        <v>2463</v>
      </c>
      <c r="C100" s="212">
        <v>600080056</v>
      </c>
      <c r="D100" s="281">
        <v>70982066</v>
      </c>
      <c r="E100" s="372" t="s">
        <v>487</v>
      </c>
      <c r="F100" s="212">
        <v>3113</v>
      </c>
      <c r="G100" s="372" t="s">
        <v>308</v>
      </c>
      <c r="H100" s="285" t="s">
        <v>271</v>
      </c>
      <c r="I100" s="420">
        <v>9364652</v>
      </c>
      <c r="J100" s="415">
        <v>6851850</v>
      </c>
      <c r="K100" s="415">
        <v>6270290</v>
      </c>
      <c r="L100" s="415">
        <v>581560</v>
      </c>
      <c r="M100" s="415">
        <v>8000</v>
      </c>
      <c r="N100" s="415">
        <v>0</v>
      </c>
      <c r="O100" s="415">
        <v>8000</v>
      </c>
      <c r="P100" s="68">
        <v>2318629</v>
      </c>
      <c r="Q100" s="68">
        <v>68519</v>
      </c>
      <c r="R100" s="415">
        <v>117654</v>
      </c>
      <c r="S100" s="416">
        <v>11.093200000000001</v>
      </c>
      <c r="T100" s="416">
        <v>9.4434000000000005</v>
      </c>
      <c r="U100" s="423">
        <v>1.6497999999999999</v>
      </c>
      <c r="V100" s="424">
        <f t="shared" ref="V100:W104" si="201">AG100*-1</f>
        <v>0</v>
      </c>
      <c r="W100" s="418">
        <f t="shared" si="201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ref="AO100:AP104" si="202">AD100+AL100</f>
        <v>0</v>
      </c>
      <c r="AP100" s="418">
        <f t="shared" si="202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21">
        <f>SUM(BF100:BG100)</f>
        <v>0</v>
      </c>
      <c r="BI100" s="780">
        <f>I100+AW100</f>
        <v>9364652</v>
      </c>
      <c r="BJ100" s="418">
        <f>J100+AF100</f>
        <v>6851850</v>
      </c>
      <c r="BK100" s="418">
        <f t="shared" ref="BK100:BL104" si="203">K100+AD100</f>
        <v>6270290</v>
      </c>
      <c r="BL100" s="418">
        <f t="shared" si="203"/>
        <v>581560</v>
      </c>
      <c r="BM100" s="418">
        <f>M100+AN100</f>
        <v>8000</v>
      </c>
      <c r="BN100" s="418">
        <f t="shared" ref="BN100:BO104" si="204">N100+AL100</f>
        <v>0</v>
      </c>
      <c r="BO100" s="418">
        <f t="shared" si="204"/>
        <v>8000</v>
      </c>
      <c r="BP100" s="418">
        <f t="shared" ref="BP100:BQ104" si="205">P100+AR100</f>
        <v>2318629</v>
      </c>
      <c r="BQ100" s="418">
        <f t="shared" si="205"/>
        <v>68519</v>
      </c>
      <c r="BR100" s="418">
        <f>R100+AV100</f>
        <v>117654</v>
      </c>
      <c r="BS100" s="419">
        <f>S100+BH100</f>
        <v>11.093200000000001</v>
      </c>
      <c r="BT100" s="419">
        <f t="shared" ref="BT100:BU104" si="206">T100+BF100</f>
        <v>9.4434000000000005</v>
      </c>
      <c r="BU100" s="421">
        <f t="shared" si="206"/>
        <v>1.6497999999999999</v>
      </c>
      <c r="BV100" s="420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20</v>
      </c>
      <c r="B101" s="376">
        <v>2463</v>
      </c>
      <c r="C101" s="376">
        <v>600080056</v>
      </c>
      <c r="D101" s="281">
        <v>70982066</v>
      </c>
      <c r="E101" s="372" t="s">
        <v>487</v>
      </c>
      <c r="F101" s="212">
        <v>3113</v>
      </c>
      <c r="G101" s="323" t="s">
        <v>291</v>
      </c>
      <c r="H101" s="285" t="s">
        <v>272</v>
      </c>
      <c r="I101" s="420">
        <v>1124640</v>
      </c>
      <c r="J101" s="415">
        <v>834303</v>
      </c>
      <c r="K101" s="415">
        <v>834303</v>
      </c>
      <c r="L101" s="415">
        <v>0</v>
      </c>
      <c r="M101" s="415">
        <v>0</v>
      </c>
      <c r="N101" s="415">
        <v>0</v>
      </c>
      <c r="O101" s="415">
        <v>0</v>
      </c>
      <c r="P101" s="68">
        <v>281994</v>
      </c>
      <c r="Q101" s="68">
        <v>8343</v>
      </c>
      <c r="R101" s="415">
        <v>0</v>
      </c>
      <c r="S101" s="416">
        <v>2.25</v>
      </c>
      <c r="T101" s="416">
        <v>2.25</v>
      </c>
      <c r="U101" s="423">
        <v>0</v>
      </c>
      <c r="V101" s="424">
        <f t="shared" si="201"/>
        <v>0</v>
      </c>
      <c r="W101" s="418">
        <f t="shared" si="201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0</v>
      </c>
      <c r="AF101" s="418">
        <f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202"/>
        <v>0</v>
      </c>
      <c r="AP101" s="418">
        <f t="shared" si="202"/>
        <v>0</v>
      </c>
      <c r="AQ101" s="418">
        <f>SUM(AO101:AP101)</f>
        <v>0</v>
      </c>
      <c r="AR101" s="68">
        <f>ROUND((AF101+AG101+AH101+AI101)*33.8%,0)</f>
        <v>0</v>
      </c>
      <c r="AS101" s="68">
        <f>ROUND(AF101*1%,0)</f>
        <v>0</v>
      </c>
      <c r="AT101" s="418">
        <v>0</v>
      </c>
      <c r="AU101" s="418">
        <v>0</v>
      </c>
      <c r="AV101" s="418">
        <f>AT101+AU101</f>
        <v>0</v>
      </c>
      <c r="AW101" s="418">
        <f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</v>
      </c>
      <c r="BH101" s="421">
        <f>SUM(BF101:BG101)</f>
        <v>0</v>
      </c>
      <c r="BI101" s="780">
        <f>I101+AW101</f>
        <v>1124640</v>
      </c>
      <c r="BJ101" s="418">
        <f>J101+AF101</f>
        <v>834303</v>
      </c>
      <c r="BK101" s="418">
        <f t="shared" si="203"/>
        <v>834303</v>
      </c>
      <c r="BL101" s="418">
        <f t="shared" si="203"/>
        <v>0</v>
      </c>
      <c r="BM101" s="418">
        <f>M101+AN101</f>
        <v>0</v>
      </c>
      <c r="BN101" s="418">
        <f t="shared" si="204"/>
        <v>0</v>
      </c>
      <c r="BO101" s="418">
        <f t="shared" si="204"/>
        <v>0</v>
      </c>
      <c r="BP101" s="418">
        <f t="shared" si="205"/>
        <v>281994</v>
      </c>
      <c r="BQ101" s="418">
        <f t="shared" si="205"/>
        <v>8343</v>
      </c>
      <c r="BR101" s="418">
        <f>R101+AV101</f>
        <v>0</v>
      </c>
      <c r="BS101" s="419">
        <f>S101+BH101</f>
        <v>2.25</v>
      </c>
      <c r="BT101" s="419">
        <f t="shared" si="206"/>
        <v>2.25</v>
      </c>
      <c r="BU101" s="421">
        <f t="shared" si="206"/>
        <v>0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20</v>
      </c>
      <c r="B102" s="212">
        <v>2463</v>
      </c>
      <c r="C102" s="212">
        <v>600080056</v>
      </c>
      <c r="D102" s="281">
        <v>70982066</v>
      </c>
      <c r="E102" s="372" t="s">
        <v>487</v>
      </c>
      <c r="F102" s="212">
        <v>3141</v>
      </c>
      <c r="G102" s="373" t="s">
        <v>294</v>
      </c>
      <c r="H102" s="285" t="s">
        <v>272</v>
      </c>
      <c r="I102" s="420">
        <v>615002</v>
      </c>
      <c r="J102" s="415">
        <v>453533</v>
      </c>
      <c r="K102" s="415">
        <v>0</v>
      </c>
      <c r="L102" s="415">
        <v>453533</v>
      </c>
      <c r="M102" s="415">
        <v>0</v>
      </c>
      <c r="N102" s="415">
        <v>0</v>
      </c>
      <c r="O102" s="415">
        <v>0</v>
      </c>
      <c r="P102" s="68">
        <v>153294</v>
      </c>
      <c r="Q102" s="68">
        <v>4535</v>
      </c>
      <c r="R102" s="415">
        <v>3640</v>
      </c>
      <c r="S102" s="416">
        <v>1.36</v>
      </c>
      <c r="T102" s="416">
        <v>0</v>
      </c>
      <c r="U102" s="423">
        <v>1.36</v>
      </c>
      <c r="V102" s="424">
        <f t="shared" si="201"/>
        <v>0</v>
      </c>
      <c r="W102" s="418">
        <f t="shared" si="201"/>
        <v>0</v>
      </c>
      <c r="X102" s="418">
        <v>0</v>
      </c>
      <c r="Y102" s="418">
        <v>0</v>
      </c>
      <c r="Z102" s="418">
        <v>0</v>
      </c>
      <c r="AA102" s="418">
        <v>225169</v>
      </c>
      <c r="AB102" s="418">
        <v>0</v>
      </c>
      <c r="AC102" s="418">
        <v>0</v>
      </c>
      <c r="AD102" s="418">
        <f>V102+X102+Y102+Z102+AB102</f>
        <v>0</v>
      </c>
      <c r="AE102" s="418">
        <f>W102+AA102+AC102</f>
        <v>225169</v>
      </c>
      <c r="AF102" s="418">
        <f>SUM(AD102:AE102)</f>
        <v>225169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>AG102+AI102+AJ102</f>
        <v>0</v>
      </c>
      <c r="AM102" s="418">
        <f>AH102+AK102</f>
        <v>0</v>
      </c>
      <c r="AN102" s="418">
        <f>SUM(AL102:AM102)</f>
        <v>0</v>
      </c>
      <c r="AO102" s="418">
        <f t="shared" si="202"/>
        <v>0</v>
      </c>
      <c r="AP102" s="418">
        <f t="shared" si="202"/>
        <v>225169</v>
      </c>
      <c r="AQ102" s="418">
        <f>SUM(AO102:AP102)</f>
        <v>225169</v>
      </c>
      <c r="AR102" s="68">
        <f>ROUND((AF102+AG102+AH102+AI102)*33.8%,0)</f>
        <v>76107</v>
      </c>
      <c r="AS102" s="68">
        <f>ROUND(AF102*1%,0)</f>
        <v>2252</v>
      </c>
      <c r="AT102" s="418">
        <v>0</v>
      </c>
      <c r="AU102" s="418">
        <v>1768</v>
      </c>
      <c r="AV102" s="418">
        <f>AT102+AU102</f>
        <v>1768</v>
      </c>
      <c r="AW102" s="418">
        <f>AQ102+AR102+AS102+AV102</f>
        <v>305296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0.68</v>
      </c>
      <c r="BC102" s="419">
        <v>0</v>
      </c>
      <c r="BD102" s="419">
        <v>0</v>
      </c>
      <c r="BE102" s="419">
        <v>0</v>
      </c>
      <c r="BF102" s="419">
        <f>AX102+AZ102+BA102+BC102+BD102</f>
        <v>0</v>
      </c>
      <c r="BG102" s="419">
        <f>AY102+BB102+BE102</f>
        <v>0.68</v>
      </c>
      <c r="BH102" s="421">
        <f>SUM(BF102:BG102)</f>
        <v>0.68</v>
      </c>
      <c r="BI102" s="780">
        <f>I102+AW102</f>
        <v>920298</v>
      </c>
      <c r="BJ102" s="418">
        <f>J102+AF102</f>
        <v>678702</v>
      </c>
      <c r="BK102" s="418">
        <f t="shared" si="203"/>
        <v>0</v>
      </c>
      <c r="BL102" s="418">
        <f t="shared" si="203"/>
        <v>678702</v>
      </c>
      <c r="BM102" s="418">
        <f>M102+AN102</f>
        <v>0</v>
      </c>
      <c r="BN102" s="418">
        <f t="shared" si="204"/>
        <v>0</v>
      </c>
      <c r="BO102" s="418">
        <f t="shared" si="204"/>
        <v>0</v>
      </c>
      <c r="BP102" s="418">
        <f t="shared" si="205"/>
        <v>229401</v>
      </c>
      <c r="BQ102" s="418">
        <f t="shared" si="205"/>
        <v>6787</v>
      </c>
      <c r="BR102" s="418">
        <f>R102+AV102</f>
        <v>5408</v>
      </c>
      <c r="BS102" s="419">
        <f>S102+BH102</f>
        <v>2.04</v>
      </c>
      <c r="BT102" s="419">
        <f t="shared" si="206"/>
        <v>0</v>
      </c>
      <c r="BU102" s="421">
        <f t="shared" si="206"/>
        <v>2.04</v>
      </c>
      <c r="BV102" s="420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20</v>
      </c>
      <c r="B103" s="376">
        <v>2463</v>
      </c>
      <c r="C103" s="376">
        <v>600080056</v>
      </c>
      <c r="D103" s="281">
        <v>70982066</v>
      </c>
      <c r="E103" s="372" t="s">
        <v>487</v>
      </c>
      <c r="F103" s="212">
        <v>3143</v>
      </c>
      <c r="G103" s="323" t="s">
        <v>595</v>
      </c>
      <c r="H103" s="285" t="s">
        <v>271</v>
      </c>
      <c r="I103" s="420">
        <v>1068031</v>
      </c>
      <c r="J103" s="415">
        <v>792308</v>
      </c>
      <c r="K103" s="415">
        <v>792308</v>
      </c>
      <c r="L103" s="415">
        <v>0</v>
      </c>
      <c r="M103" s="415">
        <v>0</v>
      </c>
      <c r="N103" s="415">
        <v>0</v>
      </c>
      <c r="O103" s="415">
        <v>0</v>
      </c>
      <c r="P103" s="68">
        <v>267800</v>
      </c>
      <c r="Q103" s="68">
        <v>7923</v>
      </c>
      <c r="R103" s="415">
        <v>0</v>
      </c>
      <c r="S103" s="416">
        <v>1.5806</v>
      </c>
      <c r="T103" s="416">
        <v>1.5806</v>
      </c>
      <c r="U103" s="423">
        <v>0</v>
      </c>
      <c r="V103" s="424">
        <f t="shared" si="201"/>
        <v>0</v>
      </c>
      <c r="W103" s="418">
        <f t="shared" si="201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418">
        <f>SUM(AD103:AE103)</f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si="202"/>
        <v>0</v>
      </c>
      <c r="AP103" s="418">
        <f t="shared" si="202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421">
        <f>SUM(BF103:BG103)</f>
        <v>0</v>
      </c>
      <c r="BI103" s="780">
        <f>I103+AW103</f>
        <v>1068031</v>
      </c>
      <c r="BJ103" s="418">
        <f>J103+AF103</f>
        <v>792308</v>
      </c>
      <c r="BK103" s="418">
        <f t="shared" si="203"/>
        <v>792308</v>
      </c>
      <c r="BL103" s="418">
        <f t="shared" si="203"/>
        <v>0</v>
      </c>
      <c r="BM103" s="418">
        <f>M103+AN103</f>
        <v>0</v>
      </c>
      <c r="BN103" s="418">
        <f t="shared" si="204"/>
        <v>0</v>
      </c>
      <c r="BO103" s="418">
        <f t="shared" si="204"/>
        <v>0</v>
      </c>
      <c r="BP103" s="418">
        <f t="shared" si="205"/>
        <v>267800</v>
      </c>
      <c r="BQ103" s="418">
        <f t="shared" si="205"/>
        <v>7923</v>
      </c>
      <c r="BR103" s="418">
        <f>R103+AV103</f>
        <v>0</v>
      </c>
      <c r="BS103" s="419">
        <f>S103+BH103</f>
        <v>1.5806</v>
      </c>
      <c r="BT103" s="419">
        <f t="shared" si="206"/>
        <v>1.5806</v>
      </c>
      <c r="BU103" s="421">
        <f t="shared" si="206"/>
        <v>0</v>
      </c>
      <c r="BV103" s="420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20</v>
      </c>
      <c r="B104" s="376">
        <v>2463</v>
      </c>
      <c r="C104" s="376">
        <v>600080056</v>
      </c>
      <c r="D104" s="281">
        <v>70982066</v>
      </c>
      <c r="E104" s="372" t="s">
        <v>487</v>
      </c>
      <c r="F104" s="212">
        <v>3143</v>
      </c>
      <c r="G104" s="323" t="s">
        <v>596</v>
      </c>
      <c r="H104" s="285" t="s">
        <v>272</v>
      </c>
      <c r="I104" s="420">
        <v>21503</v>
      </c>
      <c r="J104" s="415">
        <v>15391</v>
      </c>
      <c r="K104" s="415">
        <v>0</v>
      </c>
      <c r="L104" s="415">
        <v>15391</v>
      </c>
      <c r="M104" s="415">
        <v>0</v>
      </c>
      <c r="N104" s="415">
        <v>0</v>
      </c>
      <c r="O104" s="415">
        <v>0</v>
      </c>
      <c r="P104" s="68">
        <v>5202</v>
      </c>
      <c r="Q104" s="68">
        <v>154</v>
      </c>
      <c r="R104" s="415">
        <v>756</v>
      </c>
      <c r="S104" s="416">
        <v>5.8299999999999998E-2</v>
      </c>
      <c r="T104" s="416">
        <v>0</v>
      </c>
      <c r="U104" s="423">
        <v>5.8299999999999998E-2</v>
      </c>
      <c r="V104" s="424">
        <f t="shared" si="201"/>
        <v>0</v>
      </c>
      <c r="W104" s="418">
        <f t="shared" si="201"/>
        <v>0</v>
      </c>
      <c r="X104" s="418">
        <v>0</v>
      </c>
      <c r="Y104" s="418">
        <v>0</v>
      </c>
      <c r="Z104" s="418">
        <v>0</v>
      </c>
      <c r="AA104" s="418">
        <v>7709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7709</v>
      </c>
      <c r="AF104" s="418">
        <f>SUM(AD104:AE104)</f>
        <v>7709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202"/>
        <v>0</v>
      </c>
      <c r="AP104" s="418">
        <f t="shared" si="202"/>
        <v>7709</v>
      </c>
      <c r="AQ104" s="418">
        <f>SUM(AO104:AP104)</f>
        <v>7709</v>
      </c>
      <c r="AR104" s="68">
        <f>ROUND((AF104+AG104+AH104+AI104)*33.8%,0)</f>
        <v>2606</v>
      </c>
      <c r="AS104" s="68">
        <f>ROUND(AF104*1%,0)</f>
        <v>77</v>
      </c>
      <c r="AT104" s="418">
        <v>0</v>
      </c>
      <c r="AU104" s="418">
        <v>378</v>
      </c>
      <c r="AV104" s="418">
        <f>AT104+AU104</f>
        <v>378</v>
      </c>
      <c r="AW104" s="418">
        <f>AQ104+AR104+AS104+AV104</f>
        <v>10770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0.03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0.03</v>
      </c>
      <c r="BH104" s="421">
        <f>SUM(BF104:BG104)</f>
        <v>0.03</v>
      </c>
      <c r="BI104" s="780">
        <f>I104+AW104</f>
        <v>32273</v>
      </c>
      <c r="BJ104" s="418">
        <f>J104+AF104</f>
        <v>23100</v>
      </c>
      <c r="BK104" s="418">
        <f t="shared" si="203"/>
        <v>0</v>
      </c>
      <c r="BL104" s="418">
        <f t="shared" si="203"/>
        <v>23100</v>
      </c>
      <c r="BM104" s="418">
        <f>M104+AN104</f>
        <v>0</v>
      </c>
      <c r="BN104" s="418">
        <f t="shared" si="204"/>
        <v>0</v>
      </c>
      <c r="BO104" s="418">
        <f t="shared" si="204"/>
        <v>0</v>
      </c>
      <c r="BP104" s="418">
        <f t="shared" si="205"/>
        <v>7808</v>
      </c>
      <c r="BQ104" s="418">
        <f t="shared" si="205"/>
        <v>231</v>
      </c>
      <c r="BR104" s="418">
        <f>R104+AV104</f>
        <v>1134</v>
      </c>
      <c r="BS104" s="419">
        <f>S104+BH104</f>
        <v>8.829999999999999E-2</v>
      </c>
      <c r="BT104" s="419">
        <f t="shared" si="206"/>
        <v>0</v>
      </c>
      <c r="BU104" s="421">
        <f t="shared" si="206"/>
        <v>8.829999999999999E-2</v>
      </c>
      <c r="BV104" s="420"/>
      <c r="BW104" s="415"/>
      <c r="BX104" s="415"/>
      <c r="BY104" s="415"/>
      <c r="BZ104" s="415"/>
      <c r="CA104" s="510"/>
    </row>
    <row r="105" spans="1:79" ht="12.75" customHeight="1" x14ac:dyDescent="0.25">
      <c r="A105" s="213">
        <v>20</v>
      </c>
      <c r="B105" s="46">
        <v>2463</v>
      </c>
      <c r="C105" s="46">
        <v>600080056</v>
      </c>
      <c r="D105" s="46">
        <v>70982066</v>
      </c>
      <c r="E105" s="374" t="s">
        <v>488</v>
      </c>
      <c r="F105" s="48"/>
      <c r="G105" s="387"/>
      <c r="H105" s="185"/>
      <c r="I105" s="478">
        <v>12193828</v>
      </c>
      <c r="J105" s="476">
        <v>8947385</v>
      </c>
      <c r="K105" s="476">
        <v>7896901</v>
      </c>
      <c r="L105" s="476">
        <v>1050484</v>
      </c>
      <c r="M105" s="476">
        <v>8000</v>
      </c>
      <c r="N105" s="476">
        <v>0</v>
      </c>
      <c r="O105" s="476">
        <v>8000</v>
      </c>
      <c r="P105" s="476">
        <v>3026919</v>
      </c>
      <c r="Q105" s="476">
        <v>89474</v>
      </c>
      <c r="R105" s="476">
        <v>122050</v>
      </c>
      <c r="S105" s="477">
        <v>16.342099999999999</v>
      </c>
      <c r="T105" s="477">
        <v>13.274000000000001</v>
      </c>
      <c r="U105" s="536">
        <v>3.0681000000000003</v>
      </c>
      <c r="V105" s="478">
        <f t="shared" ref="V105:CA105" si="207">SUM(V100:V104)</f>
        <v>0</v>
      </c>
      <c r="W105" s="476">
        <f t="shared" si="207"/>
        <v>0</v>
      </c>
      <c r="X105" s="476">
        <f t="shared" si="207"/>
        <v>0</v>
      </c>
      <c r="Y105" s="476">
        <f t="shared" si="207"/>
        <v>0</v>
      </c>
      <c r="Z105" s="476">
        <f t="shared" si="207"/>
        <v>0</v>
      </c>
      <c r="AA105" s="476">
        <f t="shared" si="207"/>
        <v>232878</v>
      </c>
      <c r="AB105" s="476">
        <f t="shared" si="207"/>
        <v>0</v>
      </c>
      <c r="AC105" s="476">
        <f t="shared" si="207"/>
        <v>0</v>
      </c>
      <c r="AD105" s="476">
        <f t="shared" si="207"/>
        <v>0</v>
      </c>
      <c r="AE105" s="476">
        <f t="shared" si="207"/>
        <v>232878</v>
      </c>
      <c r="AF105" s="476">
        <f t="shared" si="207"/>
        <v>232878</v>
      </c>
      <c r="AG105" s="476">
        <f t="shared" si="207"/>
        <v>0</v>
      </c>
      <c r="AH105" s="476">
        <f t="shared" si="207"/>
        <v>0</v>
      </c>
      <c r="AI105" s="476">
        <f t="shared" si="207"/>
        <v>0</v>
      </c>
      <c r="AJ105" s="476">
        <f t="shared" si="207"/>
        <v>0</v>
      </c>
      <c r="AK105" s="476">
        <f t="shared" si="207"/>
        <v>0</v>
      </c>
      <c r="AL105" s="476">
        <f t="shared" si="207"/>
        <v>0</v>
      </c>
      <c r="AM105" s="476">
        <f t="shared" si="207"/>
        <v>0</v>
      </c>
      <c r="AN105" s="476">
        <f t="shared" si="207"/>
        <v>0</v>
      </c>
      <c r="AO105" s="476">
        <f t="shared" si="207"/>
        <v>0</v>
      </c>
      <c r="AP105" s="476">
        <f t="shared" si="207"/>
        <v>232878</v>
      </c>
      <c r="AQ105" s="476">
        <f t="shared" si="207"/>
        <v>232878</v>
      </c>
      <c r="AR105" s="476">
        <f t="shared" si="207"/>
        <v>78713</v>
      </c>
      <c r="AS105" s="476">
        <f t="shared" si="207"/>
        <v>2329</v>
      </c>
      <c r="AT105" s="476">
        <f t="shared" si="207"/>
        <v>0</v>
      </c>
      <c r="AU105" s="476">
        <f t="shared" si="207"/>
        <v>2146</v>
      </c>
      <c r="AV105" s="476">
        <f t="shared" si="207"/>
        <v>2146</v>
      </c>
      <c r="AW105" s="476">
        <f t="shared" si="207"/>
        <v>316066</v>
      </c>
      <c r="AX105" s="477">
        <f t="shared" si="207"/>
        <v>0</v>
      </c>
      <c r="AY105" s="477">
        <f t="shared" si="207"/>
        <v>0</v>
      </c>
      <c r="AZ105" s="477">
        <f t="shared" si="207"/>
        <v>0</v>
      </c>
      <c r="BA105" s="477">
        <f t="shared" si="207"/>
        <v>0</v>
      </c>
      <c r="BB105" s="477">
        <f t="shared" ref="BB105" si="208">SUM(BB100:BB104)</f>
        <v>0.71000000000000008</v>
      </c>
      <c r="BC105" s="477">
        <f t="shared" si="207"/>
        <v>0</v>
      </c>
      <c r="BD105" s="477">
        <f t="shared" si="207"/>
        <v>0</v>
      </c>
      <c r="BE105" s="477">
        <f t="shared" ref="BE105" si="209">SUM(BE100:BE104)</f>
        <v>0</v>
      </c>
      <c r="BF105" s="477">
        <f t="shared" si="207"/>
        <v>0</v>
      </c>
      <c r="BG105" s="477">
        <f t="shared" si="207"/>
        <v>0.71000000000000008</v>
      </c>
      <c r="BH105" s="351">
        <f t="shared" si="207"/>
        <v>0.71000000000000008</v>
      </c>
      <c r="BI105" s="782">
        <f t="shared" si="207"/>
        <v>12509894</v>
      </c>
      <c r="BJ105" s="476">
        <f t="shared" si="207"/>
        <v>9180263</v>
      </c>
      <c r="BK105" s="476">
        <f t="shared" si="207"/>
        <v>7896901</v>
      </c>
      <c r="BL105" s="476">
        <f t="shared" si="207"/>
        <v>1283362</v>
      </c>
      <c r="BM105" s="476">
        <f t="shared" si="207"/>
        <v>8000</v>
      </c>
      <c r="BN105" s="476">
        <f t="shared" si="207"/>
        <v>0</v>
      </c>
      <c r="BO105" s="476">
        <f t="shared" si="207"/>
        <v>8000</v>
      </c>
      <c r="BP105" s="476">
        <f t="shared" si="207"/>
        <v>3105632</v>
      </c>
      <c r="BQ105" s="476">
        <f t="shared" si="207"/>
        <v>91803</v>
      </c>
      <c r="BR105" s="476">
        <f t="shared" si="207"/>
        <v>124196</v>
      </c>
      <c r="BS105" s="477">
        <f t="shared" si="207"/>
        <v>17.052100000000003</v>
      </c>
      <c r="BT105" s="477">
        <f t="shared" si="207"/>
        <v>13.274000000000001</v>
      </c>
      <c r="BU105" s="351">
        <f t="shared" si="207"/>
        <v>3.7780999999999998</v>
      </c>
      <c r="BV105" s="864">
        <f t="shared" si="207"/>
        <v>0</v>
      </c>
      <c r="BW105" s="729">
        <f t="shared" si="207"/>
        <v>0</v>
      </c>
      <c r="BX105" s="729">
        <f t="shared" si="207"/>
        <v>0</v>
      </c>
      <c r="BY105" s="729">
        <f t="shared" si="207"/>
        <v>0</v>
      </c>
      <c r="BZ105" s="729">
        <f t="shared" si="207"/>
        <v>0</v>
      </c>
      <c r="CA105" s="865">
        <f t="shared" si="207"/>
        <v>0</v>
      </c>
    </row>
    <row r="106" spans="1:79" ht="12.95" customHeight="1" x14ac:dyDescent="0.25">
      <c r="A106" s="280">
        <v>21</v>
      </c>
      <c r="B106" s="212">
        <v>3427</v>
      </c>
      <c r="C106" s="212">
        <v>650023340</v>
      </c>
      <c r="D106" s="281">
        <v>70982988</v>
      </c>
      <c r="E106" s="211" t="s">
        <v>489</v>
      </c>
      <c r="F106" s="212">
        <v>3111</v>
      </c>
      <c r="G106" s="373" t="s">
        <v>304</v>
      </c>
      <c r="H106" s="285" t="s">
        <v>271</v>
      </c>
      <c r="I106" s="420">
        <v>3263145</v>
      </c>
      <c r="J106" s="415">
        <v>2411818</v>
      </c>
      <c r="K106" s="415">
        <v>2278682</v>
      </c>
      <c r="L106" s="415">
        <v>133136</v>
      </c>
      <c r="M106" s="415">
        <v>0</v>
      </c>
      <c r="N106" s="415">
        <v>0</v>
      </c>
      <c r="O106" s="415">
        <v>0</v>
      </c>
      <c r="P106" s="68">
        <v>815194</v>
      </c>
      <c r="Q106" s="68">
        <v>24118</v>
      </c>
      <c r="R106" s="415">
        <v>12015</v>
      </c>
      <c r="S106" s="416">
        <v>4.4043000000000001</v>
      </c>
      <c r="T106" s="416">
        <v>3.8708999999999998</v>
      </c>
      <c r="U106" s="423">
        <v>0.53339999999999999</v>
      </c>
      <c r="V106" s="424">
        <f t="shared" ref="V106:W111" si="210">AG106*-1</f>
        <v>0</v>
      </c>
      <c r="W106" s="418">
        <f t="shared" si="210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 t="shared" ref="AD106:AD111" si="211">V106+X106+Y106+Z106+AB106</f>
        <v>0</v>
      </c>
      <c r="AE106" s="418">
        <f t="shared" ref="AE106:AE111" si="212">W106+AA106+AC106</f>
        <v>0</v>
      </c>
      <c r="AF106" s="418">
        <f t="shared" ref="AF106:AF111" si="213"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ref="AL106:AL111" si="214">AG106+AI106+AJ106</f>
        <v>0</v>
      </c>
      <c r="AM106" s="418">
        <f t="shared" ref="AM106:AM111" si="215">AH106+AK106</f>
        <v>0</v>
      </c>
      <c r="AN106" s="418">
        <f t="shared" ref="AN106:AN111" si="216">SUM(AL106:AM106)</f>
        <v>0</v>
      </c>
      <c r="AO106" s="418">
        <f t="shared" ref="AO106:AP111" si="217">AD106+AL106</f>
        <v>0</v>
      </c>
      <c r="AP106" s="418">
        <f t="shared" si="217"/>
        <v>0</v>
      </c>
      <c r="AQ106" s="418">
        <f t="shared" ref="AQ106:AQ111" si="218">SUM(AO106:AP106)</f>
        <v>0</v>
      </c>
      <c r="AR106" s="68">
        <f t="shared" ref="AR106:AR111" si="219">ROUND((AF106+AG106+AH106+AI106)*33.8%,0)</f>
        <v>0</v>
      </c>
      <c r="AS106" s="68">
        <f t="shared" ref="AS106:AS111" si="220">ROUND(AF106*1%,0)</f>
        <v>0</v>
      </c>
      <c r="AT106" s="418">
        <v>0</v>
      </c>
      <c r="AU106" s="418">
        <v>0</v>
      </c>
      <c r="AV106" s="418">
        <f t="shared" ref="AV106:AV111" si="221">AT106+AU106</f>
        <v>0</v>
      </c>
      <c r="AW106" s="418">
        <f t="shared" ref="AW106:AW111" si="222"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 t="shared" ref="BF106:BF111" si="223">AX106+AZ106+BA106+BC106+BD106</f>
        <v>0</v>
      </c>
      <c r="BG106" s="419">
        <f t="shared" ref="BG106:BG111" si="224">AY106+BB106+BE106</f>
        <v>0</v>
      </c>
      <c r="BH106" s="421">
        <f t="shared" ref="BH106:BH111" si="225">SUM(BF106:BG106)</f>
        <v>0</v>
      </c>
      <c r="BI106" s="780">
        <f t="shared" ref="BI106:BI111" si="226">I106+AW106</f>
        <v>3263145</v>
      </c>
      <c r="BJ106" s="418">
        <f t="shared" ref="BJ106:BJ111" si="227">J106+AF106</f>
        <v>2411818</v>
      </c>
      <c r="BK106" s="418">
        <f t="shared" ref="BK106:BL111" si="228">K106+AD106</f>
        <v>2278682</v>
      </c>
      <c r="BL106" s="418">
        <f t="shared" si="228"/>
        <v>133136</v>
      </c>
      <c r="BM106" s="418">
        <f t="shared" ref="BM106:BM111" si="229">M106+AN106</f>
        <v>0</v>
      </c>
      <c r="BN106" s="418">
        <f t="shared" ref="BN106:BO111" si="230">N106+AL106</f>
        <v>0</v>
      </c>
      <c r="BO106" s="418">
        <f t="shared" si="230"/>
        <v>0</v>
      </c>
      <c r="BP106" s="418">
        <f t="shared" ref="BP106:BQ111" si="231">P106+AR106</f>
        <v>815194</v>
      </c>
      <c r="BQ106" s="418">
        <f t="shared" si="231"/>
        <v>24118</v>
      </c>
      <c r="BR106" s="418">
        <f t="shared" ref="BR106:BR111" si="232">R106+AV106</f>
        <v>12015</v>
      </c>
      <c r="BS106" s="419">
        <f t="shared" ref="BS106:BS111" si="233">S106+BH106</f>
        <v>4.4043000000000001</v>
      </c>
      <c r="BT106" s="419">
        <f t="shared" ref="BT106:BU111" si="234">T106+BF106</f>
        <v>3.8708999999999998</v>
      </c>
      <c r="BU106" s="421">
        <f t="shared" si="234"/>
        <v>0.53339999999999999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21</v>
      </c>
      <c r="B107" s="212">
        <v>3427</v>
      </c>
      <c r="C107" s="212">
        <v>650023340</v>
      </c>
      <c r="D107" s="281">
        <v>70982988</v>
      </c>
      <c r="E107" s="372" t="s">
        <v>489</v>
      </c>
      <c r="F107" s="212">
        <v>3113</v>
      </c>
      <c r="G107" s="372" t="s">
        <v>308</v>
      </c>
      <c r="H107" s="285" t="s">
        <v>271</v>
      </c>
      <c r="I107" s="420">
        <v>13406341</v>
      </c>
      <c r="J107" s="415">
        <v>9818395</v>
      </c>
      <c r="K107" s="415">
        <v>8848849</v>
      </c>
      <c r="L107" s="415">
        <v>969546</v>
      </c>
      <c r="M107" s="415">
        <v>8000</v>
      </c>
      <c r="N107" s="415">
        <v>0</v>
      </c>
      <c r="O107" s="415">
        <v>8000</v>
      </c>
      <c r="P107" s="68">
        <v>3321322</v>
      </c>
      <c r="Q107" s="68">
        <v>98184</v>
      </c>
      <c r="R107" s="415">
        <v>160440</v>
      </c>
      <c r="S107" s="416">
        <v>16.300399999999996</v>
      </c>
      <c r="T107" s="416">
        <v>13.4907</v>
      </c>
      <c r="U107" s="423">
        <v>2.8096999999999999</v>
      </c>
      <c r="V107" s="424">
        <f t="shared" si="210"/>
        <v>0</v>
      </c>
      <c r="W107" s="418">
        <f t="shared" si="210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 t="shared" si="211"/>
        <v>0</v>
      </c>
      <c r="AE107" s="418">
        <f t="shared" si="212"/>
        <v>0</v>
      </c>
      <c r="AF107" s="418">
        <f t="shared" si="213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214"/>
        <v>0</v>
      </c>
      <c r="AM107" s="418">
        <f t="shared" si="215"/>
        <v>0</v>
      </c>
      <c r="AN107" s="418">
        <f t="shared" si="216"/>
        <v>0</v>
      </c>
      <c r="AO107" s="418">
        <f t="shared" si="217"/>
        <v>0</v>
      </c>
      <c r="AP107" s="418">
        <f t="shared" si="217"/>
        <v>0</v>
      </c>
      <c r="AQ107" s="418">
        <f t="shared" si="218"/>
        <v>0</v>
      </c>
      <c r="AR107" s="68">
        <f t="shared" si="219"/>
        <v>0</v>
      </c>
      <c r="AS107" s="68">
        <f t="shared" si="220"/>
        <v>0</v>
      </c>
      <c r="AT107" s="418">
        <v>0</v>
      </c>
      <c r="AU107" s="418">
        <v>0</v>
      </c>
      <c r="AV107" s="418">
        <f t="shared" si="221"/>
        <v>0</v>
      </c>
      <c r="AW107" s="418">
        <f t="shared" si="222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223"/>
        <v>0</v>
      </c>
      <c r="BG107" s="419">
        <f t="shared" si="224"/>
        <v>0</v>
      </c>
      <c r="BH107" s="421">
        <f t="shared" si="225"/>
        <v>0</v>
      </c>
      <c r="BI107" s="780">
        <f t="shared" si="226"/>
        <v>13406341</v>
      </c>
      <c r="BJ107" s="418">
        <f t="shared" si="227"/>
        <v>9818395</v>
      </c>
      <c r="BK107" s="418">
        <f t="shared" si="228"/>
        <v>8848849</v>
      </c>
      <c r="BL107" s="418">
        <f t="shared" si="228"/>
        <v>969546</v>
      </c>
      <c r="BM107" s="418">
        <f t="shared" si="229"/>
        <v>8000</v>
      </c>
      <c r="BN107" s="418">
        <f t="shared" si="230"/>
        <v>0</v>
      </c>
      <c r="BO107" s="418">
        <f t="shared" si="230"/>
        <v>8000</v>
      </c>
      <c r="BP107" s="418">
        <f t="shared" si="231"/>
        <v>3321322</v>
      </c>
      <c r="BQ107" s="418">
        <f t="shared" si="231"/>
        <v>98184</v>
      </c>
      <c r="BR107" s="418">
        <f t="shared" si="232"/>
        <v>160440</v>
      </c>
      <c r="BS107" s="419">
        <f t="shared" si="233"/>
        <v>16.300399999999996</v>
      </c>
      <c r="BT107" s="419">
        <f t="shared" si="234"/>
        <v>13.4907</v>
      </c>
      <c r="BU107" s="421">
        <f t="shared" si="234"/>
        <v>2.8096999999999999</v>
      </c>
      <c r="BV107" s="420">
        <v>304109</v>
      </c>
      <c r="BW107" s="415">
        <v>225600</v>
      </c>
      <c r="BX107" s="415">
        <v>0</v>
      </c>
      <c r="BY107" s="415">
        <v>76253</v>
      </c>
      <c r="BZ107" s="415">
        <v>2256</v>
      </c>
      <c r="CA107" s="510">
        <v>0.4</v>
      </c>
    </row>
    <row r="108" spans="1:79" ht="12.95" customHeight="1" x14ac:dyDescent="0.25">
      <c r="A108" s="280">
        <v>21</v>
      </c>
      <c r="B108" s="212">
        <v>3427</v>
      </c>
      <c r="C108" s="212">
        <v>650023340</v>
      </c>
      <c r="D108" s="281">
        <v>70982988</v>
      </c>
      <c r="E108" s="372" t="s">
        <v>489</v>
      </c>
      <c r="F108" s="212">
        <v>3113</v>
      </c>
      <c r="G108" s="323" t="s">
        <v>291</v>
      </c>
      <c r="H108" s="285" t="s">
        <v>272</v>
      </c>
      <c r="I108" s="420">
        <v>2979996</v>
      </c>
      <c r="J108" s="415">
        <v>2210680</v>
      </c>
      <c r="K108" s="415">
        <v>2210680</v>
      </c>
      <c r="L108" s="415">
        <v>0</v>
      </c>
      <c r="M108" s="415">
        <v>0</v>
      </c>
      <c r="N108" s="415">
        <v>0</v>
      </c>
      <c r="O108" s="415">
        <v>0</v>
      </c>
      <c r="P108" s="68">
        <v>747210</v>
      </c>
      <c r="Q108" s="68">
        <v>22106</v>
      </c>
      <c r="R108" s="415">
        <v>0</v>
      </c>
      <c r="S108" s="416">
        <v>6.03</v>
      </c>
      <c r="T108" s="416">
        <v>6.03</v>
      </c>
      <c r="U108" s="423">
        <v>0</v>
      </c>
      <c r="V108" s="424">
        <f t="shared" si="210"/>
        <v>0</v>
      </c>
      <c r="W108" s="418">
        <f t="shared" si="210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si="211"/>
        <v>0</v>
      </c>
      <c r="AE108" s="418">
        <f t="shared" si="212"/>
        <v>0</v>
      </c>
      <c r="AF108" s="418">
        <f t="shared" si="213"/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214"/>
        <v>0</v>
      </c>
      <c r="AM108" s="418">
        <f t="shared" si="215"/>
        <v>0</v>
      </c>
      <c r="AN108" s="418">
        <f t="shared" si="216"/>
        <v>0</v>
      </c>
      <c r="AO108" s="418">
        <f t="shared" si="217"/>
        <v>0</v>
      </c>
      <c r="AP108" s="418">
        <f t="shared" si="217"/>
        <v>0</v>
      </c>
      <c r="AQ108" s="418">
        <f t="shared" si="218"/>
        <v>0</v>
      </c>
      <c r="AR108" s="68">
        <f t="shared" si="219"/>
        <v>0</v>
      </c>
      <c r="AS108" s="68">
        <f t="shared" si="220"/>
        <v>0</v>
      </c>
      <c r="AT108" s="418">
        <v>0</v>
      </c>
      <c r="AU108" s="418">
        <v>0</v>
      </c>
      <c r="AV108" s="418">
        <f t="shared" si="221"/>
        <v>0</v>
      </c>
      <c r="AW108" s="418">
        <f t="shared" si="222"/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223"/>
        <v>0</v>
      </c>
      <c r="BG108" s="419">
        <f t="shared" si="224"/>
        <v>0</v>
      </c>
      <c r="BH108" s="421">
        <f t="shared" si="225"/>
        <v>0</v>
      </c>
      <c r="BI108" s="780">
        <f t="shared" si="226"/>
        <v>2979996</v>
      </c>
      <c r="BJ108" s="418">
        <f t="shared" si="227"/>
        <v>2210680</v>
      </c>
      <c r="BK108" s="418">
        <f t="shared" si="228"/>
        <v>2210680</v>
      </c>
      <c r="BL108" s="418">
        <f t="shared" si="228"/>
        <v>0</v>
      </c>
      <c r="BM108" s="418">
        <f t="shared" si="229"/>
        <v>0</v>
      </c>
      <c r="BN108" s="418">
        <f t="shared" si="230"/>
        <v>0</v>
      </c>
      <c r="BO108" s="418">
        <f t="shared" si="230"/>
        <v>0</v>
      </c>
      <c r="BP108" s="418">
        <f t="shared" si="231"/>
        <v>747210</v>
      </c>
      <c r="BQ108" s="418">
        <f t="shared" si="231"/>
        <v>22106</v>
      </c>
      <c r="BR108" s="418">
        <f t="shared" si="232"/>
        <v>0</v>
      </c>
      <c r="BS108" s="419">
        <f t="shared" si="233"/>
        <v>6.03</v>
      </c>
      <c r="BT108" s="419">
        <f t="shared" si="234"/>
        <v>6.03</v>
      </c>
      <c r="BU108" s="421">
        <f t="shared" si="234"/>
        <v>0</v>
      </c>
      <c r="BV108" s="420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21</v>
      </c>
      <c r="B109" s="212">
        <v>3427</v>
      </c>
      <c r="C109" s="212">
        <v>650023340</v>
      </c>
      <c r="D109" s="281">
        <v>70982988</v>
      </c>
      <c r="E109" s="371" t="s">
        <v>489</v>
      </c>
      <c r="F109" s="382">
        <v>3141</v>
      </c>
      <c r="G109" s="373" t="s">
        <v>294</v>
      </c>
      <c r="H109" s="285" t="s">
        <v>272</v>
      </c>
      <c r="I109" s="420">
        <v>1235952</v>
      </c>
      <c r="J109" s="415">
        <v>911500</v>
      </c>
      <c r="K109" s="415">
        <v>0</v>
      </c>
      <c r="L109" s="415">
        <v>911500</v>
      </c>
      <c r="M109" s="415">
        <v>0</v>
      </c>
      <c r="N109" s="415">
        <v>0</v>
      </c>
      <c r="O109" s="415">
        <v>0</v>
      </c>
      <c r="P109" s="68">
        <v>308087</v>
      </c>
      <c r="Q109" s="68">
        <v>9115</v>
      </c>
      <c r="R109" s="415">
        <v>7250</v>
      </c>
      <c r="S109" s="416">
        <v>2.7332999999999998</v>
      </c>
      <c r="T109" s="416">
        <v>0</v>
      </c>
      <c r="U109" s="423">
        <v>2.7332999999999998</v>
      </c>
      <c r="V109" s="424">
        <f t="shared" si="210"/>
        <v>0</v>
      </c>
      <c r="W109" s="418">
        <f t="shared" si="210"/>
        <v>0</v>
      </c>
      <c r="X109" s="418">
        <v>0</v>
      </c>
      <c r="Y109" s="418">
        <v>0</v>
      </c>
      <c r="Z109" s="418">
        <v>0</v>
      </c>
      <c r="AA109" s="418">
        <f>393573+64616</f>
        <v>458189</v>
      </c>
      <c r="AB109" s="418">
        <v>0</v>
      </c>
      <c r="AC109" s="418">
        <v>0</v>
      </c>
      <c r="AD109" s="418">
        <f t="shared" si="211"/>
        <v>0</v>
      </c>
      <c r="AE109" s="418">
        <f t="shared" si="212"/>
        <v>458189</v>
      </c>
      <c r="AF109" s="418">
        <f t="shared" si="213"/>
        <v>458189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214"/>
        <v>0</v>
      </c>
      <c r="AM109" s="418">
        <f t="shared" si="215"/>
        <v>0</v>
      </c>
      <c r="AN109" s="418">
        <f t="shared" si="216"/>
        <v>0</v>
      </c>
      <c r="AO109" s="418">
        <f t="shared" si="217"/>
        <v>0</v>
      </c>
      <c r="AP109" s="418">
        <f t="shared" si="217"/>
        <v>458189</v>
      </c>
      <c r="AQ109" s="418">
        <f t="shared" si="218"/>
        <v>458189</v>
      </c>
      <c r="AR109" s="68">
        <f t="shared" si="219"/>
        <v>154868</v>
      </c>
      <c r="AS109" s="68">
        <f t="shared" si="220"/>
        <v>4582</v>
      </c>
      <c r="AT109" s="418">
        <v>0</v>
      </c>
      <c r="AU109" s="418">
        <f>3011+495</f>
        <v>3506</v>
      </c>
      <c r="AV109" s="418">
        <f t="shared" si="221"/>
        <v>3506</v>
      </c>
      <c r="AW109" s="418">
        <f t="shared" si="222"/>
        <v>621145</v>
      </c>
      <c r="AX109" s="419">
        <v>0</v>
      </c>
      <c r="AY109" s="419">
        <v>0</v>
      </c>
      <c r="AZ109" s="419">
        <v>0</v>
      </c>
      <c r="BA109" s="419">
        <v>0</v>
      </c>
      <c r="BB109" s="419">
        <f>1.18+0.19</f>
        <v>1.3699999999999999</v>
      </c>
      <c r="BC109" s="419">
        <v>0</v>
      </c>
      <c r="BD109" s="419">
        <v>0</v>
      </c>
      <c r="BE109" s="419">
        <v>0</v>
      </c>
      <c r="BF109" s="419">
        <f t="shared" si="223"/>
        <v>0</v>
      </c>
      <c r="BG109" s="419">
        <f t="shared" si="224"/>
        <v>1.3699999999999999</v>
      </c>
      <c r="BH109" s="421">
        <f t="shared" si="225"/>
        <v>1.3699999999999999</v>
      </c>
      <c r="BI109" s="780">
        <f t="shared" si="226"/>
        <v>1857097</v>
      </c>
      <c r="BJ109" s="418">
        <f t="shared" si="227"/>
        <v>1369689</v>
      </c>
      <c r="BK109" s="418">
        <f t="shared" si="228"/>
        <v>0</v>
      </c>
      <c r="BL109" s="418">
        <f t="shared" si="228"/>
        <v>1369689</v>
      </c>
      <c r="BM109" s="418">
        <f t="shared" si="229"/>
        <v>0</v>
      </c>
      <c r="BN109" s="418">
        <f t="shared" si="230"/>
        <v>0</v>
      </c>
      <c r="BO109" s="418">
        <f t="shared" si="230"/>
        <v>0</v>
      </c>
      <c r="BP109" s="418">
        <f t="shared" si="231"/>
        <v>462955</v>
      </c>
      <c r="BQ109" s="418">
        <f t="shared" si="231"/>
        <v>13697</v>
      </c>
      <c r="BR109" s="418">
        <f t="shared" si="232"/>
        <v>10756</v>
      </c>
      <c r="BS109" s="419">
        <f t="shared" si="233"/>
        <v>4.1032999999999999</v>
      </c>
      <c r="BT109" s="419">
        <f t="shared" si="234"/>
        <v>0</v>
      </c>
      <c r="BU109" s="421">
        <f t="shared" si="234"/>
        <v>4.1032999999999999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21</v>
      </c>
      <c r="B110" s="212">
        <v>3427</v>
      </c>
      <c r="C110" s="212">
        <v>650023340</v>
      </c>
      <c r="D110" s="281">
        <v>70982988</v>
      </c>
      <c r="E110" s="372" t="s">
        <v>489</v>
      </c>
      <c r="F110" s="212">
        <v>3143</v>
      </c>
      <c r="G110" s="323" t="s">
        <v>595</v>
      </c>
      <c r="H110" s="285" t="s">
        <v>271</v>
      </c>
      <c r="I110" s="420">
        <v>1379910</v>
      </c>
      <c r="J110" s="415">
        <v>1023672</v>
      </c>
      <c r="K110" s="415">
        <v>1023672</v>
      </c>
      <c r="L110" s="415">
        <v>0</v>
      </c>
      <c r="M110" s="415">
        <v>0</v>
      </c>
      <c r="N110" s="415">
        <v>0</v>
      </c>
      <c r="O110" s="415">
        <v>0</v>
      </c>
      <c r="P110" s="68">
        <v>346001</v>
      </c>
      <c r="Q110" s="68">
        <v>10237</v>
      </c>
      <c r="R110" s="415">
        <v>0</v>
      </c>
      <c r="S110" s="416">
        <v>2.0535999999999999</v>
      </c>
      <c r="T110" s="416">
        <v>2.0535999999999999</v>
      </c>
      <c r="U110" s="423">
        <v>0</v>
      </c>
      <c r="V110" s="424">
        <f t="shared" si="210"/>
        <v>0</v>
      </c>
      <c r="W110" s="418">
        <f t="shared" si="210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11"/>
        <v>0</v>
      </c>
      <c r="AE110" s="418">
        <f t="shared" si="212"/>
        <v>0</v>
      </c>
      <c r="AF110" s="418">
        <f t="shared" si="213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14"/>
        <v>0</v>
      </c>
      <c r="AM110" s="418">
        <f t="shared" si="215"/>
        <v>0</v>
      </c>
      <c r="AN110" s="418">
        <f t="shared" si="216"/>
        <v>0</v>
      </c>
      <c r="AO110" s="418">
        <f t="shared" si="217"/>
        <v>0</v>
      </c>
      <c r="AP110" s="418">
        <f t="shared" si="217"/>
        <v>0</v>
      </c>
      <c r="AQ110" s="418">
        <f t="shared" si="218"/>
        <v>0</v>
      </c>
      <c r="AR110" s="68">
        <f t="shared" si="219"/>
        <v>0</v>
      </c>
      <c r="AS110" s="68">
        <f t="shared" si="220"/>
        <v>0</v>
      </c>
      <c r="AT110" s="418">
        <v>0</v>
      </c>
      <c r="AU110" s="418">
        <v>0</v>
      </c>
      <c r="AV110" s="418">
        <f t="shared" si="221"/>
        <v>0</v>
      </c>
      <c r="AW110" s="418">
        <f t="shared" si="222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23"/>
        <v>0</v>
      </c>
      <c r="BG110" s="419">
        <f t="shared" si="224"/>
        <v>0</v>
      </c>
      <c r="BH110" s="421">
        <f t="shared" si="225"/>
        <v>0</v>
      </c>
      <c r="BI110" s="780">
        <f t="shared" si="226"/>
        <v>1379910</v>
      </c>
      <c r="BJ110" s="418">
        <f t="shared" si="227"/>
        <v>1023672</v>
      </c>
      <c r="BK110" s="418">
        <f t="shared" si="228"/>
        <v>1023672</v>
      </c>
      <c r="BL110" s="418">
        <f t="shared" si="228"/>
        <v>0</v>
      </c>
      <c r="BM110" s="418">
        <f t="shared" si="229"/>
        <v>0</v>
      </c>
      <c r="BN110" s="418">
        <f t="shared" si="230"/>
        <v>0</v>
      </c>
      <c r="BO110" s="418">
        <f t="shared" si="230"/>
        <v>0</v>
      </c>
      <c r="BP110" s="418">
        <f t="shared" si="231"/>
        <v>346001</v>
      </c>
      <c r="BQ110" s="418">
        <f t="shared" si="231"/>
        <v>10237</v>
      </c>
      <c r="BR110" s="418">
        <f t="shared" si="232"/>
        <v>0</v>
      </c>
      <c r="BS110" s="419">
        <f t="shared" si="233"/>
        <v>2.0535999999999999</v>
      </c>
      <c r="BT110" s="419">
        <f t="shared" si="234"/>
        <v>2.0535999999999999</v>
      </c>
      <c r="BU110" s="421">
        <f t="shared" si="234"/>
        <v>0</v>
      </c>
      <c r="BV110" s="420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21</v>
      </c>
      <c r="B111" s="212">
        <v>3427</v>
      </c>
      <c r="C111" s="212">
        <v>650023340</v>
      </c>
      <c r="D111" s="281">
        <v>70982988</v>
      </c>
      <c r="E111" s="372" t="s">
        <v>489</v>
      </c>
      <c r="F111" s="212">
        <v>3143</v>
      </c>
      <c r="G111" s="323" t="s">
        <v>596</v>
      </c>
      <c r="H111" s="285" t="s">
        <v>272</v>
      </c>
      <c r="I111" s="420">
        <v>22535</v>
      </c>
      <c r="J111" s="415">
        <v>16130</v>
      </c>
      <c r="K111" s="415">
        <v>0</v>
      </c>
      <c r="L111" s="415">
        <v>16130</v>
      </c>
      <c r="M111" s="415">
        <v>0</v>
      </c>
      <c r="N111" s="415">
        <v>0</v>
      </c>
      <c r="O111" s="415">
        <v>0</v>
      </c>
      <c r="P111" s="68">
        <v>5452</v>
      </c>
      <c r="Q111" s="68">
        <v>161</v>
      </c>
      <c r="R111" s="415">
        <v>792</v>
      </c>
      <c r="S111" s="416">
        <v>6.1100000000000002E-2</v>
      </c>
      <c r="T111" s="416">
        <v>0</v>
      </c>
      <c r="U111" s="423">
        <v>6.1100000000000002E-2</v>
      </c>
      <c r="V111" s="424">
        <f t="shared" si="210"/>
        <v>0</v>
      </c>
      <c r="W111" s="418">
        <f t="shared" si="210"/>
        <v>0</v>
      </c>
      <c r="X111" s="418">
        <v>0</v>
      </c>
      <c r="Y111" s="418">
        <v>0</v>
      </c>
      <c r="Z111" s="418">
        <v>0</v>
      </c>
      <c r="AA111" s="418">
        <v>8070</v>
      </c>
      <c r="AB111" s="418">
        <v>0</v>
      </c>
      <c r="AC111" s="418">
        <v>0</v>
      </c>
      <c r="AD111" s="418">
        <f t="shared" si="211"/>
        <v>0</v>
      </c>
      <c r="AE111" s="418">
        <f t="shared" si="212"/>
        <v>8070</v>
      </c>
      <c r="AF111" s="418">
        <f t="shared" si="213"/>
        <v>8070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14"/>
        <v>0</v>
      </c>
      <c r="AM111" s="418">
        <f t="shared" si="215"/>
        <v>0</v>
      </c>
      <c r="AN111" s="418">
        <f t="shared" si="216"/>
        <v>0</v>
      </c>
      <c r="AO111" s="418">
        <f t="shared" si="217"/>
        <v>0</v>
      </c>
      <c r="AP111" s="418">
        <f t="shared" si="217"/>
        <v>8070</v>
      </c>
      <c r="AQ111" s="418">
        <f t="shared" si="218"/>
        <v>8070</v>
      </c>
      <c r="AR111" s="68">
        <f t="shared" si="219"/>
        <v>2728</v>
      </c>
      <c r="AS111" s="68">
        <f t="shared" si="220"/>
        <v>81</v>
      </c>
      <c r="AT111" s="418">
        <v>0</v>
      </c>
      <c r="AU111" s="418">
        <v>396</v>
      </c>
      <c r="AV111" s="418">
        <f t="shared" si="221"/>
        <v>396</v>
      </c>
      <c r="AW111" s="418">
        <f t="shared" si="222"/>
        <v>11275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0.03</v>
      </c>
      <c r="BC111" s="419">
        <v>0</v>
      </c>
      <c r="BD111" s="419">
        <v>0</v>
      </c>
      <c r="BE111" s="419">
        <v>0</v>
      </c>
      <c r="BF111" s="419">
        <f t="shared" si="223"/>
        <v>0</v>
      </c>
      <c r="BG111" s="419">
        <f t="shared" si="224"/>
        <v>0.03</v>
      </c>
      <c r="BH111" s="421">
        <f t="shared" si="225"/>
        <v>0.03</v>
      </c>
      <c r="BI111" s="780">
        <f t="shared" si="226"/>
        <v>33810</v>
      </c>
      <c r="BJ111" s="418">
        <f t="shared" si="227"/>
        <v>24200</v>
      </c>
      <c r="BK111" s="418">
        <f t="shared" si="228"/>
        <v>0</v>
      </c>
      <c r="BL111" s="418">
        <f t="shared" si="228"/>
        <v>24200</v>
      </c>
      <c r="BM111" s="418">
        <f t="shared" si="229"/>
        <v>0</v>
      </c>
      <c r="BN111" s="418">
        <f t="shared" si="230"/>
        <v>0</v>
      </c>
      <c r="BO111" s="418">
        <f t="shared" si="230"/>
        <v>0</v>
      </c>
      <c r="BP111" s="418">
        <f t="shared" si="231"/>
        <v>8180</v>
      </c>
      <c r="BQ111" s="418">
        <f t="shared" si="231"/>
        <v>242</v>
      </c>
      <c r="BR111" s="418">
        <f t="shared" si="232"/>
        <v>1188</v>
      </c>
      <c r="BS111" s="419">
        <f t="shared" si="233"/>
        <v>9.11E-2</v>
      </c>
      <c r="BT111" s="419">
        <f t="shared" si="234"/>
        <v>0</v>
      </c>
      <c r="BU111" s="421">
        <f t="shared" si="234"/>
        <v>9.11E-2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213">
        <v>21</v>
      </c>
      <c r="B112" s="46">
        <v>3427</v>
      </c>
      <c r="C112" s="46">
        <v>650023340</v>
      </c>
      <c r="D112" s="46">
        <v>70982988</v>
      </c>
      <c r="E112" s="374" t="s">
        <v>490</v>
      </c>
      <c r="F112" s="45"/>
      <c r="G112" s="374"/>
      <c r="H112" s="182"/>
      <c r="I112" s="488">
        <v>22287879</v>
      </c>
      <c r="J112" s="485">
        <v>16392195</v>
      </c>
      <c r="K112" s="485">
        <v>14361883</v>
      </c>
      <c r="L112" s="485">
        <v>2030312</v>
      </c>
      <c r="M112" s="485">
        <v>8000</v>
      </c>
      <c r="N112" s="485">
        <v>0</v>
      </c>
      <c r="O112" s="485">
        <v>8000</v>
      </c>
      <c r="P112" s="485">
        <v>5543266</v>
      </c>
      <c r="Q112" s="485">
        <v>163921</v>
      </c>
      <c r="R112" s="485">
        <v>180497</v>
      </c>
      <c r="S112" s="486">
        <v>31.582699999999996</v>
      </c>
      <c r="T112" s="486">
        <v>25.4452</v>
      </c>
      <c r="U112" s="657">
        <v>6.1374999999999993</v>
      </c>
      <c r="V112" s="488">
        <f t="shared" ref="V112:CA112" si="235">SUM(V106:V111)</f>
        <v>0</v>
      </c>
      <c r="W112" s="485">
        <f t="shared" si="235"/>
        <v>0</v>
      </c>
      <c r="X112" s="485">
        <f t="shared" si="235"/>
        <v>0</v>
      </c>
      <c r="Y112" s="485">
        <f t="shared" si="235"/>
        <v>0</v>
      </c>
      <c r="Z112" s="485">
        <f t="shared" si="235"/>
        <v>0</v>
      </c>
      <c r="AA112" s="485">
        <f t="shared" si="235"/>
        <v>466259</v>
      </c>
      <c r="AB112" s="485">
        <f t="shared" si="235"/>
        <v>0</v>
      </c>
      <c r="AC112" s="485">
        <f t="shared" si="235"/>
        <v>0</v>
      </c>
      <c r="AD112" s="485">
        <f t="shared" si="235"/>
        <v>0</v>
      </c>
      <c r="AE112" s="485">
        <f t="shared" si="235"/>
        <v>466259</v>
      </c>
      <c r="AF112" s="485">
        <f t="shared" si="235"/>
        <v>466259</v>
      </c>
      <c r="AG112" s="485">
        <f t="shared" si="235"/>
        <v>0</v>
      </c>
      <c r="AH112" s="485">
        <f t="shared" si="235"/>
        <v>0</v>
      </c>
      <c r="AI112" s="485">
        <f t="shared" si="235"/>
        <v>0</v>
      </c>
      <c r="AJ112" s="485">
        <f t="shared" si="235"/>
        <v>0</v>
      </c>
      <c r="AK112" s="485">
        <f t="shared" si="235"/>
        <v>0</v>
      </c>
      <c r="AL112" s="485">
        <f t="shared" si="235"/>
        <v>0</v>
      </c>
      <c r="AM112" s="485">
        <f t="shared" si="235"/>
        <v>0</v>
      </c>
      <c r="AN112" s="485">
        <f t="shared" si="235"/>
        <v>0</v>
      </c>
      <c r="AO112" s="485">
        <f t="shared" si="235"/>
        <v>0</v>
      </c>
      <c r="AP112" s="485">
        <f t="shared" si="235"/>
        <v>466259</v>
      </c>
      <c r="AQ112" s="485">
        <f t="shared" si="235"/>
        <v>466259</v>
      </c>
      <c r="AR112" s="485">
        <f t="shared" si="235"/>
        <v>157596</v>
      </c>
      <c r="AS112" s="485">
        <f t="shared" si="235"/>
        <v>4663</v>
      </c>
      <c r="AT112" s="485">
        <f t="shared" si="235"/>
        <v>0</v>
      </c>
      <c r="AU112" s="485">
        <f t="shared" si="235"/>
        <v>3902</v>
      </c>
      <c r="AV112" s="485">
        <f t="shared" si="235"/>
        <v>3902</v>
      </c>
      <c r="AW112" s="485">
        <f t="shared" si="235"/>
        <v>632420</v>
      </c>
      <c r="AX112" s="486">
        <f t="shared" si="235"/>
        <v>0</v>
      </c>
      <c r="AY112" s="486">
        <f t="shared" si="235"/>
        <v>0</v>
      </c>
      <c r="AZ112" s="486">
        <f t="shared" si="235"/>
        <v>0</v>
      </c>
      <c r="BA112" s="486">
        <f t="shared" si="235"/>
        <v>0</v>
      </c>
      <c r="BB112" s="486">
        <f t="shared" ref="BB112" si="236">SUM(BB106:BB111)</f>
        <v>1.4</v>
      </c>
      <c r="BC112" s="486">
        <f t="shared" si="235"/>
        <v>0</v>
      </c>
      <c r="BD112" s="486">
        <f t="shared" si="235"/>
        <v>0</v>
      </c>
      <c r="BE112" s="486">
        <f t="shared" ref="BE112" si="237">SUM(BE106:BE111)</f>
        <v>0</v>
      </c>
      <c r="BF112" s="486">
        <f t="shared" si="235"/>
        <v>0</v>
      </c>
      <c r="BG112" s="486">
        <f t="shared" si="235"/>
        <v>1.4</v>
      </c>
      <c r="BH112" s="379">
        <f t="shared" si="235"/>
        <v>1.4</v>
      </c>
      <c r="BI112" s="793">
        <f t="shared" si="235"/>
        <v>22920299</v>
      </c>
      <c r="BJ112" s="485">
        <f t="shared" si="235"/>
        <v>16858454</v>
      </c>
      <c r="BK112" s="485">
        <f t="shared" si="235"/>
        <v>14361883</v>
      </c>
      <c r="BL112" s="485">
        <f t="shared" si="235"/>
        <v>2496571</v>
      </c>
      <c r="BM112" s="485">
        <f t="shared" si="235"/>
        <v>8000</v>
      </c>
      <c r="BN112" s="485">
        <f t="shared" si="235"/>
        <v>0</v>
      </c>
      <c r="BO112" s="485">
        <f t="shared" si="235"/>
        <v>8000</v>
      </c>
      <c r="BP112" s="485">
        <f t="shared" si="235"/>
        <v>5700862</v>
      </c>
      <c r="BQ112" s="485">
        <f t="shared" si="235"/>
        <v>168584</v>
      </c>
      <c r="BR112" s="485">
        <f t="shared" si="235"/>
        <v>184399</v>
      </c>
      <c r="BS112" s="486">
        <f t="shared" si="235"/>
        <v>32.982699999999994</v>
      </c>
      <c r="BT112" s="486">
        <f t="shared" si="235"/>
        <v>25.4452</v>
      </c>
      <c r="BU112" s="379">
        <f t="shared" si="235"/>
        <v>7.5374999999999996</v>
      </c>
      <c r="BV112" s="871">
        <f t="shared" si="235"/>
        <v>304109</v>
      </c>
      <c r="BW112" s="734">
        <f t="shared" si="235"/>
        <v>225600</v>
      </c>
      <c r="BX112" s="734">
        <f t="shared" si="235"/>
        <v>0</v>
      </c>
      <c r="BY112" s="734">
        <f t="shared" si="235"/>
        <v>76253</v>
      </c>
      <c r="BZ112" s="734">
        <f t="shared" si="235"/>
        <v>2256</v>
      </c>
      <c r="CA112" s="872">
        <f t="shared" si="235"/>
        <v>0.4</v>
      </c>
    </row>
    <row r="113" spans="1:79" ht="12.95" customHeight="1" x14ac:dyDescent="0.25">
      <c r="A113" s="280">
        <v>22</v>
      </c>
      <c r="B113" s="212">
        <v>5484</v>
      </c>
      <c r="C113" s="212">
        <v>600098532</v>
      </c>
      <c r="D113" s="281">
        <v>72743255</v>
      </c>
      <c r="E113" s="372" t="s">
        <v>491</v>
      </c>
      <c r="F113" s="212">
        <v>3111</v>
      </c>
      <c r="G113" s="373" t="s">
        <v>304</v>
      </c>
      <c r="H113" s="285" t="s">
        <v>271</v>
      </c>
      <c r="I113" s="420">
        <v>6618496</v>
      </c>
      <c r="J113" s="415">
        <v>4893377</v>
      </c>
      <c r="K113" s="415">
        <v>4449831</v>
      </c>
      <c r="L113" s="415">
        <v>443546</v>
      </c>
      <c r="M113" s="415">
        <v>0</v>
      </c>
      <c r="N113" s="415">
        <v>0</v>
      </c>
      <c r="O113" s="415">
        <v>0</v>
      </c>
      <c r="P113" s="68">
        <v>1653961</v>
      </c>
      <c r="Q113" s="68">
        <v>48934</v>
      </c>
      <c r="R113" s="415">
        <v>22224</v>
      </c>
      <c r="S113" s="416">
        <v>9.4932999999999996</v>
      </c>
      <c r="T113" s="416">
        <v>8</v>
      </c>
      <c r="U113" s="423">
        <v>1.4933000000000001</v>
      </c>
      <c r="V113" s="424">
        <f>AG113*-1</f>
        <v>0</v>
      </c>
      <c r="W113" s="418">
        <f>AH113*-1</f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0</v>
      </c>
      <c r="AF113" s="418">
        <f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>AD113+AL113</f>
        <v>0</v>
      </c>
      <c r="AP113" s="418">
        <f>AE113+AM113</f>
        <v>0</v>
      </c>
      <c r="AQ113" s="418">
        <f>SUM(AO113:AP113)</f>
        <v>0</v>
      </c>
      <c r="AR113" s="68">
        <f>ROUND((AF113+AG113+AH113+AI113)*33.8%,0)</f>
        <v>0</v>
      </c>
      <c r="AS113" s="68">
        <f>ROUND(AF113*1%,0)</f>
        <v>0</v>
      </c>
      <c r="AT113" s="418">
        <v>0</v>
      </c>
      <c r="AU113" s="418">
        <v>0</v>
      </c>
      <c r="AV113" s="418">
        <f>AT113+AU113</f>
        <v>0</v>
      </c>
      <c r="AW113" s="418">
        <f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</v>
      </c>
      <c r="BH113" s="421">
        <f>SUM(BF113:BG113)</f>
        <v>0</v>
      </c>
      <c r="BI113" s="780">
        <f>I113+AW113</f>
        <v>6618496</v>
      </c>
      <c r="BJ113" s="418">
        <f>J113+AF113</f>
        <v>4893377</v>
      </c>
      <c r="BK113" s="418">
        <f>K113+AD113</f>
        <v>4449831</v>
      </c>
      <c r="BL113" s="418">
        <f>L113+AE113</f>
        <v>443546</v>
      </c>
      <c r="BM113" s="418">
        <f>M113+AN113</f>
        <v>0</v>
      </c>
      <c r="BN113" s="418">
        <f>N113+AL113</f>
        <v>0</v>
      </c>
      <c r="BO113" s="418">
        <f>O113+AM113</f>
        <v>0</v>
      </c>
      <c r="BP113" s="418">
        <f>P113+AR113</f>
        <v>1653961</v>
      </c>
      <c r="BQ113" s="418">
        <f>Q113+AS113</f>
        <v>48934</v>
      </c>
      <c r="BR113" s="418">
        <f>R113+AV113</f>
        <v>22224</v>
      </c>
      <c r="BS113" s="419">
        <f>S113+BH113</f>
        <v>9.4932999999999996</v>
      </c>
      <c r="BT113" s="419">
        <f>T113+BF113</f>
        <v>8</v>
      </c>
      <c r="BU113" s="421">
        <f>U113+BG113</f>
        <v>1.4933000000000001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280">
        <v>22</v>
      </c>
      <c r="B114" s="212">
        <v>5484</v>
      </c>
      <c r="C114" s="212">
        <v>600098532</v>
      </c>
      <c r="D114" s="281">
        <v>72743255</v>
      </c>
      <c r="E114" s="372" t="s">
        <v>491</v>
      </c>
      <c r="F114" s="212">
        <v>3141</v>
      </c>
      <c r="G114" s="373" t="s">
        <v>294</v>
      </c>
      <c r="H114" s="285" t="s">
        <v>272</v>
      </c>
      <c r="I114" s="420">
        <v>885349</v>
      </c>
      <c r="J114" s="415">
        <v>653621</v>
      </c>
      <c r="K114" s="415">
        <v>0</v>
      </c>
      <c r="L114" s="415">
        <v>653621</v>
      </c>
      <c r="M114" s="415">
        <v>0</v>
      </c>
      <c r="N114" s="415">
        <v>0</v>
      </c>
      <c r="O114" s="415">
        <v>0</v>
      </c>
      <c r="P114" s="68">
        <v>220924</v>
      </c>
      <c r="Q114" s="68">
        <v>6536</v>
      </c>
      <c r="R114" s="415">
        <v>4268</v>
      </c>
      <c r="S114" s="416">
        <v>1.96</v>
      </c>
      <c r="T114" s="416">
        <v>0</v>
      </c>
      <c r="U114" s="423">
        <v>1.96</v>
      </c>
      <c r="V114" s="424">
        <f>AG114*-1</f>
        <v>0</v>
      </c>
      <c r="W114" s="418">
        <f>AH114*-1</f>
        <v>0</v>
      </c>
      <c r="X114" s="418">
        <v>0</v>
      </c>
      <c r="Y114" s="418">
        <v>0</v>
      </c>
      <c r="Z114" s="418">
        <v>0</v>
      </c>
      <c r="AA114" s="418">
        <v>325165</v>
      </c>
      <c r="AB114" s="418">
        <v>0</v>
      </c>
      <c r="AC114" s="418">
        <v>0</v>
      </c>
      <c r="AD114" s="418">
        <f>V114+X114+Y114+Z114+AB114</f>
        <v>0</v>
      </c>
      <c r="AE114" s="418">
        <f>W114+AA114+AC114</f>
        <v>325165</v>
      </c>
      <c r="AF114" s="418">
        <f>SUM(AD114:AE114)</f>
        <v>325165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>AG114+AI114+AJ114</f>
        <v>0</v>
      </c>
      <c r="AM114" s="418">
        <f>AH114+AK114</f>
        <v>0</v>
      </c>
      <c r="AN114" s="418">
        <f>SUM(AL114:AM114)</f>
        <v>0</v>
      </c>
      <c r="AO114" s="418">
        <f>AD114+AL114</f>
        <v>0</v>
      </c>
      <c r="AP114" s="418">
        <f>AE114+AM114</f>
        <v>325165</v>
      </c>
      <c r="AQ114" s="418">
        <f>SUM(AO114:AP114)</f>
        <v>325165</v>
      </c>
      <c r="AR114" s="68">
        <f>ROUND((AF114+AG114+AH114+AI114)*33.8%,0)</f>
        <v>109906</v>
      </c>
      <c r="AS114" s="68">
        <f>ROUND(AF114*1%,0)</f>
        <v>3252</v>
      </c>
      <c r="AT114" s="418">
        <v>0</v>
      </c>
      <c r="AU114" s="418">
        <v>2060</v>
      </c>
      <c r="AV114" s="418">
        <f>AT114+AU114</f>
        <v>2060</v>
      </c>
      <c r="AW114" s="418">
        <f>AQ114+AR114+AS114+AV114</f>
        <v>440383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0.98</v>
      </c>
      <c r="BC114" s="419">
        <v>0</v>
      </c>
      <c r="BD114" s="419">
        <v>0</v>
      </c>
      <c r="BE114" s="419">
        <v>0</v>
      </c>
      <c r="BF114" s="419">
        <f>AX114+AZ114+BA114+BC114+BD114</f>
        <v>0</v>
      </c>
      <c r="BG114" s="419">
        <f>AY114+BB114+BE114</f>
        <v>0.98</v>
      </c>
      <c r="BH114" s="421">
        <f>SUM(BF114:BG114)</f>
        <v>0.98</v>
      </c>
      <c r="BI114" s="780">
        <f>I114+AW114</f>
        <v>1325732</v>
      </c>
      <c r="BJ114" s="418">
        <f>J114+AF114</f>
        <v>978786</v>
      </c>
      <c r="BK114" s="418">
        <f>K114+AD114</f>
        <v>0</v>
      </c>
      <c r="BL114" s="418">
        <f>L114+AE114</f>
        <v>978786</v>
      </c>
      <c r="BM114" s="418">
        <f>M114+AN114</f>
        <v>0</v>
      </c>
      <c r="BN114" s="418">
        <f>N114+AL114</f>
        <v>0</v>
      </c>
      <c r="BO114" s="418">
        <f>O114+AM114</f>
        <v>0</v>
      </c>
      <c r="BP114" s="418">
        <f>P114+AR114</f>
        <v>330830</v>
      </c>
      <c r="BQ114" s="418">
        <f>Q114+AS114</f>
        <v>9788</v>
      </c>
      <c r="BR114" s="418">
        <f>R114+AV114</f>
        <v>6328</v>
      </c>
      <c r="BS114" s="419">
        <f>S114+BH114</f>
        <v>2.94</v>
      </c>
      <c r="BT114" s="419">
        <f>T114+BF114</f>
        <v>0</v>
      </c>
      <c r="BU114" s="421">
        <f>U114+BG114</f>
        <v>2.94</v>
      </c>
      <c r="BV114" s="854"/>
      <c r="BW114" s="723"/>
      <c r="BX114" s="723"/>
      <c r="BY114" s="723"/>
      <c r="BZ114" s="723"/>
      <c r="CA114" s="855"/>
    </row>
    <row r="115" spans="1:79" ht="12.95" customHeight="1" x14ac:dyDescent="0.25">
      <c r="A115" s="213">
        <v>22</v>
      </c>
      <c r="B115" s="45">
        <v>5484</v>
      </c>
      <c r="C115" s="45">
        <v>600098532</v>
      </c>
      <c r="D115" s="45">
        <v>72743255</v>
      </c>
      <c r="E115" s="374" t="s">
        <v>492</v>
      </c>
      <c r="F115" s="45"/>
      <c r="G115" s="374"/>
      <c r="H115" s="182"/>
      <c r="I115" s="465">
        <v>7503845</v>
      </c>
      <c r="J115" s="461">
        <v>5546998</v>
      </c>
      <c r="K115" s="461">
        <v>4449831</v>
      </c>
      <c r="L115" s="461">
        <v>1097167</v>
      </c>
      <c r="M115" s="461">
        <v>0</v>
      </c>
      <c r="N115" s="461">
        <v>0</v>
      </c>
      <c r="O115" s="461">
        <v>0</v>
      </c>
      <c r="P115" s="461">
        <v>1874885</v>
      </c>
      <c r="Q115" s="461">
        <v>55470</v>
      </c>
      <c r="R115" s="461">
        <v>26492</v>
      </c>
      <c r="S115" s="462">
        <v>11.453299999999999</v>
      </c>
      <c r="T115" s="462">
        <v>8</v>
      </c>
      <c r="U115" s="535">
        <v>3.4533</v>
      </c>
      <c r="V115" s="465">
        <f t="shared" ref="V115:CA115" si="238">SUM(V113:V114)</f>
        <v>0</v>
      </c>
      <c r="W115" s="461">
        <f t="shared" si="238"/>
        <v>0</v>
      </c>
      <c r="X115" s="461">
        <f t="shared" si="238"/>
        <v>0</v>
      </c>
      <c r="Y115" s="461">
        <f t="shared" si="238"/>
        <v>0</v>
      </c>
      <c r="Z115" s="461">
        <f t="shared" si="238"/>
        <v>0</v>
      </c>
      <c r="AA115" s="461">
        <f t="shared" si="238"/>
        <v>325165</v>
      </c>
      <c r="AB115" s="461">
        <f t="shared" si="238"/>
        <v>0</v>
      </c>
      <c r="AC115" s="461">
        <f t="shared" si="238"/>
        <v>0</v>
      </c>
      <c r="AD115" s="461">
        <f t="shared" si="238"/>
        <v>0</v>
      </c>
      <c r="AE115" s="461">
        <f t="shared" si="238"/>
        <v>325165</v>
      </c>
      <c r="AF115" s="461">
        <f t="shared" si="238"/>
        <v>325165</v>
      </c>
      <c r="AG115" s="461">
        <f t="shared" si="238"/>
        <v>0</v>
      </c>
      <c r="AH115" s="461">
        <f t="shared" si="238"/>
        <v>0</v>
      </c>
      <c r="AI115" s="461">
        <f t="shared" si="238"/>
        <v>0</v>
      </c>
      <c r="AJ115" s="461">
        <f t="shared" si="238"/>
        <v>0</v>
      </c>
      <c r="AK115" s="461">
        <f t="shared" si="238"/>
        <v>0</v>
      </c>
      <c r="AL115" s="461">
        <f t="shared" si="238"/>
        <v>0</v>
      </c>
      <c r="AM115" s="461">
        <f t="shared" si="238"/>
        <v>0</v>
      </c>
      <c r="AN115" s="461">
        <f t="shared" si="238"/>
        <v>0</v>
      </c>
      <c r="AO115" s="461">
        <f t="shared" si="238"/>
        <v>0</v>
      </c>
      <c r="AP115" s="461">
        <f t="shared" si="238"/>
        <v>325165</v>
      </c>
      <c r="AQ115" s="461">
        <f t="shared" si="238"/>
        <v>325165</v>
      </c>
      <c r="AR115" s="461">
        <f t="shared" si="238"/>
        <v>109906</v>
      </c>
      <c r="AS115" s="461">
        <f t="shared" si="238"/>
        <v>3252</v>
      </c>
      <c r="AT115" s="461">
        <f t="shared" si="238"/>
        <v>0</v>
      </c>
      <c r="AU115" s="461">
        <f t="shared" si="238"/>
        <v>2060</v>
      </c>
      <c r="AV115" s="461">
        <f t="shared" si="238"/>
        <v>2060</v>
      </c>
      <c r="AW115" s="461">
        <f t="shared" si="238"/>
        <v>440383</v>
      </c>
      <c r="AX115" s="462">
        <f t="shared" si="238"/>
        <v>0</v>
      </c>
      <c r="AY115" s="462">
        <f t="shared" si="238"/>
        <v>0</v>
      </c>
      <c r="AZ115" s="462">
        <f t="shared" si="238"/>
        <v>0</v>
      </c>
      <c r="BA115" s="462">
        <f t="shared" si="238"/>
        <v>0</v>
      </c>
      <c r="BB115" s="462">
        <f t="shared" ref="BB115" si="239">SUM(BB113:BB114)</f>
        <v>0.98</v>
      </c>
      <c r="BC115" s="462">
        <f t="shared" si="238"/>
        <v>0</v>
      </c>
      <c r="BD115" s="462">
        <f t="shared" si="238"/>
        <v>0</v>
      </c>
      <c r="BE115" s="462">
        <f t="shared" ref="BE115" si="240">SUM(BE113:BE114)</f>
        <v>0</v>
      </c>
      <c r="BF115" s="462">
        <f t="shared" si="238"/>
        <v>0</v>
      </c>
      <c r="BG115" s="462">
        <f t="shared" si="238"/>
        <v>0.98</v>
      </c>
      <c r="BH115" s="279">
        <f t="shared" si="238"/>
        <v>0.98</v>
      </c>
      <c r="BI115" s="781">
        <f t="shared" si="238"/>
        <v>7944228</v>
      </c>
      <c r="BJ115" s="461">
        <f t="shared" si="238"/>
        <v>5872163</v>
      </c>
      <c r="BK115" s="461">
        <f t="shared" si="238"/>
        <v>4449831</v>
      </c>
      <c r="BL115" s="461">
        <f t="shared" si="238"/>
        <v>1422332</v>
      </c>
      <c r="BM115" s="461">
        <f t="shared" si="238"/>
        <v>0</v>
      </c>
      <c r="BN115" s="461">
        <f t="shared" si="238"/>
        <v>0</v>
      </c>
      <c r="BO115" s="461">
        <f t="shared" si="238"/>
        <v>0</v>
      </c>
      <c r="BP115" s="461">
        <f t="shared" si="238"/>
        <v>1984791</v>
      </c>
      <c r="BQ115" s="461">
        <f t="shared" si="238"/>
        <v>58722</v>
      </c>
      <c r="BR115" s="461">
        <f t="shared" si="238"/>
        <v>28552</v>
      </c>
      <c r="BS115" s="462">
        <f t="shared" si="238"/>
        <v>12.433299999999999</v>
      </c>
      <c r="BT115" s="462">
        <f t="shared" si="238"/>
        <v>8</v>
      </c>
      <c r="BU115" s="279">
        <f t="shared" si="238"/>
        <v>4.4333</v>
      </c>
      <c r="BV115" s="850">
        <f t="shared" si="238"/>
        <v>0</v>
      </c>
      <c r="BW115" s="713">
        <f t="shared" si="238"/>
        <v>0</v>
      </c>
      <c r="BX115" s="713">
        <f t="shared" si="238"/>
        <v>0</v>
      </c>
      <c r="BY115" s="713">
        <f t="shared" si="238"/>
        <v>0</v>
      </c>
      <c r="BZ115" s="713">
        <f t="shared" si="238"/>
        <v>0</v>
      </c>
      <c r="CA115" s="851">
        <f t="shared" si="238"/>
        <v>0</v>
      </c>
    </row>
    <row r="116" spans="1:79" ht="12.95" customHeight="1" x14ac:dyDescent="0.25">
      <c r="A116" s="280">
        <v>23</v>
      </c>
      <c r="B116" s="212">
        <v>5485</v>
      </c>
      <c r="C116" s="212">
        <v>600099300</v>
      </c>
      <c r="D116" s="281">
        <v>72743174</v>
      </c>
      <c r="E116" s="372" t="s">
        <v>493</v>
      </c>
      <c r="F116" s="212">
        <v>3117</v>
      </c>
      <c r="G116" s="372" t="s">
        <v>308</v>
      </c>
      <c r="H116" s="285" t="s">
        <v>271</v>
      </c>
      <c r="I116" s="420">
        <v>5721090</v>
      </c>
      <c r="J116" s="415">
        <v>4175518</v>
      </c>
      <c r="K116" s="415">
        <v>3745662</v>
      </c>
      <c r="L116" s="415">
        <v>429856</v>
      </c>
      <c r="M116" s="415">
        <v>0</v>
      </c>
      <c r="N116" s="415">
        <v>0</v>
      </c>
      <c r="O116" s="415">
        <v>0</v>
      </c>
      <c r="P116" s="68">
        <v>1411325</v>
      </c>
      <c r="Q116" s="68">
        <v>41755</v>
      </c>
      <c r="R116" s="415">
        <v>92492</v>
      </c>
      <c r="S116" s="416">
        <v>7.1941000000000006</v>
      </c>
      <c r="T116" s="416">
        <v>6.0273000000000003</v>
      </c>
      <c r="U116" s="423">
        <v>1.1668000000000001</v>
      </c>
      <c r="V116" s="424">
        <f t="shared" ref="V116:W120" si="241">AG116*-1</f>
        <v>0</v>
      </c>
      <c r="W116" s="418">
        <f t="shared" si="241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ref="AO116:AP120" si="242">AD116+AL116</f>
        <v>0</v>
      </c>
      <c r="AP116" s="418">
        <f t="shared" si="242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421">
        <f>SUM(BF116:BG116)</f>
        <v>0</v>
      </c>
      <c r="BI116" s="780">
        <f>I116+AW116</f>
        <v>5721090</v>
      </c>
      <c r="BJ116" s="418">
        <f>J116+AF116</f>
        <v>4175518</v>
      </c>
      <c r="BK116" s="418">
        <f t="shared" ref="BK116:BL120" si="243">K116+AD116</f>
        <v>3745662</v>
      </c>
      <c r="BL116" s="418">
        <f t="shared" si="243"/>
        <v>429856</v>
      </c>
      <c r="BM116" s="418">
        <f>M116+AN116</f>
        <v>0</v>
      </c>
      <c r="BN116" s="418">
        <f t="shared" ref="BN116:BO120" si="244">N116+AL116</f>
        <v>0</v>
      </c>
      <c r="BO116" s="418">
        <f t="shared" si="244"/>
        <v>0</v>
      </c>
      <c r="BP116" s="418">
        <f t="shared" ref="BP116:BQ120" si="245">P116+AR116</f>
        <v>1411325</v>
      </c>
      <c r="BQ116" s="418">
        <f t="shared" si="245"/>
        <v>41755</v>
      </c>
      <c r="BR116" s="418">
        <f>R116+AV116</f>
        <v>92492</v>
      </c>
      <c r="BS116" s="419">
        <f>S116+BH116</f>
        <v>7.1941000000000006</v>
      </c>
      <c r="BT116" s="419">
        <f t="shared" ref="BT116:BU120" si="246">T116+BF116</f>
        <v>6.0273000000000003</v>
      </c>
      <c r="BU116" s="421">
        <f t="shared" si="246"/>
        <v>1.1668000000000001</v>
      </c>
      <c r="BV116" s="854"/>
      <c r="BW116" s="723"/>
      <c r="BX116" s="723"/>
      <c r="BY116" s="723"/>
      <c r="BZ116" s="723"/>
      <c r="CA116" s="855"/>
    </row>
    <row r="117" spans="1:79" ht="12.95" customHeight="1" x14ac:dyDescent="0.25">
      <c r="A117" s="280">
        <v>23</v>
      </c>
      <c r="B117" s="212">
        <v>5485</v>
      </c>
      <c r="C117" s="212">
        <v>600099300</v>
      </c>
      <c r="D117" s="281">
        <v>72743174</v>
      </c>
      <c r="E117" s="371" t="s">
        <v>493</v>
      </c>
      <c r="F117" s="212">
        <v>3117</v>
      </c>
      <c r="G117" s="323" t="s">
        <v>291</v>
      </c>
      <c r="H117" s="285" t="s">
        <v>272</v>
      </c>
      <c r="I117" s="420">
        <v>733349</v>
      </c>
      <c r="J117" s="415">
        <v>544028</v>
      </c>
      <c r="K117" s="415">
        <v>544028</v>
      </c>
      <c r="L117" s="415">
        <v>0</v>
      </c>
      <c r="M117" s="415">
        <v>0</v>
      </c>
      <c r="N117" s="415">
        <v>0</v>
      </c>
      <c r="O117" s="415">
        <v>0</v>
      </c>
      <c r="P117" s="68">
        <v>183881</v>
      </c>
      <c r="Q117" s="68">
        <v>5440</v>
      </c>
      <c r="R117" s="415">
        <v>0</v>
      </c>
      <c r="S117" s="416">
        <v>1.3800000000000001</v>
      </c>
      <c r="T117" s="416">
        <v>1.3800000000000001</v>
      </c>
      <c r="U117" s="423">
        <v>0</v>
      </c>
      <c r="V117" s="424">
        <f t="shared" si="241"/>
        <v>0</v>
      </c>
      <c r="W117" s="418">
        <f t="shared" si="241"/>
        <v>0</v>
      </c>
      <c r="X117" s="418">
        <v>0</v>
      </c>
      <c r="Y117" s="418">
        <v>0</v>
      </c>
      <c r="Z117" s="418">
        <v>0</v>
      </c>
      <c r="AA117" s="418">
        <v>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0</v>
      </c>
      <c r="AF117" s="418">
        <f>SUM(AD117:AE117)</f>
        <v>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42"/>
        <v>0</v>
      </c>
      <c r="AP117" s="418">
        <f t="shared" si="242"/>
        <v>0</v>
      </c>
      <c r="AQ117" s="418">
        <f>SUM(AO117:AP117)</f>
        <v>0</v>
      </c>
      <c r="AR117" s="68">
        <f>ROUND((AF117+AG117+AH117+AI117)*33.8%,0)</f>
        <v>0</v>
      </c>
      <c r="AS117" s="68">
        <f>ROUND(AF117*1%,0)</f>
        <v>0</v>
      </c>
      <c r="AT117" s="418">
        <v>0</v>
      </c>
      <c r="AU117" s="418">
        <v>0</v>
      </c>
      <c r="AV117" s="418">
        <f>AT117+AU117</f>
        <v>0</v>
      </c>
      <c r="AW117" s="418">
        <f>AQ117+AR117+AS117+AV117</f>
        <v>0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</v>
      </c>
      <c r="BH117" s="421">
        <f>SUM(BF117:BG117)</f>
        <v>0</v>
      </c>
      <c r="BI117" s="780">
        <f>I117+AW117</f>
        <v>733349</v>
      </c>
      <c r="BJ117" s="418">
        <f>J117+AF117</f>
        <v>544028</v>
      </c>
      <c r="BK117" s="418">
        <f t="shared" si="243"/>
        <v>544028</v>
      </c>
      <c r="BL117" s="418">
        <f t="shared" si="243"/>
        <v>0</v>
      </c>
      <c r="BM117" s="418">
        <f>M117+AN117</f>
        <v>0</v>
      </c>
      <c r="BN117" s="418">
        <f t="shared" si="244"/>
        <v>0</v>
      </c>
      <c r="BO117" s="418">
        <f t="shared" si="244"/>
        <v>0</v>
      </c>
      <c r="BP117" s="418">
        <f t="shared" si="245"/>
        <v>183881</v>
      </c>
      <c r="BQ117" s="418">
        <f t="shared" si="245"/>
        <v>5440</v>
      </c>
      <c r="BR117" s="418">
        <f>R117+AV117</f>
        <v>0</v>
      </c>
      <c r="BS117" s="419">
        <f>S117+BH117</f>
        <v>1.3800000000000001</v>
      </c>
      <c r="BT117" s="419">
        <f t="shared" si="246"/>
        <v>1.3800000000000001</v>
      </c>
      <c r="BU117" s="421">
        <f t="shared" si="246"/>
        <v>0</v>
      </c>
      <c r="BV117" s="854"/>
      <c r="BW117" s="723"/>
      <c r="BX117" s="723"/>
      <c r="BY117" s="723"/>
      <c r="BZ117" s="723"/>
      <c r="CA117" s="855"/>
    </row>
    <row r="118" spans="1:79" ht="12.95" customHeight="1" x14ac:dyDescent="0.25">
      <c r="A118" s="280">
        <v>23</v>
      </c>
      <c r="B118" s="212">
        <v>5485</v>
      </c>
      <c r="C118" s="212">
        <v>600099300</v>
      </c>
      <c r="D118" s="281">
        <v>72743174</v>
      </c>
      <c r="E118" s="372" t="s">
        <v>493</v>
      </c>
      <c r="F118" s="212">
        <v>3141</v>
      </c>
      <c r="G118" s="373" t="s">
        <v>294</v>
      </c>
      <c r="H118" s="285" t="s">
        <v>272</v>
      </c>
      <c r="I118" s="420">
        <v>193563</v>
      </c>
      <c r="J118" s="415">
        <v>142296</v>
      </c>
      <c r="K118" s="415">
        <v>0</v>
      </c>
      <c r="L118" s="415">
        <v>142296</v>
      </c>
      <c r="M118" s="415">
        <v>0</v>
      </c>
      <c r="N118" s="415">
        <v>0</v>
      </c>
      <c r="O118" s="415">
        <v>0</v>
      </c>
      <c r="P118" s="68">
        <v>48096</v>
      </c>
      <c r="Q118" s="68">
        <v>1423</v>
      </c>
      <c r="R118" s="415">
        <v>1748</v>
      </c>
      <c r="S118" s="416">
        <v>0.42670000000000002</v>
      </c>
      <c r="T118" s="416">
        <v>0</v>
      </c>
      <c r="U118" s="423">
        <v>0.42670000000000002</v>
      </c>
      <c r="V118" s="424">
        <f t="shared" si="241"/>
        <v>0</v>
      </c>
      <c r="W118" s="418">
        <f t="shared" si="241"/>
        <v>0</v>
      </c>
      <c r="X118" s="418">
        <v>0</v>
      </c>
      <c r="Y118" s="418">
        <v>0</v>
      </c>
      <c r="Z118" s="418">
        <v>0</v>
      </c>
      <c r="AA118" s="418">
        <v>71754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71754</v>
      </c>
      <c r="AF118" s="418">
        <f>SUM(AD118:AE118)</f>
        <v>71754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>AG118+AI118+AJ118</f>
        <v>0</v>
      </c>
      <c r="AM118" s="418">
        <f>AH118+AK118</f>
        <v>0</v>
      </c>
      <c r="AN118" s="418">
        <f>SUM(AL118:AM118)</f>
        <v>0</v>
      </c>
      <c r="AO118" s="418">
        <f t="shared" si="242"/>
        <v>0</v>
      </c>
      <c r="AP118" s="418">
        <f t="shared" si="242"/>
        <v>71754</v>
      </c>
      <c r="AQ118" s="418">
        <f>SUM(AO118:AP118)</f>
        <v>71754</v>
      </c>
      <c r="AR118" s="68">
        <f>ROUND((AF118+AG118+AH118+AI118)*33.8%,0)</f>
        <v>24253</v>
      </c>
      <c r="AS118" s="68">
        <f>ROUND(AF118*1%,0)</f>
        <v>718</v>
      </c>
      <c r="AT118" s="418">
        <v>0</v>
      </c>
      <c r="AU118" s="418">
        <v>836</v>
      </c>
      <c r="AV118" s="418">
        <f>AT118+AU118</f>
        <v>836</v>
      </c>
      <c r="AW118" s="418">
        <f>AQ118+AR118+AS118+AV118</f>
        <v>97561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0.21</v>
      </c>
      <c r="BC118" s="419">
        <v>0</v>
      </c>
      <c r="BD118" s="419">
        <v>0</v>
      </c>
      <c r="BE118" s="419">
        <v>0</v>
      </c>
      <c r="BF118" s="419">
        <f>AX118+AZ118+BA118+BC118+BD118</f>
        <v>0</v>
      </c>
      <c r="BG118" s="419">
        <f>AY118+BB118+BE118</f>
        <v>0.21</v>
      </c>
      <c r="BH118" s="421">
        <f>SUM(BF118:BG118)</f>
        <v>0.21</v>
      </c>
      <c r="BI118" s="780">
        <f>I118+AW118</f>
        <v>291124</v>
      </c>
      <c r="BJ118" s="418">
        <f>J118+AF118</f>
        <v>214050</v>
      </c>
      <c r="BK118" s="418">
        <f t="shared" si="243"/>
        <v>0</v>
      </c>
      <c r="BL118" s="418">
        <f t="shared" si="243"/>
        <v>214050</v>
      </c>
      <c r="BM118" s="418">
        <f>M118+AN118</f>
        <v>0</v>
      </c>
      <c r="BN118" s="418">
        <f t="shared" si="244"/>
        <v>0</v>
      </c>
      <c r="BO118" s="418">
        <f t="shared" si="244"/>
        <v>0</v>
      </c>
      <c r="BP118" s="418">
        <f t="shared" si="245"/>
        <v>72349</v>
      </c>
      <c r="BQ118" s="418">
        <f t="shared" si="245"/>
        <v>2141</v>
      </c>
      <c r="BR118" s="418">
        <f>R118+AV118</f>
        <v>2584</v>
      </c>
      <c r="BS118" s="419">
        <f>S118+BH118</f>
        <v>0.63670000000000004</v>
      </c>
      <c r="BT118" s="419">
        <f t="shared" si="246"/>
        <v>0</v>
      </c>
      <c r="BU118" s="421">
        <f t="shared" si="246"/>
        <v>0.63670000000000004</v>
      </c>
      <c r="BV118" s="854"/>
      <c r="BW118" s="723"/>
      <c r="BX118" s="723"/>
      <c r="BY118" s="723"/>
      <c r="BZ118" s="723"/>
      <c r="CA118" s="855"/>
    </row>
    <row r="119" spans="1:79" ht="12.95" customHeight="1" x14ac:dyDescent="0.25">
      <c r="A119" s="280">
        <v>23</v>
      </c>
      <c r="B119" s="212">
        <v>5485</v>
      </c>
      <c r="C119" s="212">
        <v>600099300</v>
      </c>
      <c r="D119" s="281">
        <v>72743174</v>
      </c>
      <c r="E119" s="371" t="s">
        <v>493</v>
      </c>
      <c r="F119" s="382">
        <v>3143</v>
      </c>
      <c r="G119" s="323" t="s">
        <v>595</v>
      </c>
      <c r="H119" s="285" t="s">
        <v>271</v>
      </c>
      <c r="I119" s="420">
        <v>933644</v>
      </c>
      <c r="J119" s="415">
        <v>692614</v>
      </c>
      <c r="K119" s="415">
        <v>692614</v>
      </c>
      <c r="L119" s="415">
        <v>0</v>
      </c>
      <c r="M119" s="415">
        <v>0</v>
      </c>
      <c r="N119" s="415">
        <v>0</v>
      </c>
      <c r="O119" s="415">
        <v>0</v>
      </c>
      <c r="P119" s="68">
        <v>234104</v>
      </c>
      <c r="Q119" s="68">
        <v>6926</v>
      </c>
      <c r="R119" s="415">
        <v>0</v>
      </c>
      <c r="S119" s="416">
        <v>1.35</v>
      </c>
      <c r="T119" s="416">
        <v>1.35</v>
      </c>
      <c r="U119" s="423">
        <v>0</v>
      </c>
      <c r="V119" s="424">
        <f t="shared" si="241"/>
        <v>0</v>
      </c>
      <c r="W119" s="418">
        <f t="shared" si="241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si="242"/>
        <v>0</v>
      </c>
      <c r="AP119" s="418">
        <f t="shared" si="242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421">
        <f>SUM(BF119:BG119)</f>
        <v>0</v>
      </c>
      <c r="BI119" s="780">
        <f>I119+AW119</f>
        <v>933644</v>
      </c>
      <c r="BJ119" s="418">
        <f>J119+AF119</f>
        <v>692614</v>
      </c>
      <c r="BK119" s="418">
        <f t="shared" si="243"/>
        <v>692614</v>
      </c>
      <c r="BL119" s="418">
        <f t="shared" si="243"/>
        <v>0</v>
      </c>
      <c r="BM119" s="418">
        <f>M119+AN119</f>
        <v>0</v>
      </c>
      <c r="BN119" s="418">
        <f t="shared" si="244"/>
        <v>0</v>
      </c>
      <c r="BO119" s="418">
        <f t="shared" si="244"/>
        <v>0</v>
      </c>
      <c r="BP119" s="418">
        <f t="shared" si="245"/>
        <v>234104</v>
      </c>
      <c r="BQ119" s="418">
        <f t="shared" si="245"/>
        <v>6926</v>
      </c>
      <c r="BR119" s="418">
        <f>R119+AV119</f>
        <v>0</v>
      </c>
      <c r="BS119" s="419">
        <f>S119+BH119</f>
        <v>1.35</v>
      </c>
      <c r="BT119" s="419">
        <f t="shared" si="246"/>
        <v>1.35</v>
      </c>
      <c r="BU119" s="421">
        <f t="shared" si="246"/>
        <v>0</v>
      </c>
      <c r="BV119" s="854"/>
      <c r="BW119" s="723"/>
      <c r="BX119" s="723"/>
      <c r="BY119" s="723"/>
      <c r="BZ119" s="723"/>
      <c r="CA119" s="855"/>
    </row>
    <row r="120" spans="1:79" ht="12.95" customHeight="1" x14ac:dyDescent="0.25">
      <c r="A120" s="280">
        <v>23</v>
      </c>
      <c r="B120" s="212">
        <v>5485</v>
      </c>
      <c r="C120" s="212">
        <v>600099300</v>
      </c>
      <c r="D120" s="281">
        <v>72743174</v>
      </c>
      <c r="E120" s="371" t="s">
        <v>493</v>
      </c>
      <c r="F120" s="382">
        <v>3143</v>
      </c>
      <c r="G120" s="323" t="s">
        <v>596</v>
      </c>
      <c r="H120" s="285" t="s">
        <v>272</v>
      </c>
      <c r="I120" s="420">
        <v>30724</v>
      </c>
      <c r="J120" s="415">
        <v>21991</v>
      </c>
      <c r="K120" s="415">
        <v>0</v>
      </c>
      <c r="L120" s="415">
        <v>21991</v>
      </c>
      <c r="M120" s="415">
        <v>0</v>
      </c>
      <c r="N120" s="415">
        <v>0</v>
      </c>
      <c r="O120" s="415">
        <v>0</v>
      </c>
      <c r="P120" s="68">
        <v>7433</v>
      </c>
      <c r="Q120" s="68">
        <v>220</v>
      </c>
      <c r="R120" s="415">
        <v>1080</v>
      </c>
      <c r="S120" s="416">
        <v>8.3299999999999999E-2</v>
      </c>
      <c r="T120" s="416">
        <v>0</v>
      </c>
      <c r="U120" s="423">
        <v>8.3299999999999999E-2</v>
      </c>
      <c r="V120" s="424">
        <f t="shared" si="241"/>
        <v>0</v>
      </c>
      <c r="W120" s="418">
        <f t="shared" si="241"/>
        <v>0</v>
      </c>
      <c r="X120" s="418">
        <v>0</v>
      </c>
      <c r="Y120" s="418">
        <v>0</v>
      </c>
      <c r="Z120" s="418">
        <v>0</v>
      </c>
      <c r="AA120" s="418">
        <v>11009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11009</v>
      </c>
      <c r="AF120" s="418">
        <f>SUM(AD120:AE120)</f>
        <v>11009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242"/>
        <v>0</v>
      </c>
      <c r="AP120" s="418">
        <f t="shared" si="242"/>
        <v>11009</v>
      </c>
      <c r="AQ120" s="418">
        <f>SUM(AO120:AP120)</f>
        <v>11009</v>
      </c>
      <c r="AR120" s="68">
        <f>ROUND((AF120+AG120+AH120+AI120)*33.8%,0)</f>
        <v>3721</v>
      </c>
      <c r="AS120" s="68">
        <f>ROUND(AF120*1%,0)</f>
        <v>110</v>
      </c>
      <c r="AT120" s="418">
        <v>0</v>
      </c>
      <c r="AU120" s="418">
        <v>540</v>
      </c>
      <c r="AV120" s="418">
        <f>AT120+AU120</f>
        <v>540</v>
      </c>
      <c r="AW120" s="418">
        <f>AQ120+AR120+AS120+AV120</f>
        <v>15380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0.04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0.04</v>
      </c>
      <c r="BH120" s="421">
        <f>SUM(BF120:BG120)</f>
        <v>0.04</v>
      </c>
      <c r="BI120" s="780">
        <f>I120+AW120</f>
        <v>46104</v>
      </c>
      <c r="BJ120" s="418">
        <f>J120+AF120</f>
        <v>33000</v>
      </c>
      <c r="BK120" s="418">
        <f t="shared" si="243"/>
        <v>0</v>
      </c>
      <c r="BL120" s="418">
        <f t="shared" si="243"/>
        <v>33000</v>
      </c>
      <c r="BM120" s="418">
        <f>M120+AN120</f>
        <v>0</v>
      </c>
      <c r="BN120" s="418">
        <f t="shared" si="244"/>
        <v>0</v>
      </c>
      <c r="BO120" s="418">
        <f t="shared" si="244"/>
        <v>0</v>
      </c>
      <c r="BP120" s="418">
        <f t="shared" si="245"/>
        <v>11154</v>
      </c>
      <c r="BQ120" s="418">
        <f t="shared" si="245"/>
        <v>330</v>
      </c>
      <c r="BR120" s="418">
        <f>R120+AV120</f>
        <v>1620</v>
      </c>
      <c r="BS120" s="419">
        <f>S120+BH120</f>
        <v>0.12329999999999999</v>
      </c>
      <c r="BT120" s="419">
        <f t="shared" si="246"/>
        <v>0</v>
      </c>
      <c r="BU120" s="421">
        <f t="shared" si="246"/>
        <v>0.12329999999999999</v>
      </c>
      <c r="BV120" s="854"/>
      <c r="BW120" s="723"/>
      <c r="BX120" s="723"/>
      <c r="BY120" s="723"/>
      <c r="BZ120" s="723"/>
      <c r="CA120" s="855"/>
    </row>
    <row r="121" spans="1:79" ht="12.95" customHeight="1" x14ac:dyDescent="0.25">
      <c r="A121" s="213">
        <v>23</v>
      </c>
      <c r="B121" s="46">
        <v>5485</v>
      </c>
      <c r="C121" s="46">
        <v>600099300</v>
      </c>
      <c r="D121" s="46">
        <v>72743174</v>
      </c>
      <c r="E121" s="383" t="s">
        <v>494</v>
      </c>
      <c r="F121" s="388"/>
      <c r="G121" s="387"/>
      <c r="H121" s="185"/>
      <c r="I121" s="465">
        <v>7612370</v>
      </c>
      <c r="J121" s="461">
        <v>5576447</v>
      </c>
      <c r="K121" s="461">
        <v>4982304</v>
      </c>
      <c r="L121" s="461">
        <v>594143</v>
      </c>
      <c r="M121" s="461">
        <v>0</v>
      </c>
      <c r="N121" s="461">
        <v>0</v>
      </c>
      <c r="O121" s="461">
        <v>0</v>
      </c>
      <c r="P121" s="461">
        <v>1884839</v>
      </c>
      <c r="Q121" s="461">
        <v>55764</v>
      </c>
      <c r="R121" s="461">
        <v>95320</v>
      </c>
      <c r="S121" s="462">
        <v>10.434100000000001</v>
      </c>
      <c r="T121" s="462">
        <v>8.7573000000000008</v>
      </c>
      <c r="U121" s="535">
        <v>1.6768000000000001</v>
      </c>
      <c r="V121" s="465">
        <f t="shared" ref="V121:CA121" si="247">SUM(V116:V120)</f>
        <v>0</v>
      </c>
      <c r="W121" s="461">
        <f t="shared" si="247"/>
        <v>0</v>
      </c>
      <c r="X121" s="461">
        <f t="shared" si="247"/>
        <v>0</v>
      </c>
      <c r="Y121" s="461">
        <f t="shared" si="247"/>
        <v>0</v>
      </c>
      <c r="Z121" s="461">
        <f t="shared" si="247"/>
        <v>0</v>
      </c>
      <c r="AA121" s="461">
        <f t="shared" si="247"/>
        <v>82763</v>
      </c>
      <c r="AB121" s="461">
        <f t="shared" si="247"/>
        <v>0</v>
      </c>
      <c r="AC121" s="461">
        <f t="shared" si="247"/>
        <v>0</v>
      </c>
      <c r="AD121" s="461">
        <f t="shared" si="247"/>
        <v>0</v>
      </c>
      <c r="AE121" s="461">
        <f t="shared" si="247"/>
        <v>82763</v>
      </c>
      <c r="AF121" s="461">
        <f t="shared" si="247"/>
        <v>82763</v>
      </c>
      <c r="AG121" s="461">
        <f t="shared" si="247"/>
        <v>0</v>
      </c>
      <c r="AH121" s="461">
        <f t="shared" si="247"/>
        <v>0</v>
      </c>
      <c r="AI121" s="461">
        <f t="shared" si="247"/>
        <v>0</v>
      </c>
      <c r="AJ121" s="461">
        <f t="shared" si="247"/>
        <v>0</v>
      </c>
      <c r="AK121" s="461">
        <f t="shared" si="247"/>
        <v>0</v>
      </c>
      <c r="AL121" s="461">
        <f t="shared" si="247"/>
        <v>0</v>
      </c>
      <c r="AM121" s="461">
        <f t="shared" si="247"/>
        <v>0</v>
      </c>
      <c r="AN121" s="461">
        <f t="shared" si="247"/>
        <v>0</v>
      </c>
      <c r="AO121" s="461">
        <f t="shared" si="247"/>
        <v>0</v>
      </c>
      <c r="AP121" s="461">
        <f t="shared" si="247"/>
        <v>82763</v>
      </c>
      <c r="AQ121" s="461">
        <f t="shared" si="247"/>
        <v>82763</v>
      </c>
      <c r="AR121" s="461">
        <f t="shared" si="247"/>
        <v>27974</v>
      </c>
      <c r="AS121" s="461">
        <f t="shared" si="247"/>
        <v>828</v>
      </c>
      <c r="AT121" s="461">
        <f t="shared" si="247"/>
        <v>0</v>
      </c>
      <c r="AU121" s="461">
        <f t="shared" si="247"/>
        <v>1376</v>
      </c>
      <c r="AV121" s="461">
        <f t="shared" si="247"/>
        <v>1376</v>
      </c>
      <c r="AW121" s="461">
        <f t="shared" si="247"/>
        <v>112941</v>
      </c>
      <c r="AX121" s="462">
        <f t="shared" si="247"/>
        <v>0</v>
      </c>
      <c r="AY121" s="462">
        <f t="shared" si="247"/>
        <v>0</v>
      </c>
      <c r="AZ121" s="462">
        <f t="shared" si="247"/>
        <v>0</v>
      </c>
      <c r="BA121" s="462">
        <f t="shared" si="247"/>
        <v>0</v>
      </c>
      <c r="BB121" s="462">
        <f t="shared" ref="BB121" si="248">SUM(BB116:BB120)</f>
        <v>0.25</v>
      </c>
      <c r="BC121" s="462">
        <f t="shared" si="247"/>
        <v>0</v>
      </c>
      <c r="BD121" s="462">
        <f t="shared" si="247"/>
        <v>0</v>
      </c>
      <c r="BE121" s="462">
        <f t="shared" ref="BE121" si="249">SUM(BE116:BE120)</f>
        <v>0</v>
      </c>
      <c r="BF121" s="462">
        <f t="shared" si="247"/>
        <v>0</v>
      </c>
      <c r="BG121" s="462">
        <f t="shared" si="247"/>
        <v>0.25</v>
      </c>
      <c r="BH121" s="279">
        <f t="shared" si="247"/>
        <v>0.25</v>
      </c>
      <c r="BI121" s="781">
        <f t="shared" si="247"/>
        <v>7725311</v>
      </c>
      <c r="BJ121" s="461">
        <f t="shared" si="247"/>
        <v>5659210</v>
      </c>
      <c r="BK121" s="461">
        <f t="shared" si="247"/>
        <v>4982304</v>
      </c>
      <c r="BL121" s="461">
        <f t="shared" si="247"/>
        <v>676906</v>
      </c>
      <c r="BM121" s="461">
        <f t="shared" si="247"/>
        <v>0</v>
      </c>
      <c r="BN121" s="461">
        <f t="shared" si="247"/>
        <v>0</v>
      </c>
      <c r="BO121" s="461">
        <f t="shared" si="247"/>
        <v>0</v>
      </c>
      <c r="BP121" s="461">
        <f t="shared" si="247"/>
        <v>1912813</v>
      </c>
      <c r="BQ121" s="461">
        <f t="shared" si="247"/>
        <v>56592</v>
      </c>
      <c r="BR121" s="461">
        <f t="shared" si="247"/>
        <v>96696</v>
      </c>
      <c r="BS121" s="462">
        <f t="shared" si="247"/>
        <v>10.684100000000001</v>
      </c>
      <c r="BT121" s="462">
        <f t="shared" si="247"/>
        <v>8.7573000000000008</v>
      </c>
      <c r="BU121" s="279">
        <f t="shared" si="247"/>
        <v>1.9268000000000001</v>
      </c>
      <c r="BV121" s="850">
        <f t="shared" si="247"/>
        <v>0</v>
      </c>
      <c r="BW121" s="713">
        <f t="shared" si="247"/>
        <v>0</v>
      </c>
      <c r="BX121" s="713">
        <f t="shared" si="247"/>
        <v>0</v>
      </c>
      <c r="BY121" s="713">
        <f t="shared" si="247"/>
        <v>0</v>
      </c>
      <c r="BZ121" s="713">
        <f t="shared" si="247"/>
        <v>0</v>
      </c>
      <c r="CA121" s="851">
        <f t="shared" si="247"/>
        <v>0</v>
      </c>
    </row>
    <row r="122" spans="1:79" ht="12.95" customHeight="1" x14ac:dyDescent="0.25">
      <c r="A122" s="280">
        <v>24</v>
      </c>
      <c r="B122" s="212">
        <v>5434</v>
      </c>
      <c r="C122" s="212">
        <v>600098923</v>
      </c>
      <c r="D122" s="281">
        <v>70695318</v>
      </c>
      <c r="E122" s="372" t="s">
        <v>495</v>
      </c>
      <c r="F122" s="212">
        <v>3111</v>
      </c>
      <c r="G122" s="373" t="s">
        <v>304</v>
      </c>
      <c r="H122" s="285" t="s">
        <v>271</v>
      </c>
      <c r="I122" s="420">
        <v>3467616</v>
      </c>
      <c r="J122" s="415">
        <v>2561871</v>
      </c>
      <c r="K122" s="415">
        <v>2326751</v>
      </c>
      <c r="L122" s="415">
        <v>235120</v>
      </c>
      <c r="M122" s="415">
        <v>0</v>
      </c>
      <c r="N122" s="415">
        <v>0</v>
      </c>
      <c r="O122" s="415">
        <v>0</v>
      </c>
      <c r="P122" s="68">
        <v>865912</v>
      </c>
      <c r="Q122" s="68">
        <v>25619</v>
      </c>
      <c r="R122" s="415">
        <v>14214</v>
      </c>
      <c r="S122" s="416">
        <v>4.8001000000000005</v>
      </c>
      <c r="T122" s="416">
        <v>4</v>
      </c>
      <c r="U122" s="423">
        <v>0.80010000000000003</v>
      </c>
      <c r="V122" s="424">
        <f t="shared" ref="V122:W124" si="250">AG122*-1</f>
        <v>0</v>
      </c>
      <c r="W122" s="418">
        <f t="shared" si="250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ref="AO122:AP124" si="251">AD122+AL122</f>
        <v>0</v>
      </c>
      <c r="AP122" s="418">
        <f t="shared" si="251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780">
        <f>I122+AW122</f>
        <v>3467616</v>
      </c>
      <c r="BJ122" s="418">
        <f>J122+AF122</f>
        <v>2561871</v>
      </c>
      <c r="BK122" s="418">
        <f t="shared" ref="BK122:BL124" si="252">K122+AD122</f>
        <v>2326751</v>
      </c>
      <c r="BL122" s="418">
        <f t="shared" si="252"/>
        <v>235120</v>
      </c>
      <c r="BM122" s="418">
        <f>M122+AN122</f>
        <v>0</v>
      </c>
      <c r="BN122" s="418">
        <f t="shared" ref="BN122:BO124" si="253">N122+AL122</f>
        <v>0</v>
      </c>
      <c r="BO122" s="418">
        <f t="shared" si="253"/>
        <v>0</v>
      </c>
      <c r="BP122" s="418">
        <f t="shared" ref="BP122:BQ124" si="254">P122+AR122</f>
        <v>865912</v>
      </c>
      <c r="BQ122" s="418">
        <f t="shared" si="254"/>
        <v>25619</v>
      </c>
      <c r="BR122" s="418">
        <f>R122+AV122</f>
        <v>14214</v>
      </c>
      <c r="BS122" s="419">
        <f>S122+BH122</f>
        <v>4.8001000000000005</v>
      </c>
      <c r="BT122" s="419">
        <f t="shared" ref="BT122:BU124" si="255">T122+BF122</f>
        <v>4</v>
      </c>
      <c r="BU122" s="421">
        <f t="shared" si="255"/>
        <v>0.80010000000000003</v>
      </c>
      <c r="BV122" s="854"/>
      <c r="BW122" s="723"/>
      <c r="BX122" s="723"/>
      <c r="BY122" s="723"/>
      <c r="BZ122" s="723"/>
      <c r="CA122" s="855"/>
    </row>
    <row r="123" spans="1:79" ht="12.95" customHeight="1" x14ac:dyDescent="0.25">
      <c r="A123" s="280">
        <v>24</v>
      </c>
      <c r="B123" s="212">
        <v>5434</v>
      </c>
      <c r="C123" s="212">
        <v>600098923</v>
      </c>
      <c r="D123" s="281">
        <v>70695318</v>
      </c>
      <c r="E123" s="371" t="s">
        <v>495</v>
      </c>
      <c r="F123" s="212">
        <v>3111</v>
      </c>
      <c r="G123" s="323" t="s">
        <v>291</v>
      </c>
      <c r="H123" s="285" t="s">
        <v>272</v>
      </c>
      <c r="I123" s="420">
        <v>819188</v>
      </c>
      <c r="J123" s="415">
        <v>607706</v>
      </c>
      <c r="K123" s="415">
        <v>607706</v>
      </c>
      <c r="L123" s="415">
        <v>0</v>
      </c>
      <c r="M123" s="415">
        <v>0</v>
      </c>
      <c r="N123" s="415">
        <v>0</v>
      </c>
      <c r="O123" s="415">
        <v>0</v>
      </c>
      <c r="P123" s="68">
        <v>205405</v>
      </c>
      <c r="Q123" s="68">
        <v>6077</v>
      </c>
      <c r="R123" s="415">
        <v>0</v>
      </c>
      <c r="S123" s="416">
        <v>1.64</v>
      </c>
      <c r="T123" s="416">
        <v>1.64</v>
      </c>
      <c r="U123" s="423">
        <v>0</v>
      </c>
      <c r="V123" s="424">
        <f t="shared" si="250"/>
        <v>0</v>
      </c>
      <c r="W123" s="418">
        <f t="shared" si="250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>SUM(AD123:AE123)</f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51"/>
        <v>0</v>
      </c>
      <c r="AP123" s="418">
        <f t="shared" si="251"/>
        <v>0</v>
      </c>
      <c r="AQ123" s="418">
        <f>SUM(AO123:AP123)</f>
        <v>0</v>
      </c>
      <c r="AR123" s="68">
        <f>ROUND((AF123+AG123+AH123+AI123)*33.8%,0)</f>
        <v>0</v>
      </c>
      <c r="AS123" s="68">
        <f>ROUND(AF123*1%,0)</f>
        <v>0</v>
      </c>
      <c r="AT123" s="418">
        <v>0</v>
      </c>
      <c r="AU123" s="418">
        <v>0</v>
      </c>
      <c r="AV123" s="418">
        <f>AT123+AU123</f>
        <v>0</v>
      </c>
      <c r="AW123" s="418">
        <f>AQ123+AR123+AS123+AV123</f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</v>
      </c>
      <c r="BH123" s="421">
        <f>SUM(BF123:BG123)</f>
        <v>0</v>
      </c>
      <c r="BI123" s="780">
        <f>I123+AW123</f>
        <v>819188</v>
      </c>
      <c r="BJ123" s="418">
        <f>J123+AF123</f>
        <v>607706</v>
      </c>
      <c r="BK123" s="418">
        <f t="shared" si="252"/>
        <v>607706</v>
      </c>
      <c r="BL123" s="418">
        <f t="shared" si="252"/>
        <v>0</v>
      </c>
      <c r="BM123" s="418">
        <f>M123+AN123</f>
        <v>0</v>
      </c>
      <c r="BN123" s="418">
        <f t="shared" si="253"/>
        <v>0</v>
      </c>
      <c r="BO123" s="418">
        <f t="shared" si="253"/>
        <v>0</v>
      </c>
      <c r="BP123" s="418">
        <f t="shared" si="254"/>
        <v>205405</v>
      </c>
      <c r="BQ123" s="418">
        <f t="shared" si="254"/>
        <v>6077</v>
      </c>
      <c r="BR123" s="418">
        <f>R123+AV123</f>
        <v>0</v>
      </c>
      <c r="BS123" s="419">
        <f>S123+BH123</f>
        <v>1.64</v>
      </c>
      <c r="BT123" s="419">
        <f t="shared" si="255"/>
        <v>1.64</v>
      </c>
      <c r="BU123" s="421">
        <f t="shared" si="255"/>
        <v>0</v>
      </c>
      <c r="BV123" s="854"/>
      <c r="BW123" s="723"/>
      <c r="BX123" s="723"/>
      <c r="BY123" s="723"/>
      <c r="BZ123" s="723"/>
      <c r="CA123" s="855"/>
    </row>
    <row r="124" spans="1:79" ht="12.75" customHeight="1" x14ac:dyDescent="0.25">
      <c r="A124" s="280">
        <v>24</v>
      </c>
      <c r="B124" s="212">
        <v>5434</v>
      </c>
      <c r="C124" s="212">
        <v>600098923</v>
      </c>
      <c r="D124" s="281">
        <v>70695318</v>
      </c>
      <c r="E124" s="371" t="s">
        <v>495</v>
      </c>
      <c r="F124" s="382">
        <v>3141</v>
      </c>
      <c r="G124" s="373" t="s">
        <v>294</v>
      </c>
      <c r="H124" s="285" t="s">
        <v>272</v>
      </c>
      <c r="I124" s="420">
        <v>412027</v>
      </c>
      <c r="J124" s="415">
        <v>304567</v>
      </c>
      <c r="K124" s="415">
        <v>0</v>
      </c>
      <c r="L124" s="415">
        <v>304567</v>
      </c>
      <c r="M124" s="415">
        <v>0</v>
      </c>
      <c r="N124" s="415">
        <v>0</v>
      </c>
      <c r="O124" s="415">
        <v>0</v>
      </c>
      <c r="P124" s="68">
        <v>102944</v>
      </c>
      <c r="Q124" s="68">
        <v>3046</v>
      </c>
      <c r="R124" s="415">
        <v>1470</v>
      </c>
      <c r="S124" s="416">
        <v>0.9133</v>
      </c>
      <c r="T124" s="416">
        <v>0</v>
      </c>
      <c r="U124" s="423">
        <v>0.9133</v>
      </c>
      <c r="V124" s="424">
        <f t="shared" si="250"/>
        <v>0</v>
      </c>
      <c r="W124" s="418">
        <f t="shared" si="250"/>
        <v>0</v>
      </c>
      <c r="X124" s="418">
        <v>0</v>
      </c>
      <c r="Y124" s="418">
        <v>0</v>
      </c>
      <c r="Z124" s="418">
        <v>0</v>
      </c>
      <c r="AA124" s="418">
        <v>151416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151416</v>
      </c>
      <c r="AF124" s="418">
        <f>SUM(AD124:AE124)</f>
        <v>151416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>AG124+AI124+AJ124</f>
        <v>0</v>
      </c>
      <c r="AM124" s="418">
        <f>AH124+AK124</f>
        <v>0</v>
      </c>
      <c r="AN124" s="418">
        <f>SUM(AL124:AM124)</f>
        <v>0</v>
      </c>
      <c r="AO124" s="418">
        <f t="shared" si="251"/>
        <v>0</v>
      </c>
      <c r="AP124" s="418">
        <f t="shared" si="251"/>
        <v>151416</v>
      </c>
      <c r="AQ124" s="418">
        <f>SUM(AO124:AP124)</f>
        <v>151416</v>
      </c>
      <c r="AR124" s="68">
        <f>ROUND((AF124+AG124+AH124+AI124)*33.8%,0)</f>
        <v>51179</v>
      </c>
      <c r="AS124" s="68">
        <f>ROUND(AF124*1%,0)</f>
        <v>1514</v>
      </c>
      <c r="AT124" s="418">
        <v>0</v>
      </c>
      <c r="AU124" s="418">
        <v>714</v>
      </c>
      <c r="AV124" s="418">
        <f>AT124+AU124</f>
        <v>714</v>
      </c>
      <c r="AW124" s="418">
        <f>AQ124+AR124+AS124+AV124</f>
        <v>204823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0.46</v>
      </c>
      <c r="BC124" s="419">
        <v>0</v>
      </c>
      <c r="BD124" s="419">
        <v>0</v>
      </c>
      <c r="BE124" s="419">
        <v>0</v>
      </c>
      <c r="BF124" s="419">
        <f>AX124+AZ124+BA124+BC124+BD124</f>
        <v>0</v>
      </c>
      <c r="BG124" s="419">
        <f>AY124+BB124+BE124</f>
        <v>0.46</v>
      </c>
      <c r="BH124" s="421">
        <f>SUM(BF124:BG124)</f>
        <v>0.46</v>
      </c>
      <c r="BI124" s="780">
        <f>I124+AW124</f>
        <v>616850</v>
      </c>
      <c r="BJ124" s="418">
        <f>J124+AF124</f>
        <v>455983</v>
      </c>
      <c r="BK124" s="418">
        <f t="shared" si="252"/>
        <v>0</v>
      </c>
      <c r="BL124" s="418">
        <f t="shared" si="252"/>
        <v>455983</v>
      </c>
      <c r="BM124" s="418">
        <f>M124+AN124</f>
        <v>0</v>
      </c>
      <c r="BN124" s="418">
        <f t="shared" si="253"/>
        <v>0</v>
      </c>
      <c r="BO124" s="418">
        <f t="shared" si="253"/>
        <v>0</v>
      </c>
      <c r="BP124" s="418">
        <f t="shared" si="254"/>
        <v>154123</v>
      </c>
      <c r="BQ124" s="418">
        <f t="shared" si="254"/>
        <v>4560</v>
      </c>
      <c r="BR124" s="418">
        <f>R124+AV124</f>
        <v>2184</v>
      </c>
      <c r="BS124" s="419">
        <f>S124+BH124</f>
        <v>1.3733</v>
      </c>
      <c r="BT124" s="419">
        <f t="shared" si="255"/>
        <v>0</v>
      </c>
      <c r="BU124" s="421">
        <f t="shared" si="255"/>
        <v>1.3733</v>
      </c>
      <c r="BV124" s="854"/>
      <c r="BW124" s="723"/>
      <c r="BX124" s="723"/>
      <c r="BY124" s="723"/>
      <c r="BZ124" s="723"/>
      <c r="CA124" s="855"/>
    </row>
    <row r="125" spans="1:79" ht="12.75" customHeight="1" x14ac:dyDescent="0.25">
      <c r="A125" s="213">
        <v>24</v>
      </c>
      <c r="B125" s="46">
        <v>5434</v>
      </c>
      <c r="C125" s="46">
        <v>600098923</v>
      </c>
      <c r="D125" s="46">
        <v>70695318</v>
      </c>
      <c r="E125" s="383" t="s">
        <v>496</v>
      </c>
      <c r="F125" s="384"/>
      <c r="G125" s="383"/>
      <c r="H125" s="385"/>
      <c r="I125" s="465">
        <v>4698831</v>
      </c>
      <c r="J125" s="461">
        <v>3474144</v>
      </c>
      <c r="K125" s="461">
        <v>2934457</v>
      </c>
      <c r="L125" s="461">
        <v>539687</v>
      </c>
      <c r="M125" s="461">
        <v>0</v>
      </c>
      <c r="N125" s="461">
        <v>0</v>
      </c>
      <c r="O125" s="461">
        <v>0</v>
      </c>
      <c r="P125" s="461">
        <v>1174261</v>
      </c>
      <c r="Q125" s="461">
        <v>34742</v>
      </c>
      <c r="R125" s="461">
        <v>15684</v>
      </c>
      <c r="S125" s="462">
        <v>7.3534000000000006</v>
      </c>
      <c r="T125" s="462">
        <v>5.64</v>
      </c>
      <c r="U125" s="535">
        <v>1.7134</v>
      </c>
      <c r="V125" s="465">
        <f t="shared" ref="V125:CA125" si="256">SUM(V122:V124)</f>
        <v>0</v>
      </c>
      <c r="W125" s="461">
        <f t="shared" si="256"/>
        <v>0</v>
      </c>
      <c r="X125" s="461">
        <f t="shared" si="256"/>
        <v>0</v>
      </c>
      <c r="Y125" s="461">
        <f t="shared" si="256"/>
        <v>0</v>
      </c>
      <c r="Z125" s="461">
        <f t="shared" si="256"/>
        <v>0</v>
      </c>
      <c r="AA125" s="461">
        <f t="shared" si="256"/>
        <v>151416</v>
      </c>
      <c r="AB125" s="461">
        <f t="shared" si="256"/>
        <v>0</v>
      </c>
      <c r="AC125" s="461">
        <f t="shared" si="256"/>
        <v>0</v>
      </c>
      <c r="AD125" s="461">
        <f t="shared" si="256"/>
        <v>0</v>
      </c>
      <c r="AE125" s="461">
        <f t="shared" si="256"/>
        <v>151416</v>
      </c>
      <c r="AF125" s="461">
        <f t="shared" si="256"/>
        <v>151416</v>
      </c>
      <c r="AG125" s="461">
        <f t="shared" si="256"/>
        <v>0</v>
      </c>
      <c r="AH125" s="461">
        <f t="shared" si="256"/>
        <v>0</v>
      </c>
      <c r="AI125" s="461">
        <f t="shared" si="256"/>
        <v>0</v>
      </c>
      <c r="AJ125" s="461">
        <f t="shared" si="256"/>
        <v>0</v>
      </c>
      <c r="AK125" s="461">
        <f t="shared" si="256"/>
        <v>0</v>
      </c>
      <c r="AL125" s="461">
        <f t="shared" si="256"/>
        <v>0</v>
      </c>
      <c r="AM125" s="461">
        <f t="shared" si="256"/>
        <v>0</v>
      </c>
      <c r="AN125" s="461">
        <f t="shared" si="256"/>
        <v>0</v>
      </c>
      <c r="AO125" s="461">
        <f t="shared" si="256"/>
        <v>0</v>
      </c>
      <c r="AP125" s="461">
        <f t="shared" si="256"/>
        <v>151416</v>
      </c>
      <c r="AQ125" s="461">
        <f t="shared" si="256"/>
        <v>151416</v>
      </c>
      <c r="AR125" s="461">
        <f t="shared" si="256"/>
        <v>51179</v>
      </c>
      <c r="AS125" s="461">
        <f t="shared" si="256"/>
        <v>1514</v>
      </c>
      <c r="AT125" s="461">
        <f t="shared" si="256"/>
        <v>0</v>
      </c>
      <c r="AU125" s="461">
        <f t="shared" si="256"/>
        <v>714</v>
      </c>
      <c r="AV125" s="461">
        <f t="shared" si="256"/>
        <v>714</v>
      </c>
      <c r="AW125" s="461">
        <f t="shared" si="256"/>
        <v>204823</v>
      </c>
      <c r="AX125" s="462">
        <f t="shared" si="256"/>
        <v>0</v>
      </c>
      <c r="AY125" s="462">
        <f t="shared" si="256"/>
        <v>0</v>
      </c>
      <c r="AZ125" s="462">
        <f t="shared" si="256"/>
        <v>0</v>
      </c>
      <c r="BA125" s="462">
        <f t="shared" si="256"/>
        <v>0</v>
      </c>
      <c r="BB125" s="462">
        <f t="shared" ref="BB125" si="257">SUM(BB122:BB124)</f>
        <v>0.46</v>
      </c>
      <c r="BC125" s="462">
        <f t="shared" si="256"/>
        <v>0</v>
      </c>
      <c r="BD125" s="462">
        <f t="shared" si="256"/>
        <v>0</v>
      </c>
      <c r="BE125" s="462">
        <f t="shared" ref="BE125" si="258">SUM(BE122:BE124)</f>
        <v>0</v>
      </c>
      <c r="BF125" s="462">
        <f t="shared" si="256"/>
        <v>0</v>
      </c>
      <c r="BG125" s="462">
        <f t="shared" si="256"/>
        <v>0.46</v>
      </c>
      <c r="BH125" s="279">
        <f t="shared" si="256"/>
        <v>0.46</v>
      </c>
      <c r="BI125" s="781">
        <f t="shared" si="256"/>
        <v>4903654</v>
      </c>
      <c r="BJ125" s="461">
        <f t="shared" si="256"/>
        <v>3625560</v>
      </c>
      <c r="BK125" s="461">
        <f t="shared" si="256"/>
        <v>2934457</v>
      </c>
      <c r="BL125" s="461">
        <f t="shared" si="256"/>
        <v>691103</v>
      </c>
      <c r="BM125" s="461">
        <f t="shared" si="256"/>
        <v>0</v>
      </c>
      <c r="BN125" s="461">
        <f t="shared" si="256"/>
        <v>0</v>
      </c>
      <c r="BO125" s="461">
        <f t="shared" si="256"/>
        <v>0</v>
      </c>
      <c r="BP125" s="461">
        <f t="shared" si="256"/>
        <v>1225440</v>
      </c>
      <c r="BQ125" s="461">
        <f t="shared" si="256"/>
        <v>36256</v>
      </c>
      <c r="BR125" s="461">
        <f t="shared" si="256"/>
        <v>16398</v>
      </c>
      <c r="BS125" s="462">
        <f t="shared" si="256"/>
        <v>7.8133999999999997</v>
      </c>
      <c r="BT125" s="462">
        <f t="shared" si="256"/>
        <v>5.64</v>
      </c>
      <c r="BU125" s="279">
        <f t="shared" si="256"/>
        <v>2.1734</v>
      </c>
      <c r="BV125" s="850">
        <f t="shared" si="256"/>
        <v>0</v>
      </c>
      <c r="BW125" s="713">
        <f t="shared" si="256"/>
        <v>0</v>
      </c>
      <c r="BX125" s="713">
        <f t="shared" si="256"/>
        <v>0</v>
      </c>
      <c r="BY125" s="713">
        <f t="shared" si="256"/>
        <v>0</v>
      </c>
      <c r="BZ125" s="713">
        <f t="shared" si="256"/>
        <v>0</v>
      </c>
      <c r="CA125" s="851">
        <f t="shared" si="256"/>
        <v>0</v>
      </c>
    </row>
    <row r="126" spans="1:79" ht="12.95" customHeight="1" x14ac:dyDescent="0.25">
      <c r="A126" s="280">
        <v>25</v>
      </c>
      <c r="B126" s="212">
        <v>5433</v>
      </c>
      <c r="C126" s="212">
        <v>600099253</v>
      </c>
      <c r="D126" s="281">
        <v>70695300</v>
      </c>
      <c r="E126" s="211" t="s">
        <v>497</v>
      </c>
      <c r="F126" s="212">
        <v>3117</v>
      </c>
      <c r="G126" s="372" t="s">
        <v>308</v>
      </c>
      <c r="H126" s="285" t="s">
        <v>271</v>
      </c>
      <c r="I126" s="420">
        <v>3314185</v>
      </c>
      <c r="J126" s="415">
        <v>2423384</v>
      </c>
      <c r="K126" s="415">
        <v>2193761</v>
      </c>
      <c r="L126" s="415">
        <v>229623</v>
      </c>
      <c r="M126" s="415">
        <v>0</v>
      </c>
      <c r="N126" s="415">
        <v>0</v>
      </c>
      <c r="O126" s="415">
        <v>0</v>
      </c>
      <c r="P126" s="68">
        <v>819104</v>
      </c>
      <c r="Q126" s="68">
        <v>24234</v>
      </c>
      <c r="R126" s="415">
        <v>47463</v>
      </c>
      <c r="S126" s="416">
        <v>4.0275999999999996</v>
      </c>
      <c r="T126" s="416">
        <v>3.4348000000000001</v>
      </c>
      <c r="U126" s="423">
        <v>0.59279999999999999</v>
      </c>
      <c r="V126" s="424">
        <f t="shared" ref="V126:W130" si="259">AG126*-1</f>
        <v>0</v>
      </c>
      <c r="W126" s="418">
        <f t="shared" si="259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ref="AO126:AP130" si="260">AD126+AL126</f>
        <v>0</v>
      </c>
      <c r="AP126" s="418">
        <f t="shared" si="260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21">
        <f>SUM(BF126:BG126)</f>
        <v>0</v>
      </c>
      <c r="BI126" s="780">
        <f>I126+AW126</f>
        <v>3314185</v>
      </c>
      <c r="BJ126" s="418">
        <f>J126+AF126</f>
        <v>2423384</v>
      </c>
      <c r="BK126" s="418">
        <f t="shared" ref="BK126:BL130" si="261">K126+AD126</f>
        <v>2193761</v>
      </c>
      <c r="BL126" s="418">
        <f t="shared" si="261"/>
        <v>229623</v>
      </c>
      <c r="BM126" s="418">
        <f>M126+AN126</f>
        <v>0</v>
      </c>
      <c r="BN126" s="418">
        <f t="shared" ref="BN126:BO130" si="262">N126+AL126</f>
        <v>0</v>
      </c>
      <c r="BO126" s="418">
        <f t="shared" si="262"/>
        <v>0</v>
      </c>
      <c r="BP126" s="418">
        <f t="shared" ref="BP126:BQ130" si="263">P126+AR126</f>
        <v>819104</v>
      </c>
      <c r="BQ126" s="418">
        <f t="shared" si="263"/>
        <v>24234</v>
      </c>
      <c r="BR126" s="418">
        <f>R126+AV126</f>
        <v>47463</v>
      </c>
      <c r="BS126" s="419">
        <f>S126+BH126</f>
        <v>4.0275999999999996</v>
      </c>
      <c r="BT126" s="419">
        <f t="shared" ref="BT126:BU130" si="264">T126+BF126</f>
        <v>3.4348000000000001</v>
      </c>
      <c r="BU126" s="421">
        <f t="shared" si="264"/>
        <v>0.59279999999999999</v>
      </c>
      <c r="BV126" s="854"/>
      <c r="BW126" s="723"/>
      <c r="BX126" s="723"/>
      <c r="BY126" s="723"/>
      <c r="BZ126" s="723"/>
      <c r="CA126" s="855"/>
    </row>
    <row r="127" spans="1:79" ht="12.95" customHeight="1" x14ac:dyDescent="0.25">
      <c r="A127" s="280">
        <v>25</v>
      </c>
      <c r="B127" s="212">
        <v>5433</v>
      </c>
      <c r="C127" s="212">
        <v>600099253</v>
      </c>
      <c r="D127" s="281">
        <v>70695300</v>
      </c>
      <c r="E127" s="371" t="s">
        <v>497</v>
      </c>
      <c r="F127" s="212">
        <v>3117</v>
      </c>
      <c r="G127" s="323" t="s">
        <v>291</v>
      </c>
      <c r="H127" s="285" t="s">
        <v>272</v>
      </c>
      <c r="I127" s="420">
        <v>0</v>
      </c>
      <c r="J127" s="415">
        <v>0</v>
      </c>
      <c r="K127" s="415">
        <v>0</v>
      </c>
      <c r="L127" s="415">
        <v>0</v>
      </c>
      <c r="M127" s="415">
        <v>0</v>
      </c>
      <c r="N127" s="415">
        <v>0</v>
      </c>
      <c r="O127" s="415">
        <v>0</v>
      </c>
      <c r="P127" s="68">
        <v>0</v>
      </c>
      <c r="Q127" s="68">
        <v>0</v>
      </c>
      <c r="R127" s="415">
        <v>0</v>
      </c>
      <c r="S127" s="416">
        <v>0</v>
      </c>
      <c r="T127" s="416">
        <v>0</v>
      </c>
      <c r="U127" s="423">
        <v>0</v>
      </c>
      <c r="V127" s="424">
        <f t="shared" si="259"/>
        <v>0</v>
      </c>
      <c r="W127" s="418">
        <f t="shared" si="259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260"/>
        <v>0</v>
      </c>
      <c r="AP127" s="418">
        <f t="shared" si="260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8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780">
        <f>I127+AW127</f>
        <v>0</v>
      </c>
      <c r="BJ127" s="418">
        <f>J127+AF127</f>
        <v>0</v>
      </c>
      <c r="BK127" s="418">
        <f t="shared" si="261"/>
        <v>0</v>
      </c>
      <c r="BL127" s="418">
        <f t="shared" si="261"/>
        <v>0</v>
      </c>
      <c r="BM127" s="418">
        <f>M127+AN127</f>
        <v>0</v>
      </c>
      <c r="BN127" s="418">
        <f t="shared" si="262"/>
        <v>0</v>
      </c>
      <c r="BO127" s="418">
        <f t="shared" si="262"/>
        <v>0</v>
      </c>
      <c r="BP127" s="418">
        <f t="shared" si="263"/>
        <v>0</v>
      </c>
      <c r="BQ127" s="418">
        <f t="shared" si="263"/>
        <v>0</v>
      </c>
      <c r="BR127" s="418">
        <f>R127+AV127</f>
        <v>0</v>
      </c>
      <c r="BS127" s="419">
        <f>S127+BH127</f>
        <v>0</v>
      </c>
      <c r="BT127" s="419">
        <f t="shared" si="264"/>
        <v>0</v>
      </c>
      <c r="BU127" s="421">
        <f t="shared" si="264"/>
        <v>0</v>
      </c>
      <c r="BV127" s="854"/>
      <c r="BW127" s="723"/>
      <c r="BX127" s="723"/>
      <c r="BY127" s="723"/>
      <c r="BZ127" s="723"/>
      <c r="CA127" s="855"/>
    </row>
    <row r="128" spans="1:79" ht="12.95" customHeight="1" x14ac:dyDescent="0.25">
      <c r="A128" s="280">
        <v>25</v>
      </c>
      <c r="B128" s="212">
        <v>5433</v>
      </c>
      <c r="C128" s="212">
        <v>600099253</v>
      </c>
      <c r="D128" s="281">
        <v>70695300</v>
      </c>
      <c r="E128" s="372" t="s">
        <v>497</v>
      </c>
      <c r="F128" s="212">
        <v>3141</v>
      </c>
      <c r="G128" s="373" t="s">
        <v>294</v>
      </c>
      <c r="H128" s="285" t="s">
        <v>272</v>
      </c>
      <c r="I128" s="420">
        <v>298056</v>
      </c>
      <c r="J128" s="415">
        <v>220097</v>
      </c>
      <c r="K128" s="415">
        <v>0</v>
      </c>
      <c r="L128" s="415">
        <v>220097</v>
      </c>
      <c r="M128" s="415">
        <v>0</v>
      </c>
      <c r="N128" s="415">
        <v>0</v>
      </c>
      <c r="O128" s="415">
        <v>0</v>
      </c>
      <c r="P128" s="68">
        <v>74393</v>
      </c>
      <c r="Q128" s="68">
        <v>2201</v>
      </c>
      <c r="R128" s="415">
        <v>1365</v>
      </c>
      <c r="S128" s="416">
        <v>0.66</v>
      </c>
      <c r="T128" s="416">
        <v>0</v>
      </c>
      <c r="U128" s="423">
        <v>0.66</v>
      </c>
      <c r="V128" s="424">
        <f t="shared" si="259"/>
        <v>0</v>
      </c>
      <c r="W128" s="418">
        <f t="shared" si="259"/>
        <v>0</v>
      </c>
      <c r="X128" s="418">
        <v>0</v>
      </c>
      <c r="Y128" s="418">
        <v>0</v>
      </c>
      <c r="Z128" s="418">
        <v>0</v>
      </c>
      <c r="AA128" s="418">
        <v>108929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108929</v>
      </c>
      <c r="AF128" s="418">
        <f>SUM(AD128:AE128)</f>
        <v>108929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260"/>
        <v>0</v>
      </c>
      <c r="AP128" s="418">
        <f t="shared" si="260"/>
        <v>108929</v>
      </c>
      <c r="AQ128" s="418">
        <f>SUM(AO128:AP128)</f>
        <v>108929</v>
      </c>
      <c r="AR128" s="68">
        <f>ROUND((AF128+AG128+AH128+AI128)*33.8%,0)</f>
        <v>36818</v>
      </c>
      <c r="AS128" s="68">
        <f>ROUND(AF128*1%,0)</f>
        <v>1089</v>
      </c>
      <c r="AT128" s="418">
        <v>0</v>
      </c>
      <c r="AU128" s="418">
        <v>663</v>
      </c>
      <c r="AV128" s="418">
        <f>AT128+AU128</f>
        <v>663</v>
      </c>
      <c r="AW128" s="418">
        <f>AQ128+AR128+AS128+AV128</f>
        <v>147499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0.33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0.33</v>
      </c>
      <c r="BH128" s="421">
        <f>SUM(BF128:BG128)</f>
        <v>0.33</v>
      </c>
      <c r="BI128" s="780">
        <f>I128+AW128</f>
        <v>445555</v>
      </c>
      <c r="BJ128" s="418">
        <f>J128+AF128</f>
        <v>329026</v>
      </c>
      <c r="BK128" s="418">
        <f t="shared" si="261"/>
        <v>0</v>
      </c>
      <c r="BL128" s="418">
        <f t="shared" si="261"/>
        <v>329026</v>
      </c>
      <c r="BM128" s="418">
        <f>M128+AN128</f>
        <v>0</v>
      </c>
      <c r="BN128" s="418">
        <f t="shared" si="262"/>
        <v>0</v>
      </c>
      <c r="BO128" s="418">
        <f t="shared" si="262"/>
        <v>0</v>
      </c>
      <c r="BP128" s="418">
        <f t="shared" si="263"/>
        <v>111211</v>
      </c>
      <c r="BQ128" s="418">
        <f t="shared" si="263"/>
        <v>3290</v>
      </c>
      <c r="BR128" s="418">
        <f>R128+AV128</f>
        <v>2028</v>
      </c>
      <c r="BS128" s="419">
        <f>S128+BH128</f>
        <v>0.99</v>
      </c>
      <c r="BT128" s="419">
        <f t="shared" si="264"/>
        <v>0</v>
      </c>
      <c r="BU128" s="421">
        <f t="shared" si="264"/>
        <v>0.99</v>
      </c>
      <c r="BV128" s="854"/>
      <c r="BW128" s="723"/>
      <c r="BX128" s="723"/>
      <c r="BY128" s="723"/>
      <c r="BZ128" s="723"/>
      <c r="CA128" s="855"/>
    </row>
    <row r="129" spans="1:79" ht="12.95" customHeight="1" x14ac:dyDescent="0.25">
      <c r="A129" s="280">
        <v>25</v>
      </c>
      <c r="B129" s="212">
        <v>5433</v>
      </c>
      <c r="C129" s="212">
        <v>600099253</v>
      </c>
      <c r="D129" s="281">
        <v>70695300</v>
      </c>
      <c r="E129" s="371" t="s">
        <v>497</v>
      </c>
      <c r="F129" s="382">
        <v>3143</v>
      </c>
      <c r="G129" s="323" t="s">
        <v>595</v>
      </c>
      <c r="H129" s="285" t="s">
        <v>271</v>
      </c>
      <c r="I129" s="420">
        <v>679790</v>
      </c>
      <c r="J129" s="415">
        <v>504295</v>
      </c>
      <c r="K129" s="415">
        <v>504295</v>
      </c>
      <c r="L129" s="415">
        <v>0</v>
      </c>
      <c r="M129" s="415">
        <v>0</v>
      </c>
      <c r="N129" s="415">
        <v>0</v>
      </c>
      <c r="O129" s="415">
        <v>0</v>
      </c>
      <c r="P129" s="68">
        <v>170452</v>
      </c>
      <c r="Q129" s="68">
        <v>5043</v>
      </c>
      <c r="R129" s="415">
        <v>0</v>
      </c>
      <c r="S129" s="416">
        <v>1</v>
      </c>
      <c r="T129" s="416">
        <v>1</v>
      </c>
      <c r="U129" s="423">
        <v>0</v>
      </c>
      <c r="V129" s="424">
        <f t="shared" si="259"/>
        <v>0</v>
      </c>
      <c r="W129" s="418">
        <f t="shared" si="259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418">
        <f>SUM(AD129:AE129)</f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260"/>
        <v>0</v>
      </c>
      <c r="AP129" s="418">
        <f t="shared" si="260"/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421">
        <f>SUM(BF129:BG129)</f>
        <v>0</v>
      </c>
      <c r="BI129" s="780">
        <f>I129+AW129</f>
        <v>679790</v>
      </c>
      <c r="BJ129" s="418">
        <f>J129+AF129</f>
        <v>504295</v>
      </c>
      <c r="BK129" s="418">
        <f t="shared" si="261"/>
        <v>504295</v>
      </c>
      <c r="BL129" s="418">
        <f t="shared" si="261"/>
        <v>0</v>
      </c>
      <c r="BM129" s="418">
        <f>M129+AN129</f>
        <v>0</v>
      </c>
      <c r="BN129" s="418">
        <f t="shared" si="262"/>
        <v>0</v>
      </c>
      <c r="BO129" s="418">
        <f t="shared" si="262"/>
        <v>0</v>
      </c>
      <c r="BP129" s="418">
        <f t="shared" si="263"/>
        <v>170452</v>
      </c>
      <c r="BQ129" s="418">
        <f t="shared" si="263"/>
        <v>5043</v>
      </c>
      <c r="BR129" s="418">
        <f>R129+AV129</f>
        <v>0</v>
      </c>
      <c r="BS129" s="419">
        <f>S129+BH129</f>
        <v>1</v>
      </c>
      <c r="BT129" s="419">
        <f t="shared" si="264"/>
        <v>1</v>
      </c>
      <c r="BU129" s="421">
        <f t="shared" si="264"/>
        <v>0</v>
      </c>
      <c r="BV129" s="854"/>
      <c r="BW129" s="723"/>
      <c r="BX129" s="723"/>
      <c r="BY129" s="723"/>
      <c r="BZ129" s="723"/>
      <c r="CA129" s="855"/>
    </row>
    <row r="130" spans="1:79" ht="12.95" customHeight="1" x14ac:dyDescent="0.25">
      <c r="A130" s="280">
        <v>25</v>
      </c>
      <c r="B130" s="212">
        <v>5433</v>
      </c>
      <c r="C130" s="212">
        <v>600099253</v>
      </c>
      <c r="D130" s="281">
        <v>70695300</v>
      </c>
      <c r="E130" s="371" t="s">
        <v>497</v>
      </c>
      <c r="F130" s="382">
        <v>3143</v>
      </c>
      <c r="G130" s="323" t="s">
        <v>596</v>
      </c>
      <c r="H130" s="285" t="s">
        <v>272</v>
      </c>
      <c r="I130" s="420">
        <v>13314</v>
      </c>
      <c r="J130" s="415">
        <v>9530</v>
      </c>
      <c r="K130" s="415">
        <v>0</v>
      </c>
      <c r="L130" s="415">
        <v>9530</v>
      </c>
      <c r="M130" s="415">
        <v>0</v>
      </c>
      <c r="N130" s="415">
        <v>0</v>
      </c>
      <c r="O130" s="415">
        <v>0</v>
      </c>
      <c r="P130" s="68">
        <v>3221</v>
      </c>
      <c r="Q130" s="68">
        <v>95</v>
      </c>
      <c r="R130" s="415">
        <v>468</v>
      </c>
      <c r="S130" s="416">
        <v>3.61E-2</v>
      </c>
      <c r="T130" s="416">
        <v>0</v>
      </c>
      <c r="U130" s="423">
        <v>3.61E-2</v>
      </c>
      <c r="V130" s="424">
        <f t="shared" si="259"/>
        <v>0</v>
      </c>
      <c r="W130" s="418">
        <f t="shared" si="259"/>
        <v>0</v>
      </c>
      <c r="X130" s="418">
        <v>0</v>
      </c>
      <c r="Y130" s="418">
        <v>0</v>
      </c>
      <c r="Z130" s="418">
        <v>0</v>
      </c>
      <c r="AA130" s="418">
        <v>4770</v>
      </c>
      <c r="AB130" s="418">
        <v>0</v>
      </c>
      <c r="AC130" s="418">
        <v>0</v>
      </c>
      <c r="AD130" s="418">
        <f>V130+X130+Y130+Z130+AB130</f>
        <v>0</v>
      </c>
      <c r="AE130" s="418">
        <f>W130+AA130+AC130</f>
        <v>4770</v>
      </c>
      <c r="AF130" s="418">
        <f>SUM(AD130:AE130)</f>
        <v>4770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>AG130+AI130+AJ130</f>
        <v>0</v>
      </c>
      <c r="AM130" s="418">
        <f>AH130+AK130</f>
        <v>0</v>
      </c>
      <c r="AN130" s="418">
        <f>SUM(AL130:AM130)</f>
        <v>0</v>
      </c>
      <c r="AO130" s="418">
        <f t="shared" si="260"/>
        <v>0</v>
      </c>
      <c r="AP130" s="418">
        <f t="shared" si="260"/>
        <v>4770</v>
      </c>
      <c r="AQ130" s="418">
        <f>SUM(AO130:AP130)</f>
        <v>4770</v>
      </c>
      <c r="AR130" s="68">
        <f>ROUND((AF130+AG130+AH130+AI130)*33.8%,0)</f>
        <v>1612</v>
      </c>
      <c r="AS130" s="68">
        <f>ROUND(AF130*1%,0)</f>
        <v>48</v>
      </c>
      <c r="AT130" s="418">
        <v>0</v>
      </c>
      <c r="AU130" s="418">
        <v>234</v>
      </c>
      <c r="AV130" s="418">
        <f>AT130+AU130</f>
        <v>234</v>
      </c>
      <c r="AW130" s="418">
        <f>AQ130+AR130+AS130+AV130</f>
        <v>6664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0.02</v>
      </c>
      <c r="BC130" s="419">
        <v>0</v>
      </c>
      <c r="BD130" s="419">
        <v>0</v>
      </c>
      <c r="BE130" s="419">
        <v>0</v>
      </c>
      <c r="BF130" s="419">
        <f>AX130+AZ130+BA130+BC130+BD130</f>
        <v>0</v>
      </c>
      <c r="BG130" s="419">
        <f>AY130+BB130+BE130</f>
        <v>0.02</v>
      </c>
      <c r="BH130" s="421">
        <f>SUM(BF130:BG130)</f>
        <v>0.02</v>
      </c>
      <c r="BI130" s="780">
        <f>I130+AW130</f>
        <v>19978</v>
      </c>
      <c r="BJ130" s="418">
        <f>J130+AF130</f>
        <v>14300</v>
      </c>
      <c r="BK130" s="418">
        <f t="shared" si="261"/>
        <v>0</v>
      </c>
      <c r="BL130" s="418">
        <f t="shared" si="261"/>
        <v>14300</v>
      </c>
      <c r="BM130" s="418">
        <f>M130+AN130</f>
        <v>0</v>
      </c>
      <c r="BN130" s="418">
        <f t="shared" si="262"/>
        <v>0</v>
      </c>
      <c r="BO130" s="418">
        <f t="shared" si="262"/>
        <v>0</v>
      </c>
      <c r="BP130" s="418">
        <f t="shared" si="263"/>
        <v>4833</v>
      </c>
      <c r="BQ130" s="418">
        <f t="shared" si="263"/>
        <v>143</v>
      </c>
      <c r="BR130" s="418">
        <f>R130+AV130</f>
        <v>702</v>
      </c>
      <c r="BS130" s="419">
        <f>S130+BH130</f>
        <v>5.6099999999999997E-2</v>
      </c>
      <c r="BT130" s="419">
        <f t="shared" si="264"/>
        <v>0</v>
      </c>
      <c r="BU130" s="421">
        <f t="shared" si="264"/>
        <v>5.6099999999999997E-2</v>
      </c>
      <c r="BV130" s="826"/>
      <c r="BW130" s="678"/>
      <c r="BX130" s="678"/>
      <c r="BY130" s="678"/>
      <c r="BZ130" s="678"/>
      <c r="CA130" s="827"/>
    </row>
    <row r="131" spans="1:79" ht="12.95" customHeight="1" x14ac:dyDescent="0.25">
      <c r="A131" s="213">
        <v>25</v>
      </c>
      <c r="B131" s="45">
        <v>5433</v>
      </c>
      <c r="C131" s="45">
        <v>600099253</v>
      </c>
      <c r="D131" s="45">
        <v>70695300</v>
      </c>
      <c r="E131" s="383" t="s">
        <v>498</v>
      </c>
      <c r="F131" s="384"/>
      <c r="G131" s="383"/>
      <c r="H131" s="385"/>
      <c r="I131" s="465">
        <v>4305345</v>
      </c>
      <c r="J131" s="461">
        <v>3157306</v>
      </c>
      <c r="K131" s="461">
        <v>2698056</v>
      </c>
      <c r="L131" s="461">
        <v>459250</v>
      </c>
      <c r="M131" s="461">
        <v>0</v>
      </c>
      <c r="N131" s="461">
        <v>0</v>
      </c>
      <c r="O131" s="461">
        <v>0</v>
      </c>
      <c r="P131" s="461">
        <v>1067170</v>
      </c>
      <c r="Q131" s="461">
        <v>31573</v>
      </c>
      <c r="R131" s="461">
        <v>49296</v>
      </c>
      <c r="S131" s="462">
        <v>5.7237</v>
      </c>
      <c r="T131" s="462">
        <v>4.4348000000000001</v>
      </c>
      <c r="U131" s="535">
        <v>1.2889000000000002</v>
      </c>
      <c r="V131" s="465">
        <f t="shared" ref="V131:CA131" si="265">SUM(V126:V130)</f>
        <v>0</v>
      </c>
      <c r="W131" s="461">
        <f t="shared" si="265"/>
        <v>0</v>
      </c>
      <c r="X131" s="461">
        <f t="shared" si="265"/>
        <v>0</v>
      </c>
      <c r="Y131" s="461">
        <f t="shared" si="265"/>
        <v>0</v>
      </c>
      <c r="Z131" s="461">
        <f t="shared" si="265"/>
        <v>0</v>
      </c>
      <c r="AA131" s="461">
        <f t="shared" si="265"/>
        <v>113699</v>
      </c>
      <c r="AB131" s="461">
        <f t="shared" si="265"/>
        <v>0</v>
      </c>
      <c r="AC131" s="461">
        <f t="shared" si="265"/>
        <v>0</v>
      </c>
      <c r="AD131" s="461">
        <f t="shared" si="265"/>
        <v>0</v>
      </c>
      <c r="AE131" s="461">
        <f t="shared" si="265"/>
        <v>113699</v>
      </c>
      <c r="AF131" s="461">
        <f t="shared" si="265"/>
        <v>113699</v>
      </c>
      <c r="AG131" s="461">
        <f t="shared" si="265"/>
        <v>0</v>
      </c>
      <c r="AH131" s="461">
        <f t="shared" si="265"/>
        <v>0</v>
      </c>
      <c r="AI131" s="461">
        <f t="shared" si="265"/>
        <v>0</v>
      </c>
      <c r="AJ131" s="461">
        <f t="shared" si="265"/>
        <v>0</v>
      </c>
      <c r="AK131" s="461">
        <f t="shared" si="265"/>
        <v>0</v>
      </c>
      <c r="AL131" s="461">
        <f t="shared" si="265"/>
        <v>0</v>
      </c>
      <c r="AM131" s="461">
        <f t="shared" si="265"/>
        <v>0</v>
      </c>
      <c r="AN131" s="461">
        <f t="shared" si="265"/>
        <v>0</v>
      </c>
      <c r="AO131" s="461">
        <f t="shared" si="265"/>
        <v>0</v>
      </c>
      <c r="AP131" s="461">
        <f t="shared" si="265"/>
        <v>113699</v>
      </c>
      <c r="AQ131" s="461">
        <f t="shared" si="265"/>
        <v>113699</v>
      </c>
      <c r="AR131" s="461">
        <f t="shared" si="265"/>
        <v>38430</v>
      </c>
      <c r="AS131" s="461">
        <f t="shared" si="265"/>
        <v>1137</v>
      </c>
      <c r="AT131" s="461">
        <f t="shared" si="265"/>
        <v>0</v>
      </c>
      <c r="AU131" s="461">
        <f t="shared" si="265"/>
        <v>897</v>
      </c>
      <c r="AV131" s="461">
        <f t="shared" si="265"/>
        <v>897</v>
      </c>
      <c r="AW131" s="461">
        <f t="shared" si="265"/>
        <v>154163</v>
      </c>
      <c r="AX131" s="462">
        <f t="shared" si="265"/>
        <v>0</v>
      </c>
      <c r="AY131" s="462">
        <f t="shared" si="265"/>
        <v>0</v>
      </c>
      <c r="AZ131" s="462">
        <f t="shared" si="265"/>
        <v>0</v>
      </c>
      <c r="BA131" s="462">
        <f t="shared" si="265"/>
        <v>0</v>
      </c>
      <c r="BB131" s="462">
        <f t="shared" ref="BB131" si="266">SUM(BB126:BB130)</f>
        <v>0.35000000000000003</v>
      </c>
      <c r="BC131" s="462">
        <f t="shared" si="265"/>
        <v>0</v>
      </c>
      <c r="BD131" s="462">
        <f t="shared" si="265"/>
        <v>0</v>
      </c>
      <c r="BE131" s="462">
        <f t="shared" ref="BE131" si="267">SUM(BE126:BE130)</f>
        <v>0</v>
      </c>
      <c r="BF131" s="462">
        <f t="shared" si="265"/>
        <v>0</v>
      </c>
      <c r="BG131" s="462">
        <f t="shared" si="265"/>
        <v>0.35000000000000003</v>
      </c>
      <c r="BH131" s="279">
        <f t="shared" si="265"/>
        <v>0.35000000000000003</v>
      </c>
      <c r="BI131" s="781">
        <f t="shared" si="265"/>
        <v>4459508</v>
      </c>
      <c r="BJ131" s="461">
        <f t="shared" si="265"/>
        <v>3271005</v>
      </c>
      <c r="BK131" s="461">
        <f t="shared" si="265"/>
        <v>2698056</v>
      </c>
      <c r="BL131" s="461">
        <f t="shared" si="265"/>
        <v>572949</v>
      </c>
      <c r="BM131" s="461">
        <f t="shared" si="265"/>
        <v>0</v>
      </c>
      <c r="BN131" s="461">
        <f t="shared" si="265"/>
        <v>0</v>
      </c>
      <c r="BO131" s="461">
        <f t="shared" si="265"/>
        <v>0</v>
      </c>
      <c r="BP131" s="461">
        <f t="shared" si="265"/>
        <v>1105600</v>
      </c>
      <c r="BQ131" s="461">
        <f t="shared" si="265"/>
        <v>32710</v>
      </c>
      <c r="BR131" s="461">
        <f t="shared" si="265"/>
        <v>50193</v>
      </c>
      <c r="BS131" s="462">
        <f t="shared" si="265"/>
        <v>6.0736999999999997</v>
      </c>
      <c r="BT131" s="462">
        <f t="shared" si="265"/>
        <v>4.4348000000000001</v>
      </c>
      <c r="BU131" s="279">
        <f t="shared" si="265"/>
        <v>1.6389</v>
      </c>
      <c r="BV131" s="850">
        <f t="shared" si="265"/>
        <v>0</v>
      </c>
      <c r="BW131" s="713">
        <f t="shared" si="265"/>
        <v>0</v>
      </c>
      <c r="BX131" s="713">
        <f t="shared" si="265"/>
        <v>0</v>
      </c>
      <c r="BY131" s="713">
        <f t="shared" si="265"/>
        <v>0</v>
      </c>
      <c r="BZ131" s="713">
        <f t="shared" si="265"/>
        <v>0</v>
      </c>
      <c r="CA131" s="851">
        <f t="shared" si="265"/>
        <v>0</v>
      </c>
    </row>
    <row r="132" spans="1:79" ht="12.95" customHeight="1" x14ac:dyDescent="0.25">
      <c r="A132" s="280">
        <v>26</v>
      </c>
      <c r="B132" s="212">
        <v>5486</v>
      </c>
      <c r="C132" s="212">
        <v>600098711</v>
      </c>
      <c r="D132" s="281">
        <v>72744022</v>
      </c>
      <c r="E132" s="372" t="s">
        <v>499</v>
      </c>
      <c r="F132" s="212">
        <v>3111</v>
      </c>
      <c r="G132" s="373" t="s">
        <v>304</v>
      </c>
      <c r="H132" s="285" t="s">
        <v>271</v>
      </c>
      <c r="I132" s="420">
        <v>2049549</v>
      </c>
      <c r="J132" s="415">
        <v>1515683</v>
      </c>
      <c r="K132" s="415">
        <v>1398142</v>
      </c>
      <c r="L132" s="415">
        <v>117541</v>
      </c>
      <c r="M132" s="415">
        <v>0</v>
      </c>
      <c r="N132" s="415">
        <v>0</v>
      </c>
      <c r="O132" s="415">
        <v>0</v>
      </c>
      <c r="P132" s="68">
        <v>512301</v>
      </c>
      <c r="Q132" s="68">
        <v>15157</v>
      </c>
      <c r="R132" s="415">
        <v>6408</v>
      </c>
      <c r="S132" s="416">
        <v>2.69</v>
      </c>
      <c r="T132" s="416">
        <v>2.29</v>
      </c>
      <c r="U132" s="423">
        <v>0.4</v>
      </c>
      <c r="V132" s="424">
        <f t="shared" ref="V132:W134" si="268">AG132*-1</f>
        <v>0</v>
      </c>
      <c r="W132" s="418">
        <f t="shared" si="268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>V132+X132+Y132+Z132+AB132</f>
        <v>0</v>
      </c>
      <c r="AE132" s="418">
        <f>W132+AA132+AC132</f>
        <v>0</v>
      </c>
      <c r="AF132" s="418">
        <f>SUM(AD132:AE132)</f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>AG132+AI132+AJ132</f>
        <v>0</v>
      </c>
      <c r="AM132" s="418">
        <f>AH132+AK132</f>
        <v>0</v>
      </c>
      <c r="AN132" s="418">
        <f>SUM(AL132:AM132)</f>
        <v>0</v>
      </c>
      <c r="AO132" s="418">
        <f t="shared" ref="AO132:AP134" si="269">AD132+AL132</f>
        <v>0</v>
      </c>
      <c r="AP132" s="418">
        <f t="shared" si="269"/>
        <v>0</v>
      </c>
      <c r="AQ132" s="418">
        <f>SUM(AO132:AP132)</f>
        <v>0</v>
      </c>
      <c r="AR132" s="68">
        <f>ROUND((AF132+AG132+AH132+AI132)*33.8%,0)</f>
        <v>0</v>
      </c>
      <c r="AS132" s="68">
        <f>ROUND(AF132*1%,0)</f>
        <v>0</v>
      </c>
      <c r="AT132" s="418">
        <v>0</v>
      </c>
      <c r="AU132" s="418">
        <v>0</v>
      </c>
      <c r="AV132" s="418">
        <f>AT132+AU132</f>
        <v>0</v>
      </c>
      <c r="AW132" s="418">
        <f>AQ132+AR132+AS132+AV132</f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>AX132+AZ132+BA132+BC132+BD132</f>
        <v>0</v>
      </c>
      <c r="BG132" s="419">
        <f>AY132+BB132+BE132</f>
        <v>0</v>
      </c>
      <c r="BH132" s="421">
        <f>SUM(BF132:BG132)</f>
        <v>0</v>
      </c>
      <c r="BI132" s="780">
        <f>I132+AW132</f>
        <v>2049549</v>
      </c>
      <c r="BJ132" s="418">
        <f>J132+AF132</f>
        <v>1515683</v>
      </c>
      <c r="BK132" s="418">
        <f t="shared" ref="BK132:BL134" si="270">K132+AD132</f>
        <v>1398142</v>
      </c>
      <c r="BL132" s="418">
        <f t="shared" si="270"/>
        <v>117541</v>
      </c>
      <c r="BM132" s="418">
        <f>M132+AN132</f>
        <v>0</v>
      </c>
      <c r="BN132" s="418">
        <f t="shared" ref="BN132:BO134" si="271">N132+AL132</f>
        <v>0</v>
      </c>
      <c r="BO132" s="418">
        <f t="shared" si="271"/>
        <v>0</v>
      </c>
      <c r="BP132" s="418">
        <f t="shared" ref="BP132:BQ134" si="272">P132+AR132</f>
        <v>512301</v>
      </c>
      <c r="BQ132" s="418">
        <f t="shared" si="272"/>
        <v>15157</v>
      </c>
      <c r="BR132" s="418">
        <f>R132+AV132</f>
        <v>6408</v>
      </c>
      <c r="BS132" s="419">
        <f>S132+BH132</f>
        <v>2.69</v>
      </c>
      <c r="BT132" s="419">
        <f t="shared" ref="BT132:BU134" si="273">T132+BF132</f>
        <v>2.29</v>
      </c>
      <c r="BU132" s="421">
        <f t="shared" si="273"/>
        <v>0.4</v>
      </c>
      <c r="BV132" s="854"/>
      <c r="BW132" s="723"/>
      <c r="BX132" s="723"/>
      <c r="BY132" s="723"/>
      <c r="BZ132" s="723"/>
      <c r="CA132" s="855"/>
    </row>
    <row r="133" spans="1:79" ht="12.95" customHeight="1" x14ac:dyDescent="0.25">
      <c r="A133" s="280">
        <v>26</v>
      </c>
      <c r="B133" s="212">
        <v>5486</v>
      </c>
      <c r="C133" s="212">
        <v>600098711</v>
      </c>
      <c r="D133" s="281">
        <v>72744022</v>
      </c>
      <c r="E133" s="372" t="s">
        <v>499</v>
      </c>
      <c r="F133" s="212">
        <v>3111</v>
      </c>
      <c r="G133" s="373" t="s">
        <v>291</v>
      </c>
      <c r="H133" s="285" t="s">
        <v>272</v>
      </c>
      <c r="I133" s="420">
        <v>249921</v>
      </c>
      <c r="J133" s="415">
        <v>185401</v>
      </c>
      <c r="K133" s="415">
        <v>185401</v>
      </c>
      <c r="L133" s="415">
        <v>0</v>
      </c>
      <c r="M133" s="415">
        <v>0</v>
      </c>
      <c r="N133" s="415">
        <v>0</v>
      </c>
      <c r="O133" s="415">
        <v>0</v>
      </c>
      <c r="P133" s="68">
        <v>62666</v>
      </c>
      <c r="Q133" s="68">
        <v>1854</v>
      </c>
      <c r="R133" s="415">
        <v>0</v>
      </c>
      <c r="S133" s="416">
        <v>0.5</v>
      </c>
      <c r="T133" s="416">
        <v>0.5</v>
      </c>
      <c r="U133" s="423">
        <v>0</v>
      </c>
      <c r="V133" s="424">
        <f t="shared" si="268"/>
        <v>0</v>
      </c>
      <c r="W133" s="418">
        <f t="shared" si="268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>V133+X133+Y133+Z133+AB133</f>
        <v>0</v>
      </c>
      <c r="AE133" s="418">
        <f>W133+AA133+AC133</f>
        <v>0</v>
      </c>
      <c r="AF133" s="418">
        <f>SUM(AD133:AE133)</f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>AG133+AI133+AJ133</f>
        <v>0</v>
      </c>
      <c r="AM133" s="418">
        <f>AH133+AK133</f>
        <v>0</v>
      </c>
      <c r="AN133" s="418">
        <f>SUM(AL133:AM133)</f>
        <v>0</v>
      </c>
      <c r="AO133" s="418">
        <f t="shared" si="269"/>
        <v>0</v>
      </c>
      <c r="AP133" s="418">
        <f t="shared" si="269"/>
        <v>0</v>
      </c>
      <c r="AQ133" s="418">
        <f>SUM(AO133:AP133)</f>
        <v>0</v>
      </c>
      <c r="AR133" s="68">
        <f>ROUND((AF133+AG133+AH133+AI133)*33.8%,0)</f>
        <v>0</v>
      </c>
      <c r="AS133" s="68">
        <f>ROUND(AF133*1%,0)</f>
        <v>0</v>
      </c>
      <c r="AT133" s="418">
        <v>0</v>
      </c>
      <c r="AU133" s="418">
        <v>0</v>
      </c>
      <c r="AV133" s="418">
        <f>AT133+AU133</f>
        <v>0</v>
      </c>
      <c r="AW133" s="418">
        <f>AQ133+AR133+AS133+AV133</f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>AX133+AZ133+BA133+BC133+BD133</f>
        <v>0</v>
      </c>
      <c r="BG133" s="419">
        <f>AY133+BB133+BE133</f>
        <v>0</v>
      </c>
      <c r="BH133" s="421">
        <f>SUM(BF133:BG133)</f>
        <v>0</v>
      </c>
      <c r="BI133" s="780">
        <f>I133+AW133</f>
        <v>249921</v>
      </c>
      <c r="BJ133" s="418">
        <f>J133+AF133</f>
        <v>185401</v>
      </c>
      <c r="BK133" s="418">
        <f t="shared" si="270"/>
        <v>185401</v>
      </c>
      <c r="BL133" s="418">
        <f t="shared" si="270"/>
        <v>0</v>
      </c>
      <c r="BM133" s="418">
        <f>M133+AN133</f>
        <v>0</v>
      </c>
      <c r="BN133" s="418">
        <f t="shared" si="271"/>
        <v>0</v>
      </c>
      <c r="BO133" s="418">
        <f t="shared" si="271"/>
        <v>0</v>
      </c>
      <c r="BP133" s="418">
        <f t="shared" si="272"/>
        <v>62666</v>
      </c>
      <c r="BQ133" s="418">
        <f t="shared" si="272"/>
        <v>1854</v>
      </c>
      <c r="BR133" s="418">
        <f>R133+AV133</f>
        <v>0</v>
      </c>
      <c r="BS133" s="419">
        <f>S133+BH133</f>
        <v>0.5</v>
      </c>
      <c r="BT133" s="419">
        <f t="shared" si="273"/>
        <v>0.5</v>
      </c>
      <c r="BU133" s="421">
        <f t="shared" si="273"/>
        <v>0</v>
      </c>
      <c r="BV133" s="854"/>
      <c r="BW133" s="723"/>
      <c r="BX133" s="723"/>
      <c r="BY133" s="723"/>
      <c r="BZ133" s="723"/>
      <c r="CA133" s="855"/>
    </row>
    <row r="134" spans="1:79" ht="12.95" customHeight="1" x14ac:dyDescent="0.25">
      <c r="A134" s="280">
        <v>26</v>
      </c>
      <c r="B134" s="212">
        <v>5486</v>
      </c>
      <c r="C134" s="212">
        <v>600098711</v>
      </c>
      <c r="D134" s="281">
        <v>72744022</v>
      </c>
      <c r="E134" s="372" t="s">
        <v>499</v>
      </c>
      <c r="F134" s="212">
        <v>3141</v>
      </c>
      <c r="G134" s="373" t="s">
        <v>294</v>
      </c>
      <c r="H134" s="285" t="s">
        <v>272</v>
      </c>
      <c r="I134" s="420">
        <v>273570</v>
      </c>
      <c r="J134" s="415">
        <v>202322</v>
      </c>
      <c r="K134" s="415">
        <v>0</v>
      </c>
      <c r="L134" s="415">
        <v>202322</v>
      </c>
      <c r="M134" s="415">
        <v>0</v>
      </c>
      <c r="N134" s="415">
        <v>0</v>
      </c>
      <c r="O134" s="415">
        <v>0</v>
      </c>
      <c r="P134" s="68">
        <v>68385</v>
      </c>
      <c r="Q134" s="68">
        <v>2023</v>
      </c>
      <c r="R134" s="415">
        <v>840</v>
      </c>
      <c r="S134" s="416">
        <v>0.60670000000000002</v>
      </c>
      <c r="T134" s="416">
        <v>0</v>
      </c>
      <c r="U134" s="423">
        <v>0.60670000000000002</v>
      </c>
      <c r="V134" s="424">
        <f t="shared" si="268"/>
        <v>0</v>
      </c>
      <c r="W134" s="418">
        <f t="shared" si="268"/>
        <v>0</v>
      </c>
      <c r="X134" s="418">
        <v>0</v>
      </c>
      <c r="Y134" s="418">
        <v>0</v>
      </c>
      <c r="Z134" s="418">
        <v>0</v>
      </c>
      <c r="AA134" s="418">
        <v>100549</v>
      </c>
      <c r="AB134" s="418">
        <v>0</v>
      </c>
      <c r="AC134" s="418">
        <v>0</v>
      </c>
      <c r="AD134" s="418">
        <f>V134+X134+Y134+Z134+AB134</f>
        <v>0</v>
      </c>
      <c r="AE134" s="418">
        <f>W134+AA134+AC134</f>
        <v>100549</v>
      </c>
      <c r="AF134" s="418">
        <f>SUM(AD134:AE134)</f>
        <v>100549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>AG134+AI134+AJ134</f>
        <v>0</v>
      </c>
      <c r="AM134" s="418">
        <f>AH134+AK134</f>
        <v>0</v>
      </c>
      <c r="AN134" s="418">
        <f>SUM(AL134:AM134)</f>
        <v>0</v>
      </c>
      <c r="AO134" s="418">
        <f t="shared" si="269"/>
        <v>0</v>
      </c>
      <c r="AP134" s="418">
        <f t="shared" si="269"/>
        <v>100549</v>
      </c>
      <c r="AQ134" s="418">
        <f>SUM(AO134:AP134)</f>
        <v>100549</v>
      </c>
      <c r="AR134" s="68">
        <f>ROUND((AF134+AG134+AH134+AI134)*33.8%,0)</f>
        <v>33986</v>
      </c>
      <c r="AS134" s="68">
        <f>ROUND(AF134*1%,0)</f>
        <v>1005</v>
      </c>
      <c r="AT134" s="418">
        <v>0</v>
      </c>
      <c r="AU134" s="418">
        <v>408</v>
      </c>
      <c r="AV134" s="418">
        <f>AT134+AU134</f>
        <v>408</v>
      </c>
      <c r="AW134" s="418">
        <f>AQ134+AR134+AS134+AV134</f>
        <v>135948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0.3</v>
      </c>
      <c r="BC134" s="419">
        <v>0</v>
      </c>
      <c r="BD134" s="419">
        <v>0</v>
      </c>
      <c r="BE134" s="419">
        <v>0</v>
      </c>
      <c r="BF134" s="419">
        <f>AX134+AZ134+BA134+BC134+BD134</f>
        <v>0</v>
      </c>
      <c r="BG134" s="419">
        <f>AY134+BB134+BE134</f>
        <v>0.3</v>
      </c>
      <c r="BH134" s="421">
        <f>SUM(BF134:BG134)</f>
        <v>0.3</v>
      </c>
      <c r="BI134" s="780">
        <f>I134+AW134</f>
        <v>409518</v>
      </c>
      <c r="BJ134" s="418">
        <f>J134+AF134</f>
        <v>302871</v>
      </c>
      <c r="BK134" s="418">
        <f t="shared" si="270"/>
        <v>0</v>
      </c>
      <c r="BL134" s="418">
        <f t="shared" si="270"/>
        <v>302871</v>
      </c>
      <c r="BM134" s="418">
        <f>M134+AN134</f>
        <v>0</v>
      </c>
      <c r="BN134" s="418">
        <f t="shared" si="271"/>
        <v>0</v>
      </c>
      <c r="BO134" s="418">
        <f t="shared" si="271"/>
        <v>0</v>
      </c>
      <c r="BP134" s="418">
        <f t="shared" si="272"/>
        <v>102371</v>
      </c>
      <c r="BQ134" s="418">
        <f t="shared" si="272"/>
        <v>3028</v>
      </c>
      <c r="BR134" s="418">
        <f>R134+AV134</f>
        <v>1248</v>
      </c>
      <c r="BS134" s="419">
        <f>S134+BH134</f>
        <v>0.90670000000000006</v>
      </c>
      <c r="BT134" s="419">
        <f t="shared" si="273"/>
        <v>0</v>
      </c>
      <c r="BU134" s="421">
        <f t="shared" si="273"/>
        <v>0.90670000000000006</v>
      </c>
      <c r="BV134" s="854"/>
      <c r="BW134" s="723"/>
      <c r="BX134" s="723"/>
      <c r="BY134" s="723"/>
      <c r="BZ134" s="723"/>
      <c r="CA134" s="855"/>
    </row>
    <row r="135" spans="1:79" ht="12.95" customHeight="1" x14ac:dyDescent="0.25">
      <c r="A135" s="213">
        <v>26</v>
      </c>
      <c r="B135" s="45">
        <v>5486</v>
      </c>
      <c r="C135" s="45">
        <v>600098711</v>
      </c>
      <c r="D135" s="45">
        <v>72744022</v>
      </c>
      <c r="E135" s="374" t="s">
        <v>500</v>
      </c>
      <c r="F135" s="45"/>
      <c r="G135" s="374"/>
      <c r="H135" s="182"/>
      <c r="I135" s="488">
        <v>2573040</v>
      </c>
      <c r="J135" s="485">
        <v>1903406</v>
      </c>
      <c r="K135" s="485">
        <v>1583543</v>
      </c>
      <c r="L135" s="485">
        <v>319863</v>
      </c>
      <c r="M135" s="485">
        <v>0</v>
      </c>
      <c r="N135" s="485">
        <v>0</v>
      </c>
      <c r="O135" s="485">
        <v>0</v>
      </c>
      <c r="P135" s="485">
        <v>643352</v>
      </c>
      <c r="Q135" s="485">
        <v>19034</v>
      </c>
      <c r="R135" s="485">
        <v>7248</v>
      </c>
      <c r="S135" s="486">
        <v>3.7967</v>
      </c>
      <c r="T135" s="486">
        <v>2.79</v>
      </c>
      <c r="U135" s="657">
        <v>1.0066999999999999</v>
      </c>
      <c r="V135" s="488">
        <f t="shared" ref="V135:CA135" si="274">SUM(V132:V134)</f>
        <v>0</v>
      </c>
      <c r="W135" s="485">
        <f t="shared" si="274"/>
        <v>0</v>
      </c>
      <c r="X135" s="485">
        <f t="shared" si="274"/>
        <v>0</v>
      </c>
      <c r="Y135" s="485">
        <f t="shared" si="274"/>
        <v>0</v>
      </c>
      <c r="Z135" s="485">
        <f t="shared" si="274"/>
        <v>0</v>
      </c>
      <c r="AA135" s="485">
        <f t="shared" si="274"/>
        <v>100549</v>
      </c>
      <c r="AB135" s="485">
        <f t="shared" si="274"/>
        <v>0</v>
      </c>
      <c r="AC135" s="485">
        <f t="shared" si="274"/>
        <v>0</v>
      </c>
      <c r="AD135" s="485">
        <f t="shared" si="274"/>
        <v>0</v>
      </c>
      <c r="AE135" s="485">
        <f t="shared" si="274"/>
        <v>100549</v>
      </c>
      <c r="AF135" s="485">
        <f t="shared" si="274"/>
        <v>100549</v>
      </c>
      <c r="AG135" s="485">
        <f t="shared" si="274"/>
        <v>0</v>
      </c>
      <c r="AH135" s="485">
        <f t="shared" si="274"/>
        <v>0</v>
      </c>
      <c r="AI135" s="485">
        <f t="shared" si="274"/>
        <v>0</v>
      </c>
      <c r="AJ135" s="485">
        <f t="shared" si="274"/>
        <v>0</v>
      </c>
      <c r="AK135" s="485">
        <f t="shared" si="274"/>
        <v>0</v>
      </c>
      <c r="AL135" s="485">
        <f t="shared" si="274"/>
        <v>0</v>
      </c>
      <c r="AM135" s="485">
        <f t="shared" si="274"/>
        <v>0</v>
      </c>
      <c r="AN135" s="485">
        <f t="shared" si="274"/>
        <v>0</v>
      </c>
      <c r="AO135" s="485">
        <f t="shared" si="274"/>
        <v>0</v>
      </c>
      <c r="AP135" s="485">
        <f t="shared" si="274"/>
        <v>100549</v>
      </c>
      <c r="AQ135" s="485">
        <f t="shared" si="274"/>
        <v>100549</v>
      </c>
      <c r="AR135" s="485">
        <f t="shared" si="274"/>
        <v>33986</v>
      </c>
      <c r="AS135" s="485">
        <f t="shared" si="274"/>
        <v>1005</v>
      </c>
      <c r="AT135" s="485">
        <f t="shared" si="274"/>
        <v>0</v>
      </c>
      <c r="AU135" s="485">
        <f t="shared" si="274"/>
        <v>408</v>
      </c>
      <c r="AV135" s="485">
        <f t="shared" si="274"/>
        <v>408</v>
      </c>
      <c r="AW135" s="485">
        <f t="shared" si="274"/>
        <v>135948</v>
      </c>
      <c r="AX135" s="486">
        <f t="shared" si="274"/>
        <v>0</v>
      </c>
      <c r="AY135" s="486">
        <f t="shared" si="274"/>
        <v>0</v>
      </c>
      <c r="AZ135" s="486">
        <f t="shared" si="274"/>
        <v>0</v>
      </c>
      <c r="BA135" s="486">
        <f t="shared" si="274"/>
        <v>0</v>
      </c>
      <c r="BB135" s="486">
        <f t="shared" ref="BB135" si="275">SUM(BB132:BB134)</f>
        <v>0.3</v>
      </c>
      <c r="BC135" s="486">
        <f t="shared" si="274"/>
        <v>0</v>
      </c>
      <c r="BD135" s="486">
        <f t="shared" si="274"/>
        <v>0</v>
      </c>
      <c r="BE135" s="486">
        <f t="shared" ref="BE135" si="276">SUM(BE132:BE134)</f>
        <v>0</v>
      </c>
      <c r="BF135" s="486">
        <f t="shared" si="274"/>
        <v>0</v>
      </c>
      <c r="BG135" s="486">
        <f t="shared" si="274"/>
        <v>0.3</v>
      </c>
      <c r="BH135" s="379">
        <f t="shared" si="274"/>
        <v>0.3</v>
      </c>
      <c r="BI135" s="793">
        <f t="shared" si="274"/>
        <v>2708988</v>
      </c>
      <c r="BJ135" s="485">
        <f t="shared" si="274"/>
        <v>2003955</v>
      </c>
      <c r="BK135" s="485">
        <f t="shared" si="274"/>
        <v>1583543</v>
      </c>
      <c r="BL135" s="485">
        <f t="shared" si="274"/>
        <v>420412</v>
      </c>
      <c r="BM135" s="485">
        <f t="shared" si="274"/>
        <v>0</v>
      </c>
      <c r="BN135" s="485">
        <f t="shared" si="274"/>
        <v>0</v>
      </c>
      <c r="BO135" s="485">
        <f t="shared" si="274"/>
        <v>0</v>
      </c>
      <c r="BP135" s="485">
        <f t="shared" si="274"/>
        <v>677338</v>
      </c>
      <c r="BQ135" s="485">
        <f t="shared" si="274"/>
        <v>20039</v>
      </c>
      <c r="BR135" s="485">
        <f t="shared" si="274"/>
        <v>7656</v>
      </c>
      <c r="BS135" s="486">
        <f t="shared" si="274"/>
        <v>4.0967000000000002</v>
      </c>
      <c r="BT135" s="486">
        <f t="shared" si="274"/>
        <v>2.79</v>
      </c>
      <c r="BU135" s="379">
        <f t="shared" si="274"/>
        <v>1.3067000000000002</v>
      </c>
      <c r="BV135" s="871">
        <f t="shared" si="274"/>
        <v>0</v>
      </c>
      <c r="BW135" s="734">
        <f t="shared" si="274"/>
        <v>0</v>
      </c>
      <c r="BX135" s="734">
        <f t="shared" si="274"/>
        <v>0</v>
      </c>
      <c r="BY135" s="734">
        <f t="shared" si="274"/>
        <v>0</v>
      </c>
      <c r="BZ135" s="734">
        <f t="shared" si="274"/>
        <v>0</v>
      </c>
      <c r="CA135" s="872">
        <f t="shared" si="274"/>
        <v>0</v>
      </c>
    </row>
    <row r="136" spans="1:79" ht="12.95" customHeight="1" x14ac:dyDescent="0.25">
      <c r="A136" s="280">
        <v>27</v>
      </c>
      <c r="B136" s="376">
        <v>2440</v>
      </c>
      <c r="C136" s="376">
        <v>600079392</v>
      </c>
      <c r="D136" s="281">
        <v>70981183</v>
      </c>
      <c r="E136" s="372" t="s">
        <v>501</v>
      </c>
      <c r="F136" s="212">
        <v>3111</v>
      </c>
      <c r="G136" s="373" t="s">
        <v>304</v>
      </c>
      <c r="H136" s="285" t="s">
        <v>271</v>
      </c>
      <c r="I136" s="420">
        <v>2475882</v>
      </c>
      <c r="J136" s="415">
        <v>1830369</v>
      </c>
      <c r="K136" s="415">
        <v>1608577</v>
      </c>
      <c r="L136" s="415">
        <v>221792</v>
      </c>
      <c r="M136" s="415">
        <v>0</v>
      </c>
      <c r="N136" s="415">
        <v>0</v>
      </c>
      <c r="O136" s="415">
        <v>0</v>
      </c>
      <c r="P136" s="68">
        <v>618665</v>
      </c>
      <c r="Q136" s="68">
        <v>18304</v>
      </c>
      <c r="R136" s="415">
        <v>8544</v>
      </c>
      <c r="S136" s="416">
        <v>3.7466999999999997</v>
      </c>
      <c r="T136" s="416">
        <v>3</v>
      </c>
      <c r="U136" s="423">
        <v>0.74669999999999992</v>
      </c>
      <c r="V136" s="424">
        <f>AG136*-1</f>
        <v>0</v>
      </c>
      <c r="W136" s="418">
        <f>AH136*-1</f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>V136+X136+Y136+Z136+AB136</f>
        <v>0</v>
      </c>
      <c r="AE136" s="418">
        <f>W136+AA136+AC136</f>
        <v>0</v>
      </c>
      <c r="AF136" s="418">
        <f>SUM(AD136:AE136)</f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>AG136+AI136+AJ136</f>
        <v>0</v>
      </c>
      <c r="AM136" s="418">
        <f>AH136+AK136</f>
        <v>0</v>
      </c>
      <c r="AN136" s="418">
        <f>SUM(AL136:AM136)</f>
        <v>0</v>
      </c>
      <c r="AO136" s="418">
        <f>AD136+AL136</f>
        <v>0</v>
      </c>
      <c r="AP136" s="418">
        <f>AE136+AM136</f>
        <v>0</v>
      </c>
      <c r="AQ136" s="418">
        <f>SUM(AO136:AP136)</f>
        <v>0</v>
      </c>
      <c r="AR136" s="68">
        <f>ROUND((AF136+AG136+AH136+AI136)*33.8%,0)</f>
        <v>0</v>
      </c>
      <c r="AS136" s="68">
        <f>ROUND(AF136*1%,0)</f>
        <v>0</v>
      </c>
      <c r="AT136" s="418">
        <v>0</v>
      </c>
      <c r="AU136" s="418">
        <v>0</v>
      </c>
      <c r="AV136" s="418">
        <f>AT136+AU136</f>
        <v>0</v>
      </c>
      <c r="AW136" s="418">
        <f>AQ136+AR136+AS136+AV136</f>
        <v>0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</v>
      </c>
      <c r="BC136" s="419">
        <v>0</v>
      </c>
      <c r="BD136" s="419">
        <v>0</v>
      </c>
      <c r="BE136" s="419">
        <v>0</v>
      </c>
      <c r="BF136" s="419">
        <f>AX136+AZ136+BA136+BC136+BD136</f>
        <v>0</v>
      </c>
      <c r="BG136" s="419">
        <f>AY136+BB136+BE136</f>
        <v>0</v>
      </c>
      <c r="BH136" s="421">
        <f>SUM(BF136:BG136)</f>
        <v>0</v>
      </c>
      <c r="BI136" s="780">
        <f>I136+AW136</f>
        <v>2475882</v>
      </c>
      <c r="BJ136" s="418">
        <f>J136+AF136</f>
        <v>1830369</v>
      </c>
      <c r="BK136" s="418">
        <f>K136+AD136</f>
        <v>1608577</v>
      </c>
      <c r="BL136" s="418">
        <f>L136+AE136</f>
        <v>221792</v>
      </c>
      <c r="BM136" s="418">
        <f>M136+AN136</f>
        <v>0</v>
      </c>
      <c r="BN136" s="418">
        <f>N136+AL136</f>
        <v>0</v>
      </c>
      <c r="BO136" s="418">
        <f>O136+AM136</f>
        <v>0</v>
      </c>
      <c r="BP136" s="418">
        <f>P136+AR136</f>
        <v>618665</v>
      </c>
      <c r="BQ136" s="418">
        <f>Q136+AS136</f>
        <v>18304</v>
      </c>
      <c r="BR136" s="418">
        <f>R136+AV136</f>
        <v>8544</v>
      </c>
      <c r="BS136" s="419">
        <f>S136+BH136</f>
        <v>3.7466999999999997</v>
      </c>
      <c r="BT136" s="419">
        <f>T136+BF136</f>
        <v>3</v>
      </c>
      <c r="BU136" s="421">
        <f>U136+BG136</f>
        <v>0.74669999999999992</v>
      </c>
      <c r="BV136" s="854"/>
      <c r="BW136" s="723"/>
      <c r="BX136" s="723"/>
      <c r="BY136" s="723"/>
      <c r="BZ136" s="723"/>
      <c r="CA136" s="855"/>
    </row>
    <row r="137" spans="1:79" ht="12.95" customHeight="1" x14ac:dyDescent="0.25">
      <c r="A137" s="280">
        <v>27</v>
      </c>
      <c r="B137" s="212">
        <v>2440</v>
      </c>
      <c r="C137" s="212">
        <v>600079392</v>
      </c>
      <c r="D137" s="281">
        <v>70981183</v>
      </c>
      <c r="E137" s="372" t="s">
        <v>501</v>
      </c>
      <c r="F137" s="212">
        <v>3141</v>
      </c>
      <c r="G137" s="373" t="s">
        <v>294</v>
      </c>
      <c r="H137" s="285" t="s">
        <v>272</v>
      </c>
      <c r="I137" s="420">
        <v>339751</v>
      </c>
      <c r="J137" s="415">
        <v>251210</v>
      </c>
      <c r="K137" s="415">
        <v>0</v>
      </c>
      <c r="L137" s="415">
        <v>251210</v>
      </c>
      <c r="M137" s="415">
        <v>0</v>
      </c>
      <c r="N137" s="415">
        <v>0</v>
      </c>
      <c r="O137" s="415">
        <v>0</v>
      </c>
      <c r="P137" s="68">
        <v>84909</v>
      </c>
      <c r="Q137" s="68">
        <v>2512</v>
      </c>
      <c r="R137" s="415">
        <v>1120</v>
      </c>
      <c r="S137" s="416">
        <v>0.75329999999999997</v>
      </c>
      <c r="T137" s="416">
        <v>0</v>
      </c>
      <c r="U137" s="423">
        <v>0.75329999999999997</v>
      </c>
      <c r="V137" s="424">
        <f>AG137*-1</f>
        <v>0</v>
      </c>
      <c r="W137" s="418">
        <f>AH137*-1</f>
        <v>0</v>
      </c>
      <c r="X137" s="418">
        <v>0</v>
      </c>
      <c r="Y137" s="418">
        <v>0</v>
      </c>
      <c r="Z137" s="418">
        <v>0</v>
      </c>
      <c r="AA137" s="418">
        <v>124433</v>
      </c>
      <c r="AB137" s="418">
        <v>0</v>
      </c>
      <c r="AC137" s="418">
        <v>0</v>
      </c>
      <c r="AD137" s="418">
        <f>V137+X137+Y137+Z137+AB137</f>
        <v>0</v>
      </c>
      <c r="AE137" s="418">
        <f>W137+AA137+AC137</f>
        <v>124433</v>
      </c>
      <c r="AF137" s="418">
        <f>SUM(AD137:AE137)</f>
        <v>124433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>AG137+AI137+AJ137</f>
        <v>0</v>
      </c>
      <c r="AM137" s="418">
        <f>AH137+AK137</f>
        <v>0</v>
      </c>
      <c r="AN137" s="418">
        <f>SUM(AL137:AM137)</f>
        <v>0</v>
      </c>
      <c r="AO137" s="418">
        <f>AD137+AL137</f>
        <v>0</v>
      </c>
      <c r="AP137" s="418">
        <f>AE137+AM137</f>
        <v>124433</v>
      </c>
      <c r="AQ137" s="418">
        <f>SUM(AO137:AP137)</f>
        <v>124433</v>
      </c>
      <c r="AR137" s="68">
        <f>ROUND((AF137+AG137+AH137+AI137)*33.8%,0)</f>
        <v>42058</v>
      </c>
      <c r="AS137" s="68">
        <f>ROUND(AF137*1%,0)</f>
        <v>1244</v>
      </c>
      <c r="AT137" s="418">
        <v>0</v>
      </c>
      <c r="AU137" s="418">
        <v>544</v>
      </c>
      <c r="AV137" s="418">
        <f>AT137+AU137</f>
        <v>544</v>
      </c>
      <c r="AW137" s="418">
        <f>AQ137+AR137+AS137+AV137</f>
        <v>168279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0.38</v>
      </c>
      <c r="BC137" s="419">
        <v>0</v>
      </c>
      <c r="BD137" s="419">
        <v>0</v>
      </c>
      <c r="BE137" s="419">
        <v>0</v>
      </c>
      <c r="BF137" s="419">
        <f>AX137+AZ137+BA137+BC137+BD137</f>
        <v>0</v>
      </c>
      <c r="BG137" s="419">
        <f>AY137+BB137+BE137</f>
        <v>0.38</v>
      </c>
      <c r="BH137" s="421">
        <f>SUM(BF137:BG137)</f>
        <v>0.38</v>
      </c>
      <c r="BI137" s="780">
        <f>I137+AW137</f>
        <v>508030</v>
      </c>
      <c r="BJ137" s="418">
        <f>J137+AF137</f>
        <v>375643</v>
      </c>
      <c r="BK137" s="418">
        <f>K137+AD137</f>
        <v>0</v>
      </c>
      <c r="BL137" s="418">
        <f>L137+AE137</f>
        <v>375643</v>
      </c>
      <c r="BM137" s="418">
        <f>M137+AN137</f>
        <v>0</v>
      </c>
      <c r="BN137" s="418">
        <f>N137+AL137</f>
        <v>0</v>
      </c>
      <c r="BO137" s="418">
        <f>O137+AM137</f>
        <v>0</v>
      </c>
      <c r="BP137" s="418">
        <f>P137+AR137</f>
        <v>126967</v>
      </c>
      <c r="BQ137" s="418">
        <f>Q137+AS137</f>
        <v>3756</v>
      </c>
      <c r="BR137" s="418">
        <f>R137+AV137</f>
        <v>1664</v>
      </c>
      <c r="BS137" s="419">
        <f>S137+BH137</f>
        <v>1.1333</v>
      </c>
      <c r="BT137" s="419">
        <f>T137+BF137</f>
        <v>0</v>
      </c>
      <c r="BU137" s="421">
        <f>U137+BG137</f>
        <v>1.1333</v>
      </c>
      <c r="BV137" s="854"/>
      <c r="BW137" s="723"/>
      <c r="BX137" s="723"/>
      <c r="BY137" s="723"/>
      <c r="BZ137" s="723"/>
      <c r="CA137" s="855"/>
    </row>
    <row r="138" spans="1:79" ht="12.95" customHeight="1" x14ac:dyDescent="0.25">
      <c r="A138" s="213">
        <v>27</v>
      </c>
      <c r="B138" s="45">
        <v>2440</v>
      </c>
      <c r="C138" s="45">
        <v>600079392</v>
      </c>
      <c r="D138" s="45">
        <v>70981183</v>
      </c>
      <c r="E138" s="374" t="s">
        <v>502</v>
      </c>
      <c r="F138" s="45"/>
      <c r="G138" s="374"/>
      <c r="H138" s="182"/>
      <c r="I138" s="488">
        <v>2815633</v>
      </c>
      <c r="J138" s="485">
        <v>2081579</v>
      </c>
      <c r="K138" s="485">
        <v>1608577</v>
      </c>
      <c r="L138" s="485">
        <v>473002</v>
      </c>
      <c r="M138" s="485">
        <v>0</v>
      </c>
      <c r="N138" s="485">
        <v>0</v>
      </c>
      <c r="O138" s="485">
        <v>0</v>
      </c>
      <c r="P138" s="485">
        <v>703574</v>
      </c>
      <c r="Q138" s="485">
        <v>20816</v>
      </c>
      <c r="R138" s="485">
        <v>9664</v>
      </c>
      <c r="S138" s="486">
        <v>4.5</v>
      </c>
      <c r="T138" s="486">
        <v>3</v>
      </c>
      <c r="U138" s="657">
        <v>1.5</v>
      </c>
      <c r="V138" s="488">
        <f t="shared" ref="V138:CA138" si="277">SUM(V136:V137)</f>
        <v>0</v>
      </c>
      <c r="W138" s="485">
        <f t="shared" si="277"/>
        <v>0</v>
      </c>
      <c r="X138" s="485">
        <f t="shared" si="277"/>
        <v>0</v>
      </c>
      <c r="Y138" s="485">
        <f t="shared" si="277"/>
        <v>0</v>
      </c>
      <c r="Z138" s="485">
        <f t="shared" si="277"/>
        <v>0</v>
      </c>
      <c r="AA138" s="485">
        <f t="shared" si="277"/>
        <v>124433</v>
      </c>
      <c r="AB138" s="485">
        <f t="shared" si="277"/>
        <v>0</v>
      </c>
      <c r="AC138" s="485">
        <f t="shared" si="277"/>
        <v>0</v>
      </c>
      <c r="AD138" s="485">
        <f t="shared" si="277"/>
        <v>0</v>
      </c>
      <c r="AE138" s="485">
        <f t="shared" si="277"/>
        <v>124433</v>
      </c>
      <c r="AF138" s="485">
        <f t="shared" si="277"/>
        <v>124433</v>
      </c>
      <c r="AG138" s="485">
        <f t="shared" si="277"/>
        <v>0</v>
      </c>
      <c r="AH138" s="485">
        <f t="shared" si="277"/>
        <v>0</v>
      </c>
      <c r="AI138" s="485">
        <f t="shared" si="277"/>
        <v>0</v>
      </c>
      <c r="AJ138" s="485">
        <f t="shared" si="277"/>
        <v>0</v>
      </c>
      <c r="AK138" s="485">
        <f t="shared" si="277"/>
        <v>0</v>
      </c>
      <c r="AL138" s="485">
        <f t="shared" si="277"/>
        <v>0</v>
      </c>
      <c r="AM138" s="485">
        <f t="shared" si="277"/>
        <v>0</v>
      </c>
      <c r="AN138" s="485">
        <f t="shared" si="277"/>
        <v>0</v>
      </c>
      <c r="AO138" s="485">
        <f t="shared" si="277"/>
        <v>0</v>
      </c>
      <c r="AP138" s="485">
        <f t="shared" si="277"/>
        <v>124433</v>
      </c>
      <c r="AQ138" s="485">
        <f t="shared" si="277"/>
        <v>124433</v>
      </c>
      <c r="AR138" s="485">
        <f t="shared" si="277"/>
        <v>42058</v>
      </c>
      <c r="AS138" s="485">
        <f t="shared" si="277"/>
        <v>1244</v>
      </c>
      <c r="AT138" s="485">
        <f t="shared" si="277"/>
        <v>0</v>
      </c>
      <c r="AU138" s="485">
        <f t="shared" si="277"/>
        <v>544</v>
      </c>
      <c r="AV138" s="485">
        <f t="shared" si="277"/>
        <v>544</v>
      </c>
      <c r="AW138" s="485">
        <f t="shared" si="277"/>
        <v>168279</v>
      </c>
      <c r="AX138" s="486">
        <f t="shared" si="277"/>
        <v>0</v>
      </c>
      <c r="AY138" s="486">
        <f t="shared" si="277"/>
        <v>0</v>
      </c>
      <c r="AZ138" s="486">
        <f t="shared" si="277"/>
        <v>0</v>
      </c>
      <c r="BA138" s="486">
        <f t="shared" si="277"/>
        <v>0</v>
      </c>
      <c r="BB138" s="486">
        <f t="shared" ref="BB138" si="278">SUM(BB136:BB137)</f>
        <v>0.38</v>
      </c>
      <c r="BC138" s="486">
        <f t="shared" si="277"/>
        <v>0</v>
      </c>
      <c r="BD138" s="486">
        <f t="shared" si="277"/>
        <v>0</v>
      </c>
      <c r="BE138" s="486">
        <f t="shared" ref="BE138" si="279">SUM(BE136:BE137)</f>
        <v>0</v>
      </c>
      <c r="BF138" s="486">
        <f t="shared" si="277"/>
        <v>0</v>
      </c>
      <c r="BG138" s="486">
        <f t="shared" si="277"/>
        <v>0.38</v>
      </c>
      <c r="BH138" s="379">
        <f t="shared" si="277"/>
        <v>0.38</v>
      </c>
      <c r="BI138" s="793">
        <f t="shared" si="277"/>
        <v>2983912</v>
      </c>
      <c r="BJ138" s="485">
        <f t="shared" si="277"/>
        <v>2206012</v>
      </c>
      <c r="BK138" s="485">
        <f t="shared" si="277"/>
        <v>1608577</v>
      </c>
      <c r="BL138" s="485">
        <f t="shared" si="277"/>
        <v>597435</v>
      </c>
      <c r="BM138" s="485">
        <f t="shared" si="277"/>
        <v>0</v>
      </c>
      <c r="BN138" s="485">
        <f t="shared" si="277"/>
        <v>0</v>
      </c>
      <c r="BO138" s="485">
        <f t="shared" si="277"/>
        <v>0</v>
      </c>
      <c r="BP138" s="485">
        <f t="shared" si="277"/>
        <v>745632</v>
      </c>
      <c r="BQ138" s="485">
        <f t="shared" si="277"/>
        <v>22060</v>
      </c>
      <c r="BR138" s="485">
        <f t="shared" si="277"/>
        <v>10208</v>
      </c>
      <c r="BS138" s="486">
        <f t="shared" si="277"/>
        <v>4.88</v>
      </c>
      <c r="BT138" s="486">
        <f t="shared" si="277"/>
        <v>3</v>
      </c>
      <c r="BU138" s="379">
        <f t="shared" si="277"/>
        <v>1.88</v>
      </c>
      <c r="BV138" s="871">
        <f t="shared" si="277"/>
        <v>0</v>
      </c>
      <c r="BW138" s="734">
        <f t="shared" si="277"/>
        <v>0</v>
      </c>
      <c r="BX138" s="734">
        <f t="shared" si="277"/>
        <v>0</v>
      </c>
      <c r="BY138" s="734">
        <f t="shared" si="277"/>
        <v>0</v>
      </c>
      <c r="BZ138" s="734">
        <f t="shared" si="277"/>
        <v>0</v>
      </c>
      <c r="CA138" s="872">
        <f t="shared" si="277"/>
        <v>0</v>
      </c>
    </row>
    <row r="139" spans="1:79" ht="12.95" customHeight="1" x14ac:dyDescent="0.25">
      <c r="A139" s="280">
        <v>28</v>
      </c>
      <c r="B139" s="370">
        <v>2303</v>
      </c>
      <c r="C139" s="370">
        <v>600080048</v>
      </c>
      <c r="D139" s="281">
        <v>72743689</v>
      </c>
      <c r="E139" s="371" t="s">
        <v>503</v>
      </c>
      <c r="F139" s="370">
        <v>3111</v>
      </c>
      <c r="G139" s="373" t="s">
        <v>304</v>
      </c>
      <c r="H139" s="285" t="s">
        <v>271</v>
      </c>
      <c r="I139" s="420">
        <v>3289846</v>
      </c>
      <c r="J139" s="415">
        <v>2427256</v>
      </c>
      <c r="K139" s="415">
        <v>2299120</v>
      </c>
      <c r="L139" s="415">
        <v>128136</v>
      </c>
      <c r="M139" s="415">
        <v>5000</v>
      </c>
      <c r="N139" s="415">
        <v>0</v>
      </c>
      <c r="O139" s="415">
        <v>5000</v>
      </c>
      <c r="P139" s="68">
        <v>822103</v>
      </c>
      <c r="Q139" s="68">
        <v>24273</v>
      </c>
      <c r="R139" s="415">
        <v>11214</v>
      </c>
      <c r="S139" s="416">
        <v>4.4383999999999997</v>
      </c>
      <c r="T139" s="416">
        <v>3.9049999999999998</v>
      </c>
      <c r="U139" s="423">
        <v>0.53339999999999999</v>
      </c>
      <c r="V139" s="424">
        <f t="shared" ref="V139:W144" si="280">AG139*-1</f>
        <v>0</v>
      </c>
      <c r="W139" s="418">
        <f t="shared" si="280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ref="AD139:AD144" si="281">V139+X139+Y139+Z139+AB139</f>
        <v>0</v>
      </c>
      <c r="AE139" s="418">
        <f t="shared" ref="AE139:AE144" si="282">W139+AA139+AC139</f>
        <v>0</v>
      </c>
      <c r="AF139" s="418">
        <f t="shared" ref="AF139:AF144" si="283">SUM(AD139:AE139)</f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ref="AL139:AL144" si="284">AG139+AI139+AJ139</f>
        <v>0</v>
      </c>
      <c r="AM139" s="418">
        <f t="shared" ref="AM139:AM144" si="285">AH139+AK139</f>
        <v>0</v>
      </c>
      <c r="AN139" s="418">
        <f t="shared" ref="AN139:AN144" si="286">SUM(AL139:AM139)</f>
        <v>0</v>
      </c>
      <c r="AO139" s="418">
        <f t="shared" ref="AO139:AP144" si="287">AD139+AL139</f>
        <v>0</v>
      </c>
      <c r="AP139" s="418">
        <f t="shared" si="287"/>
        <v>0</v>
      </c>
      <c r="AQ139" s="418">
        <f t="shared" ref="AQ139:AQ144" si="288">SUM(AO139:AP139)</f>
        <v>0</v>
      </c>
      <c r="AR139" s="68">
        <f t="shared" ref="AR139:AR144" si="289">ROUND((AF139+AG139+AH139+AI139)*33.8%,0)</f>
        <v>0</v>
      </c>
      <c r="AS139" s="68">
        <f t="shared" ref="AS139:AS144" si="290">ROUND(AF139*1%,0)</f>
        <v>0</v>
      </c>
      <c r="AT139" s="418">
        <v>0</v>
      </c>
      <c r="AU139" s="418">
        <v>0</v>
      </c>
      <c r="AV139" s="418">
        <f t="shared" ref="AV139:AV144" si="291">AT139+AU139</f>
        <v>0</v>
      </c>
      <c r="AW139" s="418">
        <f t="shared" ref="AW139:AW144" si="292">AQ139+AR139+AS139+AV139</f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ref="BF139:BF144" si="293">AX139+AZ139+BA139+BC139+BD139</f>
        <v>0</v>
      </c>
      <c r="BG139" s="419">
        <f t="shared" ref="BG139:BG144" si="294">AY139+BB139+BE139</f>
        <v>0</v>
      </c>
      <c r="BH139" s="421">
        <f t="shared" ref="BH139:BH144" si="295">SUM(BF139:BG139)</f>
        <v>0</v>
      </c>
      <c r="BI139" s="780">
        <f t="shared" ref="BI139:BI144" si="296">I139+AW139</f>
        <v>3289846</v>
      </c>
      <c r="BJ139" s="418">
        <f t="shared" ref="BJ139:BJ144" si="297">J139+AF139</f>
        <v>2427256</v>
      </c>
      <c r="BK139" s="418">
        <f t="shared" ref="BK139:BL144" si="298">K139+AD139</f>
        <v>2299120</v>
      </c>
      <c r="BL139" s="418">
        <f t="shared" si="298"/>
        <v>128136</v>
      </c>
      <c r="BM139" s="418">
        <f t="shared" ref="BM139:BM144" si="299">M139+AN139</f>
        <v>5000</v>
      </c>
      <c r="BN139" s="418">
        <f t="shared" ref="BN139:BO144" si="300">N139+AL139</f>
        <v>0</v>
      </c>
      <c r="BO139" s="418">
        <f t="shared" si="300"/>
        <v>5000</v>
      </c>
      <c r="BP139" s="418">
        <f t="shared" ref="BP139:BQ144" si="301">P139+AR139</f>
        <v>822103</v>
      </c>
      <c r="BQ139" s="418">
        <f t="shared" si="301"/>
        <v>24273</v>
      </c>
      <c r="BR139" s="418">
        <f t="shared" ref="BR139:BR144" si="302">R139+AV139</f>
        <v>11214</v>
      </c>
      <c r="BS139" s="419">
        <f t="shared" ref="BS139:BS144" si="303">S139+BH139</f>
        <v>4.4383999999999997</v>
      </c>
      <c r="BT139" s="419">
        <f t="shared" ref="BT139:BU144" si="304">T139+BF139</f>
        <v>3.9049999999999998</v>
      </c>
      <c r="BU139" s="421">
        <f t="shared" si="304"/>
        <v>0.53339999999999999</v>
      </c>
      <c r="BV139" s="854"/>
      <c r="BW139" s="723"/>
      <c r="BX139" s="723"/>
      <c r="BY139" s="723"/>
      <c r="BZ139" s="723"/>
      <c r="CA139" s="855"/>
    </row>
    <row r="140" spans="1:79" ht="12.95" customHeight="1" x14ac:dyDescent="0.25">
      <c r="A140" s="280">
        <v>28</v>
      </c>
      <c r="B140" s="376">
        <v>2303</v>
      </c>
      <c r="C140" s="376">
        <v>600080048</v>
      </c>
      <c r="D140" s="281">
        <v>72743689</v>
      </c>
      <c r="E140" s="211" t="s">
        <v>503</v>
      </c>
      <c r="F140" s="376">
        <v>3117</v>
      </c>
      <c r="G140" s="372" t="s">
        <v>308</v>
      </c>
      <c r="H140" s="285" t="s">
        <v>271</v>
      </c>
      <c r="I140" s="420">
        <v>3950396</v>
      </c>
      <c r="J140" s="415">
        <v>2891740</v>
      </c>
      <c r="K140" s="415">
        <v>2460268</v>
      </c>
      <c r="L140" s="415">
        <v>431472</v>
      </c>
      <c r="M140" s="415">
        <v>0</v>
      </c>
      <c r="N140" s="415">
        <v>0</v>
      </c>
      <c r="O140" s="415">
        <v>0</v>
      </c>
      <c r="P140" s="68">
        <v>977408</v>
      </c>
      <c r="Q140" s="68">
        <v>28917</v>
      </c>
      <c r="R140" s="415">
        <v>52331</v>
      </c>
      <c r="S140" s="416">
        <v>5.0481999999999996</v>
      </c>
      <c r="T140" s="416">
        <v>3.8214000000000001</v>
      </c>
      <c r="U140" s="423">
        <v>1.2267999999999999</v>
      </c>
      <c r="V140" s="424">
        <f t="shared" si="280"/>
        <v>0</v>
      </c>
      <c r="W140" s="418">
        <f t="shared" si="280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281"/>
        <v>0</v>
      </c>
      <c r="AE140" s="418">
        <f t="shared" si="282"/>
        <v>0</v>
      </c>
      <c r="AF140" s="418">
        <f t="shared" si="283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84"/>
        <v>0</v>
      </c>
      <c r="AM140" s="418">
        <f t="shared" si="285"/>
        <v>0</v>
      </c>
      <c r="AN140" s="418">
        <f t="shared" si="286"/>
        <v>0</v>
      </c>
      <c r="AO140" s="418">
        <f t="shared" si="287"/>
        <v>0</v>
      </c>
      <c r="AP140" s="418">
        <f t="shared" si="287"/>
        <v>0</v>
      </c>
      <c r="AQ140" s="418">
        <f t="shared" si="288"/>
        <v>0</v>
      </c>
      <c r="AR140" s="68">
        <f t="shared" si="289"/>
        <v>0</v>
      </c>
      <c r="AS140" s="68">
        <f t="shared" si="290"/>
        <v>0</v>
      </c>
      <c r="AT140" s="418">
        <v>0</v>
      </c>
      <c r="AU140" s="418">
        <v>0</v>
      </c>
      <c r="AV140" s="418">
        <f t="shared" si="291"/>
        <v>0</v>
      </c>
      <c r="AW140" s="418">
        <f t="shared" si="292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293"/>
        <v>0</v>
      </c>
      <c r="BG140" s="419">
        <f t="shared" si="294"/>
        <v>0</v>
      </c>
      <c r="BH140" s="421">
        <f t="shared" si="295"/>
        <v>0</v>
      </c>
      <c r="BI140" s="780">
        <f t="shared" si="296"/>
        <v>3950396</v>
      </c>
      <c r="BJ140" s="418">
        <f t="shared" si="297"/>
        <v>2891740</v>
      </c>
      <c r="BK140" s="418">
        <f t="shared" si="298"/>
        <v>2460268</v>
      </c>
      <c r="BL140" s="418">
        <f t="shared" si="298"/>
        <v>431472</v>
      </c>
      <c r="BM140" s="418">
        <f t="shared" si="299"/>
        <v>0</v>
      </c>
      <c r="BN140" s="418">
        <f t="shared" si="300"/>
        <v>0</v>
      </c>
      <c r="BO140" s="418">
        <f t="shared" si="300"/>
        <v>0</v>
      </c>
      <c r="BP140" s="418">
        <f t="shared" si="301"/>
        <v>977408</v>
      </c>
      <c r="BQ140" s="418">
        <f t="shared" si="301"/>
        <v>28917</v>
      </c>
      <c r="BR140" s="418">
        <f t="shared" si="302"/>
        <v>52331</v>
      </c>
      <c r="BS140" s="419">
        <f t="shared" si="303"/>
        <v>5.0481999999999996</v>
      </c>
      <c r="BT140" s="419">
        <f t="shared" si="304"/>
        <v>3.8214000000000001</v>
      </c>
      <c r="BU140" s="421">
        <f t="shared" si="304"/>
        <v>1.2267999999999999</v>
      </c>
      <c r="BV140" s="854"/>
      <c r="BW140" s="723"/>
      <c r="BX140" s="723"/>
      <c r="BY140" s="723"/>
      <c r="BZ140" s="723"/>
      <c r="CA140" s="855"/>
    </row>
    <row r="141" spans="1:79" ht="12.95" customHeight="1" x14ac:dyDescent="0.25">
      <c r="A141" s="280">
        <v>28</v>
      </c>
      <c r="B141" s="212">
        <v>2303</v>
      </c>
      <c r="C141" s="212">
        <v>600080048</v>
      </c>
      <c r="D141" s="281">
        <v>72743689</v>
      </c>
      <c r="E141" s="371" t="s">
        <v>503</v>
      </c>
      <c r="F141" s="376">
        <v>3117</v>
      </c>
      <c r="G141" s="323" t="s">
        <v>291</v>
      </c>
      <c r="H141" s="285" t="s">
        <v>272</v>
      </c>
      <c r="I141" s="420">
        <v>194388</v>
      </c>
      <c r="J141" s="415">
        <v>144205</v>
      </c>
      <c r="K141" s="415">
        <v>144205</v>
      </c>
      <c r="L141" s="415">
        <v>0</v>
      </c>
      <c r="M141" s="415">
        <v>0</v>
      </c>
      <c r="N141" s="415">
        <v>0</v>
      </c>
      <c r="O141" s="415">
        <v>0</v>
      </c>
      <c r="P141" s="68">
        <v>48741</v>
      </c>
      <c r="Q141" s="68">
        <v>1442</v>
      </c>
      <c r="R141" s="415">
        <v>0</v>
      </c>
      <c r="S141" s="416">
        <v>0.39</v>
      </c>
      <c r="T141" s="416">
        <v>0.39</v>
      </c>
      <c r="U141" s="423">
        <v>0</v>
      </c>
      <c r="V141" s="424">
        <f t="shared" si="280"/>
        <v>0</v>
      </c>
      <c r="W141" s="418">
        <f t="shared" si="280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si="281"/>
        <v>0</v>
      </c>
      <c r="AE141" s="418">
        <f t="shared" si="282"/>
        <v>0</v>
      </c>
      <c r="AF141" s="418">
        <f t="shared" si="283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84"/>
        <v>0</v>
      </c>
      <c r="AM141" s="418">
        <f t="shared" si="285"/>
        <v>0</v>
      </c>
      <c r="AN141" s="418">
        <f t="shared" si="286"/>
        <v>0</v>
      </c>
      <c r="AO141" s="418">
        <f t="shared" si="287"/>
        <v>0</v>
      </c>
      <c r="AP141" s="418">
        <f t="shared" si="287"/>
        <v>0</v>
      </c>
      <c r="AQ141" s="418">
        <f t="shared" si="288"/>
        <v>0</v>
      </c>
      <c r="AR141" s="68">
        <f t="shared" si="289"/>
        <v>0</v>
      </c>
      <c r="AS141" s="68">
        <f t="shared" si="290"/>
        <v>0</v>
      </c>
      <c r="AT141" s="418">
        <v>0</v>
      </c>
      <c r="AU141" s="418">
        <v>0</v>
      </c>
      <c r="AV141" s="418">
        <f t="shared" si="291"/>
        <v>0</v>
      </c>
      <c r="AW141" s="418">
        <f t="shared" si="292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293"/>
        <v>0</v>
      </c>
      <c r="BG141" s="419">
        <f t="shared" si="294"/>
        <v>0</v>
      </c>
      <c r="BH141" s="421">
        <f t="shared" si="295"/>
        <v>0</v>
      </c>
      <c r="BI141" s="780">
        <f t="shared" si="296"/>
        <v>194388</v>
      </c>
      <c r="BJ141" s="418">
        <f t="shared" si="297"/>
        <v>144205</v>
      </c>
      <c r="BK141" s="418">
        <f t="shared" si="298"/>
        <v>144205</v>
      </c>
      <c r="BL141" s="418">
        <f t="shared" si="298"/>
        <v>0</v>
      </c>
      <c r="BM141" s="418">
        <f t="shared" si="299"/>
        <v>0</v>
      </c>
      <c r="BN141" s="418">
        <f t="shared" si="300"/>
        <v>0</v>
      </c>
      <c r="BO141" s="418">
        <f t="shared" si="300"/>
        <v>0</v>
      </c>
      <c r="BP141" s="418">
        <f t="shared" si="301"/>
        <v>48741</v>
      </c>
      <c r="BQ141" s="418">
        <f t="shared" si="301"/>
        <v>1442</v>
      </c>
      <c r="BR141" s="418">
        <f t="shared" si="302"/>
        <v>0</v>
      </c>
      <c r="BS141" s="419">
        <f t="shared" si="303"/>
        <v>0.39</v>
      </c>
      <c r="BT141" s="419">
        <f t="shared" si="304"/>
        <v>0.39</v>
      </c>
      <c r="BU141" s="421">
        <f t="shared" si="304"/>
        <v>0</v>
      </c>
      <c r="BV141" s="854"/>
      <c r="BW141" s="723"/>
      <c r="BX141" s="723"/>
      <c r="BY141" s="723"/>
      <c r="BZ141" s="723"/>
      <c r="CA141" s="855"/>
    </row>
    <row r="142" spans="1:79" ht="12.95" customHeight="1" x14ac:dyDescent="0.25">
      <c r="A142" s="280">
        <v>28</v>
      </c>
      <c r="B142" s="212">
        <v>2303</v>
      </c>
      <c r="C142" s="212">
        <v>600080048</v>
      </c>
      <c r="D142" s="281">
        <v>72743689</v>
      </c>
      <c r="E142" s="372" t="s">
        <v>503</v>
      </c>
      <c r="F142" s="212">
        <v>3141</v>
      </c>
      <c r="G142" s="373" t="s">
        <v>294</v>
      </c>
      <c r="H142" s="285" t="s">
        <v>272</v>
      </c>
      <c r="I142" s="420">
        <v>728103</v>
      </c>
      <c r="J142" s="415">
        <v>528003</v>
      </c>
      <c r="K142" s="415">
        <v>0</v>
      </c>
      <c r="L142" s="415">
        <v>528003</v>
      </c>
      <c r="M142" s="415">
        <v>10000</v>
      </c>
      <c r="N142" s="415">
        <v>0</v>
      </c>
      <c r="O142" s="415">
        <v>10000</v>
      </c>
      <c r="P142" s="68">
        <v>181845</v>
      </c>
      <c r="Q142" s="68">
        <v>5280</v>
      </c>
      <c r="R142" s="415">
        <v>2975</v>
      </c>
      <c r="S142" s="416">
        <v>1.5832999999999999</v>
      </c>
      <c r="T142" s="416">
        <v>0</v>
      </c>
      <c r="U142" s="423">
        <v>1.5832999999999999</v>
      </c>
      <c r="V142" s="424">
        <f t="shared" si="280"/>
        <v>0</v>
      </c>
      <c r="W142" s="418">
        <f t="shared" si="280"/>
        <v>0</v>
      </c>
      <c r="X142" s="418">
        <v>0</v>
      </c>
      <c r="Y142" s="418">
        <v>0</v>
      </c>
      <c r="Z142" s="418">
        <v>0</v>
      </c>
      <c r="AA142" s="418">
        <v>270592</v>
      </c>
      <c r="AB142" s="418">
        <v>0</v>
      </c>
      <c r="AC142" s="418">
        <v>0</v>
      </c>
      <c r="AD142" s="418">
        <f t="shared" si="281"/>
        <v>0</v>
      </c>
      <c r="AE142" s="418">
        <f t="shared" si="282"/>
        <v>270592</v>
      </c>
      <c r="AF142" s="418">
        <f t="shared" si="283"/>
        <v>270592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284"/>
        <v>0</v>
      </c>
      <c r="AM142" s="418">
        <f t="shared" si="285"/>
        <v>0</v>
      </c>
      <c r="AN142" s="418">
        <f t="shared" si="286"/>
        <v>0</v>
      </c>
      <c r="AO142" s="418">
        <f t="shared" si="287"/>
        <v>0</v>
      </c>
      <c r="AP142" s="418">
        <f t="shared" si="287"/>
        <v>270592</v>
      </c>
      <c r="AQ142" s="418">
        <f t="shared" si="288"/>
        <v>270592</v>
      </c>
      <c r="AR142" s="68">
        <f t="shared" si="289"/>
        <v>91460</v>
      </c>
      <c r="AS142" s="68">
        <f t="shared" si="290"/>
        <v>2706</v>
      </c>
      <c r="AT142" s="418">
        <v>0</v>
      </c>
      <c r="AU142" s="418">
        <v>1445</v>
      </c>
      <c r="AV142" s="418">
        <f t="shared" si="291"/>
        <v>1445</v>
      </c>
      <c r="AW142" s="418">
        <f t="shared" si="292"/>
        <v>366203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0.81</v>
      </c>
      <c r="BC142" s="419">
        <v>0</v>
      </c>
      <c r="BD142" s="419">
        <v>0</v>
      </c>
      <c r="BE142" s="419">
        <v>0</v>
      </c>
      <c r="BF142" s="419">
        <f t="shared" si="293"/>
        <v>0</v>
      </c>
      <c r="BG142" s="419">
        <f t="shared" si="294"/>
        <v>0.81</v>
      </c>
      <c r="BH142" s="421">
        <f t="shared" si="295"/>
        <v>0.81</v>
      </c>
      <c r="BI142" s="780">
        <f t="shared" si="296"/>
        <v>1094306</v>
      </c>
      <c r="BJ142" s="418">
        <f t="shared" si="297"/>
        <v>798595</v>
      </c>
      <c r="BK142" s="418">
        <f t="shared" si="298"/>
        <v>0</v>
      </c>
      <c r="BL142" s="418">
        <f t="shared" si="298"/>
        <v>798595</v>
      </c>
      <c r="BM142" s="418">
        <f t="shared" si="299"/>
        <v>10000</v>
      </c>
      <c r="BN142" s="418">
        <f t="shared" si="300"/>
        <v>0</v>
      </c>
      <c r="BO142" s="418">
        <f t="shared" si="300"/>
        <v>10000</v>
      </c>
      <c r="BP142" s="418">
        <f t="shared" si="301"/>
        <v>273305</v>
      </c>
      <c r="BQ142" s="418">
        <f t="shared" si="301"/>
        <v>7986</v>
      </c>
      <c r="BR142" s="418">
        <f t="shared" si="302"/>
        <v>4420</v>
      </c>
      <c r="BS142" s="419">
        <f t="shared" si="303"/>
        <v>2.3933</v>
      </c>
      <c r="BT142" s="419">
        <f t="shared" si="304"/>
        <v>0</v>
      </c>
      <c r="BU142" s="421">
        <f t="shared" si="304"/>
        <v>2.3933</v>
      </c>
      <c r="BV142" s="854"/>
      <c r="BW142" s="723"/>
      <c r="BX142" s="723"/>
      <c r="BY142" s="723"/>
      <c r="BZ142" s="723"/>
      <c r="CA142" s="855"/>
    </row>
    <row r="143" spans="1:79" ht="12.95" customHeight="1" x14ac:dyDescent="0.25">
      <c r="A143" s="280">
        <v>28</v>
      </c>
      <c r="B143" s="212">
        <v>2303</v>
      </c>
      <c r="C143" s="212">
        <v>600080048</v>
      </c>
      <c r="D143" s="281">
        <v>72743689</v>
      </c>
      <c r="E143" s="371" t="s">
        <v>503</v>
      </c>
      <c r="F143" s="382">
        <v>3143</v>
      </c>
      <c r="G143" s="323" t="s">
        <v>595</v>
      </c>
      <c r="H143" s="285" t="s">
        <v>271</v>
      </c>
      <c r="I143" s="420">
        <v>939592</v>
      </c>
      <c r="J143" s="415">
        <v>697027</v>
      </c>
      <c r="K143" s="415">
        <v>697027</v>
      </c>
      <c r="L143" s="415">
        <v>0</v>
      </c>
      <c r="M143" s="415">
        <v>0</v>
      </c>
      <c r="N143" s="415">
        <v>0</v>
      </c>
      <c r="O143" s="415">
        <v>0</v>
      </c>
      <c r="P143" s="68">
        <v>235595</v>
      </c>
      <c r="Q143" s="68">
        <v>6970</v>
      </c>
      <c r="R143" s="415">
        <v>0</v>
      </c>
      <c r="S143" s="416">
        <v>1.4</v>
      </c>
      <c r="T143" s="416">
        <v>1.4</v>
      </c>
      <c r="U143" s="423">
        <v>0</v>
      </c>
      <c r="V143" s="424">
        <f t="shared" si="280"/>
        <v>0</v>
      </c>
      <c r="W143" s="418">
        <f t="shared" si="280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281"/>
        <v>0</v>
      </c>
      <c r="AE143" s="418">
        <f t="shared" si="282"/>
        <v>0</v>
      </c>
      <c r="AF143" s="418">
        <f t="shared" si="283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84"/>
        <v>0</v>
      </c>
      <c r="AM143" s="418">
        <f t="shared" si="285"/>
        <v>0</v>
      </c>
      <c r="AN143" s="418">
        <f t="shared" si="286"/>
        <v>0</v>
      </c>
      <c r="AO143" s="418">
        <f t="shared" si="287"/>
        <v>0</v>
      </c>
      <c r="AP143" s="418">
        <f t="shared" si="287"/>
        <v>0</v>
      </c>
      <c r="AQ143" s="418">
        <f t="shared" si="288"/>
        <v>0</v>
      </c>
      <c r="AR143" s="68">
        <f t="shared" si="289"/>
        <v>0</v>
      </c>
      <c r="AS143" s="68">
        <f t="shared" si="290"/>
        <v>0</v>
      </c>
      <c r="AT143" s="418">
        <v>0</v>
      </c>
      <c r="AU143" s="418">
        <v>0</v>
      </c>
      <c r="AV143" s="418">
        <f t="shared" si="291"/>
        <v>0</v>
      </c>
      <c r="AW143" s="418">
        <f t="shared" si="292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</v>
      </c>
      <c r="BC143" s="419">
        <v>0</v>
      </c>
      <c r="BD143" s="419">
        <v>0</v>
      </c>
      <c r="BE143" s="419">
        <v>0</v>
      </c>
      <c r="BF143" s="419">
        <f t="shared" si="293"/>
        <v>0</v>
      </c>
      <c r="BG143" s="419">
        <f t="shared" si="294"/>
        <v>0</v>
      </c>
      <c r="BH143" s="421">
        <f t="shared" si="295"/>
        <v>0</v>
      </c>
      <c r="BI143" s="780">
        <f t="shared" si="296"/>
        <v>939592</v>
      </c>
      <c r="BJ143" s="418">
        <f t="shared" si="297"/>
        <v>697027</v>
      </c>
      <c r="BK143" s="418">
        <f t="shared" si="298"/>
        <v>697027</v>
      </c>
      <c r="BL143" s="418">
        <f t="shared" si="298"/>
        <v>0</v>
      </c>
      <c r="BM143" s="418">
        <f t="shared" si="299"/>
        <v>0</v>
      </c>
      <c r="BN143" s="418">
        <f t="shared" si="300"/>
        <v>0</v>
      </c>
      <c r="BO143" s="418">
        <f t="shared" si="300"/>
        <v>0</v>
      </c>
      <c r="BP143" s="418">
        <f t="shared" si="301"/>
        <v>235595</v>
      </c>
      <c r="BQ143" s="418">
        <f t="shared" si="301"/>
        <v>6970</v>
      </c>
      <c r="BR143" s="418">
        <f t="shared" si="302"/>
        <v>0</v>
      </c>
      <c r="BS143" s="419">
        <f t="shared" si="303"/>
        <v>1.4</v>
      </c>
      <c r="BT143" s="419">
        <f t="shared" si="304"/>
        <v>1.4</v>
      </c>
      <c r="BU143" s="421">
        <f t="shared" si="304"/>
        <v>0</v>
      </c>
      <c r="BV143" s="854"/>
      <c r="BW143" s="723"/>
      <c r="BX143" s="723"/>
      <c r="BY143" s="723"/>
      <c r="BZ143" s="723"/>
      <c r="CA143" s="855"/>
    </row>
    <row r="144" spans="1:79" ht="12.95" customHeight="1" x14ac:dyDescent="0.25">
      <c r="A144" s="280">
        <v>28</v>
      </c>
      <c r="B144" s="212">
        <v>2303</v>
      </c>
      <c r="C144" s="212">
        <v>600080048</v>
      </c>
      <c r="D144" s="281">
        <v>72743689</v>
      </c>
      <c r="E144" s="371" t="s">
        <v>503</v>
      </c>
      <c r="F144" s="382">
        <v>3143</v>
      </c>
      <c r="G144" s="323" t="s">
        <v>596</v>
      </c>
      <c r="H144" s="285" t="s">
        <v>272</v>
      </c>
      <c r="I144" s="420">
        <v>15380</v>
      </c>
      <c r="J144" s="415">
        <v>11009</v>
      </c>
      <c r="K144" s="415">
        <v>0</v>
      </c>
      <c r="L144" s="415">
        <v>11009</v>
      </c>
      <c r="M144" s="415">
        <v>0</v>
      </c>
      <c r="N144" s="415">
        <v>0</v>
      </c>
      <c r="O144" s="415">
        <v>0</v>
      </c>
      <c r="P144" s="68">
        <v>3721</v>
      </c>
      <c r="Q144" s="68">
        <v>110</v>
      </c>
      <c r="R144" s="415">
        <v>540</v>
      </c>
      <c r="S144" s="416">
        <v>4.1700000000000001E-2</v>
      </c>
      <c r="T144" s="416">
        <v>0</v>
      </c>
      <c r="U144" s="423">
        <v>4.1700000000000001E-2</v>
      </c>
      <c r="V144" s="424">
        <f t="shared" si="280"/>
        <v>0</v>
      </c>
      <c r="W144" s="418">
        <f t="shared" si="280"/>
        <v>0</v>
      </c>
      <c r="X144" s="418">
        <v>0</v>
      </c>
      <c r="Y144" s="418">
        <v>0</v>
      </c>
      <c r="Z144" s="418">
        <v>0</v>
      </c>
      <c r="AA144" s="418">
        <v>5491</v>
      </c>
      <c r="AB144" s="418">
        <v>0</v>
      </c>
      <c r="AC144" s="418">
        <v>0</v>
      </c>
      <c r="AD144" s="418">
        <f t="shared" si="281"/>
        <v>0</v>
      </c>
      <c r="AE144" s="418">
        <f t="shared" si="282"/>
        <v>5491</v>
      </c>
      <c r="AF144" s="418">
        <f t="shared" si="283"/>
        <v>5491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284"/>
        <v>0</v>
      </c>
      <c r="AM144" s="418">
        <f t="shared" si="285"/>
        <v>0</v>
      </c>
      <c r="AN144" s="418">
        <f t="shared" si="286"/>
        <v>0</v>
      </c>
      <c r="AO144" s="418">
        <f t="shared" si="287"/>
        <v>0</v>
      </c>
      <c r="AP144" s="418">
        <f t="shared" si="287"/>
        <v>5491</v>
      </c>
      <c r="AQ144" s="418">
        <f t="shared" si="288"/>
        <v>5491</v>
      </c>
      <c r="AR144" s="68">
        <f t="shared" si="289"/>
        <v>1856</v>
      </c>
      <c r="AS144" s="68">
        <f t="shared" si="290"/>
        <v>55</v>
      </c>
      <c r="AT144" s="418">
        <v>0</v>
      </c>
      <c r="AU144" s="418">
        <v>270</v>
      </c>
      <c r="AV144" s="418">
        <f t="shared" si="291"/>
        <v>270</v>
      </c>
      <c r="AW144" s="418">
        <f t="shared" si="292"/>
        <v>7672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0.02</v>
      </c>
      <c r="BC144" s="419">
        <v>0</v>
      </c>
      <c r="BD144" s="419">
        <v>0</v>
      </c>
      <c r="BE144" s="419">
        <v>0</v>
      </c>
      <c r="BF144" s="419">
        <f t="shared" si="293"/>
        <v>0</v>
      </c>
      <c r="BG144" s="419">
        <f t="shared" si="294"/>
        <v>0.02</v>
      </c>
      <c r="BH144" s="421">
        <f t="shared" si="295"/>
        <v>0.02</v>
      </c>
      <c r="BI144" s="780">
        <f t="shared" si="296"/>
        <v>23052</v>
      </c>
      <c r="BJ144" s="418">
        <f t="shared" si="297"/>
        <v>16500</v>
      </c>
      <c r="BK144" s="418">
        <f t="shared" si="298"/>
        <v>0</v>
      </c>
      <c r="BL144" s="418">
        <f t="shared" si="298"/>
        <v>16500</v>
      </c>
      <c r="BM144" s="418">
        <f t="shared" si="299"/>
        <v>0</v>
      </c>
      <c r="BN144" s="418">
        <f t="shared" si="300"/>
        <v>0</v>
      </c>
      <c r="BO144" s="418">
        <f t="shared" si="300"/>
        <v>0</v>
      </c>
      <c r="BP144" s="418">
        <f t="shared" si="301"/>
        <v>5577</v>
      </c>
      <c r="BQ144" s="418">
        <f t="shared" si="301"/>
        <v>165</v>
      </c>
      <c r="BR144" s="418">
        <f t="shared" si="302"/>
        <v>810</v>
      </c>
      <c r="BS144" s="419">
        <f t="shared" si="303"/>
        <v>6.1700000000000005E-2</v>
      </c>
      <c r="BT144" s="419">
        <f t="shared" si="304"/>
        <v>0</v>
      </c>
      <c r="BU144" s="421">
        <f t="shared" si="304"/>
        <v>6.1700000000000005E-2</v>
      </c>
      <c r="BV144" s="854"/>
      <c r="BW144" s="723"/>
      <c r="BX144" s="723"/>
      <c r="BY144" s="723"/>
      <c r="BZ144" s="723"/>
      <c r="CA144" s="855"/>
    </row>
    <row r="145" spans="1:79" ht="12.95" customHeight="1" x14ac:dyDescent="0.25">
      <c r="A145" s="213">
        <v>28</v>
      </c>
      <c r="B145" s="45">
        <v>2303</v>
      </c>
      <c r="C145" s="45">
        <v>600080048</v>
      </c>
      <c r="D145" s="45">
        <v>72743689</v>
      </c>
      <c r="E145" s="383" t="s">
        <v>504</v>
      </c>
      <c r="F145" s="384"/>
      <c r="G145" s="383"/>
      <c r="H145" s="385"/>
      <c r="I145" s="488">
        <v>9117705</v>
      </c>
      <c r="J145" s="485">
        <v>6699240</v>
      </c>
      <c r="K145" s="485">
        <v>5600620</v>
      </c>
      <c r="L145" s="485">
        <v>1098620</v>
      </c>
      <c r="M145" s="485">
        <v>15000</v>
      </c>
      <c r="N145" s="485">
        <v>0</v>
      </c>
      <c r="O145" s="485">
        <v>15000</v>
      </c>
      <c r="P145" s="485">
        <v>2269413</v>
      </c>
      <c r="Q145" s="485">
        <v>66992</v>
      </c>
      <c r="R145" s="485">
        <v>67060</v>
      </c>
      <c r="S145" s="486">
        <v>12.9016</v>
      </c>
      <c r="T145" s="486">
        <v>9.5164000000000009</v>
      </c>
      <c r="U145" s="657">
        <v>3.3851999999999998</v>
      </c>
      <c r="V145" s="488">
        <f t="shared" ref="V145:CA145" si="305">SUM(V139:V144)</f>
        <v>0</v>
      </c>
      <c r="W145" s="485">
        <f t="shared" si="305"/>
        <v>0</v>
      </c>
      <c r="X145" s="485">
        <f t="shared" si="305"/>
        <v>0</v>
      </c>
      <c r="Y145" s="485">
        <f t="shared" si="305"/>
        <v>0</v>
      </c>
      <c r="Z145" s="485">
        <f t="shared" si="305"/>
        <v>0</v>
      </c>
      <c r="AA145" s="485">
        <f t="shared" si="305"/>
        <v>276083</v>
      </c>
      <c r="AB145" s="485">
        <f t="shared" si="305"/>
        <v>0</v>
      </c>
      <c r="AC145" s="485">
        <f t="shared" si="305"/>
        <v>0</v>
      </c>
      <c r="AD145" s="485">
        <f t="shared" si="305"/>
        <v>0</v>
      </c>
      <c r="AE145" s="485">
        <f t="shared" si="305"/>
        <v>276083</v>
      </c>
      <c r="AF145" s="485">
        <f t="shared" si="305"/>
        <v>276083</v>
      </c>
      <c r="AG145" s="485">
        <f t="shared" si="305"/>
        <v>0</v>
      </c>
      <c r="AH145" s="485">
        <f t="shared" si="305"/>
        <v>0</v>
      </c>
      <c r="AI145" s="485">
        <f t="shared" si="305"/>
        <v>0</v>
      </c>
      <c r="AJ145" s="485">
        <f t="shared" si="305"/>
        <v>0</v>
      </c>
      <c r="AK145" s="485">
        <f t="shared" si="305"/>
        <v>0</v>
      </c>
      <c r="AL145" s="485">
        <f t="shared" si="305"/>
        <v>0</v>
      </c>
      <c r="AM145" s="485">
        <f t="shared" si="305"/>
        <v>0</v>
      </c>
      <c r="AN145" s="485">
        <f t="shared" si="305"/>
        <v>0</v>
      </c>
      <c r="AO145" s="485">
        <f t="shared" si="305"/>
        <v>0</v>
      </c>
      <c r="AP145" s="485">
        <f t="shared" si="305"/>
        <v>276083</v>
      </c>
      <c r="AQ145" s="485">
        <f t="shared" si="305"/>
        <v>276083</v>
      </c>
      <c r="AR145" s="485">
        <f t="shared" si="305"/>
        <v>93316</v>
      </c>
      <c r="AS145" s="485">
        <f t="shared" si="305"/>
        <v>2761</v>
      </c>
      <c r="AT145" s="485">
        <f t="shared" si="305"/>
        <v>0</v>
      </c>
      <c r="AU145" s="485">
        <f t="shared" si="305"/>
        <v>1715</v>
      </c>
      <c r="AV145" s="485">
        <f t="shared" si="305"/>
        <v>1715</v>
      </c>
      <c r="AW145" s="485">
        <f t="shared" si="305"/>
        <v>373875</v>
      </c>
      <c r="AX145" s="486">
        <f t="shared" si="305"/>
        <v>0</v>
      </c>
      <c r="AY145" s="486">
        <f t="shared" si="305"/>
        <v>0</v>
      </c>
      <c r="AZ145" s="486">
        <f t="shared" si="305"/>
        <v>0</v>
      </c>
      <c r="BA145" s="486">
        <f t="shared" si="305"/>
        <v>0</v>
      </c>
      <c r="BB145" s="486">
        <f t="shared" ref="BB145" si="306">SUM(BB139:BB144)</f>
        <v>0.83000000000000007</v>
      </c>
      <c r="BC145" s="486">
        <f t="shared" si="305"/>
        <v>0</v>
      </c>
      <c r="BD145" s="486">
        <f t="shared" si="305"/>
        <v>0</v>
      </c>
      <c r="BE145" s="486">
        <f t="shared" ref="BE145" si="307">SUM(BE139:BE144)</f>
        <v>0</v>
      </c>
      <c r="BF145" s="486">
        <f t="shared" si="305"/>
        <v>0</v>
      </c>
      <c r="BG145" s="486">
        <f t="shared" si="305"/>
        <v>0.83000000000000007</v>
      </c>
      <c r="BH145" s="379">
        <f t="shared" si="305"/>
        <v>0.83000000000000007</v>
      </c>
      <c r="BI145" s="793">
        <f t="shared" si="305"/>
        <v>9491580</v>
      </c>
      <c r="BJ145" s="485">
        <f t="shared" si="305"/>
        <v>6975323</v>
      </c>
      <c r="BK145" s="485">
        <f t="shared" si="305"/>
        <v>5600620</v>
      </c>
      <c r="BL145" s="485">
        <f t="shared" si="305"/>
        <v>1374703</v>
      </c>
      <c r="BM145" s="485">
        <f t="shared" si="305"/>
        <v>15000</v>
      </c>
      <c r="BN145" s="485">
        <f t="shared" si="305"/>
        <v>0</v>
      </c>
      <c r="BO145" s="485">
        <f t="shared" si="305"/>
        <v>15000</v>
      </c>
      <c r="BP145" s="485">
        <f t="shared" si="305"/>
        <v>2362729</v>
      </c>
      <c r="BQ145" s="485">
        <f t="shared" si="305"/>
        <v>69753</v>
      </c>
      <c r="BR145" s="485">
        <f t="shared" si="305"/>
        <v>68775</v>
      </c>
      <c r="BS145" s="486">
        <f t="shared" si="305"/>
        <v>13.7316</v>
      </c>
      <c r="BT145" s="486">
        <f t="shared" si="305"/>
        <v>9.5164000000000009</v>
      </c>
      <c r="BU145" s="379">
        <f t="shared" si="305"/>
        <v>4.2151999999999994</v>
      </c>
      <c r="BV145" s="871">
        <f t="shared" si="305"/>
        <v>0</v>
      </c>
      <c r="BW145" s="734">
        <f t="shared" si="305"/>
        <v>0</v>
      </c>
      <c r="BX145" s="734">
        <f t="shared" si="305"/>
        <v>0</v>
      </c>
      <c r="BY145" s="734">
        <f t="shared" si="305"/>
        <v>0</v>
      </c>
      <c r="BZ145" s="734">
        <f t="shared" si="305"/>
        <v>0</v>
      </c>
      <c r="CA145" s="872">
        <f t="shared" si="305"/>
        <v>0</v>
      </c>
    </row>
    <row r="146" spans="1:79" ht="12.95" customHeight="1" x14ac:dyDescent="0.25">
      <c r="A146" s="280">
        <v>29</v>
      </c>
      <c r="B146" s="212">
        <v>5437</v>
      </c>
      <c r="C146" s="212">
        <v>600098931</v>
      </c>
      <c r="D146" s="281">
        <v>72742135</v>
      </c>
      <c r="E146" s="372" t="s">
        <v>505</v>
      </c>
      <c r="F146" s="212">
        <v>3111</v>
      </c>
      <c r="G146" s="373" t="s">
        <v>304</v>
      </c>
      <c r="H146" s="285" t="s">
        <v>271</v>
      </c>
      <c r="I146" s="420">
        <v>5205401</v>
      </c>
      <c r="J146" s="415">
        <v>3849887</v>
      </c>
      <c r="K146" s="415">
        <v>3517218</v>
      </c>
      <c r="L146" s="415">
        <v>332669</v>
      </c>
      <c r="M146" s="415">
        <v>0</v>
      </c>
      <c r="N146" s="415">
        <v>0</v>
      </c>
      <c r="O146" s="415">
        <v>0</v>
      </c>
      <c r="P146" s="68">
        <v>1301262</v>
      </c>
      <c r="Q146" s="68">
        <v>38499</v>
      </c>
      <c r="R146" s="415">
        <v>15753</v>
      </c>
      <c r="S146" s="416">
        <v>7.36</v>
      </c>
      <c r="T146" s="416">
        <v>6.24</v>
      </c>
      <c r="U146" s="423">
        <v>1.1200000000000001</v>
      </c>
      <c r="V146" s="424">
        <f>AG146*-1</f>
        <v>0</v>
      </c>
      <c r="W146" s="418">
        <f>AH146*-1</f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>V146+X146+Y146+Z146+AB146</f>
        <v>0</v>
      </c>
      <c r="AE146" s="418">
        <f>W146+AA146+AC146</f>
        <v>0</v>
      </c>
      <c r="AF146" s="418">
        <f>SUM(AD146:AE146)</f>
        <v>0</v>
      </c>
      <c r="AG146" s="418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>AG146+AI146+AJ146</f>
        <v>0</v>
      </c>
      <c r="AM146" s="418">
        <f>AH146+AK146</f>
        <v>0</v>
      </c>
      <c r="AN146" s="418">
        <f>SUM(AL146:AM146)</f>
        <v>0</v>
      </c>
      <c r="AO146" s="418">
        <f>AD146+AL146</f>
        <v>0</v>
      </c>
      <c r="AP146" s="418">
        <f>AE146+AM146</f>
        <v>0</v>
      </c>
      <c r="AQ146" s="418">
        <f>SUM(AO146:AP146)</f>
        <v>0</v>
      </c>
      <c r="AR146" s="68">
        <f>ROUND((AF146+AG146+AH146+AI146)*33.8%,0)</f>
        <v>0</v>
      </c>
      <c r="AS146" s="68">
        <f>ROUND(AF146*1%,0)</f>
        <v>0</v>
      </c>
      <c r="AT146" s="418">
        <v>0</v>
      </c>
      <c r="AU146" s="418">
        <v>0</v>
      </c>
      <c r="AV146" s="418">
        <f>AT146+AU146</f>
        <v>0</v>
      </c>
      <c r="AW146" s="418">
        <f>AQ146+AR146+AS146+AV146</f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>AX146+AZ146+BA146+BC146+BD146</f>
        <v>0</v>
      </c>
      <c r="BG146" s="419">
        <f>AY146+BB146+BE146</f>
        <v>0</v>
      </c>
      <c r="BH146" s="421">
        <f>SUM(BF146:BG146)</f>
        <v>0</v>
      </c>
      <c r="BI146" s="780">
        <f>I146+AW146</f>
        <v>5205401</v>
      </c>
      <c r="BJ146" s="418">
        <f>J146+AF146</f>
        <v>3849887</v>
      </c>
      <c r="BK146" s="418">
        <f>K146+AD146</f>
        <v>3517218</v>
      </c>
      <c r="BL146" s="418">
        <f>L146+AE146</f>
        <v>332669</v>
      </c>
      <c r="BM146" s="418">
        <f>M146+AN146</f>
        <v>0</v>
      </c>
      <c r="BN146" s="418">
        <f>N146+AL146</f>
        <v>0</v>
      </c>
      <c r="BO146" s="418">
        <f>O146+AM146</f>
        <v>0</v>
      </c>
      <c r="BP146" s="418">
        <f>P146+AR146</f>
        <v>1301262</v>
      </c>
      <c r="BQ146" s="418">
        <f>Q146+AS146</f>
        <v>38499</v>
      </c>
      <c r="BR146" s="418">
        <f>R146+AV146</f>
        <v>15753</v>
      </c>
      <c r="BS146" s="419">
        <f>S146+BH146</f>
        <v>7.36</v>
      </c>
      <c r="BT146" s="419">
        <f>T146+BF146</f>
        <v>6.24</v>
      </c>
      <c r="BU146" s="421">
        <f>U146+BG146</f>
        <v>1.1200000000000001</v>
      </c>
      <c r="BV146" s="854"/>
      <c r="BW146" s="723"/>
      <c r="BX146" s="723"/>
      <c r="BY146" s="723"/>
      <c r="BZ146" s="723"/>
      <c r="CA146" s="855"/>
    </row>
    <row r="147" spans="1:79" ht="12.95" customHeight="1" x14ac:dyDescent="0.25">
      <c r="A147" s="280">
        <v>29</v>
      </c>
      <c r="B147" s="212">
        <v>5437</v>
      </c>
      <c r="C147" s="212">
        <v>600098931</v>
      </c>
      <c r="D147" s="281">
        <v>72742135</v>
      </c>
      <c r="E147" s="372" t="s">
        <v>505</v>
      </c>
      <c r="F147" s="212">
        <v>3141</v>
      </c>
      <c r="G147" s="373" t="s">
        <v>294</v>
      </c>
      <c r="H147" s="285" t="s">
        <v>272</v>
      </c>
      <c r="I147" s="420">
        <v>888013</v>
      </c>
      <c r="J147" s="415">
        <v>655855</v>
      </c>
      <c r="K147" s="415">
        <v>0</v>
      </c>
      <c r="L147" s="415">
        <v>655855</v>
      </c>
      <c r="M147" s="415">
        <v>0</v>
      </c>
      <c r="N147" s="415">
        <v>0</v>
      </c>
      <c r="O147" s="415">
        <v>0</v>
      </c>
      <c r="P147" s="68">
        <v>221679</v>
      </c>
      <c r="Q147" s="68">
        <v>6559</v>
      </c>
      <c r="R147" s="415">
        <v>3920</v>
      </c>
      <c r="S147" s="416">
        <v>1.9666999999999999</v>
      </c>
      <c r="T147" s="416">
        <v>0</v>
      </c>
      <c r="U147" s="423">
        <v>1.9666999999999999</v>
      </c>
      <c r="V147" s="424">
        <f>AG147*-1</f>
        <v>0</v>
      </c>
      <c r="W147" s="418">
        <f>AH147*-1</f>
        <v>0</v>
      </c>
      <c r="X147" s="418">
        <v>0</v>
      </c>
      <c r="Y147" s="418">
        <v>0</v>
      </c>
      <c r="Z147" s="418">
        <v>0</v>
      </c>
      <c r="AA147" s="418">
        <v>329290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329290</v>
      </c>
      <c r="AF147" s="418">
        <f>SUM(AD147:AE147)</f>
        <v>329290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>AG147+AI147+AJ147</f>
        <v>0</v>
      </c>
      <c r="AM147" s="418">
        <f>AH147+AK147</f>
        <v>0</v>
      </c>
      <c r="AN147" s="418">
        <f>SUM(AL147:AM147)</f>
        <v>0</v>
      </c>
      <c r="AO147" s="418">
        <f>AD147+AL147</f>
        <v>0</v>
      </c>
      <c r="AP147" s="418">
        <f>AE147+AM147</f>
        <v>329290</v>
      </c>
      <c r="AQ147" s="418">
        <f>SUM(AO147:AP147)</f>
        <v>329290</v>
      </c>
      <c r="AR147" s="68">
        <f>ROUND((AF147+AG147+AH147+AI147)*33.8%,0)</f>
        <v>111300</v>
      </c>
      <c r="AS147" s="68">
        <f>ROUND(AF147*1%,0)</f>
        <v>3293</v>
      </c>
      <c r="AT147" s="418">
        <v>0</v>
      </c>
      <c r="AU147" s="418">
        <v>1904</v>
      </c>
      <c r="AV147" s="418">
        <f>AT147+AU147</f>
        <v>1904</v>
      </c>
      <c r="AW147" s="418">
        <f>AQ147+AR147+AS147+AV147</f>
        <v>445787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0.98</v>
      </c>
      <c r="BC147" s="419">
        <v>0</v>
      </c>
      <c r="BD147" s="419">
        <v>0</v>
      </c>
      <c r="BE147" s="419">
        <v>0</v>
      </c>
      <c r="BF147" s="419">
        <f>AX147+AZ147+BA147+BC147+BD147</f>
        <v>0</v>
      </c>
      <c r="BG147" s="419">
        <f>AY147+BB147+BE147</f>
        <v>0.98</v>
      </c>
      <c r="BH147" s="421">
        <f>SUM(BF147:BG147)</f>
        <v>0.98</v>
      </c>
      <c r="BI147" s="780">
        <f>I147+AW147</f>
        <v>1333800</v>
      </c>
      <c r="BJ147" s="418">
        <f>J147+AF147</f>
        <v>985145</v>
      </c>
      <c r="BK147" s="418">
        <f>K147+AD147</f>
        <v>0</v>
      </c>
      <c r="BL147" s="418">
        <f>L147+AE147</f>
        <v>985145</v>
      </c>
      <c r="BM147" s="418">
        <f>M147+AN147</f>
        <v>0</v>
      </c>
      <c r="BN147" s="418">
        <f>N147+AL147</f>
        <v>0</v>
      </c>
      <c r="BO147" s="418">
        <f>O147+AM147</f>
        <v>0</v>
      </c>
      <c r="BP147" s="418">
        <f>P147+AR147</f>
        <v>332979</v>
      </c>
      <c r="BQ147" s="418">
        <f>Q147+AS147</f>
        <v>9852</v>
      </c>
      <c r="BR147" s="418">
        <f>R147+AV147</f>
        <v>5824</v>
      </c>
      <c r="BS147" s="419">
        <f>S147+BH147</f>
        <v>2.9466999999999999</v>
      </c>
      <c r="BT147" s="419">
        <f>T147+BF147</f>
        <v>0</v>
      </c>
      <c r="BU147" s="421">
        <f>U147+BG147</f>
        <v>2.9466999999999999</v>
      </c>
      <c r="BV147" s="854"/>
      <c r="BW147" s="723"/>
      <c r="BX147" s="723"/>
      <c r="BY147" s="723"/>
      <c r="BZ147" s="723"/>
      <c r="CA147" s="855"/>
    </row>
    <row r="148" spans="1:79" ht="12.95" customHeight="1" x14ac:dyDescent="0.25">
      <c r="A148" s="213">
        <v>29</v>
      </c>
      <c r="B148" s="45">
        <v>5437</v>
      </c>
      <c r="C148" s="45">
        <v>600098931</v>
      </c>
      <c r="D148" s="45">
        <v>72742135</v>
      </c>
      <c r="E148" s="374" t="s">
        <v>506</v>
      </c>
      <c r="F148" s="45"/>
      <c r="G148" s="374"/>
      <c r="H148" s="182"/>
      <c r="I148" s="488">
        <v>6093414</v>
      </c>
      <c r="J148" s="485">
        <v>4505742</v>
      </c>
      <c r="K148" s="485">
        <v>3517218</v>
      </c>
      <c r="L148" s="485">
        <v>988524</v>
      </c>
      <c r="M148" s="485">
        <v>0</v>
      </c>
      <c r="N148" s="485">
        <v>0</v>
      </c>
      <c r="O148" s="485">
        <v>0</v>
      </c>
      <c r="P148" s="485">
        <v>1522941</v>
      </c>
      <c r="Q148" s="485">
        <v>45058</v>
      </c>
      <c r="R148" s="485">
        <v>19673</v>
      </c>
      <c r="S148" s="486">
        <v>9.3267000000000007</v>
      </c>
      <c r="T148" s="486">
        <v>6.24</v>
      </c>
      <c r="U148" s="657">
        <v>3.0867</v>
      </c>
      <c r="V148" s="488">
        <f t="shared" ref="V148:CA148" si="308">SUM(V146:V147)</f>
        <v>0</v>
      </c>
      <c r="W148" s="485">
        <f t="shared" si="308"/>
        <v>0</v>
      </c>
      <c r="X148" s="485">
        <f t="shared" si="308"/>
        <v>0</v>
      </c>
      <c r="Y148" s="485">
        <f t="shared" si="308"/>
        <v>0</v>
      </c>
      <c r="Z148" s="485">
        <f t="shared" si="308"/>
        <v>0</v>
      </c>
      <c r="AA148" s="485">
        <f t="shared" si="308"/>
        <v>329290</v>
      </c>
      <c r="AB148" s="485">
        <f t="shared" si="308"/>
        <v>0</v>
      </c>
      <c r="AC148" s="485">
        <f t="shared" si="308"/>
        <v>0</v>
      </c>
      <c r="AD148" s="485">
        <f t="shared" si="308"/>
        <v>0</v>
      </c>
      <c r="AE148" s="485">
        <f t="shared" si="308"/>
        <v>329290</v>
      </c>
      <c r="AF148" s="485">
        <f t="shared" si="308"/>
        <v>329290</v>
      </c>
      <c r="AG148" s="485">
        <f t="shared" si="308"/>
        <v>0</v>
      </c>
      <c r="AH148" s="485">
        <f t="shared" si="308"/>
        <v>0</v>
      </c>
      <c r="AI148" s="485">
        <f t="shared" si="308"/>
        <v>0</v>
      </c>
      <c r="AJ148" s="485">
        <f t="shared" si="308"/>
        <v>0</v>
      </c>
      <c r="AK148" s="485">
        <f t="shared" si="308"/>
        <v>0</v>
      </c>
      <c r="AL148" s="485">
        <f t="shared" si="308"/>
        <v>0</v>
      </c>
      <c r="AM148" s="485">
        <f t="shared" si="308"/>
        <v>0</v>
      </c>
      <c r="AN148" s="485">
        <f t="shared" si="308"/>
        <v>0</v>
      </c>
      <c r="AO148" s="485">
        <f t="shared" si="308"/>
        <v>0</v>
      </c>
      <c r="AP148" s="485">
        <f t="shared" si="308"/>
        <v>329290</v>
      </c>
      <c r="AQ148" s="485">
        <f t="shared" si="308"/>
        <v>329290</v>
      </c>
      <c r="AR148" s="485">
        <f t="shared" si="308"/>
        <v>111300</v>
      </c>
      <c r="AS148" s="485">
        <f t="shared" si="308"/>
        <v>3293</v>
      </c>
      <c r="AT148" s="485">
        <f t="shared" si="308"/>
        <v>0</v>
      </c>
      <c r="AU148" s="485">
        <f t="shared" si="308"/>
        <v>1904</v>
      </c>
      <c r="AV148" s="485">
        <f t="shared" si="308"/>
        <v>1904</v>
      </c>
      <c r="AW148" s="485">
        <f t="shared" si="308"/>
        <v>445787</v>
      </c>
      <c r="AX148" s="486">
        <f t="shared" si="308"/>
        <v>0</v>
      </c>
      <c r="AY148" s="486">
        <f t="shared" si="308"/>
        <v>0</v>
      </c>
      <c r="AZ148" s="486">
        <f t="shared" si="308"/>
        <v>0</v>
      </c>
      <c r="BA148" s="486">
        <f t="shared" si="308"/>
        <v>0</v>
      </c>
      <c r="BB148" s="486">
        <f t="shared" ref="BB148" si="309">SUM(BB146:BB147)</f>
        <v>0.98</v>
      </c>
      <c r="BC148" s="486">
        <f t="shared" si="308"/>
        <v>0</v>
      </c>
      <c r="BD148" s="486">
        <f t="shared" si="308"/>
        <v>0</v>
      </c>
      <c r="BE148" s="486">
        <f t="shared" ref="BE148" si="310">SUM(BE146:BE147)</f>
        <v>0</v>
      </c>
      <c r="BF148" s="486">
        <f t="shared" si="308"/>
        <v>0</v>
      </c>
      <c r="BG148" s="486">
        <f t="shared" si="308"/>
        <v>0.98</v>
      </c>
      <c r="BH148" s="379">
        <f t="shared" si="308"/>
        <v>0.98</v>
      </c>
      <c r="BI148" s="793">
        <f t="shared" si="308"/>
        <v>6539201</v>
      </c>
      <c r="BJ148" s="485">
        <f t="shared" si="308"/>
        <v>4835032</v>
      </c>
      <c r="BK148" s="485">
        <f t="shared" si="308"/>
        <v>3517218</v>
      </c>
      <c r="BL148" s="485">
        <f t="shared" si="308"/>
        <v>1317814</v>
      </c>
      <c r="BM148" s="485">
        <f t="shared" si="308"/>
        <v>0</v>
      </c>
      <c r="BN148" s="485">
        <f t="shared" si="308"/>
        <v>0</v>
      </c>
      <c r="BO148" s="485">
        <f t="shared" si="308"/>
        <v>0</v>
      </c>
      <c r="BP148" s="485">
        <f t="shared" si="308"/>
        <v>1634241</v>
      </c>
      <c r="BQ148" s="485">
        <f t="shared" si="308"/>
        <v>48351</v>
      </c>
      <c r="BR148" s="485">
        <f t="shared" si="308"/>
        <v>21577</v>
      </c>
      <c r="BS148" s="486">
        <f t="shared" si="308"/>
        <v>10.306699999999999</v>
      </c>
      <c r="BT148" s="486">
        <f t="shared" si="308"/>
        <v>6.24</v>
      </c>
      <c r="BU148" s="379">
        <f t="shared" si="308"/>
        <v>4.0667</v>
      </c>
      <c r="BV148" s="871">
        <f t="shared" si="308"/>
        <v>0</v>
      </c>
      <c r="BW148" s="734">
        <f t="shared" si="308"/>
        <v>0</v>
      </c>
      <c r="BX148" s="734">
        <f t="shared" si="308"/>
        <v>0</v>
      </c>
      <c r="BY148" s="734">
        <f t="shared" si="308"/>
        <v>0</v>
      </c>
      <c r="BZ148" s="734">
        <f t="shared" si="308"/>
        <v>0</v>
      </c>
      <c r="CA148" s="872">
        <f t="shared" si="308"/>
        <v>0</v>
      </c>
    </row>
    <row r="149" spans="1:79" ht="12.95" customHeight="1" x14ac:dyDescent="0.25">
      <c r="A149" s="280">
        <v>30</v>
      </c>
      <c r="B149" s="376">
        <v>5438</v>
      </c>
      <c r="C149" s="376">
        <v>600099032</v>
      </c>
      <c r="D149" s="281">
        <v>72742054</v>
      </c>
      <c r="E149" s="211" t="s">
        <v>507</v>
      </c>
      <c r="F149" s="212">
        <v>3117</v>
      </c>
      <c r="G149" s="372" t="s">
        <v>308</v>
      </c>
      <c r="H149" s="285" t="s">
        <v>271</v>
      </c>
      <c r="I149" s="420">
        <v>3942352</v>
      </c>
      <c r="J149" s="415">
        <v>2874035</v>
      </c>
      <c r="K149" s="415">
        <v>2534815</v>
      </c>
      <c r="L149" s="415">
        <v>339220</v>
      </c>
      <c r="M149" s="415">
        <v>0</v>
      </c>
      <c r="N149" s="415">
        <v>0</v>
      </c>
      <c r="O149" s="415">
        <v>0</v>
      </c>
      <c r="P149" s="68">
        <v>971424</v>
      </c>
      <c r="Q149" s="68">
        <v>28741</v>
      </c>
      <c r="R149" s="415">
        <v>68152</v>
      </c>
      <c r="S149" s="416">
        <v>4.7336999999999998</v>
      </c>
      <c r="T149" s="416">
        <v>3.8180000000000001</v>
      </c>
      <c r="U149" s="423">
        <v>0.91569999999999996</v>
      </c>
      <c r="V149" s="424">
        <f t="shared" ref="V149:W152" si="311">AG149*-1</f>
        <v>0</v>
      </c>
      <c r="W149" s="418">
        <f t="shared" si="311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>AG149+AI149+AJ149</f>
        <v>0</v>
      </c>
      <c r="AM149" s="418">
        <f>AH149+AK149</f>
        <v>0</v>
      </c>
      <c r="AN149" s="418">
        <f>SUM(AL149:AM149)</f>
        <v>0</v>
      </c>
      <c r="AO149" s="418">
        <f t="shared" ref="AO149:AP152" si="312">AD149+AL149</f>
        <v>0</v>
      </c>
      <c r="AP149" s="418">
        <f t="shared" si="312"/>
        <v>0</v>
      </c>
      <c r="AQ149" s="418">
        <f>SUM(AO149:AP149)</f>
        <v>0</v>
      </c>
      <c r="AR149" s="68">
        <f>ROUND((AF149+AG149+AH149+AI149)*33.8%,0)</f>
        <v>0</v>
      </c>
      <c r="AS149" s="68">
        <f>ROUND(AF149*1%,0)</f>
        <v>0</v>
      </c>
      <c r="AT149" s="418">
        <v>0</v>
      </c>
      <c r="AU149" s="418">
        <v>0</v>
      </c>
      <c r="AV149" s="418">
        <f>AT149+AU149</f>
        <v>0</v>
      </c>
      <c r="AW149" s="418">
        <f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>AX149+AZ149+BA149+BC149+BD149</f>
        <v>0</v>
      </c>
      <c r="BG149" s="419">
        <f>AY149+BB149+BE149</f>
        <v>0</v>
      </c>
      <c r="BH149" s="421">
        <f>SUM(BF149:BG149)</f>
        <v>0</v>
      </c>
      <c r="BI149" s="780">
        <f>I149+AW149</f>
        <v>3942352</v>
      </c>
      <c r="BJ149" s="418">
        <f>J149+AF149</f>
        <v>2874035</v>
      </c>
      <c r="BK149" s="418">
        <f t="shared" ref="BK149:BL152" si="313">K149+AD149</f>
        <v>2534815</v>
      </c>
      <c r="BL149" s="418">
        <f t="shared" si="313"/>
        <v>339220</v>
      </c>
      <c r="BM149" s="418">
        <f>M149+AN149</f>
        <v>0</v>
      </c>
      <c r="BN149" s="418">
        <f t="shared" ref="BN149:BO152" si="314">N149+AL149</f>
        <v>0</v>
      </c>
      <c r="BO149" s="418">
        <f t="shared" si="314"/>
        <v>0</v>
      </c>
      <c r="BP149" s="418">
        <f t="shared" ref="BP149:BQ152" si="315">P149+AR149</f>
        <v>971424</v>
      </c>
      <c r="BQ149" s="418">
        <f t="shared" si="315"/>
        <v>28741</v>
      </c>
      <c r="BR149" s="418">
        <f>R149+AV149</f>
        <v>68152</v>
      </c>
      <c r="BS149" s="419">
        <f>S149+BH149</f>
        <v>4.7336999999999998</v>
      </c>
      <c r="BT149" s="419">
        <f t="shared" ref="BT149:BU152" si="316">T149+BF149</f>
        <v>3.8180000000000001</v>
      </c>
      <c r="BU149" s="421">
        <f t="shared" si="316"/>
        <v>0.91569999999999996</v>
      </c>
      <c r="BV149" s="854"/>
      <c r="BW149" s="723"/>
      <c r="BX149" s="723"/>
      <c r="BY149" s="723"/>
      <c r="BZ149" s="723"/>
      <c r="CA149" s="855"/>
    </row>
    <row r="150" spans="1:79" ht="12.95" customHeight="1" x14ac:dyDescent="0.25">
      <c r="A150" s="280">
        <v>30</v>
      </c>
      <c r="B150" s="212">
        <v>5438</v>
      </c>
      <c r="C150" s="212">
        <v>600099032</v>
      </c>
      <c r="D150" s="281">
        <v>72742054</v>
      </c>
      <c r="E150" s="371" t="s">
        <v>507</v>
      </c>
      <c r="F150" s="212">
        <v>3117</v>
      </c>
      <c r="G150" s="323" t="s">
        <v>291</v>
      </c>
      <c r="H150" s="285" t="s">
        <v>272</v>
      </c>
      <c r="I150" s="420">
        <v>444307</v>
      </c>
      <c r="J150" s="415">
        <v>329605</v>
      </c>
      <c r="K150" s="415">
        <v>329605</v>
      </c>
      <c r="L150" s="415">
        <v>0</v>
      </c>
      <c r="M150" s="415">
        <v>0</v>
      </c>
      <c r="N150" s="415">
        <v>0</v>
      </c>
      <c r="O150" s="415">
        <v>0</v>
      </c>
      <c r="P150" s="68">
        <v>111406</v>
      </c>
      <c r="Q150" s="68">
        <v>3296</v>
      </c>
      <c r="R150" s="415">
        <v>0</v>
      </c>
      <c r="S150" s="416">
        <v>0.89</v>
      </c>
      <c r="T150" s="416">
        <v>0.89</v>
      </c>
      <c r="U150" s="423">
        <v>0</v>
      </c>
      <c r="V150" s="424">
        <f t="shared" si="311"/>
        <v>0</v>
      </c>
      <c r="W150" s="418">
        <f t="shared" si="311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>V150+X150+Y150+Z150+AB150</f>
        <v>0</v>
      </c>
      <c r="AE150" s="418">
        <f>W150+AA150+AC150</f>
        <v>0</v>
      </c>
      <c r="AF150" s="418">
        <f>SUM(AD150:AE150)</f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>AG150+AI150+AJ150</f>
        <v>0</v>
      </c>
      <c r="AM150" s="418">
        <f>AH150+AK150</f>
        <v>0</v>
      </c>
      <c r="AN150" s="418">
        <f>SUM(AL150:AM150)</f>
        <v>0</v>
      </c>
      <c r="AO150" s="418">
        <f t="shared" si="312"/>
        <v>0</v>
      </c>
      <c r="AP150" s="418">
        <f t="shared" si="312"/>
        <v>0</v>
      </c>
      <c r="AQ150" s="418">
        <f>SUM(AO150:AP150)</f>
        <v>0</v>
      </c>
      <c r="AR150" s="68">
        <f>ROUND((AF150+AG150+AH150+AI150)*33.8%,0)</f>
        <v>0</v>
      </c>
      <c r="AS150" s="68">
        <f>ROUND(AF150*1%,0)</f>
        <v>0</v>
      </c>
      <c r="AT150" s="418">
        <v>0</v>
      </c>
      <c r="AU150" s="418">
        <v>0</v>
      </c>
      <c r="AV150" s="418">
        <f>AT150+AU150</f>
        <v>0</v>
      </c>
      <c r="AW150" s="418">
        <f>AQ150+AR150+AS150+AV150</f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>AX150+AZ150+BA150+BC150+BD150</f>
        <v>0</v>
      </c>
      <c r="BG150" s="419">
        <f>AY150+BB150+BE150</f>
        <v>0</v>
      </c>
      <c r="BH150" s="421">
        <f>SUM(BF150:BG150)</f>
        <v>0</v>
      </c>
      <c r="BI150" s="780">
        <f>I150+AW150</f>
        <v>444307</v>
      </c>
      <c r="BJ150" s="418">
        <f>J150+AF150</f>
        <v>329605</v>
      </c>
      <c r="BK150" s="418">
        <f t="shared" si="313"/>
        <v>329605</v>
      </c>
      <c r="BL150" s="418">
        <f t="shared" si="313"/>
        <v>0</v>
      </c>
      <c r="BM150" s="418">
        <f>M150+AN150</f>
        <v>0</v>
      </c>
      <c r="BN150" s="418">
        <f t="shared" si="314"/>
        <v>0</v>
      </c>
      <c r="BO150" s="418">
        <f t="shared" si="314"/>
        <v>0</v>
      </c>
      <c r="BP150" s="418">
        <f t="shared" si="315"/>
        <v>111406</v>
      </c>
      <c r="BQ150" s="418">
        <f t="shared" si="315"/>
        <v>3296</v>
      </c>
      <c r="BR150" s="418">
        <f>R150+AV150</f>
        <v>0</v>
      </c>
      <c r="BS150" s="419">
        <f>S150+BH150</f>
        <v>0.89</v>
      </c>
      <c r="BT150" s="419">
        <f t="shared" si="316"/>
        <v>0.89</v>
      </c>
      <c r="BU150" s="421">
        <f t="shared" si="316"/>
        <v>0</v>
      </c>
      <c r="BV150" s="854"/>
      <c r="BW150" s="723"/>
      <c r="BX150" s="723"/>
      <c r="BY150" s="723"/>
      <c r="BZ150" s="723"/>
      <c r="CA150" s="855"/>
    </row>
    <row r="151" spans="1:79" ht="12.95" customHeight="1" x14ac:dyDescent="0.25">
      <c r="A151" s="280">
        <v>30</v>
      </c>
      <c r="B151" s="212">
        <v>5438</v>
      </c>
      <c r="C151" s="212">
        <v>600099032</v>
      </c>
      <c r="D151" s="281">
        <v>72742054</v>
      </c>
      <c r="E151" s="371" t="s">
        <v>507</v>
      </c>
      <c r="F151" s="382">
        <v>3143</v>
      </c>
      <c r="G151" s="323" t="s">
        <v>595</v>
      </c>
      <c r="H151" s="285" t="s">
        <v>271</v>
      </c>
      <c r="I151" s="420">
        <v>658662</v>
      </c>
      <c r="J151" s="415">
        <v>488622</v>
      </c>
      <c r="K151" s="415">
        <v>488622</v>
      </c>
      <c r="L151" s="415">
        <v>0</v>
      </c>
      <c r="M151" s="415">
        <v>0</v>
      </c>
      <c r="N151" s="415">
        <v>0</v>
      </c>
      <c r="O151" s="415">
        <v>0</v>
      </c>
      <c r="P151" s="68">
        <v>165154</v>
      </c>
      <c r="Q151" s="68">
        <v>4886</v>
      </c>
      <c r="R151" s="415">
        <v>0</v>
      </c>
      <c r="S151" s="416">
        <v>0.9919</v>
      </c>
      <c r="T151" s="416">
        <v>0.9919</v>
      </c>
      <c r="U151" s="423">
        <v>0</v>
      </c>
      <c r="V151" s="424">
        <f t="shared" si="311"/>
        <v>0</v>
      </c>
      <c r="W151" s="418">
        <f t="shared" si="311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>V151+X151+Y151+Z151+AB151</f>
        <v>0</v>
      </c>
      <c r="AE151" s="418">
        <f>W151+AA151+AC151</f>
        <v>0</v>
      </c>
      <c r="AF151" s="418">
        <f>SUM(AD151:AE151)</f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>AG151+AI151+AJ151</f>
        <v>0</v>
      </c>
      <c r="AM151" s="418">
        <f>AH151+AK151</f>
        <v>0</v>
      </c>
      <c r="AN151" s="418">
        <f>SUM(AL151:AM151)</f>
        <v>0</v>
      </c>
      <c r="AO151" s="418">
        <f t="shared" si="312"/>
        <v>0</v>
      </c>
      <c r="AP151" s="418">
        <f t="shared" si="312"/>
        <v>0</v>
      </c>
      <c r="AQ151" s="418">
        <f>SUM(AO151:AP151)</f>
        <v>0</v>
      </c>
      <c r="AR151" s="68">
        <f>ROUND((AF151+AG151+AH151+AI151)*33.8%,0)</f>
        <v>0</v>
      </c>
      <c r="AS151" s="68">
        <f>ROUND(AF151*1%,0)</f>
        <v>0</v>
      </c>
      <c r="AT151" s="418">
        <v>0</v>
      </c>
      <c r="AU151" s="418">
        <v>0</v>
      </c>
      <c r="AV151" s="418">
        <f>AT151+AU151</f>
        <v>0</v>
      </c>
      <c r="AW151" s="418">
        <f>AQ151+AR151+AS151+AV151</f>
        <v>0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</v>
      </c>
      <c r="BC151" s="419">
        <v>0</v>
      </c>
      <c r="BD151" s="419">
        <v>0</v>
      </c>
      <c r="BE151" s="419">
        <v>0</v>
      </c>
      <c r="BF151" s="419">
        <f>AX151+AZ151+BA151+BC151+BD151</f>
        <v>0</v>
      </c>
      <c r="BG151" s="419">
        <f>AY151+BB151+BE151</f>
        <v>0</v>
      </c>
      <c r="BH151" s="421">
        <f>SUM(BF151:BG151)</f>
        <v>0</v>
      </c>
      <c r="BI151" s="780">
        <f>I151+AW151</f>
        <v>658662</v>
      </c>
      <c r="BJ151" s="418">
        <f>J151+AF151</f>
        <v>488622</v>
      </c>
      <c r="BK151" s="418">
        <f t="shared" si="313"/>
        <v>488622</v>
      </c>
      <c r="BL151" s="418">
        <f t="shared" si="313"/>
        <v>0</v>
      </c>
      <c r="BM151" s="418">
        <f>M151+AN151</f>
        <v>0</v>
      </c>
      <c r="BN151" s="418">
        <f t="shared" si="314"/>
        <v>0</v>
      </c>
      <c r="BO151" s="418">
        <f t="shared" si="314"/>
        <v>0</v>
      </c>
      <c r="BP151" s="418">
        <f t="shared" si="315"/>
        <v>165154</v>
      </c>
      <c r="BQ151" s="418">
        <f t="shared" si="315"/>
        <v>4886</v>
      </c>
      <c r="BR151" s="418">
        <f>R151+AV151</f>
        <v>0</v>
      </c>
      <c r="BS151" s="419">
        <f>S151+BH151</f>
        <v>0.9919</v>
      </c>
      <c r="BT151" s="419">
        <f t="shared" si="316"/>
        <v>0.9919</v>
      </c>
      <c r="BU151" s="421">
        <f t="shared" si="316"/>
        <v>0</v>
      </c>
      <c r="BV151" s="854"/>
      <c r="BW151" s="723"/>
      <c r="BX151" s="723"/>
      <c r="BY151" s="723"/>
      <c r="BZ151" s="723"/>
      <c r="CA151" s="855"/>
    </row>
    <row r="152" spans="1:79" ht="12.95" customHeight="1" x14ac:dyDescent="0.25">
      <c r="A152" s="280">
        <v>30</v>
      </c>
      <c r="B152" s="212">
        <v>5438</v>
      </c>
      <c r="C152" s="212">
        <v>600099032</v>
      </c>
      <c r="D152" s="281">
        <v>72742054</v>
      </c>
      <c r="E152" s="371" t="s">
        <v>507</v>
      </c>
      <c r="F152" s="382">
        <v>3143</v>
      </c>
      <c r="G152" s="323" t="s">
        <v>596</v>
      </c>
      <c r="H152" s="285" t="s">
        <v>272</v>
      </c>
      <c r="I152" s="420">
        <v>12799</v>
      </c>
      <c r="J152" s="415">
        <v>9161</v>
      </c>
      <c r="K152" s="415">
        <v>0</v>
      </c>
      <c r="L152" s="415">
        <v>9161</v>
      </c>
      <c r="M152" s="415">
        <v>0</v>
      </c>
      <c r="N152" s="415">
        <v>0</v>
      </c>
      <c r="O152" s="415">
        <v>0</v>
      </c>
      <c r="P152" s="68">
        <v>3096</v>
      </c>
      <c r="Q152" s="68">
        <v>92</v>
      </c>
      <c r="R152" s="415">
        <v>450</v>
      </c>
      <c r="S152" s="416">
        <v>3.4700000000000002E-2</v>
      </c>
      <c r="T152" s="416">
        <v>0</v>
      </c>
      <c r="U152" s="423">
        <v>3.4700000000000002E-2</v>
      </c>
      <c r="V152" s="424">
        <f t="shared" si="311"/>
        <v>0</v>
      </c>
      <c r="W152" s="418">
        <f t="shared" si="311"/>
        <v>0</v>
      </c>
      <c r="X152" s="418">
        <v>0</v>
      </c>
      <c r="Y152" s="418">
        <v>0</v>
      </c>
      <c r="Z152" s="418">
        <v>0</v>
      </c>
      <c r="AA152" s="418">
        <v>4589</v>
      </c>
      <c r="AB152" s="418">
        <v>0</v>
      </c>
      <c r="AC152" s="418">
        <v>0</v>
      </c>
      <c r="AD152" s="418">
        <f>V152+X152+Y152+Z152+AB152</f>
        <v>0</v>
      </c>
      <c r="AE152" s="418">
        <f>W152+AA152+AC152</f>
        <v>4589</v>
      </c>
      <c r="AF152" s="418">
        <f>SUM(AD152:AE152)</f>
        <v>4589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>AG152+AI152+AJ152</f>
        <v>0</v>
      </c>
      <c r="AM152" s="418">
        <f>AH152+AK152</f>
        <v>0</v>
      </c>
      <c r="AN152" s="418">
        <f>SUM(AL152:AM152)</f>
        <v>0</v>
      </c>
      <c r="AO152" s="418">
        <f t="shared" si="312"/>
        <v>0</v>
      </c>
      <c r="AP152" s="418">
        <f t="shared" si="312"/>
        <v>4589</v>
      </c>
      <c r="AQ152" s="418">
        <f>SUM(AO152:AP152)</f>
        <v>4589</v>
      </c>
      <c r="AR152" s="68">
        <f>ROUND((AF152+AG152+AH152+AI152)*33.8%,0)</f>
        <v>1551</v>
      </c>
      <c r="AS152" s="68">
        <f>ROUND(AF152*1%,0)</f>
        <v>46</v>
      </c>
      <c r="AT152" s="418">
        <v>0</v>
      </c>
      <c r="AU152" s="418">
        <v>225</v>
      </c>
      <c r="AV152" s="418">
        <f>AT152+AU152</f>
        <v>225</v>
      </c>
      <c r="AW152" s="418">
        <f>AQ152+AR152+AS152+AV152</f>
        <v>6411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0.02</v>
      </c>
      <c r="BC152" s="419">
        <v>0</v>
      </c>
      <c r="BD152" s="419">
        <v>0</v>
      </c>
      <c r="BE152" s="419">
        <v>0</v>
      </c>
      <c r="BF152" s="419">
        <f>AX152+AZ152+BA152+BC152+BD152</f>
        <v>0</v>
      </c>
      <c r="BG152" s="419">
        <f>AY152+BB152+BE152</f>
        <v>0.02</v>
      </c>
      <c r="BH152" s="421">
        <f>SUM(BF152:BG152)</f>
        <v>0.02</v>
      </c>
      <c r="BI152" s="780">
        <f>I152+AW152</f>
        <v>19210</v>
      </c>
      <c r="BJ152" s="418">
        <f>J152+AF152</f>
        <v>13750</v>
      </c>
      <c r="BK152" s="418">
        <f t="shared" si="313"/>
        <v>0</v>
      </c>
      <c r="BL152" s="418">
        <f t="shared" si="313"/>
        <v>13750</v>
      </c>
      <c r="BM152" s="418">
        <f>M152+AN152</f>
        <v>0</v>
      </c>
      <c r="BN152" s="418">
        <f t="shared" si="314"/>
        <v>0</v>
      </c>
      <c r="BO152" s="418">
        <f t="shared" si="314"/>
        <v>0</v>
      </c>
      <c r="BP152" s="418">
        <f t="shared" si="315"/>
        <v>4647</v>
      </c>
      <c r="BQ152" s="418">
        <f t="shared" si="315"/>
        <v>138</v>
      </c>
      <c r="BR152" s="418">
        <f>R152+AV152</f>
        <v>675</v>
      </c>
      <c r="BS152" s="419">
        <f>S152+BH152</f>
        <v>5.4699999999999999E-2</v>
      </c>
      <c r="BT152" s="419">
        <f t="shared" si="316"/>
        <v>0</v>
      </c>
      <c r="BU152" s="421">
        <f t="shared" si="316"/>
        <v>5.4699999999999999E-2</v>
      </c>
      <c r="BV152" s="854"/>
      <c r="BW152" s="723"/>
      <c r="BX152" s="723"/>
      <c r="BY152" s="723"/>
      <c r="BZ152" s="723"/>
      <c r="CA152" s="855"/>
    </row>
    <row r="153" spans="1:79" ht="12.95" customHeight="1" x14ac:dyDescent="0.25">
      <c r="A153" s="213">
        <v>30</v>
      </c>
      <c r="B153" s="45">
        <v>5438</v>
      </c>
      <c r="C153" s="45">
        <v>600099032</v>
      </c>
      <c r="D153" s="45">
        <v>72742054</v>
      </c>
      <c r="E153" s="383" t="s">
        <v>508</v>
      </c>
      <c r="F153" s="384"/>
      <c r="G153" s="383"/>
      <c r="H153" s="385"/>
      <c r="I153" s="488">
        <v>5058120</v>
      </c>
      <c r="J153" s="485">
        <v>3701423</v>
      </c>
      <c r="K153" s="485">
        <v>3353042</v>
      </c>
      <c r="L153" s="485">
        <v>348381</v>
      </c>
      <c r="M153" s="485">
        <v>0</v>
      </c>
      <c r="N153" s="485">
        <v>0</v>
      </c>
      <c r="O153" s="485">
        <v>0</v>
      </c>
      <c r="P153" s="485">
        <v>1251080</v>
      </c>
      <c r="Q153" s="485">
        <v>37015</v>
      </c>
      <c r="R153" s="485">
        <v>68602</v>
      </c>
      <c r="S153" s="486">
        <v>6.6502999999999997</v>
      </c>
      <c r="T153" s="486">
        <v>5.6999000000000004</v>
      </c>
      <c r="U153" s="657">
        <v>0.95039999999999991</v>
      </c>
      <c r="V153" s="488">
        <f t="shared" ref="V153:CA153" si="317">SUM(V149:V152)</f>
        <v>0</v>
      </c>
      <c r="W153" s="485">
        <f t="shared" si="317"/>
        <v>0</v>
      </c>
      <c r="X153" s="485">
        <f t="shared" si="317"/>
        <v>0</v>
      </c>
      <c r="Y153" s="485">
        <f t="shared" si="317"/>
        <v>0</v>
      </c>
      <c r="Z153" s="485">
        <f t="shared" si="317"/>
        <v>0</v>
      </c>
      <c r="AA153" s="485">
        <f t="shared" si="317"/>
        <v>4589</v>
      </c>
      <c r="AB153" s="485">
        <f t="shared" si="317"/>
        <v>0</v>
      </c>
      <c r="AC153" s="485">
        <f t="shared" si="317"/>
        <v>0</v>
      </c>
      <c r="AD153" s="485">
        <f t="shared" si="317"/>
        <v>0</v>
      </c>
      <c r="AE153" s="485">
        <f t="shared" si="317"/>
        <v>4589</v>
      </c>
      <c r="AF153" s="485">
        <f t="shared" si="317"/>
        <v>4589</v>
      </c>
      <c r="AG153" s="485">
        <f t="shared" si="317"/>
        <v>0</v>
      </c>
      <c r="AH153" s="485">
        <f t="shared" si="317"/>
        <v>0</v>
      </c>
      <c r="AI153" s="485">
        <f t="shared" si="317"/>
        <v>0</v>
      </c>
      <c r="AJ153" s="485">
        <f t="shared" si="317"/>
        <v>0</v>
      </c>
      <c r="AK153" s="485">
        <f t="shared" si="317"/>
        <v>0</v>
      </c>
      <c r="AL153" s="485">
        <f t="shared" si="317"/>
        <v>0</v>
      </c>
      <c r="AM153" s="485">
        <f t="shared" si="317"/>
        <v>0</v>
      </c>
      <c r="AN153" s="485">
        <f t="shared" si="317"/>
        <v>0</v>
      </c>
      <c r="AO153" s="485">
        <f t="shared" si="317"/>
        <v>0</v>
      </c>
      <c r="AP153" s="485">
        <f t="shared" si="317"/>
        <v>4589</v>
      </c>
      <c r="AQ153" s="485">
        <f t="shared" si="317"/>
        <v>4589</v>
      </c>
      <c r="AR153" s="485">
        <f t="shared" si="317"/>
        <v>1551</v>
      </c>
      <c r="AS153" s="485">
        <f t="shared" si="317"/>
        <v>46</v>
      </c>
      <c r="AT153" s="485">
        <f t="shared" si="317"/>
        <v>0</v>
      </c>
      <c r="AU153" s="485">
        <f t="shared" si="317"/>
        <v>225</v>
      </c>
      <c r="AV153" s="485">
        <f t="shared" si="317"/>
        <v>225</v>
      </c>
      <c r="AW153" s="485">
        <f t="shared" si="317"/>
        <v>6411</v>
      </c>
      <c r="AX153" s="486">
        <f t="shared" si="317"/>
        <v>0</v>
      </c>
      <c r="AY153" s="486">
        <f t="shared" si="317"/>
        <v>0</v>
      </c>
      <c r="AZ153" s="486">
        <f t="shared" si="317"/>
        <v>0</v>
      </c>
      <c r="BA153" s="486">
        <f t="shared" si="317"/>
        <v>0</v>
      </c>
      <c r="BB153" s="486">
        <f t="shared" ref="BB153" si="318">SUM(BB149:BB152)</f>
        <v>0.02</v>
      </c>
      <c r="BC153" s="486">
        <f t="shared" si="317"/>
        <v>0</v>
      </c>
      <c r="BD153" s="486">
        <f t="shared" si="317"/>
        <v>0</v>
      </c>
      <c r="BE153" s="486">
        <f t="shared" ref="BE153" si="319">SUM(BE149:BE152)</f>
        <v>0</v>
      </c>
      <c r="BF153" s="486">
        <f t="shared" si="317"/>
        <v>0</v>
      </c>
      <c r="BG153" s="486">
        <f t="shared" si="317"/>
        <v>0.02</v>
      </c>
      <c r="BH153" s="379">
        <f t="shared" si="317"/>
        <v>0.02</v>
      </c>
      <c r="BI153" s="793">
        <f t="shared" si="317"/>
        <v>5064531</v>
      </c>
      <c r="BJ153" s="485">
        <f t="shared" si="317"/>
        <v>3706012</v>
      </c>
      <c r="BK153" s="485">
        <f t="shared" si="317"/>
        <v>3353042</v>
      </c>
      <c r="BL153" s="485">
        <f t="shared" si="317"/>
        <v>352970</v>
      </c>
      <c r="BM153" s="485">
        <f t="shared" si="317"/>
        <v>0</v>
      </c>
      <c r="BN153" s="485">
        <f t="shared" si="317"/>
        <v>0</v>
      </c>
      <c r="BO153" s="485">
        <f t="shared" si="317"/>
        <v>0</v>
      </c>
      <c r="BP153" s="485">
        <f t="shared" si="317"/>
        <v>1252631</v>
      </c>
      <c r="BQ153" s="485">
        <f t="shared" si="317"/>
        <v>37061</v>
      </c>
      <c r="BR153" s="485">
        <f t="shared" si="317"/>
        <v>68827</v>
      </c>
      <c r="BS153" s="486">
        <f t="shared" si="317"/>
        <v>6.6703000000000001</v>
      </c>
      <c r="BT153" s="486">
        <f t="shared" si="317"/>
        <v>5.6999000000000004</v>
      </c>
      <c r="BU153" s="379">
        <f t="shared" si="317"/>
        <v>0.97039999999999993</v>
      </c>
      <c r="BV153" s="871">
        <f t="shared" si="317"/>
        <v>0</v>
      </c>
      <c r="BW153" s="734">
        <f t="shared" si="317"/>
        <v>0</v>
      </c>
      <c r="BX153" s="734">
        <f t="shared" si="317"/>
        <v>0</v>
      </c>
      <c r="BY153" s="734">
        <f t="shared" si="317"/>
        <v>0</v>
      </c>
      <c r="BZ153" s="734">
        <f t="shared" si="317"/>
        <v>0</v>
      </c>
      <c r="CA153" s="872">
        <f t="shared" si="317"/>
        <v>0</v>
      </c>
    </row>
    <row r="154" spans="1:79" ht="12.95" customHeight="1" x14ac:dyDescent="0.25">
      <c r="A154" s="280">
        <v>31</v>
      </c>
      <c r="B154" s="212">
        <v>2441</v>
      </c>
      <c r="C154" s="212">
        <v>600079406</v>
      </c>
      <c r="D154" s="281">
        <v>70695920</v>
      </c>
      <c r="E154" s="372" t="s">
        <v>509</v>
      </c>
      <c r="F154" s="212">
        <v>3111</v>
      </c>
      <c r="G154" s="373" t="s">
        <v>304</v>
      </c>
      <c r="H154" s="285" t="s">
        <v>271</v>
      </c>
      <c r="I154" s="420">
        <v>3627092</v>
      </c>
      <c r="J154" s="415">
        <v>2681412</v>
      </c>
      <c r="K154" s="415">
        <v>2446292</v>
      </c>
      <c r="L154" s="415">
        <v>235120</v>
      </c>
      <c r="M154" s="415">
        <v>0</v>
      </c>
      <c r="N154" s="415">
        <v>0</v>
      </c>
      <c r="O154" s="415">
        <v>0</v>
      </c>
      <c r="P154" s="68">
        <v>906317</v>
      </c>
      <c r="Q154" s="68">
        <v>26814</v>
      </c>
      <c r="R154" s="415">
        <v>12549</v>
      </c>
      <c r="S154" s="416">
        <v>4.8001000000000005</v>
      </c>
      <c r="T154" s="416">
        <v>4</v>
      </c>
      <c r="U154" s="423">
        <v>0.80010000000000003</v>
      </c>
      <c r="V154" s="424">
        <f>AG154*-1</f>
        <v>0</v>
      </c>
      <c r="W154" s="418">
        <f>AH154*-1</f>
        <v>0</v>
      </c>
      <c r="X154" s="418">
        <v>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0</v>
      </c>
      <c r="AF154" s="418">
        <f>SUM(AD154:AE154)</f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>AG154+AI154+AJ154</f>
        <v>0</v>
      </c>
      <c r="AM154" s="418">
        <f>AH154+AK154</f>
        <v>0</v>
      </c>
      <c r="AN154" s="418">
        <f>SUM(AL154:AM154)</f>
        <v>0</v>
      </c>
      <c r="AO154" s="418">
        <f>AD154+AL154</f>
        <v>0</v>
      </c>
      <c r="AP154" s="418">
        <f>AE154+AM154</f>
        <v>0</v>
      </c>
      <c r="AQ154" s="418">
        <f>SUM(AO154:AP154)</f>
        <v>0</v>
      </c>
      <c r="AR154" s="68">
        <f>ROUND((AF154+AG154+AH154+AI154)*33.8%,0)</f>
        <v>0</v>
      </c>
      <c r="AS154" s="68">
        <f>ROUND(AF154*1%,0)</f>
        <v>0</v>
      </c>
      <c r="AT154" s="418">
        <v>0</v>
      </c>
      <c r="AU154" s="418">
        <v>0</v>
      </c>
      <c r="AV154" s="418">
        <f>AT154+AU154</f>
        <v>0</v>
      </c>
      <c r="AW154" s="418">
        <f>AQ154+AR154+AS154+AV154</f>
        <v>0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>AX154+AZ154+BA154+BC154+BD154</f>
        <v>0</v>
      </c>
      <c r="BG154" s="419">
        <f>AY154+BB154+BE154</f>
        <v>0</v>
      </c>
      <c r="BH154" s="421">
        <f>SUM(BF154:BG154)</f>
        <v>0</v>
      </c>
      <c r="BI154" s="780">
        <f>I154+AW154</f>
        <v>3627092</v>
      </c>
      <c r="BJ154" s="418">
        <f>J154+AF154</f>
        <v>2681412</v>
      </c>
      <c r="BK154" s="418">
        <f>K154+AD154</f>
        <v>2446292</v>
      </c>
      <c r="BL154" s="418">
        <f>L154+AE154</f>
        <v>235120</v>
      </c>
      <c r="BM154" s="418">
        <f>M154+AN154</f>
        <v>0</v>
      </c>
      <c r="BN154" s="418">
        <f>N154+AL154</f>
        <v>0</v>
      </c>
      <c r="BO154" s="418">
        <f>O154+AM154</f>
        <v>0</v>
      </c>
      <c r="BP154" s="418">
        <f>P154+AR154</f>
        <v>906317</v>
      </c>
      <c r="BQ154" s="418">
        <f>Q154+AS154</f>
        <v>26814</v>
      </c>
      <c r="BR154" s="418">
        <f>R154+AV154</f>
        <v>12549</v>
      </c>
      <c r="BS154" s="419">
        <f>S154+BH154</f>
        <v>4.8001000000000005</v>
      </c>
      <c r="BT154" s="419">
        <f>T154+BF154</f>
        <v>4</v>
      </c>
      <c r="BU154" s="421">
        <f>U154+BG154</f>
        <v>0.80010000000000003</v>
      </c>
      <c r="BV154" s="854"/>
      <c r="BW154" s="723"/>
      <c r="BX154" s="723"/>
      <c r="BY154" s="723"/>
      <c r="BZ154" s="723"/>
      <c r="CA154" s="855"/>
    </row>
    <row r="155" spans="1:79" ht="12.95" customHeight="1" x14ac:dyDescent="0.25">
      <c r="A155" s="280">
        <v>31</v>
      </c>
      <c r="B155" s="376">
        <v>2441</v>
      </c>
      <c r="C155" s="376">
        <v>600079406</v>
      </c>
      <c r="D155" s="281">
        <v>70695920</v>
      </c>
      <c r="E155" s="211" t="s">
        <v>509</v>
      </c>
      <c r="F155" s="212">
        <v>3141</v>
      </c>
      <c r="G155" s="373" t="s">
        <v>294</v>
      </c>
      <c r="H155" s="285" t="s">
        <v>272</v>
      </c>
      <c r="I155" s="420">
        <v>445197</v>
      </c>
      <c r="J155" s="415">
        <v>329045</v>
      </c>
      <c r="K155" s="415">
        <v>0</v>
      </c>
      <c r="L155" s="415">
        <v>329045</v>
      </c>
      <c r="M155" s="415">
        <v>0</v>
      </c>
      <c r="N155" s="415">
        <v>0</v>
      </c>
      <c r="O155" s="415">
        <v>0</v>
      </c>
      <c r="P155" s="68">
        <v>111217</v>
      </c>
      <c r="Q155" s="68">
        <v>3290</v>
      </c>
      <c r="R155" s="415">
        <v>1645</v>
      </c>
      <c r="S155" s="416">
        <v>0.98670000000000002</v>
      </c>
      <c r="T155" s="416">
        <v>0</v>
      </c>
      <c r="U155" s="423">
        <v>0.98670000000000002</v>
      </c>
      <c r="V155" s="424">
        <f>AG155*-1</f>
        <v>0</v>
      </c>
      <c r="W155" s="418">
        <f>AH155*-1</f>
        <v>0</v>
      </c>
      <c r="X155" s="418">
        <v>0</v>
      </c>
      <c r="Y155" s="418">
        <v>0</v>
      </c>
      <c r="Z155" s="418">
        <v>0</v>
      </c>
      <c r="AA155" s="418">
        <v>163841</v>
      </c>
      <c r="AB155" s="418">
        <v>0</v>
      </c>
      <c r="AC155" s="418">
        <v>0</v>
      </c>
      <c r="AD155" s="418">
        <f>V155+X155+Y155+Z155+AB155</f>
        <v>0</v>
      </c>
      <c r="AE155" s="418">
        <f>W155+AA155+AC155</f>
        <v>163841</v>
      </c>
      <c r="AF155" s="418">
        <f>SUM(AD155:AE155)</f>
        <v>163841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>AG155+AI155+AJ155</f>
        <v>0</v>
      </c>
      <c r="AM155" s="418">
        <f>AH155+AK155</f>
        <v>0</v>
      </c>
      <c r="AN155" s="418">
        <f>SUM(AL155:AM155)</f>
        <v>0</v>
      </c>
      <c r="AO155" s="418">
        <f>AD155+AL155</f>
        <v>0</v>
      </c>
      <c r="AP155" s="418">
        <f>AE155+AM155</f>
        <v>163841</v>
      </c>
      <c r="AQ155" s="418">
        <f>SUM(AO155:AP155)</f>
        <v>163841</v>
      </c>
      <c r="AR155" s="68">
        <f>ROUND((AF155+AG155+AH155+AI155)*33.8%,0)</f>
        <v>55378</v>
      </c>
      <c r="AS155" s="68">
        <f>ROUND(AF155*1%,0)</f>
        <v>1638</v>
      </c>
      <c r="AT155" s="418">
        <v>0</v>
      </c>
      <c r="AU155" s="418">
        <v>799</v>
      </c>
      <c r="AV155" s="418">
        <f>AT155+AU155</f>
        <v>799</v>
      </c>
      <c r="AW155" s="418">
        <f>AQ155+AR155+AS155+AV155</f>
        <v>221656</v>
      </c>
      <c r="AX155" s="419">
        <v>0</v>
      </c>
      <c r="AY155" s="419">
        <v>0</v>
      </c>
      <c r="AZ155" s="419">
        <v>0</v>
      </c>
      <c r="BA155" s="419">
        <v>0</v>
      </c>
      <c r="BB155" s="419">
        <v>0.49</v>
      </c>
      <c r="BC155" s="419">
        <v>0</v>
      </c>
      <c r="BD155" s="419">
        <v>0</v>
      </c>
      <c r="BE155" s="419">
        <v>0</v>
      </c>
      <c r="BF155" s="419">
        <f>AX155+AZ155+BA155+BC155+BD155</f>
        <v>0</v>
      </c>
      <c r="BG155" s="419">
        <f>AY155+BB155+BE155</f>
        <v>0.49</v>
      </c>
      <c r="BH155" s="421">
        <f>SUM(BF155:BG155)</f>
        <v>0.49</v>
      </c>
      <c r="BI155" s="780">
        <f>I155+AW155</f>
        <v>666853</v>
      </c>
      <c r="BJ155" s="418">
        <f>J155+AF155</f>
        <v>492886</v>
      </c>
      <c r="BK155" s="418">
        <f>K155+AD155</f>
        <v>0</v>
      </c>
      <c r="BL155" s="418">
        <f>L155+AE155</f>
        <v>492886</v>
      </c>
      <c r="BM155" s="418">
        <f>M155+AN155</f>
        <v>0</v>
      </c>
      <c r="BN155" s="418">
        <f>N155+AL155</f>
        <v>0</v>
      </c>
      <c r="BO155" s="418">
        <f>O155+AM155</f>
        <v>0</v>
      </c>
      <c r="BP155" s="418">
        <f>P155+AR155</f>
        <v>166595</v>
      </c>
      <c r="BQ155" s="418">
        <f>Q155+AS155</f>
        <v>4928</v>
      </c>
      <c r="BR155" s="418">
        <f>R155+AV155</f>
        <v>2444</v>
      </c>
      <c r="BS155" s="419">
        <f>S155+BH155</f>
        <v>1.4767000000000001</v>
      </c>
      <c r="BT155" s="419">
        <f>T155+BF155</f>
        <v>0</v>
      </c>
      <c r="BU155" s="421">
        <f>U155+BG155</f>
        <v>1.4767000000000001</v>
      </c>
      <c r="BV155" s="854"/>
      <c r="BW155" s="723"/>
      <c r="BX155" s="723"/>
      <c r="BY155" s="723"/>
      <c r="BZ155" s="723"/>
      <c r="CA155" s="855"/>
    </row>
    <row r="156" spans="1:79" ht="12.95" customHeight="1" x14ac:dyDescent="0.25">
      <c r="A156" s="213">
        <v>31</v>
      </c>
      <c r="B156" s="46">
        <v>2441</v>
      </c>
      <c r="C156" s="46">
        <v>600079406</v>
      </c>
      <c r="D156" s="46">
        <v>70695920</v>
      </c>
      <c r="E156" s="374" t="s">
        <v>510</v>
      </c>
      <c r="F156" s="48"/>
      <c r="G156" s="387"/>
      <c r="H156" s="185"/>
      <c r="I156" s="488">
        <v>4072289</v>
      </c>
      <c r="J156" s="485">
        <v>3010457</v>
      </c>
      <c r="K156" s="485">
        <v>2446292</v>
      </c>
      <c r="L156" s="485">
        <v>564165</v>
      </c>
      <c r="M156" s="485">
        <v>0</v>
      </c>
      <c r="N156" s="485">
        <v>0</v>
      </c>
      <c r="O156" s="485">
        <v>0</v>
      </c>
      <c r="P156" s="485">
        <v>1017534</v>
      </c>
      <c r="Q156" s="485">
        <v>30104</v>
      </c>
      <c r="R156" s="485">
        <v>14194</v>
      </c>
      <c r="S156" s="486">
        <v>5.7868000000000004</v>
      </c>
      <c r="T156" s="486">
        <v>4</v>
      </c>
      <c r="U156" s="657">
        <v>1.7867999999999999</v>
      </c>
      <c r="V156" s="488">
        <f t="shared" ref="V156:CA156" si="320">SUM(V154:V155)</f>
        <v>0</v>
      </c>
      <c r="W156" s="485">
        <f t="shared" si="320"/>
        <v>0</v>
      </c>
      <c r="X156" s="485">
        <f t="shared" si="320"/>
        <v>0</v>
      </c>
      <c r="Y156" s="485">
        <f t="shared" si="320"/>
        <v>0</v>
      </c>
      <c r="Z156" s="485">
        <f t="shared" si="320"/>
        <v>0</v>
      </c>
      <c r="AA156" s="485">
        <f t="shared" si="320"/>
        <v>163841</v>
      </c>
      <c r="AB156" s="485">
        <f t="shared" si="320"/>
        <v>0</v>
      </c>
      <c r="AC156" s="485">
        <f t="shared" si="320"/>
        <v>0</v>
      </c>
      <c r="AD156" s="485">
        <f t="shared" si="320"/>
        <v>0</v>
      </c>
      <c r="AE156" s="485">
        <f t="shared" si="320"/>
        <v>163841</v>
      </c>
      <c r="AF156" s="485">
        <f t="shared" si="320"/>
        <v>163841</v>
      </c>
      <c r="AG156" s="485">
        <f t="shared" si="320"/>
        <v>0</v>
      </c>
      <c r="AH156" s="485">
        <f t="shared" si="320"/>
        <v>0</v>
      </c>
      <c r="AI156" s="485">
        <f t="shared" si="320"/>
        <v>0</v>
      </c>
      <c r="AJ156" s="485">
        <f t="shared" si="320"/>
        <v>0</v>
      </c>
      <c r="AK156" s="485">
        <f t="shared" si="320"/>
        <v>0</v>
      </c>
      <c r="AL156" s="485">
        <f t="shared" si="320"/>
        <v>0</v>
      </c>
      <c r="AM156" s="485">
        <f t="shared" si="320"/>
        <v>0</v>
      </c>
      <c r="AN156" s="485">
        <f t="shared" si="320"/>
        <v>0</v>
      </c>
      <c r="AO156" s="485">
        <f t="shared" si="320"/>
        <v>0</v>
      </c>
      <c r="AP156" s="485">
        <f t="shared" si="320"/>
        <v>163841</v>
      </c>
      <c r="AQ156" s="485">
        <f t="shared" si="320"/>
        <v>163841</v>
      </c>
      <c r="AR156" s="485">
        <f t="shared" si="320"/>
        <v>55378</v>
      </c>
      <c r="AS156" s="485">
        <f t="shared" si="320"/>
        <v>1638</v>
      </c>
      <c r="AT156" s="485">
        <f t="shared" si="320"/>
        <v>0</v>
      </c>
      <c r="AU156" s="485">
        <f t="shared" si="320"/>
        <v>799</v>
      </c>
      <c r="AV156" s="485">
        <f t="shared" si="320"/>
        <v>799</v>
      </c>
      <c r="AW156" s="485">
        <f t="shared" si="320"/>
        <v>221656</v>
      </c>
      <c r="AX156" s="486">
        <f t="shared" si="320"/>
        <v>0</v>
      </c>
      <c r="AY156" s="486">
        <f t="shared" si="320"/>
        <v>0</v>
      </c>
      <c r="AZ156" s="486">
        <f t="shared" si="320"/>
        <v>0</v>
      </c>
      <c r="BA156" s="486">
        <f t="shared" si="320"/>
        <v>0</v>
      </c>
      <c r="BB156" s="486">
        <f t="shared" ref="BB156" si="321">SUM(BB154:BB155)</f>
        <v>0.49</v>
      </c>
      <c r="BC156" s="486">
        <f t="shared" si="320"/>
        <v>0</v>
      </c>
      <c r="BD156" s="486">
        <f t="shared" si="320"/>
        <v>0</v>
      </c>
      <c r="BE156" s="486">
        <f t="shared" ref="BE156" si="322">SUM(BE154:BE155)</f>
        <v>0</v>
      </c>
      <c r="BF156" s="486">
        <f t="shared" si="320"/>
        <v>0</v>
      </c>
      <c r="BG156" s="486">
        <f t="shared" si="320"/>
        <v>0.49</v>
      </c>
      <c r="BH156" s="379">
        <f t="shared" si="320"/>
        <v>0.49</v>
      </c>
      <c r="BI156" s="793">
        <f t="shared" si="320"/>
        <v>4293945</v>
      </c>
      <c r="BJ156" s="485">
        <f t="shared" si="320"/>
        <v>3174298</v>
      </c>
      <c r="BK156" s="485">
        <f t="shared" si="320"/>
        <v>2446292</v>
      </c>
      <c r="BL156" s="485">
        <f t="shared" si="320"/>
        <v>728006</v>
      </c>
      <c r="BM156" s="485">
        <f t="shared" si="320"/>
        <v>0</v>
      </c>
      <c r="BN156" s="485">
        <f t="shared" si="320"/>
        <v>0</v>
      </c>
      <c r="BO156" s="485">
        <f t="shared" si="320"/>
        <v>0</v>
      </c>
      <c r="BP156" s="485">
        <f t="shared" si="320"/>
        <v>1072912</v>
      </c>
      <c r="BQ156" s="485">
        <f t="shared" si="320"/>
        <v>31742</v>
      </c>
      <c r="BR156" s="485">
        <f t="shared" si="320"/>
        <v>14993</v>
      </c>
      <c r="BS156" s="486">
        <f t="shared" si="320"/>
        <v>6.2768000000000006</v>
      </c>
      <c r="BT156" s="486">
        <f t="shared" si="320"/>
        <v>4</v>
      </c>
      <c r="BU156" s="379">
        <f t="shared" si="320"/>
        <v>2.2768000000000002</v>
      </c>
      <c r="BV156" s="871">
        <f t="shared" si="320"/>
        <v>0</v>
      </c>
      <c r="BW156" s="734">
        <f t="shared" si="320"/>
        <v>0</v>
      </c>
      <c r="BX156" s="734">
        <f t="shared" si="320"/>
        <v>0</v>
      </c>
      <c r="BY156" s="734">
        <f t="shared" si="320"/>
        <v>0</v>
      </c>
      <c r="BZ156" s="734">
        <f t="shared" si="320"/>
        <v>0</v>
      </c>
      <c r="CA156" s="872">
        <f t="shared" si="320"/>
        <v>0</v>
      </c>
    </row>
    <row r="157" spans="1:79" ht="12.95" customHeight="1" x14ac:dyDescent="0.25">
      <c r="A157" s="280">
        <v>32</v>
      </c>
      <c r="B157" s="212">
        <v>2496</v>
      </c>
      <c r="C157" s="212">
        <v>600080251</v>
      </c>
      <c r="D157" s="281">
        <v>70695938</v>
      </c>
      <c r="E157" s="372" t="s">
        <v>511</v>
      </c>
      <c r="F157" s="212">
        <v>3117</v>
      </c>
      <c r="G157" s="372" t="s">
        <v>308</v>
      </c>
      <c r="H157" s="285" t="s">
        <v>271</v>
      </c>
      <c r="I157" s="420">
        <v>6150008</v>
      </c>
      <c r="J157" s="415">
        <v>4488289</v>
      </c>
      <c r="K157" s="415">
        <v>3997003</v>
      </c>
      <c r="L157" s="415">
        <v>491286</v>
      </c>
      <c r="M157" s="415">
        <v>0</v>
      </c>
      <c r="N157" s="415">
        <v>0</v>
      </c>
      <c r="O157" s="415">
        <v>0</v>
      </c>
      <c r="P157" s="68">
        <v>1517042</v>
      </c>
      <c r="Q157" s="68">
        <v>44883</v>
      </c>
      <c r="R157" s="415">
        <v>99794</v>
      </c>
      <c r="S157" s="416">
        <v>7.3098000000000001</v>
      </c>
      <c r="T157" s="416">
        <v>5.91</v>
      </c>
      <c r="U157" s="423">
        <v>1.3997999999999999</v>
      </c>
      <c r="V157" s="424">
        <f t="shared" ref="V157:W161" si="323">AG157*-1</f>
        <v>0</v>
      </c>
      <c r="W157" s="418">
        <f t="shared" si="323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ref="AO157:AP161" si="324">AD157+AL157</f>
        <v>0</v>
      </c>
      <c r="AP157" s="418">
        <f t="shared" si="324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421">
        <f>SUM(BF157:BG157)</f>
        <v>0</v>
      </c>
      <c r="BI157" s="780">
        <f>I157+AW157</f>
        <v>6150008</v>
      </c>
      <c r="BJ157" s="418">
        <f>J157+AF157</f>
        <v>4488289</v>
      </c>
      <c r="BK157" s="418">
        <f t="shared" ref="BK157:BL161" si="325">K157+AD157</f>
        <v>3997003</v>
      </c>
      <c r="BL157" s="418">
        <f t="shared" si="325"/>
        <v>491286</v>
      </c>
      <c r="BM157" s="418">
        <f>M157+AN157</f>
        <v>0</v>
      </c>
      <c r="BN157" s="418">
        <f t="shared" ref="BN157:BO161" si="326">N157+AL157</f>
        <v>0</v>
      </c>
      <c r="BO157" s="418">
        <f t="shared" si="326"/>
        <v>0</v>
      </c>
      <c r="BP157" s="418">
        <f t="shared" ref="BP157:BQ161" si="327">P157+AR157</f>
        <v>1517042</v>
      </c>
      <c r="BQ157" s="418">
        <f t="shared" si="327"/>
        <v>44883</v>
      </c>
      <c r="BR157" s="418">
        <f>R157+AV157</f>
        <v>99794</v>
      </c>
      <c r="BS157" s="419">
        <f>S157+BH157</f>
        <v>7.3098000000000001</v>
      </c>
      <c r="BT157" s="419">
        <f t="shared" ref="BT157:BU161" si="328">T157+BF157</f>
        <v>5.91</v>
      </c>
      <c r="BU157" s="421">
        <f t="shared" si="328"/>
        <v>1.3997999999999999</v>
      </c>
      <c r="BV157" s="854"/>
      <c r="BW157" s="723"/>
      <c r="BX157" s="723"/>
      <c r="BY157" s="723"/>
      <c r="BZ157" s="723"/>
      <c r="CA157" s="855"/>
    </row>
    <row r="158" spans="1:79" ht="12.95" customHeight="1" x14ac:dyDescent="0.25">
      <c r="A158" s="280">
        <v>32</v>
      </c>
      <c r="B158" s="212">
        <v>2496</v>
      </c>
      <c r="C158" s="212">
        <v>600080251</v>
      </c>
      <c r="D158" s="281">
        <v>70695938</v>
      </c>
      <c r="E158" s="372" t="s">
        <v>511</v>
      </c>
      <c r="F158" s="212">
        <v>3117</v>
      </c>
      <c r="G158" s="323" t="s">
        <v>291</v>
      </c>
      <c r="H158" s="285" t="s">
        <v>272</v>
      </c>
      <c r="I158" s="420">
        <v>124960</v>
      </c>
      <c r="J158" s="415">
        <v>92700</v>
      </c>
      <c r="K158" s="415">
        <v>92700</v>
      </c>
      <c r="L158" s="415">
        <v>0</v>
      </c>
      <c r="M158" s="415">
        <v>0</v>
      </c>
      <c r="N158" s="415">
        <v>0</v>
      </c>
      <c r="O158" s="415">
        <v>0</v>
      </c>
      <c r="P158" s="68">
        <v>31333</v>
      </c>
      <c r="Q158" s="68">
        <v>927</v>
      </c>
      <c r="R158" s="415">
        <v>0</v>
      </c>
      <c r="S158" s="416">
        <v>0.25</v>
      </c>
      <c r="T158" s="416">
        <v>0.25</v>
      </c>
      <c r="U158" s="423">
        <v>0</v>
      </c>
      <c r="V158" s="424">
        <f t="shared" si="323"/>
        <v>0</v>
      </c>
      <c r="W158" s="418">
        <f t="shared" si="323"/>
        <v>0</v>
      </c>
      <c r="X158" s="418">
        <v>0</v>
      </c>
      <c r="Y158" s="418">
        <v>0</v>
      </c>
      <c r="Z158" s="418">
        <v>0</v>
      </c>
      <c r="AA158" s="418">
        <v>0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0</v>
      </c>
      <c r="AF158" s="418">
        <f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324"/>
        <v>0</v>
      </c>
      <c r="AP158" s="418">
        <f t="shared" si="324"/>
        <v>0</v>
      </c>
      <c r="AQ158" s="418">
        <f>SUM(AO158:AP158)</f>
        <v>0</v>
      </c>
      <c r="AR158" s="68">
        <f>ROUND((AF158+AG158+AH158+AI158)*33.8%,0)</f>
        <v>0</v>
      </c>
      <c r="AS158" s="68">
        <f>ROUND(AF158*1%,0)</f>
        <v>0</v>
      </c>
      <c r="AT158" s="418">
        <v>0</v>
      </c>
      <c r="AU158" s="418">
        <v>0</v>
      </c>
      <c r="AV158" s="418">
        <f>AT158+AU158</f>
        <v>0</v>
      </c>
      <c r="AW158" s="418">
        <f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</v>
      </c>
      <c r="BH158" s="421">
        <f>SUM(BF158:BG158)</f>
        <v>0</v>
      </c>
      <c r="BI158" s="780">
        <f>I158+AW158</f>
        <v>124960</v>
      </c>
      <c r="BJ158" s="418">
        <f>J158+AF158</f>
        <v>92700</v>
      </c>
      <c r="BK158" s="418">
        <f t="shared" si="325"/>
        <v>92700</v>
      </c>
      <c r="BL158" s="418">
        <f t="shared" si="325"/>
        <v>0</v>
      </c>
      <c r="BM158" s="418">
        <f>M158+AN158</f>
        <v>0</v>
      </c>
      <c r="BN158" s="418">
        <f t="shared" si="326"/>
        <v>0</v>
      </c>
      <c r="BO158" s="418">
        <f t="shared" si="326"/>
        <v>0</v>
      </c>
      <c r="BP158" s="418">
        <f t="shared" si="327"/>
        <v>31333</v>
      </c>
      <c r="BQ158" s="418">
        <f t="shared" si="327"/>
        <v>927</v>
      </c>
      <c r="BR158" s="418">
        <f>R158+AV158</f>
        <v>0</v>
      </c>
      <c r="BS158" s="419">
        <f>S158+BH158</f>
        <v>0.25</v>
      </c>
      <c r="BT158" s="419">
        <f t="shared" si="328"/>
        <v>0.25</v>
      </c>
      <c r="BU158" s="421">
        <f t="shared" si="328"/>
        <v>0</v>
      </c>
      <c r="BV158" s="854"/>
      <c r="BW158" s="723"/>
      <c r="BX158" s="723"/>
      <c r="BY158" s="723"/>
      <c r="BZ158" s="723"/>
      <c r="CA158" s="855"/>
    </row>
    <row r="159" spans="1:79" ht="12.95" customHeight="1" x14ac:dyDescent="0.25">
      <c r="A159" s="280">
        <v>32</v>
      </c>
      <c r="B159" s="376">
        <v>2496</v>
      </c>
      <c r="C159" s="376">
        <v>600080251</v>
      </c>
      <c r="D159" s="281">
        <v>70695938</v>
      </c>
      <c r="E159" s="211" t="s">
        <v>511</v>
      </c>
      <c r="F159" s="212">
        <v>3141</v>
      </c>
      <c r="G159" s="373" t="s">
        <v>294</v>
      </c>
      <c r="H159" s="285" t="s">
        <v>272</v>
      </c>
      <c r="I159" s="420">
        <v>506310</v>
      </c>
      <c r="J159" s="415">
        <v>373498</v>
      </c>
      <c r="K159" s="415">
        <v>0</v>
      </c>
      <c r="L159" s="415">
        <v>373498</v>
      </c>
      <c r="M159" s="415">
        <v>0</v>
      </c>
      <c r="N159" s="415">
        <v>0</v>
      </c>
      <c r="O159" s="415">
        <v>0</v>
      </c>
      <c r="P159" s="68">
        <v>126242</v>
      </c>
      <c r="Q159" s="68">
        <v>3735</v>
      </c>
      <c r="R159" s="415">
        <v>2835</v>
      </c>
      <c r="S159" s="416">
        <v>1.1200000000000001</v>
      </c>
      <c r="T159" s="416">
        <v>0</v>
      </c>
      <c r="U159" s="423">
        <v>1.1200000000000001</v>
      </c>
      <c r="V159" s="424">
        <f t="shared" si="323"/>
        <v>0</v>
      </c>
      <c r="W159" s="418">
        <f t="shared" si="323"/>
        <v>0</v>
      </c>
      <c r="X159" s="418">
        <v>0</v>
      </c>
      <c r="Y159" s="418">
        <v>0</v>
      </c>
      <c r="Z159" s="418">
        <v>0</v>
      </c>
      <c r="AA159" s="418">
        <v>187874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187874</v>
      </c>
      <c r="AF159" s="418">
        <f>SUM(AD159:AE159)</f>
        <v>187874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>AG159+AI159+AJ159</f>
        <v>0</v>
      </c>
      <c r="AM159" s="418">
        <f>AH159+AK159</f>
        <v>0</v>
      </c>
      <c r="AN159" s="418">
        <f>SUM(AL159:AM159)</f>
        <v>0</v>
      </c>
      <c r="AO159" s="418">
        <f t="shared" si="324"/>
        <v>0</v>
      </c>
      <c r="AP159" s="418">
        <f t="shared" si="324"/>
        <v>187874</v>
      </c>
      <c r="AQ159" s="418">
        <f>SUM(AO159:AP159)</f>
        <v>187874</v>
      </c>
      <c r="AR159" s="68">
        <f>ROUND((AF159+AG159+AH159+AI159)*33.8%,0)</f>
        <v>63501</v>
      </c>
      <c r="AS159" s="68">
        <f>ROUND(AF159*1%,0)</f>
        <v>1879</v>
      </c>
      <c r="AT159" s="418">
        <v>0</v>
      </c>
      <c r="AU159" s="418">
        <v>1377</v>
      </c>
      <c r="AV159" s="418">
        <f>AT159+AU159</f>
        <v>1377</v>
      </c>
      <c r="AW159" s="418">
        <f>AQ159+AR159+AS159+AV159</f>
        <v>254631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0.56000000000000005</v>
      </c>
      <c r="BC159" s="419">
        <v>0</v>
      </c>
      <c r="BD159" s="419">
        <v>0</v>
      </c>
      <c r="BE159" s="419">
        <v>0</v>
      </c>
      <c r="BF159" s="419">
        <f>AX159+AZ159+BA159+BC159+BD159</f>
        <v>0</v>
      </c>
      <c r="BG159" s="419">
        <f>AY159+BB159+BE159</f>
        <v>0.56000000000000005</v>
      </c>
      <c r="BH159" s="421">
        <f>SUM(BF159:BG159)</f>
        <v>0.56000000000000005</v>
      </c>
      <c r="BI159" s="780">
        <f>I159+AW159</f>
        <v>760941</v>
      </c>
      <c r="BJ159" s="418">
        <f>J159+AF159</f>
        <v>561372</v>
      </c>
      <c r="BK159" s="418">
        <f t="shared" si="325"/>
        <v>0</v>
      </c>
      <c r="BL159" s="418">
        <f t="shared" si="325"/>
        <v>561372</v>
      </c>
      <c r="BM159" s="418">
        <f>M159+AN159</f>
        <v>0</v>
      </c>
      <c r="BN159" s="418">
        <f t="shared" si="326"/>
        <v>0</v>
      </c>
      <c r="BO159" s="418">
        <f t="shared" si="326"/>
        <v>0</v>
      </c>
      <c r="BP159" s="418">
        <f t="shared" si="327"/>
        <v>189743</v>
      </c>
      <c r="BQ159" s="418">
        <f t="shared" si="327"/>
        <v>5614</v>
      </c>
      <c r="BR159" s="418">
        <f>R159+AV159</f>
        <v>4212</v>
      </c>
      <c r="BS159" s="419">
        <f>S159+BH159</f>
        <v>1.6800000000000002</v>
      </c>
      <c r="BT159" s="419">
        <f t="shared" si="328"/>
        <v>0</v>
      </c>
      <c r="BU159" s="421">
        <f t="shared" si="328"/>
        <v>1.6800000000000002</v>
      </c>
      <c r="BV159" s="854"/>
      <c r="BW159" s="723"/>
      <c r="BX159" s="723"/>
      <c r="BY159" s="723"/>
      <c r="BZ159" s="723"/>
      <c r="CA159" s="855"/>
    </row>
    <row r="160" spans="1:79" ht="12.95" customHeight="1" x14ac:dyDescent="0.25">
      <c r="A160" s="280">
        <v>32</v>
      </c>
      <c r="B160" s="212">
        <v>2496</v>
      </c>
      <c r="C160" s="212">
        <v>600080251</v>
      </c>
      <c r="D160" s="281">
        <v>70695938</v>
      </c>
      <c r="E160" s="372" t="s">
        <v>511</v>
      </c>
      <c r="F160" s="212">
        <v>3143</v>
      </c>
      <c r="G160" s="323" t="s">
        <v>595</v>
      </c>
      <c r="H160" s="285" t="s">
        <v>271</v>
      </c>
      <c r="I160" s="420">
        <v>1306152</v>
      </c>
      <c r="J160" s="415">
        <v>964509</v>
      </c>
      <c r="K160" s="415">
        <v>964509</v>
      </c>
      <c r="L160" s="415">
        <v>0</v>
      </c>
      <c r="M160" s="415">
        <v>4480</v>
      </c>
      <c r="N160" s="415">
        <v>4480</v>
      </c>
      <c r="O160" s="415">
        <v>0</v>
      </c>
      <c r="P160" s="68">
        <v>327518</v>
      </c>
      <c r="Q160" s="68">
        <v>9645</v>
      </c>
      <c r="R160" s="415">
        <v>0</v>
      </c>
      <c r="S160" s="416">
        <v>1.79</v>
      </c>
      <c r="T160" s="416">
        <v>1.79</v>
      </c>
      <c r="U160" s="423">
        <v>0</v>
      </c>
      <c r="V160" s="424">
        <f t="shared" si="323"/>
        <v>0</v>
      </c>
      <c r="W160" s="418">
        <f t="shared" si="323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>SUM(AD160:AE160)</f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si="324"/>
        <v>0</v>
      </c>
      <c r="AP160" s="418">
        <f t="shared" si="324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8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</v>
      </c>
      <c r="BH160" s="421">
        <f>SUM(BF160:BG160)</f>
        <v>0</v>
      </c>
      <c r="BI160" s="780">
        <f>I160+AW160</f>
        <v>1306152</v>
      </c>
      <c r="BJ160" s="418">
        <f>J160+AF160</f>
        <v>964509</v>
      </c>
      <c r="BK160" s="418">
        <f t="shared" si="325"/>
        <v>964509</v>
      </c>
      <c r="BL160" s="418">
        <f t="shared" si="325"/>
        <v>0</v>
      </c>
      <c r="BM160" s="418">
        <f>M160+AN160</f>
        <v>4480</v>
      </c>
      <c r="BN160" s="418">
        <f t="shared" si="326"/>
        <v>4480</v>
      </c>
      <c r="BO160" s="418">
        <f t="shared" si="326"/>
        <v>0</v>
      </c>
      <c r="BP160" s="418">
        <f t="shared" si="327"/>
        <v>327518</v>
      </c>
      <c r="BQ160" s="418">
        <f t="shared" si="327"/>
        <v>9645</v>
      </c>
      <c r="BR160" s="418">
        <f>R160+AV160</f>
        <v>0</v>
      </c>
      <c r="BS160" s="419">
        <f>S160+BH160</f>
        <v>1.79</v>
      </c>
      <c r="BT160" s="419">
        <f t="shared" si="328"/>
        <v>1.79</v>
      </c>
      <c r="BU160" s="421">
        <f t="shared" si="328"/>
        <v>0</v>
      </c>
      <c r="BV160" s="854"/>
      <c r="BW160" s="723"/>
      <c r="BX160" s="723"/>
      <c r="BY160" s="723"/>
      <c r="BZ160" s="723"/>
      <c r="CA160" s="855"/>
    </row>
    <row r="161" spans="1:79" ht="12.95" customHeight="1" x14ac:dyDescent="0.25">
      <c r="A161" s="280">
        <v>32</v>
      </c>
      <c r="B161" s="212">
        <v>2496</v>
      </c>
      <c r="C161" s="212">
        <v>600080251</v>
      </c>
      <c r="D161" s="281">
        <v>70695938</v>
      </c>
      <c r="E161" s="372" t="s">
        <v>511</v>
      </c>
      <c r="F161" s="212">
        <v>3143</v>
      </c>
      <c r="G161" s="323" t="s">
        <v>596</v>
      </c>
      <c r="H161" s="285" t="s">
        <v>272</v>
      </c>
      <c r="I161" s="420">
        <v>25573</v>
      </c>
      <c r="J161" s="415">
        <v>15802</v>
      </c>
      <c r="K161" s="415">
        <v>0</v>
      </c>
      <c r="L161" s="415">
        <v>15802</v>
      </c>
      <c r="M161" s="415">
        <v>2520</v>
      </c>
      <c r="N161" s="415">
        <v>0</v>
      </c>
      <c r="O161" s="415">
        <v>2520</v>
      </c>
      <c r="P161" s="68">
        <v>6193</v>
      </c>
      <c r="Q161" s="68">
        <v>158</v>
      </c>
      <c r="R161" s="415">
        <v>900</v>
      </c>
      <c r="S161" s="416">
        <v>6.9400000000000003E-2</v>
      </c>
      <c r="T161" s="416">
        <v>0</v>
      </c>
      <c r="U161" s="423">
        <v>6.9400000000000003E-2</v>
      </c>
      <c r="V161" s="424">
        <f t="shared" si="323"/>
        <v>0</v>
      </c>
      <c r="W161" s="418">
        <f t="shared" si="323"/>
        <v>0</v>
      </c>
      <c r="X161" s="418">
        <v>0</v>
      </c>
      <c r="Y161" s="418">
        <v>0</v>
      </c>
      <c r="Z161" s="418">
        <v>0</v>
      </c>
      <c r="AA161" s="418">
        <v>9178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9178</v>
      </c>
      <c r="AF161" s="418">
        <f>SUM(AD161:AE161)</f>
        <v>9178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>AG161+AI161+AJ161</f>
        <v>0</v>
      </c>
      <c r="AM161" s="418">
        <f>AH161+AK161</f>
        <v>0</v>
      </c>
      <c r="AN161" s="418">
        <f>SUM(AL161:AM161)</f>
        <v>0</v>
      </c>
      <c r="AO161" s="418">
        <f t="shared" si="324"/>
        <v>0</v>
      </c>
      <c r="AP161" s="418">
        <f t="shared" si="324"/>
        <v>9178</v>
      </c>
      <c r="AQ161" s="418">
        <f>SUM(AO161:AP161)</f>
        <v>9178</v>
      </c>
      <c r="AR161" s="68">
        <f>ROUND((AF161+AG161+AH161+AI161)*33.8%,0)</f>
        <v>3102</v>
      </c>
      <c r="AS161" s="68">
        <f>ROUND(AF161*1%,0)</f>
        <v>92</v>
      </c>
      <c r="AT161" s="418">
        <v>0</v>
      </c>
      <c r="AU161" s="418">
        <v>450</v>
      </c>
      <c r="AV161" s="418">
        <f>AT161+AU161</f>
        <v>450</v>
      </c>
      <c r="AW161" s="418">
        <f>AQ161+AR161+AS161+AV161</f>
        <v>12822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0.03</v>
      </c>
      <c r="BC161" s="419">
        <v>0</v>
      </c>
      <c r="BD161" s="419">
        <v>0</v>
      </c>
      <c r="BE161" s="419">
        <v>0</v>
      </c>
      <c r="BF161" s="419">
        <f>AX161+AZ161+BA161+BC161+BD161</f>
        <v>0</v>
      </c>
      <c r="BG161" s="419">
        <f>AY161+BB161+BE161</f>
        <v>0.03</v>
      </c>
      <c r="BH161" s="421">
        <f>SUM(BF161:BG161)</f>
        <v>0.03</v>
      </c>
      <c r="BI161" s="780">
        <f>I161+AW161</f>
        <v>38395</v>
      </c>
      <c r="BJ161" s="418">
        <f>J161+AF161</f>
        <v>24980</v>
      </c>
      <c r="BK161" s="418">
        <f t="shared" si="325"/>
        <v>0</v>
      </c>
      <c r="BL161" s="418">
        <f t="shared" si="325"/>
        <v>24980</v>
      </c>
      <c r="BM161" s="418">
        <f>M161+AN161</f>
        <v>2520</v>
      </c>
      <c r="BN161" s="418">
        <f t="shared" si="326"/>
        <v>0</v>
      </c>
      <c r="BO161" s="418">
        <f t="shared" si="326"/>
        <v>2520</v>
      </c>
      <c r="BP161" s="418">
        <f t="shared" si="327"/>
        <v>9295</v>
      </c>
      <c r="BQ161" s="418">
        <f t="shared" si="327"/>
        <v>250</v>
      </c>
      <c r="BR161" s="418">
        <f>R161+AV161</f>
        <v>1350</v>
      </c>
      <c r="BS161" s="419">
        <f>S161+BH161</f>
        <v>9.9400000000000002E-2</v>
      </c>
      <c r="BT161" s="419">
        <f t="shared" si="328"/>
        <v>0</v>
      </c>
      <c r="BU161" s="421">
        <f t="shared" si="328"/>
        <v>9.9400000000000002E-2</v>
      </c>
      <c r="BV161" s="854"/>
      <c r="BW161" s="723"/>
      <c r="BX161" s="723"/>
      <c r="BY161" s="723"/>
      <c r="BZ161" s="723"/>
      <c r="CA161" s="855"/>
    </row>
    <row r="162" spans="1:79" ht="12.95" customHeight="1" x14ac:dyDescent="0.25">
      <c r="A162" s="213">
        <v>32</v>
      </c>
      <c r="B162" s="45">
        <v>2496</v>
      </c>
      <c r="C162" s="45">
        <v>600080251</v>
      </c>
      <c r="D162" s="45">
        <v>70695938</v>
      </c>
      <c r="E162" s="374" t="s">
        <v>512</v>
      </c>
      <c r="F162" s="45"/>
      <c r="G162" s="374"/>
      <c r="H162" s="182"/>
      <c r="I162" s="488">
        <v>8113003</v>
      </c>
      <c r="J162" s="485">
        <v>5934798</v>
      </c>
      <c r="K162" s="485">
        <v>5054212</v>
      </c>
      <c r="L162" s="485">
        <v>880586</v>
      </c>
      <c r="M162" s="485">
        <v>7000</v>
      </c>
      <c r="N162" s="485">
        <v>4480</v>
      </c>
      <c r="O162" s="485">
        <v>2520</v>
      </c>
      <c r="P162" s="485">
        <v>2008328</v>
      </c>
      <c r="Q162" s="485">
        <v>59348</v>
      </c>
      <c r="R162" s="485">
        <v>103529</v>
      </c>
      <c r="S162" s="486">
        <v>10.539199999999999</v>
      </c>
      <c r="T162" s="486">
        <v>7.95</v>
      </c>
      <c r="U162" s="657">
        <v>2.5891999999999999</v>
      </c>
      <c r="V162" s="488">
        <f t="shared" ref="V162:CA162" si="329">SUM(V157:V161)</f>
        <v>0</v>
      </c>
      <c r="W162" s="485">
        <f t="shared" si="329"/>
        <v>0</v>
      </c>
      <c r="X162" s="485">
        <f t="shared" si="329"/>
        <v>0</v>
      </c>
      <c r="Y162" s="485">
        <f t="shared" si="329"/>
        <v>0</v>
      </c>
      <c r="Z162" s="485">
        <f t="shared" si="329"/>
        <v>0</v>
      </c>
      <c r="AA162" s="485">
        <f t="shared" si="329"/>
        <v>197052</v>
      </c>
      <c r="AB162" s="485">
        <f t="shared" si="329"/>
        <v>0</v>
      </c>
      <c r="AC162" s="485">
        <f t="shared" si="329"/>
        <v>0</v>
      </c>
      <c r="AD162" s="485">
        <f t="shared" si="329"/>
        <v>0</v>
      </c>
      <c r="AE162" s="485">
        <f t="shared" si="329"/>
        <v>197052</v>
      </c>
      <c r="AF162" s="485">
        <f t="shared" si="329"/>
        <v>197052</v>
      </c>
      <c r="AG162" s="485">
        <f t="shared" si="329"/>
        <v>0</v>
      </c>
      <c r="AH162" s="485">
        <f t="shared" si="329"/>
        <v>0</v>
      </c>
      <c r="AI162" s="485">
        <f t="shared" si="329"/>
        <v>0</v>
      </c>
      <c r="AJ162" s="485">
        <f t="shared" si="329"/>
        <v>0</v>
      </c>
      <c r="AK162" s="485">
        <f t="shared" si="329"/>
        <v>0</v>
      </c>
      <c r="AL162" s="485">
        <f t="shared" si="329"/>
        <v>0</v>
      </c>
      <c r="AM162" s="485">
        <f t="shared" si="329"/>
        <v>0</v>
      </c>
      <c r="AN162" s="485">
        <f t="shared" si="329"/>
        <v>0</v>
      </c>
      <c r="AO162" s="485">
        <f t="shared" si="329"/>
        <v>0</v>
      </c>
      <c r="AP162" s="485">
        <f t="shared" si="329"/>
        <v>197052</v>
      </c>
      <c r="AQ162" s="485">
        <f t="shared" si="329"/>
        <v>197052</v>
      </c>
      <c r="AR162" s="485">
        <f t="shared" si="329"/>
        <v>66603</v>
      </c>
      <c r="AS162" s="485">
        <f t="shared" si="329"/>
        <v>1971</v>
      </c>
      <c r="AT162" s="485">
        <f t="shared" si="329"/>
        <v>0</v>
      </c>
      <c r="AU162" s="485">
        <f t="shared" si="329"/>
        <v>1827</v>
      </c>
      <c r="AV162" s="485">
        <f t="shared" si="329"/>
        <v>1827</v>
      </c>
      <c r="AW162" s="485">
        <f t="shared" si="329"/>
        <v>267453</v>
      </c>
      <c r="AX162" s="486">
        <f t="shared" si="329"/>
        <v>0</v>
      </c>
      <c r="AY162" s="486">
        <f t="shared" si="329"/>
        <v>0</v>
      </c>
      <c r="AZ162" s="486">
        <f t="shared" si="329"/>
        <v>0</v>
      </c>
      <c r="BA162" s="486">
        <f t="shared" si="329"/>
        <v>0</v>
      </c>
      <c r="BB162" s="486">
        <f t="shared" ref="BB162" si="330">SUM(BB157:BB161)</f>
        <v>0.59000000000000008</v>
      </c>
      <c r="BC162" s="486">
        <f t="shared" si="329"/>
        <v>0</v>
      </c>
      <c r="BD162" s="486">
        <f t="shared" si="329"/>
        <v>0</v>
      </c>
      <c r="BE162" s="486">
        <f t="shared" ref="BE162" si="331">SUM(BE157:BE161)</f>
        <v>0</v>
      </c>
      <c r="BF162" s="486">
        <f t="shared" si="329"/>
        <v>0</v>
      </c>
      <c r="BG162" s="486">
        <f t="shared" si="329"/>
        <v>0.59000000000000008</v>
      </c>
      <c r="BH162" s="379">
        <f t="shared" si="329"/>
        <v>0.59000000000000008</v>
      </c>
      <c r="BI162" s="793">
        <f t="shared" si="329"/>
        <v>8380456</v>
      </c>
      <c r="BJ162" s="485">
        <f t="shared" si="329"/>
        <v>6131850</v>
      </c>
      <c r="BK162" s="485">
        <f t="shared" si="329"/>
        <v>5054212</v>
      </c>
      <c r="BL162" s="485">
        <f t="shared" si="329"/>
        <v>1077638</v>
      </c>
      <c r="BM162" s="485">
        <f t="shared" si="329"/>
        <v>7000</v>
      </c>
      <c r="BN162" s="485">
        <f t="shared" si="329"/>
        <v>4480</v>
      </c>
      <c r="BO162" s="485">
        <f t="shared" si="329"/>
        <v>2520</v>
      </c>
      <c r="BP162" s="485">
        <f t="shared" si="329"/>
        <v>2074931</v>
      </c>
      <c r="BQ162" s="485">
        <f t="shared" si="329"/>
        <v>61319</v>
      </c>
      <c r="BR162" s="485">
        <f t="shared" si="329"/>
        <v>105356</v>
      </c>
      <c r="BS162" s="486">
        <f t="shared" si="329"/>
        <v>11.129200000000001</v>
      </c>
      <c r="BT162" s="486">
        <f t="shared" si="329"/>
        <v>7.95</v>
      </c>
      <c r="BU162" s="379">
        <f t="shared" si="329"/>
        <v>3.1792000000000002</v>
      </c>
      <c r="BV162" s="871">
        <f t="shared" si="329"/>
        <v>0</v>
      </c>
      <c r="BW162" s="734">
        <f t="shared" si="329"/>
        <v>0</v>
      </c>
      <c r="BX162" s="734">
        <f t="shared" si="329"/>
        <v>0</v>
      </c>
      <c r="BY162" s="734">
        <f t="shared" si="329"/>
        <v>0</v>
      </c>
      <c r="BZ162" s="734">
        <f t="shared" si="329"/>
        <v>0</v>
      </c>
      <c r="CA162" s="872">
        <f t="shared" si="329"/>
        <v>0</v>
      </c>
    </row>
    <row r="163" spans="1:79" ht="12.95" customHeight="1" x14ac:dyDescent="0.25">
      <c r="A163" s="280">
        <v>33</v>
      </c>
      <c r="B163" s="212">
        <v>5440</v>
      </c>
      <c r="C163" s="212">
        <v>600098559</v>
      </c>
      <c r="D163" s="281">
        <v>70998108</v>
      </c>
      <c r="E163" s="372" t="s">
        <v>513</v>
      </c>
      <c r="F163" s="212">
        <v>3111</v>
      </c>
      <c r="G163" s="373" t="s">
        <v>304</v>
      </c>
      <c r="H163" s="285" t="s">
        <v>271</v>
      </c>
      <c r="I163" s="420">
        <v>3478472</v>
      </c>
      <c r="J163" s="415">
        <v>2570961</v>
      </c>
      <c r="K163" s="415">
        <v>2335841</v>
      </c>
      <c r="L163" s="415">
        <v>235120</v>
      </c>
      <c r="M163" s="415">
        <v>0</v>
      </c>
      <c r="N163" s="415">
        <v>0</v>
      </c>
      <c r="O163" s="415">
        <v>0</v>
      </c>
      <c r="P163" s="68">
        <v>868985</v>
      </c>
      <c r="Q163" s="68">
        <v>25710</v>
      </c>
      <c r="R163" s="415">
        <v>12816</v>
      </c>
      <c r="S163" s="416">
        <v>4.6261999999999999</v>
      </c>
      <c r="T163" s="416">
        <v>3.8260999999999998</v>
      </c>
      <c r="U163" s="423">
        <v>0.80010000000000003</v>
      </c>
      <c r="V163" s="424">
        <f t="shared" ref="V163:W165" si="332">AG163*-1</f>
        <v>0</v>
      </c>
      <c r="W163" s="418">
        <f t="shared" si="332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418">
        <f>SUM(AD163:AE163)</f>
        <v>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ref="AO163:AP165" si="333">AD163+AL163</f>
        <v>0</v>
      </c>
      <c r="AP163" s="418">
        <f t="shared" si="333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421">
        <f>SUM(BF163:BG163)</f>
        <v>0</v>
      </c>
      <c r="BI163" s="780">
        <f>I163+AW163</f>
        <v>3478472</v>
      </c>
      <c r="BJ163" s="418">
        <f>J163+AF163</f>
        <v>2570961</v>
      </c>
      <c r="BK163" s="418">
        <f t="shared" ref="BK163:BL165" si="334">K163+AD163</f>
        <v>2335841</v>
      </c>
      <c r="BL163" s="418">
        <f t="shared" si="334"/>
        <v>235120</v>
      </c>
      <c r="BM163" s="418">
        <f>M163+AN163</f>
        <v>0</v>
      </c>
      <c r="BN163" s="418">
        <f t="shared" ref="BN163:BO165" si="335">N163+AL163</f>
        <v>0</v>
      </c>
      <c r="BO163" s="418">
        <f t="shared" si="335"/>
        <v>0</v>
      </c>
      <c r="BP163" s="418">
        <f t="shared" ref="BP163:BQ165" si="336">P163+AR163</f>
        <v>868985</v>
      </c>
      <c r="BQ163" s="418">
        <f t="shared" si="336"/>
        <v>25710</v>
      </c>
      <c r="BR163" s="418">
        <f>R163+AV163</f>
        <v>12816</v>
      </c>
      <c r="BS163" s="419">
        <f>S163+BH163</f>
        <v>4.6261999999999999</v>
      </c>
      <c r="BT163" s="419">
        <f t="shared" ref="BT163:BU165" si="337">T163+BF163</f>
        <v>3.8260999999999998</v>
      </c>
      <c r="BU163" s="421">
        <f t="shared" si="337"/>
        <v>0.80010000000000003</v>
      </c>
      <c r="BV163" s="854"/>
      <c r="BW163" s="723"/>
      <c r="BX163" s="723"/>
      <c r="BY163" s="723"/>
      <c r="BZ163" s="723"/>
      <c r="CA163" s="855"/>
    </row>
    <row r="164" spans="1:79" ht="12.95" customHeight="1" x14ac:dyDescent="0.25">
      <c r="A164" s="280">
        <v>33</v>
      </c>
      <c r="B164" s="212">
        <v>5440</v>
      </c>
      <c r="C164" s="212">
        <v>600098559</v>
      </c>
      <c r="D164" s="281">
        <v>70998108</v>
      </c>
      <c r="E164" s="372" t="s">
        <v>513</v>
      </c>
      <c r="F164" s="212">
        <v>3111</v>
      </c>
      <c r="G164" s="373" t="s">
        <v>291</v>
      </c>
      <c r="H164" s="285" t="s">
        <v>272</v>
      </c>
      <c r="I164" s="420">
        <v>0</v>
      </c>
      <c r="J164" s="415">
        <v>0</v>
      </c>
      <c r="K164" s="415">
        <v>0</v>
      </c>
      <c r="L164" s="415">
        <v>0</v>
      </c>
      <c r="M164" s="415">
        <v>0</v>
      </c>
      <c r="N164" s="415">
        <v>0</v>
      </c>
      <c r="O164" s="415">
        <v>0</v>
      </c>
      <c r="P164" s="68">
        <v>0</v>
      </c>
      <c r="Q164" s="68">
        <v>0</v>
      </c>
      <c r="R164" s="415">
        <v>0</v>
      </c>
      <c r="S164" s="416">
        <v>0</v>
      </c>
      <c r="T164" s="416">
        <v>0</v>
      </c>
      <c r="U164" s="423">
        <v>0</v>
      </c>
      <c r="V164" s="424">
        <f t="shared" si="332"/>
        <v>0</v>
      </c>
      <c r="W164" s="418">
        <f t="shared" si="332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418">
        <f>SUM(AD164:AE164)</f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>AG164+AI164+AJ164</f>
        <v>0</v>
      </c>
      <c r="AM164" s="418">
        <f>AH164+AK164</f>
        <v>0</v>
      </c>
      <c r="AN164" s="418">
        <f>SUM(AL164:AM164)</f>
        <v>0</v>
      </c>
      <c r="AO164" s="418">
        <f t="shared" si="333"/>
        <v>0</v>
      </c>
      <c r="AP164" s="418">
        <f t="shared" si="333"/>
        <v>0</v>
      </c>
      <c r="AQ164" s="418">
        <f>SUM(AO164:AP164)</f>
        <v>0</v>
      </c>
      <c r="AR164" s="68">
        <f>ROUND((AF164+AG164+AH164+AI164)*33.8%,0)</f>
        <v>0</v>
      </c>
      <c r="AS164" s="68">
        <f>ROUND(AF164*1%,0)</f>
        <v>0</v>
      </c>
      <c r="AT164" s="418">
        <v>0</v>
      </c>
      <c r="AU164" s="418">
        <v>0</v>
      </c>
      <c r="AV164" s="418">
        <f>AT164+AU164</f>
        <v>0</v>
      </c>
      <c r="AW164" s="418">
        <f>AQ164+AR164+AS164+AV164</f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>AX164+AZ164+BA164+BC164+BD164</f>
        <v>0</v>
      </c>
      <c r="BG164" s="419">
        <f>AY164+BB164+BE164</f>
        <v>0</v>
      </c>
      <c r="BH164" s="421">
        <f>SUM(BF164:BG164)</f>
        <v>0</v>
      </c>
      <c r="BI164" s="780">
        <f>I164+AW164</f>
        <v>0</v>
      </c>
      <c r="BJ164" s="418">
        <f>J164+AF164</f>
        <v>0</v>
      </c>
      <c r="BK164" s="418">
        <f t="shared" si="334"/>
        <v>0</v>
      </c>
      <c r="BL164" s="418">
        <f t="shared" si="334"/>
        <v>0</v>
      </c>
      <c r="BM164" s="418">
        <f>M164+AN164</f>
        <v>0</v>
      </c>
      <c r="BN164" s="418">
        <f t="shared" si="335"/>
        <v>0</v>
      </c>
      <c r="BO164" s="418">
        <f t="shared" si="335"/>
        <v>0</v>
      </c>
      <c r="BP164" s="418">
        <f t="shared" si="336"/>
        <v>0</v>
      </c>
      <c r="BQ164" s="418">
        <f t="shared" si="336"/>
        <v>0</v>
      </c>
      <c r="BR164" s="418">
        <f>R164+AV164</f>
        <v>0</v>
      </c>
      <c r="BS164" s="419">
        <f>S164+BH164</f>
        <v>0</v>
      </c>
      <c r="BT164" s="419">
        <f t="shared" si="337"/>
        <v>0</v>
      </c>
      <c r="BU164" s="421">
        <f t="shared" si="337"/>
        <v>0</v>
      </c>
      <c r="BV164" s="854"/>
      <c r="BW164" s="723"/>
      <c r="BX164" s="723"/>
      <c r="BY164" s="723"/>
      <c r="BZ164" s="723"/>
      <c r="CA164" s="855"/>
    </row>
    <row r="165" spans="1:79" ht="12.95" customHeight="1" x14ac:dyDescent="0.25">
      <c r="A165" s="280">
        <v>33</v>
      </c>
      <c r="B165" s="376">
        <v>5440</v>
      </c>
      <c r="C165" s="376">
        <v>600098559</v>
      </c>
      <c r="D165" s="281">
        <v>70998108</v>
      </c>
      <c r="E165" s="372" t="s">
        <v>513</v>
      </c>
      <c r="F165" s="212">
        <v>3141</v>
      </c>
      <c r="G165" s="373" t="s">
        <v>294</v>
      </c>
      <c r="H165" s="285" t="s">
        <v>272</v>
      </c>
      <c r="I165" s="420">
        <v>180916</v>
      </c>
      <c r="J165" s="415">
        <v>133392</v>
      </c>
      <c r="K165" s="415">
        <v>0</v>
      </c>
      <c r="L165" s="415">
        <v>133392</v>
      </c>
      <c r="M165" s="415">
        <v>0</v>
      </c>
      <c r="N165" s="415">
        <v>0</v>
      </c>
      <c r="O165" s="415">
        <v>0</v>
      </c>
      <c r="P165" s="68">
        <v>45086</v>
      </c>
      <c r="Q165" s="68">
        <v>1334</v>
      </c>
      <c r="R165" s="415">
        <v>1104</v>
      </c>
      <c r="S165" s="416">
        <v>0.4</v>
      </c>
      <c r="T165" s="416">
        <v>0</v>
      </c>
      <c r="U165" s="423">
        <v>0.4</v>
      </c>
      <c r="V165" s="424">
        <f t="shared" si="332"/>
        <v>0</v>
      </c>
      <c r="W165" s="418">
        <f t="shared" si="332"/>
        <v>0</v>
      </c>
      <c r="X165" s="418">
        <v>0</v>
      </c>
      <c r="Y165" s="418">
        <v>0</v>
      </c>
      <c r="Z165" s="418">
        <v>0</v>
      </c>
      <c r="AA165" s="418">
        <v>66630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66630</v>
      </c>
      <c r="AF165" s="418">
        <f>SUM(AD165:AE165)</f>
        <v>66630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>AG165+AI165+AJ165</f>
        <v>0</v>
      </c>
      <c r="AM165" s="418">
        <f>AH165+AK165</f>
        <v>0</v>
      </c>
      <c r="AN165" s="418">
        <f>SUM(AL165:AM165)</f>
        <v>0</v>
      </c>
      <c r="AO165" s="418">
        <f t="shared" si="333"/>
        <v>0</v>
      </c>
      <c r="AP165" s="418">
        <f t="shared" si="333"/>
        <v>66630</v>
      </c>
      <c r="AQ165" s="418">
        <f>SUM(AO165:AP165)</f>
        <v>66630</v>
      </c>
      <c r="AR165" s="68">
        <f>ROUND((AF165+AG165+AH165+AI165)*33.8%,0)</f>
        <v>22521</v>
      </c>
      <c r="AS165" s="68">
        <f>ROUND(AF165*1%,0)</f>
        <v>666</v>
      </c>
      <c r="AT165" s="418">
        <v>0</v>
      </c>
      <c r="AU165" s="418">
        <v>528</v>
      </c>
      <c r="AV165" s="418">
        <f>AT165+AU165</f>
        <v>528</v>
      </c>
      <c r="AW165" s="418">
        <f>AQ165+AR165+AS165+AV165</f>
        <v>90345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0.2</v>
      </c>
      <c r="BC165" s="419">
        <v>0</v>
      </c>
      <c r="BD165" s="419">
        <v>0</v>
      </c>
      <c r="BE165" s="419">
        <v>0</v>
      </c>
      <c r="BF165" s="419">
        <f>AX165+AZ165+BA165+BC165+BD165</f>
        <v>0</v>
      </c>
      <c r="BG165" s="419">
        <f>AY165+BB165+BE165</f>
        <v>0.2</v>
      </c>
      <c r="BH165" s="421">
        <f>SUM(BF165:BG165)</f>
        <v>0.2</v>
      </c>
      <c r="BI165" s="780">
        <f>I165+AW165</f>
        <v>271261</v>
      </c>
      <c r="BJ165" s="418">
        <f>J165+AF165</f>
        <v>200022</v>
      </c>
      <c r="BK165" s="418">
        <f t="shared" si="334"/>
        <v>0</v>
      </c>
      <c r="BL165" s="418">
        <f t="shared" si="334"/>
        <v>200022</v>
      </c>
      <c r="BM165" s="418">
        <f>M165+AN165</f>
        <v>0</v>
      </c>
      <c r="BN165" s="418">
        <f t="shared" si="335"/>
        <v>0</v>
      </c>
      <c r="BO165" s="418">
        <f t="shared" si="335"/>
        <v>0</v>
      </c>
      <c r="BP165" s="418">
        <f t="shared" si="336"/>
        <v>67607</v>
      </c>
      <c r="BQ165" s="418">
        <f t="shared" si="336"/>
        <v>2000</v>
      </c>
      <c r="BR165" s="418">
        <f>R165+AV165</f>
        <v>1632</v>
      </c>
      <c r="BS165" s="419">
        <f>S165+BH165</f>
        <v>0.60000000000000009</v>
      </c>
      <c r="BT165" s="419">
        <f t="shared" si="337"/>
        <v>0</v>
      </c>
      <c r="BU165" s="421">
        <f t="shared" si="337"/>
        <v>0.60000000000000009</v>
      </c>
      <c r="BV165" s="854"/>
      <c r="BW165" s="723"/>
      <c r="BX165" s="723"/>
      <c r="BY165" s="723"/>
      <c r="BZ165" s="723"/>
      <c r="CA165" s="855"/>
    </row>
    <row r="166" spans="1:79" ht="12.95" customHeight="1" x14ac:dyDescent="0.25">
      <c r="A166" s="213">
        <v>33</v>
      </c>
      <c r="B166" s="46">
        <v>5440</v>
      </c>
      <c r="C166" s="46">
        <v>600098559</v>
      </c>
      <c r="D166" s="46">
        <v>70998108</v>
      </c>
      <c r="E166" s="374" t="s">
        <v>514</v>
      </c>
      <c r="F166" s="45"/>
      <c r="G166" s="374"/>
      <c r="H166" s="182"/>
      <c r="I166" s="487">
        <v>3659388</v>
      </c>
      <c r="J166" s="483">
        <v>2704353</v>
      </c>
      <c r="K166" s="483">
        <v>2335841</v>
      </c>
      <c r="L166" s="483">
        <v>368512</v>
      </c>
      <c r="M166" s="483">
        <v>0</v>
      </c>
      <c r="N166" s="483">
        <v>0</v>
      </c>
      <c r="O166" s="483">
        <v>0</v>
      </c>
      <c r="P166" s="483">
        <v>914071</v>
      </c>
      <c r="Q166" s="483">
        <v>27044</v>
      </c>
      <c r="R166" s="483">
        <v>13920</v>
      </c>
      <c r="S166" s="484">
        <v>5.0262000000000002</v>
      </c>
      <c r="T166" s="484">
        <v>3.8260999999999998</v>
      </c>
      <c r="U166" s="656">
        <v>1.2000999999999999</v>
      </c>
      <c r="V166" s="487">
        <f t="shared" ref="V166:CA166" si="338">SUM(V163:V165)</f>
        <v>0</v>
      </c>
      <c r="W166" s="483">
        <f t="shared" si="338"/>
        <v>0</v>
      </c>
      <c r="X166" s="483">
        <f t="shared" si="338"/>
        <v>0</v>
      </c>
      <c r="Y166" s="483">
        <f t="shared" si="338"/>
        <v>0</v>
      </c>
      <c r="Z166" s="483">
        <f t="shared" si="338"/>
        <v>0</v>
      </c>
      <c r="AA166" s="483">
        <f t="shared" si="338"/>
        <v>66630</v>
      </c>
      <c r="AB166" s="483">
        <f t="shared" si="338"/>
        <v>0</v>
      </c>
      <c r="AC166" s="483">
        <f t="shared" si="338"/>
        <v>0</v>
      </c>
      <c r="AD166" s="483">
        <f t="shared" si="338"/>
        <v>0</v>
      </c>
      <c r="AE166" s="483">
        <f t="shared" si="338"/>
        <v>66630</v>
      </c>
      <c r="AF166" s="483">
        <f t="shared" si="338"/>
        <v>66630</v>
      </c>
      <c r="AG166" s="483">
        <f t="shared" si="338"/>
        <v>0</v>
      </c>
      <c r="AH166" s="483">
        <f t="shared" si="338"/>
        <v>0</v>
      </c>
      <c r="AI166" s="483">
        <f t="shared" si="338"/>
        <v>0</v>
      </c>
      <c r="AJ166" s="483">
        <f t="shared" si="338"/>
        <v>0</v>
      </c>
      <c r="AK166" s="483">
        <f t="shared" si="338"/>
        <v>0</v>
      </c>
      <c r="AL166" s="483">
        <f t="shared" si="338"/>
        <v>0</v>
      </c>
      <c r="AM166" s="483">
        <f t="shared" si="338"/>
        <v>0</v>
      </c>
      <c r="AN166" s="483">
        <f t="shared" si="338"/>
        <v>0</v>
      </c>
      <c r="AO166" s="483">
        <f t="shared" si="338"/>
        <v>0</v>
      </c>
      <c r="AP166" s="483">
        <f t="shared" si="338"/>
        <v>66630</v>
      </c>
      <c r="AQ166" s="483">
        <f t="shared" si="338"/>
        <v>66630</v>
      </c>
      <c r="AR166" s="483">
        <f t="shared" si="338"/>
        <v>22521</v>
      </c>
      <c r="AS166" s="483">
        <f t="shared" si="338"/>
        <v>666</v>
      </c>
      <c r="AT166" s="483">
        <f t="shared" si="338"/>
        <v>0</v>
      </c>
      <c r="AU166" s="483">
        <f t="shared" si="338"/>
        <v>528</v>
      </c>
      <c r="AV166" s="483">
        <f t="shared" si="338"/>
        <v>528</v>
      </c>
      <c r="AW166" s="483">
        <f t="shared" si="338"/>
        <v>90345</v>
      </c>
      <c r="AX166" s="484">
        <f t="shared" si="338"/>
        <v>0</v>
      </c>
      <c r="AY166" s="484">
        <f t="shared" si="338"/>
        <v>0</v>
      </c>
      <c r="AZ166" s="484">
        <f t="shared" si="338"/>
        <v>0</v>
      </c>
      <c r="BA166" s="484">
        <f t="shared" si="338"/>
        <v>0</v>
      </c>
      <c r="BB166" s="484">
        <f t="shared" ref="BB166" si="339">SUM(BB163:BB165)</f>
        <v>0.2</v>
      </c>
      <c r="BC166" s="484">
        <f t="shared" si="338"/>
        <v>0</v>
      </c>
      <c r="BD166" s="484">
        <f t="shared" si="338"/>
        <v>0</v>
      </c>
      <c r="BE166" s="484">
        <f t="shared" ref="BE166" si="340">SUM(BE163:BE165)</f>
        <v>0</v>
      </c>
      <c r="BF166" s="484">
        <f t="shared" si="338"/>
        <v>0</v>
      </c>
      <c r="BG166" s="484">
        <f t="shared" si="338"/>
        <v>0.2</v>
      </c>
      <c r="BH166" s="375">
        <f t="shared" si="338"/>
        <v>0.2</v>
      </c>
      <c r="BI166" s="792">
        <f t="shared" si="338"/>
        <v>3749733</v>
      </c>
      <c r="BJ166" s="483">
        <f t="shared" si="338"/>
        <v>2770983</v>
      </c>
      <c r="BK166" s="483">
        <f t="shared" si="338"/>
        <v>2335841</v>
      </c>
      <c r="BL166" s="483">
        <f t="shared" si="338"/>
        <v>435142</v>
      </c>
      <c r="BM166" s="483">
        <f t="shared" si="338"/>
        <v>0</v>
      </c>
      <c r="BN166" s="483">
        <f t="shared" si="338"/>
        <v>0</v>
      </c>
      <c r="BO166" s="483">
        <f t="shared" si="338"/>
        <v>0</v>
      </c>
      <c r="BP166" s="483">
        <f t="shared" si="338"/>
        <v>936592</v>
      </c>
      <c r="BQ166" s="483">
        <f t="shared" si="338"/>
        <v>27710</v>
      </c>
      <c r="BR166" s="483">
        <f t="shared" si="338"/>
        <v>14448</v>
      </c>
      <c r="BS166" s="484">
        <f t="shared" si="338"/>
        <v>5.2262000000000004</v>
      </c>
      <c r="BT166" s="484">
        <f t="shared" si="338"/>
        <v>3.8260999999999998</v>
      </c>
      <c r="BU166" s="375">
        <f t="shared" si="338"/>
        <v>1.4001000000000001</v>
      </c>
      <c r="BV166" s="869">
        <f t="shared" si="338"/>
        <v>0</v>
      </c>
      <c r="BW166" s="733">
        <f t="shared" si="338"/>
        <v>0</v>
      </c>
      <c r="BX166" s="733">
        <f t="shared" si="338"/>
        <v>0</v>
      </c>
      <c r="BY166" s="733">
        <f t="shared" si="338"/>
        <v>0</v>
      </c>
      <c r="BZ166" s="733">
        <f t="shared" si="338"/>
        <v>0</v>
      </c>
      <c r="CA166" s="870">
        <f t="shared" si="338"/>
        <v>0</v>
      </c>
    </row>
    <row r="167" spans="1:79" ht="12.95" customHeight="1" x14ac:dyDescent="0.25">
      <c r="A167" s="280">
        <v>34</v>
      </c>
      <c r="B167" s="212">
        <v>5441</v>
      </c>
      <c r="C167" s="212">
        <v>600099270</v>
      </c>
      <c r="D167" s="281">
        <v>856118</v>
      </c>
      <c r="E167" s="372" t="s">
        <v>515</v>
      </c>
      <c r="F167" s="212">
        <v>3113</v>
      </c>
      <c r="G167" s="372" t="s">
        <v>308</v>
      </c>
      <c r="H167" s="285" t="s">
        <v>271</v>
      </c>
      <c r="I167" s="420">
        <v>14561083</v>
      </c>
      <c r="J167" s="415">
        <v>10648324</v>
      </c>
      <c r="K167" s="415">
        <v>9714018</v>
      </c>
      <c r="L167" s="415">
        <v>934306</v>
      </c>
      <c r="M167" s="415">
        <v>25000</v>
      </c>
      <c r="N167" s="415">
        <v>20000</v>
      </c>
      <c r="O167" s="415">
        <v>5000</v>
      </c>
      <c r="P167" s="68">
        <v>3607584</v>
      </c>
      <c r="Q167" s="68">
        <v>106484</v>
      </c>
      <c r="R167" s="415">
        <v>173691</v>
      </c>
      <c r="S167" s="416">
        <v>16.880200000000002</v>
      </c>
      <c r="T167" s="416">
        <v>14.140500000000001</v>
      </c>
      <c r="U167" s="423">
        <v>2.7397</v>
      </c>
      <c r="V167" s="424">
        <f t="shared" ref="V167:W171" si="341">AG167*-1</f>
        <v>0</v>
      </c>
      <c r="W167" s="418">
        <f t="shared" si="341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0</v>
      </c>
      <c r="AF167" s="418">
        <f>SUM(AD167:AE167)</f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>AG167+AI167+AJ167</f>
        <v>0</v>
      </c>
      <c r="AM167" s="418">
        <f>AH167+AK167</f>
        <v>0</v>
      </c>
      <c r="AN167" s="418">
        <f>SUM(AL167:AM167)</f>
        <v>0</v>
      </c>
      <c r="AO167" s="418">
        <f t="shared" ref="AO167:AP171" si="342">AD167+AL167</f>
        <v>0</v>
      </c>
      <c r="AP167" s="418">
        <f t="shared" si="342"/>
        <v>0</v>
      </c>
      <c r="AQ167" s="418">
        <f>SUM(AO167:AP167)</f>
        <v>0</v>
      </c>
      <c r="AR167" s="68">
        <f>ROUND((AF167+AG167+AH167+AI167)*33.8%,0)</f>
        <v>0</v>
      </c>
      <c r="AS167" s="68">
        <f>ROUND(AF167*1%,0)</f>
        <v>0</v>
      </c>
      <c r="AT167" s="418">
        <v>0</v>
      </c>
      <c r="AU167" s="418">
        <v>0</v>
      </c>
      <c r="AV167" s="418">
        <f>AT167+AU167</f>
        <v>0</v>
      </c>
      <c r="AW167" s="418">
        <f>AQ167+AR167+AS167+AV167</f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>AX167+AZ167+BA167+BC167+BD167</f>
        <v>0</v>
      </c>
      <c r="BG167" s="419">
        <f>AY167+BB167+BE167</f>
        <v>0</v>
      </c>
      <c r="BH167" s="421">
        <f>SUM(BF167:BG167)</f>
        <v>0</v>
      </c>
      <c r="BI167" s="780">
        <f>I167+AW167</f>
        <v>14561083</v>
      </c>
      <c r="BJ167" s="418">
        <f>J167+AF167</f>
        <v>10648324</v>
      </c>
      <c r="BK167" s="418">
        <f t="shared" ref="BK167:BL171" si="343">K167+AD167</f>
        <v>9714018</v>
      </c>
      <c r="BL167" s="418">
        <f t="shared" si="343"/>
        <v>934306</v>
      </c>
      <c r="BM167" s="418">
        <f>M167+AN167</f>
        <v>25000</v>
      </c>
      <c r="BN167" s="418">
        <f t="shared" ref="BN167:BO171" si="344">N167+AL167</f>
        <v>20000</v>
      </c>
      <c r="BO167" s="418">
        <f t="shared" si="344"/>
        <v>5000</v>
      </c>
      <c r="BP167" s="418">
        <f t="shared" ref="BP167:BQ171" si="345">P167+AR167</f>
        <v>3607584</v>
      </c>
      <c r="BQ167" s="418">
        <f t="shared" si="345"/>
        <v>106484</v>
      </c>
      <c r="BR167" s="418">
        <f>R167+AV167</f>
        <v>173691</v>
      </c>
      <c r="BS167" s="419">
        <f>S167+BH167</f>
        <v>16.880200000000002</v>
      </c>
      <c r="BT167" s="419">
        <f t="shared" ref="BT167:BU171" si="346">T167+BF167</f>
        <v>14.140500000000001</v>
      </c>
      <c r="BU167" s="421">
        <f t="shared" si="346"/>
        <v>2.7397</v>
      </c>
      <c r="BV167" s="861">
        <v>304109</v>
      </c>
      <c r="BW167" s="735">
        <v>225600</v>
      </c>
      <c r="BX167" s="735">
        <v>0</v>
      </c>
      <c r="BY167" s="735">
        <v>76253</v>
      </c>
      <c r="BZ167" s="735">
        <v>2256</v>
      </c>
      <c r="CA167" s="862">
        <v>0.4</v>
      </c>
    </row>
    <row r="168" spans="1:79" ht="12.95" customHeight="1" x14ac:dyDescent="0.25">
      <c r="A168" s="280">
        <v>34</v>
      </c>
      <c r="B168" s="212">
        <v>5441</v>
      </c>
      <c r="C168" s="212">
        <v>600099270</v>
      </c>
      <c r="D168" s="281">
        <v>856118</v>
      </c>
      <c r="E168" s="372" t="s">
        <v>515</v>
      </c>
      <c r="F168" s="212">
        <v>3113</v>
      </c>
      <c r="G168" s="323" t="s">
        <v>291</v>
      </c>
      <c r="H168" s="285" t="s">
        <v>272</v>
      </c>
      <c r="I168" s="420">
        <v>1665245</v>
      </c>
      <c r="J168" s="415">
        <v>1235346</v>
      </c>
      <c r="K168" s="415">
        <v>1235346</v>
      </c>
      <c r="L168" s="415">
        <v>0</v>
      </c>
      <c r="M168" s="415">
        <v>0</v>
      </c>
      <c r="N168" s="415">
        <v>0</v>
      </c>
      <c r="O168" s="415">
        <v>0</v>
      </c>
      <c r="P168" s="68">
        <v>417546</v>
      </c>
      <c r="Q168" s="68">
        <v>12353</v>
      </c>
      <c r="R168" s="415">
        <v>0</v>
      </c>
      <c r="S168" s="416">
        <v>2.92</v>
      </c>
      <c r="T168" s="416">
        <v>2.92</v>
      </c>
      <c r="U168" s="423">
        <v>0</v>
      </c>
      <c r="V168" s="424">
        <f t="shared" si="341"/>
        <v>0</v>
      </c>
      <c r="W168" s="418">
        <f t="shared" si="341"/>
        <v>0</v>
      </c>
      <c r="X168" s="418">
        <v>0</v>
      </c>
      <c r="Y168" s="418">
        <v>0</v>
      </c>
      <c r="Z168" s="418">
        <v>0</v>
      </c>
      <c r="AA168" s="418">
        <v>0</v>
      </c>
      <c r="AB168" s="418">
        <v>0</v>
      </c>
      <c r="AC168" s="418">
        <v>0</v>
      </c>
      <c r="AD168" s="418">
        <f>V168+X168+Y168+Z168+AB168</f>
        <v>0</v>
      </c>
      <c r="AE168" s="418">
        <f>W168+AA168+AC168</f>
        <v>0</v>
      </c>
      <c r="AF168" s="418">
        <f>SUM(AD168:AE168)</f>
        <v>0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>AG168+AI168+AJ168</f>
        <v>0</v>
      </c>
      <c r="AM168" s="418">
        <f>AH168+AK168</f>
        <v>0</v>
      </c>
      <c r="AN168" s="418">
        <f>SUM(AL168:AM168)</f>
        <v>0</v>
      </c>
      <c r="AO168" s="418">
        <f t="shared" si="342"/>
        <v>0</v>
      </c>
      <c r="AP168" s="418">
        <f t="shared" si="342"/>
        <v>0</v>
      </c>
      <c r="AQ168" s="418">
        <f>SUM(AO168:AP168)</f>
        <v>0</v>
      </c>
      <c r="AR168" s="68">
        <f>ROUND((AF168+AG168+AH168+AI168)*33.8%,0)</f>
        <v>0</v>
      </c>
      <c r="AS168" s="68">
        <f>ROUND(AF168*1%,0)</f>
        <v>0</v>
      </c>
      <c r="AT168" s="418">
        <v>0</v>
      </c>
      <c r="AU168" s="418">
        <v>0</v>
      </c>
      <c r="AV168" s="418">
        <f>AT168+AU168</f>
        <v>0</v>
      </c>
      <c r="AW168" s="418">
        <f>AQ168+AR168+AS168+AV168</f>
        <v>0</v>
      </c>
      <c r="AX168" s="419">
        <v>0</v>
      </c>
      <c r="AY168" s="419">
        <v>0</v>
      </c>
      <c r="AZ168" s="419">
        <v>0</v>
      </c>
      <c r="BA168" s="419">
        <v>0</v>
      </c>
      <c r="BB168" s="419">
        <v>0</v>
      </c>
      <c r="BC168" s="419">
        <v>0</v>
      </c>
      <c r="BD168" s="419">
        <v>0</v>
      </c>
      <c r="BE168" s="419">
        <v>0</v>
      </c>
      <c r="BF168" s="419">
        <f>AX168+AZ168+BA168+BC168+BD168</f>
        <v>0</v>
      </c>
      <c r="BG168" s="419">
        <f>AY168+BB168+BE168</f>
        <v>0</v>
      </c>
      <c r="BH168" s="421">
        <f>SUM(BF168:BG168)</f>
        <v>0</v>
      </c>
      <c r="BI168" s="780">
        <f>I168+AW168</f>
        <v>1665245</v>
      </c>
      <c r="BJ168" s="418">
        <f>J168+AF168</f>
        <v>1235346</v>
      </c>
      <c r="BK168" s="418">
        <f t="shared" si="343"/>
        <v>1235346</v>
      </c>
      <c r="BL168" s="418">
        <f t="shared" si="343"/>
        <v>0</v>
      </c>
      <c r="BM168" s="418">
        <f>M168+AN168</f>
        <v>0</v>
      </c>
      <c r="BN168" s="418">
        <f t="shared" si="344"/>
        <v>0</v>
      </c>
      <c r="BO168" s="418">
        <f t="shared" si="344"/>
        <v>0</v>
      </c>
      <c r="BP168" s="418">
        <f t="shared" si="345"/>
        <v>417546</v>
      </c>
      <c r="BQ168" s="418">
        <f t="shared" si="345"/>
        <v>12353</v>
      </c>
      <c r="BR168" s="418">
        <f>R168+AV168</f>
        <v>0</v>
      </c>
      <c r="BS168" s="419">
        <f>S168+BH168</f>
        <v>2.92</v>
      </c>
      <c r="BT168" s="419">
        <f t="shared" si="346"/>
        <v>2.92</v>
      </c>
      <c r="BU168" s="421">
        <f t="shared" si="346"/>
        <v>0</v>
      </c>
      <c r="BV168" s="854"/>
      <c r="BW168" s="723"/>
      <c r="BX168" s="723"/>
      <c r="BY168" s="723"/>
      <c r="BZ168" s="723"/>
      <c r="CA168" s="855"/>
    </row>
    <row r="169" spans="1:79" ht="12.95" customHeight="1" x14ac:dyDescent="0.25">
      <c r="A169" s="280">
        <v>34</v>
      </c>
      <c r="B169" s="376">
        <v>5441</v>
      </c>
      <c r="C169" s="376">
        <v>600099270</v>
      </c>
      <c r="D169" s="281">
        <v>856118</v>
      </c>
      <c r="E169" s="211" t="s">
        <v>515</v>
      </c>
      <c r="F169" s="212">
        <v>3141</v>
      </c>
      <c r="G169" s="373" t="s">
        <v>294</v>
      </c>
      <c r="H169" s="285" t="s">
        <v>272</v>
      </c>
      <c r="I169" s="420">
        <v>1341251</v>
      </c>
      <c r="J169" s="415">
        <v>964335</v>
      </c>
      <c r="K169" s="415">
        <v>0</v>
      </c>
      <c r="L169" s="415">
        <v>964335</v>
      </c>
      <c r="M169" s="415">
        <v>25000</v>
      </c>
      <c r="N169" s="415">
        <v>0</v>
      </c>
      <c r="O169" s="415">
        <v>25000</v>
      </c>
      <c r="P169" s="68">
        <v>334395</v>
      </c>
      <c r="Q169" s="68">
        <v>9643</v>
      </c>
      <c r="R169" s="415">
        <v>7878</v>
      </c>
      <c r="S169" s="416">
        <v>2.9666999999999999</v>
      </c>
      <c r="T169" s="416">
        <v>0</v>
      </c>
      <c r="U169" s="423">
        <v>2.9666999999999999</v>
      </c>
      <c r="V169" s="424">
        <f t="shared" si="341"/>
        <v>0</v>
      </c>
      <c r="W169" s="418">
        <f t="shared" si="341"/>
        <v>0</v>
      </c>
      <c r="X169" s="418">
        <v>0</v>
      </c>
      <c r="Y169" s="418">
        <v>0</v>
      </c>
      <c r="Z169" s="418">
        <v>0</v>
      </c>
      <c r="AA169" s="418">
        <v>496140</v>
      </c>
      <c r="AB169" s="418">
        <v>0</v>
      </c>
      <c r="AC169" s="418">
        <v>0</v>
      </c>
      <c r="AD169" s="418">
        <f>V169+X169+Y169+Z169+AB169</f>
        <v>0</v>
      </c>
      <c r="AE169" s="418">
        <f>W169+AA169+AC169</f>
        <v>496140</v>
      </c>
      <c r="AF169" s="418">
        <f>SUM(AD169:AE169)</f>
        <v>496140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>AG169+AI169+AJ169</f>
        <v>0</v>
      </c>
      <c r="AM169" s="418">
        <f>AH169+AK169</f>
        <v>0</v>
      </c>
      <c r="AN169" s="418">
        <f>SUM(AL169:AM169)</f>
        <v>0</v>
      </c>
      <c r="AO169" s="418">
        <f t="shared" si="342"/>
        <v>0</v>
      </c>
      <c r="AP169" s="418">
        <f t="shared" si="342"/>
        <v>496140</v>
      </c>
      <c r="AQ169" s="418">
        <f>SUM(AO169:AP169)</f>
        <v>496140</v>
      </c>
      <c r="AR169" s="68">
        <f>ROUND((AF169+AG169+AH169+AI169)*33.8%,0)</f>
        <v>167695</v>
      </c>
      <c r="AS169" s="68">
        <f>ROUND(AF169*1%,0)</f>
        <v>4961</v>
      </c>
      <c r="AT169" s="418">
        <v>0</v>
      </c>
      <c r="AU169" s="418">
        <v>3810</v>
      </c>
      <c r="AV169" s="418">
        <f>AT169+AU169</f>
        <v>3810</v>
      </c>
      <c r="AW169" s="418">
        <f>AQ169+AR169+AS169+AV169</f>
        <v>672606</v>
      </c>
      <c r="AX169" s="419">
        <v>0</v>
      </c>
      <c r="AY169" s="419">
        <v>0</v>
      </c>
      <c r="AZ169" s="419">
        <v>0</v>
      </c>
      <c r="BA169" s="419">
        <v>0</v>
      </c>
      <c r="BB169" s="419">
        <v>1.48</v>
      </c>
      <c r="BC169" s="419">
        <v>0</v>
      </c>
      <c r="BD169" s="419">
        <v>0</v>
      </c>
      <c r="BE169" s="419">
        <v>0</v>
      </c>
      <c r="BF169" s="419">
        <f>AX169+AZ169+BA169+BC169+BD169</f>
        <v>0</v>
      </c>
      <c r="BG169" s="419">
        <f>AY169+BB169+BE169</f>
        <v>1.48</v>
      </c>
      <c r="BH169" s="421">
        <f>SUM(BF169:BG169)</f>
        <v>1.48</v>
      </c>
      <c r="BI169" s="780">
        <f>I169+AW169</f>
        <v>2013857</v>
      </c>
      <c r="BJ169" s="418">
        <f>J169+AF169</f>
        <v>1460475</v>
      </c>
      <c r="BK169" s="418">
        <f t="shared" si="343"/>
        <v>0</v>
      </c>
      <c r="BL169" s="418">
        <f t="shared" si="343"/>
        <v>1460475</v>
      </c>
      <c r="BM169" s="418">
        <f>M169+AN169</f>
        <v>25000</v>
      </c>
      <c r="BN169" s="418">
        <f t="shared" si="344"/>
        <v>0</v>
      </c>
      <c r="BO169" s="418">
        <f t="shared" si="344"/>
        <v>25000</v>
      </c>
      <c r="BP169" s="418">
        <f t="shared" si="345"/>
        <v>502090</v>
      </c>
      <c r="BQ169" s="418">
        <f t="shared" si="345"/>
        <v>14604</v>
      </c>
      <c r="BR169" s="418">
        <f>R169+AV169</f>
        <v>11688</v>
      </c>
      <c r="BS169" s="419">
        <f>S169+BH169</f>
        <v>4.4466999999999999</v>
      </c>
      <c r="BT169" s="419">
        <f t="shared" si="346"/>
        <v>0</v>
      </c>
      <c r="BU169" s="421">
        <f t="shared" si="346"/>
        <v>4.4466999999999999</v>
      </c>
      <c r="BV169" s="854"/>
      <c r="BW169" s="723"/>
      <c r="BX169" s="723"/>
      <c r="BY169" s="723"/>
      <c r="BZ169" s="723"/>
      <c r="CA169" s="855"/>
    </row>
    <row r="170" spans="1:79" ht="12.95" customHeight="1" x14ac:dyDescent="0.25">
      <c r="A170" s="280">
        <v>34</v>
      </c>
      <c r="B170" s="212">
        <v>5441</v>
      </c>
      <c r="C170" s="212">
        <v>600099270</v>
      </c>
      <c r="D170" s="281">
        <v>856118</v>
      </c>
      <c r="E170" s="372" t="s">
        <v>515</v>
      </c>
      <c r="F170" s="212">
        <v>3143</v>
      </c>
      <c r="G170" s="323" t="s">
        <v>595</v>
      </c>
      <c r="H170" s="285" t="s">
        <v>271</v>
      </c>
      <c r="I170" s="420">
        <v>1324805</v>
      </c>
      <c r="J170" s="415">
        <v>975647</v>
      </c>
      <c r="K170" s="415">
        <v>975647</v>
      </c>
      <c r="L170" s="415">
        <v>0</v>
      </c>
      <c r="M170" s="415">
        <v>7200</v>
      </c>
      <c r="N170" s="415">
        <v>7200</v>
      </c>
      <c r="O170" s="415">
        <v>0</v>
      </c>
      <c r="P170" s="68">
        <v>332202</v>
      </c>
      <c r="Q170" s="68">
        <v>9756</v>
      </c>
      <c r="R170" s="415">
        <v>0</v>
      </c>
      <c r="S170" s="416">
        <v>1.9</v>
      </c>
      <c r="T170" s="416">
        <v>1.9</v>
      </c>
      <c r="U170" s="423">
        <v>0</v>
      </c>
      <c r="V170" s="424">
        <f t="shared" si="341"/>
        <v>0</v>
      </c>
      <c r="W170" s="418">
        <f t="shared" si="341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>V170+X170+Y170+Z170+AB170</f>
        <v>0</v>
      </c>
      <c r="AE170" s="418">
        <f>W170+AA170+AC170</f>
        <v>0</v>
      </c>
      <c r="AF170" s="418">
        <f>SUM(AD170:AE170)</f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>AG170+AI170+AJ170</f>
        <v>0</v>
      </c>
      <c r="AM170" s="418">
        <f>AH170+AK170</f>
        <v>0</v>
      </c>
      <c r="AN170" s="418">
        <f>SUM(AL170:AM170)</f>
        <v>0</v>
      </c>
      <c r="AO170" s="418">
        <f t="shared" si="342"/>
        <v>0</v>
      </c>
      <c r="AP170" s="418">
        <f t="shared" si="342"/>
        <v>0</v>
      </c>
      <c r="AQ170" s="418">
        <f>SUM(AO170:AP170)</f>
        <v>0</v>
      </c>
      <c r="AR170" s="68">
        <f>ROUND((AF170+AG170+AH170+AI170)*33.8%,0)</f>
        <v>0</v>
      </c>
      <c r="AS170" s="68">
        <f>ROUND(AF170*1%,0)</f>
        <v>0</v>
      </c>
      <c r="AT170" s="418">
        <v>0</v>
      </c>
      <c r="AU170" s="418">
        <v>0</v>
      </c>
      <c r="AV170" s="418">
        <f>AT170+AU170</f>
        <v>0</v>
      </c>
      <c r="AW170" s="418">
        <f>AQ170+AR170+AS170+AV170</f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>AX170+AZ170+BA170+BC170+BD170</f>
        <v>0</v>
      </c>
      <c r="BG170" s="419">
        <f>AY170+BB170+BE170</f>
        <v>0</v>
      </c>
      <c r="BH170" s="421">
        <f>SUM(BF170:BG170)</f>
        <v>0</v>
      </c>
      <c r="BI170" s="780">
        <f>I170+AW170</f>
        <v>1324805</v>
      </c>
      <c r="BJ170" s="418">
        <f>J170+AF170</f>
        <v>975647</v>
      </c>
      <c r="BK170" s="418">
        <f t="shared" si="343"/>
        <v>975647</v>
      </c>
      <c r="BL170" s="418">
        <f t="shared" si="343"/>
        <v>0</v>
      </c>
      <c r="BM170" s="418">
        <f>M170+AN170</f>
        <v>7200</v>
      </c>
      <c r="BN170" s="418">
        <f t="shared" si="344"/>
        <v>7200</v>
      </c>
      <c r="BO170" s="418">
        <f t="shared" si="344"/>
        <v>0</v>
      </c>
      <c r="BP170" s="418">
        <f t="shared" si="345"/>
        <v>332202</v>
      </c>
      <c r="BQ170" s="418">
        <f t="shared" si="345"/>
        <v>9756</v>
      </c>
      <c r="BR170" s="418">
        <f>R170+AV170</f>
        <v>0</v>
      </c>
      <c r="BS170" s="419">
        <f>S170+BH170</f>
        <v>1.9</v>
      </c>
      <c r="BT170" s="419">
        <f t="shared" si="346"/>
        <v>1.9</v>
      </c>
      <c r="BU170" s="421">
        <f t="shared" si="346"/>
        <v>0</v>
      </c>
      <c r="BV170" s="854"/>
      <c r="BW170" s="723"/>
      <c r="BX170" s="723"/>
      <c r="BY170" s="723"/>
      <c r="BZ170" s="723"/>
      <c r="CA170" s="855"/>
    </row>
    <row r="171" spans="1:79" ht="12.95" customHeight="1" x14ac:dyDescent="0.25">
      <c r="A171" s="280">
        <v>34</v>
      </c>
      <c r="B171" s="212">
        <v>5441</v>
      </c>
      <c r="C171" s="212">
        <v>600099270</v>
      </c>
      <c r="D171" s="281">
        <v>856118</v>
      </c>
      <c r="E171" s="372" t="s">
        <v>515</v>
      </c>
      <c r="F171" s="212">
        <v>3143</v>
      </c>
      <c r="G171" s="323" t="s">
        <v>596</v>
      </c>
      <c r="H171" s="285" t="s">
        <v>272</v>
      </c>
      <c r="I171" s="420">
        <v>25598</v>
      </c>
      <c r="J171" s="415">
        <v>18322</v>
      </c>
      <c r="K171" s="415">
        <v>0</v>
      </c>
      <c r="L171" s="415">
        <v>18322</v>
      </c>
      <c r="M171" s="415">
        <v>0</v>
      </c>
      <c r="N171" s="415">
        <v>0</v>
      </c>
      <c r="O171" s="415">
        <v>0</v>
      </c>
      <c r="P171" s="68">
        <v>6193</v>
      </c>
      <c r="Q171" s="68">
        <v>183</v>
      </c>
      <c r="R171" s="415">
        <v>900</v>
      </c>
      <c r="S171" s="416">
        <v>6.9400000000000003E-2</v>
      </c>
      <c r="T171" s="416">
        <v>0</v>
      </c>
      <c r="U171" s="423">
        <v>6.9400000000000003E-2</v>
      </c>
      <c r="V171" s="424">
        <f t="shared" si="341"/>
        <v>0</v>
      </c>
      <c r="W171" s="418">
        <f t="shared" si="341"/>
        <v>0</v>
      </c>
      <c r="X171" s="418">
        <v>0</v>
      </c>
      <c r="Y171" s="418">
        <v>0</v>
      </c>
      <c r="Z171" s="418">
        <v>0</v>
      </c>
      <c r="AA171" s="418">
        <v>9178</v>
      </c>
      <c r="AB171" s="418">
        <v>0</v>
      </c>
      <c r="AC171" s="418">
        <v>0</v>
      </c>
      <c r="AD171" s="418">
        <f>V171+X171+Y171+Z171+AB171</f>
        <v>0</v>
      </c>
      <c r="AE171" s="418">
        <f>W171+AA171+AC171</f>
        <v>9178</v>
      </c>
      <c r="AF171" s="418">
        <f>SUM(AD171:AE171)</f>
        <v>9178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>AG171+AI171+AJ171</f>
        <v>0</v>
      </c>
      <c r="AM171" s="418">
        <f>AH171+AK171</f>
        <v>0</v>
      </c>
      <c r="AN171" s="418">
        <f>SUM(AL171:AM171)</f>
        <v>0</v>
      </c>
      <c r="AO171" s="418">
        <f t="shared" si="342"/>
        <v>0</v>
      </c>
      <c r="AP171" s="418">
        <f t="shared" si="342"/>
        <v>9178</v>
      </c>
      <c r="AQ171" s="418">
        <f>SUM(AO171:AP171)</f>
        <v>9178</v>
      </c>
      <c r="AR171" s="68">
        <f>ROUND((AF171+AG171+AH171+AI171)*33.8%,0)</f>
        <v>3102</v>
      </c>
      <c r="AS171" s="68">
        <f>ROUND(AF171*1%,0)</f>
        <v>92</v>
      </c>
      <c r="AT171" s="418">
        <v>0</v>
      </c>
      <c r="AU171" s="418">
        <v>450</v>
      </c>
      <c r="AV171" s="418">
        <f>AT171+AU171</f>
        <v>450</v>
      </c>
      <c r="AW171" s="418">
        <f>AQ171+AR171+AS171+AV171</f>
        <v>12822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0.03</v>
      </c>
      <c r="BC171" s="419">
        <v>0</v>
      </c>
      <c r="BD171" s="419">
        <v>0</v>
      </c>
      <c r="BE171" s="419">
        <v>0</v>
      </c>
      <c r="BF171" s="419">
        <f>AX171+AZ171+BA171+BC171+BD171</f>
        <v>0</v>
      </c>
      <c r="BG171" s="419">
        <f>AY171+BB171+BE171</f>
        <v>0.03</v>
      </c>
      <c r="BH171" s="421">
        <f>SUM(BF171:BG171)</f>
        <v>0.03</v>
      </c>
      <c r="BI171" s="780">
        <f>I171+AW171</f>
        <v>38420</v>
      </c>
      <c r="BJ171" s="418">
        <f>J171+AF171</f>
        <v>27500</v>
      </c>
      <c r="BK171" s="418">
        <f t="shared" si="343"/>
        <v>0</v>
      </c>
      <c r="BL171" s="418">
        <f t="shared" si="343"/>
        <v>27500</v>
      </c>
      <c r="BM171" s="418">
        <f>M171+AN171</f>
        <v>0</v>
      </c>
      <c r="BN171" s="418">
        <f t="shared" si="344"/>
        <v>0</v>
      </c>
      <c r="BO171" s="418">
        <f t="shared" si="344"/>
        <v>0</v>
      </c>
      <c r="BP171" s="418">
        <f t="shared" si="345"/>
        <v>9295</v>
      </c>
      <c r="BQ171" s="418">
        <f t="shared" si="345"/>
        <v>275</v>
      </c>
      <c r="BR171" s="418">
        <f>R171+AV171</f>
        <v>1350</v>
      </c>
      <c r="BS171" s="419">
        <f>S171+BH171</f>
        <v>9.9400000000000002E-2</v>
      </c>
      <c r="BT171" s="419">
        <f t="shared" si="346"/>
        <v>0</v>
      </c>
      <c r="BU171" s="421">
        <f t="shared" si="346"/>
        <v>9.9400000000000002E-2</v>
      </c>
      <c r="BV171" s="854"/>
      <c r="BW171" s="723"/>
      <c r="BX171" s="723"/>
      <c r="BY171" s="723"/>
      <c r="BZ171" s="723"/>
      <c r="CA171" s="855"/>
    </row>
    <row r="172" spans="1:79" ht="12.95" customHeight="1" x14ac:dyDescent="0.25">
      <c r="A172" s="213">
        <v>34</v>
      </c>
      <c r="B172" s="45">
        <v>5441</v>
      </c>
      <c r="C172" s="45">
        <v>600099270</v>
      </c>
      <c r="D172" s="45">
        <v>856118</v>
      </c>
      <c r="E172" s="374" t="s">
        <v>516</v>
      </c>
      <c r="F172" s="45"/>
      <c r="G172" s="374"/>
      <c r="H172" s="182"/>
      <c r="I172" s="488">
        <v>18917982</v>
      </c>
      <c r="J172" s="485">
        <v>13841974</v>
      </c>
      <c r="K172" s="485">
        <v>11925011</v>
      </c>
      <c r="L172" s="485">
        <v>1916963</v>
      </c>
      <c r="M172" s="485">
        <v>57200</v>
      </c>
      <c r="N172" s="485">
        <v>27200</v>
      </c>
      <c r="O172" s="485">
        <v>30000</v>
      </c>
      <c r="P172" s="485">
        <v>4697920</v>
      </c>
      <c r="Q172" s="485">
        <v>138419</v>
      </c>
      <c r="R172" s="485">
        <v>182469</v>
      </c>
      <c r="S172" s="486">
        <v>24.736300000000004</v>
      </c>
      <c r="T172" s="486">
        <v>18.9605</v>
      </c>
      <c r="U172" s="657">
        <v>5.7758000000000003</v>
      </c>
      <c r="V172" s="488">
        <f t="shared" ref="V172:CA172" si="347">SUM(V167:V171)</f>
        <v>0</v>
      </c>
      <c r="W172" s="485">
        <f t="shared" si="347"/>
        <v>0</v>
      </c>
      <c r="X172" s="485">
        <f t="shared" si="347"/>
        <v>0</v>
      </c>
      <c r="Y172" s="485">
        <f t="shared" si="347"/>
        <v>0</v>
      </c>
      <c r="Z172" s="485">
        <f t="shared" si="347"/>
        <v>0</v>
      </c>
      <c r="AA172" s="485">
        <f t="shared" si="347"/>
        <v>505318</v>
      </c>
      <c r="AB172" s="485">
        <f t="shared" si="347"/>
        <v>0</v>
      </c>
      <c r="AC172" s="485">
        <f t="shared" si="347"/>
        <v>0</v>
      </c>
      <c r="AD172" s="485">
        <f t="shared" si="347"/>
        <v>0</v>
      </c>
      <c r="AE172" s="485">
        <f t="shared" si="347"/>
        <v>505318</v>
      </c>
      <c r="AF172" s="485">
        <f t="shared" si="347"/>
        <v>505318</v>
      </c>
      <c r="AG172" s="485">
        <f t="shared" si="347"/>
        <v>0</v>
      </c>
      <c r="AH172" s="485">
        <f t="shared" si="347"/>
        <v>0</v>
      </c>
      <c r="AI172" s="485">
        <f t="shared" si="347"/>
        <v>0</v>
      </c>
      <c r="AJ172" s="485">
        <f t="shared" si="347"/>
        <v>0</v>
      </c>
      <c r="AK172" s="485">
        <f t="shared" si="347"/>
        <v>0</v>
      </c>
      <c r="AL172" s="485">
        <f t="shared" si="347"/>
        <v>0</v>
      </c>
      <c r="AM172" s="485">
        <f t="shared" si="347"/>
        <v>0</v>
      </c>
      <c r="AN172" s="485">
        <f t="shared" si="347"/>
        <v>0</v>
      </c>
      <c r="AO172" s="485">
        <f t="shared" si="347"/>
        <v>0</v>
      </c>
      <c r="AP172" s="485">
        <f t="shared" si="347"/>
        <v>505318</v>
      </c>
      <c r="AQ172" s="485">
        <f t="shared" si="347"/>
        <v>505318</v>
      </c>
      <c r="AR172" s="485">
        <f t="shared" si="347"/>
        <v>170797</v>
      </c>
      <c r="AS172" s="485">
        <f t="shared" si="347"/>
        <v>5053</v>
      </c>
      <c r="AT172" s="485">
        <f t="shared" si="347"/>
        <v>0</v>
      </c>
      <c r="AU172" s="485">
        <f t="shared" si="347"/>
        <v>4260</v>
      </c>
      <c r="AV172" s="485">
        <f t="shared" si="347"/>
        <v>4260</v>
      </c>
      <c r="AW172" s="485">
        <f t="shared" si="347"/>
        <v>685428</v>
      </c>
      <c r="AX172" s="486">
        <f t="shared" si="347"/>
        <v>0</v>
      </c>
      <c r="AY172" s="486">
        <f t="shared" si="347"/>
        <v>0</v>
      </c>
      <c r="AZ172" s="486">
        <f t="shared" si="347"/>
        <v>0</v>
      </c>
      <c r="BA172" s="486">
        <f t="shared" si="347"/>
        <v>0</v>
      </c>
      <c r="BB172" s="486">
        <f t="shared" ref="BB172" si="348">SUM(BB167:BB171)</f>
        <v>1.51</v>
      </c>
      <c r="BC172" s="486">
        <f t="shared" si="347"/>
        <v>0</v>
      </c>
      <c r="BD172" s="486">
        <f t="shared" si="347"/>
        <v>0</v>
      </c>
      <c r="BE172" s="486">
        <f t="shared" ref="BE172" si="349">SUM(BE167:BE171)</f>
        <v>0</v>
      </c>
      <c r="BF172" s="486">
        <f t="shared" si="347"/>
        <v>0</v>
      </c>
      <c r="BG172" s="486">
        <f t="shared" si="347"/>
        <v>1.51</v>
      </c>
      <c r="BH172" s="379">
        <f t="shared" si="347"/>
        <v>1.51</v>
      </c>
      <c r="BI172" s="793">
        <f t="shared" si="347"/>
        <v>19603410</v>
      </c>
      <c r="BJ172" s="485">
        <f t="shared" si="347"/>
        <v>14347292</v>
      </c>
      <c r="BK172" s="485">
        <f t="shared" si="347"/>
        <v>11925011</v>
      </c>
      <c r="BL172" s="485">
        <f t="shared" si="347"/>
        <v>2422281</v>
      </c>
      <c r="BM172" s="485">
        <f t="shared" si="347"/>
        <v>57200</v>
      </c>
      <c r="BN172" s="485">
        <f t="shared" si="347"/>
        <v>27200</v>
      </c>
      <c r="BO172" s="485">
        <f t="shared" si="347"/>
        <v>30000</v>
      </c>
      <c r="BP172" s="485">
        <f t="shared" si="347"/>
        <v>4868717</v>
      </c>
      <c r="BQ172" s="485">
        <f t="shared" si="347"/>
        <v>143472</v>
      </c>
      <c r="BR172" s="485">
        <f t="shared" si="347"/>
        <v>186729</v>
      </c>
      <c r="BS172" s="486">
        <f t="shared" si="347"/>
        <v>26.246300000000002</v>
      </c>
      <c r="BT172" s="486">
        <f t="shared" si="347"/>
        <v>18.9605</v>
      </c>
      <c r="BU172" s="379">
        <f t="shared" si="347"/>
        <v>7.2858000000000001</v>
      </c>
      <c r="BV172" s="871">
        <f t="shared" si="347"/>
        <v>304109</v>
      </c>
      <c r="BW172" s="734">
        <f t="shared" si="347"/>
        <v>225600</v>
      </c>
      <c r="BX172" s="734">
        <f t="shared" si="347"/>
        <v>0</v>
      </c>
      <c r="BY172" s="734">
        <f t="shared" si="347"/>
        <v>76253</v>
      </c>
      <c r="BZ172" s="734">
        <f t="shared" si="347"/>
        <v>2256</v>
      </c>
      <c r="CA172" s="872">
        <f t="shared" si="347"/>
        <v>0.4</v>
      </c>
    </row>
    <row r="173" spans="1:79" ht="12.95" customHeight="1" x14ac:dyDescent="0.25">
      <c r="A173" s="280">
        <v>35</v>
      </c>
      <c r="B173" s="376">
        <v>2306</v>
      </c>
      <c r="C173" s="376">
        <v>650025873</v>
      </c>
      <c r="D173" s="281">
        <v>70695946</v>
      </c>
      <c r="E173" s="372" t="s">
        <v>517</v>
      </c>
      <c r="F173" s="212">
        <v>3111</v>
      </c>
      <c r="G173" s="373" t="s">
        <v>304</v>
      </c>
      <c r="H173" s="285" t="s">
        <v>271</v>
      </c>
      <c r="I173" s="420">
        <v>3039996</v>
      </c>
      <c r="J173" s="415">
        <v>2247664</v>
      </c>
      <c r="K173" s="415">
        <v>2127856</v>
      </c>
      <c r="L173" s="415">
        <v>119808</v>
      </c>
      <c r="M173" s="415">
        <v>0</v>
      </c>
      <c r="N173" s="415">
        <v>0</v>
      </c>
      <c r="O173" s="415">
        <v>0</v>
      </c>
      <c r="P173" s="68">
        <v>759710</v>
      </c>
      <c r="Q173" s="68">
        <v>22476</v>
      </c>
      <c r="R173" s="415">
        <v>10146</v>
      </c>
      <c r="S173" s="416">
        <v>4.2058</v>
      </c>
      <c r="T173" s="416">
        <v>3.7258</v>
      </c>
      <c r="U173" s="423">
        <v>0.48</v>
      </c>
      <c r="V173" s="424">
        <f t="shared" ref="V173:W178" si="350">AG173*-1</f>
        <v>0</v>
      </c>
      <c r="W173" s="418">
        <f t="shared" si="350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ref="AD173:AD178" si="351">V173+X173+Y173+Z173+AB173</f>
        <v>0</v>
      </c>
      <c r="AE173" s="418">
        <f t="shared" ref="AE173:AE178" si="352">W173+AA173+AC173</f>
        <v>0</v>
      </c>
      <c r="AF173" s="418">
        <f t="shared" ref="AF173:AF178" si="353">SUM(AD173:AE173)</f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ref="AL173:AL178" si="354">AG173+AI173+AJ173</f>
        <v>0</v>
      </c>
      <c r="AM173" s="418">
        <f t="shared" ref="AM173:AM178" si="355">AH173+AK173</f>
        <v>0</v>
      </c>
      <c r="AN173" s="418">
        <f t="shared" ref="AN173:AN178" si="356">SUM(AL173:AM173)</f>
        <v>0</v>
      </c>
      <c r="AO173" s="418">
        <f t="shared" ref="AO173:AP178" si="357">AD173+AL173</f>
        <v>0</v>
      </c>
      <c r="AP173" s="418">
        <f t="shared" si="357"/>
        <v>0</v>
      </c>
      <c r="AQ173" s="418">
        <f t="shared" ref="AQ173:AQ178" si="358">SUM(AO173:AP173)</f>
        <v>0</v>
      </c>
      <c r="AR173" s="68">
        <f t="shared" ref="AR173:AR178" si="359">ROUND((AF173+AG173+AH173+AI173)*33.8%,0)</f>
        <v>0</v>
      </c>
      <c r="AS173" s="68">
        <f t="shared" ref="AS173:AS178" si="360">ROUND(AF173*1%,0)</f>
        <v>0</v>
      </c>
      <c r="AT173" s="418">
        <v>0</v>
      </c>
      <c r="AU173" s="418">
        <v>0</v>
      </c>
      <c r="AV173" s="418">
        <f t="shared" ref="AV173:AV178" si="361">AT173+AU173</f>
        <v>0</v>
      </c>
      <c r="AW173" s="418">
        <f t="shared" ref="AW173:AW178" si="362">AQ173+AR173+AS173+AV173</f>
        <v>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</v>
      </c>
      <c r="BC173" s="419">
        <v>0</v>
      </c>
      <c r="BD173" s="419">
        <v>0</v>
      </c>
      <c r="BE173" s="419">
        <v>0</v>
      </c>
      <c r="BF173" s="419">
        <f t="shared" ref="BF173:BF178" si="363">AX173+AZ173+BA173+BC173+BD173</f>
        <v>0</v>
      </c>
      <c r="BG173" s="419">
        <f t="shared" ref="BG173:BG178" si="364">AY173+BB173+BE173</f>
        <v>0</v>
      </c>
      <c r="BH173" s="421">
        <f t="shared" ref="BH173:BH178" si="365">SUM(BF173:BG173)</f>
        <v>0</v>
      </c>
      <c r="BI173" s="780">
        <f t="shared" ref="BI173:BI178" si="366">I173+AW173</f>
        <v>3039996</v>
      </c>
      <c r="BJ173" s="418">
        <f t="shared" ref="BJ173:BJ178" si="367">J173+AF173</f>
        <v>2247664</v>
      </c>
      <c r="BK173" s="418">
        <f t="shared" ref="BK173:BL178" si="368">K173+AD173</f>
        <v>2127856</v>
      </c>
      <c r="BL173" s="418">
        <f t="shared" si="368"/>
        <v>119808</v>
      </c>
      <c r="BM173" s="418">
        <f t="shared" ref="BM173:BM178" si="369">M173+AN173</f>
        <v>0</v>
      </c>
      <c r="BN173" s="418">
        <f t="shared" ref="BN173:BO178" si="370">N173+AL173</f>
        <v>0</v>
      </c>
      <c r="BO173" s="418">
        <f t="shared" si="370"/>
        <v>0</v>
      </c>
      <c r="BP173" s="418">
        <f t="shared" ref="BP173:BQ178" si="371">P173+AR173</f>
        <v>759710</v>
      </c>
      <c r="BQ173" s="418">
        <f t="shared" si="371"/>
        <v>22476</v>
      </c>
      <c r="BR173" s="418">
        <f t="shared" ref="BR173:BR178" si="372">R173+AV173</f>
        <v>10146</v>
      </c>
      <c r="BS173" s="419">
        <f t="shared" ref="BS173:BS178" si="373">S173+BH173</f>
        <v>4.2058</v>
      </c>
      <c r="BT173" s="419">
        <f t="shared" ref="BT173:BU178" si="374">T173+BF173</f>
        <v>3.7258</v>
      </c>
      <c r="BU173" s="421">
        <f t="shared" si="374"/>
        <v>0.48</v>
      </c>
      <c r="BV173" s="854"/>
      <c r="BW173" s="723"/>
      <c r="BX173" s="723"/>
      <c r="BY173" s="723"/>
      <c r="BZ173" s="723"/>
      <c r="CA173" s="855"/>
    </row>
    <row r="174" spans="1:79" ht="12.95" customHeight="1" x14ac:dyDescent="0.25">
      <c r="A174" s="280">
        <v>35</v>
      </c>
      <c r="B174" s="376">
        <v>2306</v>
      </c>
      <c r="C174" s="376">
        <v>650025873</v>
      </c>
      <c r="D174" s="281">
        <v>70695946</v>
      </c>
      <c r="E174" s="211" t="s">
        <v>517</v>
      </c>
      <c r="F174" s="376">
        <v>3117</v>
      </c>
      <c r="G174" s="372" t="s">
        <v>308</v>
      </c>
      <c r="H174" s="285" t="s">
        <v>271</v>
      </c>
      <c r="I174" s="420">
        <v>2851023</v>
      </c>
      <c r="J174" s="415">
        <v>2090626</v>
      </c>
      <c r="K174" s="415">
        <v>1760230</v>
      </c>
      <c r="L174" s="415">
        <v>330396</v>
      </c>
      <c r="M174" s="415">
        <v>0</v>
      </c>
      <c r="N174" s="415">
        <v>0</v>
      </c>
      <c r="O174" s="415">
        <v>0</v>
      </c>
      <c r="P174" s="68">
        <v>706632</v>
      </c>
      <c r="Q174" s="68">
        <v>20906</v>
      </c>
      <c r="R174" s="415">
        <v>32859</v>
      </c>
      <c r="S174" s="416">
        <v>3.8422999999999998</v>
      </c>
      <c r="T174" s="416">
        <v>2.9091</v>
      </c>
      <c r="U174" s="423">
        <v>0.93320000000000003</v>
      </c>
      <c r="V174" s="424">
        <f t="shared" si="350"/>
        <v>0</v>
      </c>
      <c r="W174" s="418">
        <f t="shared" si="350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 t="shared" si="351"/>
        <v>0</v>
      </c>
      <c r="AE174" s="418">
        <f t="shared" si="352"/>
        <v>0</v>
      </c>
      <c r="AF174" s="418">
        <f t="shared" si="353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354"/>
        <v>0</v>
      </c>
      <c r="AM174" s="418">
        <f t="shared" si="355"/>
        <v>0</v>
      </c>
      <c r="AN174" s="418">
        <f t="shared" si="356"/>
        <v>0</v>
      </c>
      <c r="AO174" s="418">
        <f t="shared" si="357"/>
        <v>0</v>
      </c>
      <c r="AP174" s="418">
        <f t="shared" si="357"/>
        <v>0</v>
      </c>
      <c r="AQ174" s="418">
        <f t="shared" si="358"/>
        <v>0</v>
      </c>
      <c r="AR174" s="68">
        <f t="shared" si="359"/>
        <v>0</v>
      </c>
      <c r="AS174" s="68">
        <f t="shared" si="360"/>
        <v>0</v>
      </c>
      <c r="AT174" s="418">
        <v>0</v>
      </c>
      <c r="AU174" s="418">
        <v>0</v>
      </c>
      <c r="AV174" s="418">
        <f t="shared" si="361"/>
        <v>0</v>
      </c>
      <c r="AW174" s="418">
        <f t="shared" si="362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363"/>
        <v>0</v>
      </c>
      <c r="BG174" s="419">
        <f t="shared" si="364"/>
        <v>0</v>
      </c>
      <c r="BH174" s="421">
        <f t="shared" si="365"/>
        <v>0</v>
      </c>
      <c r="BI174" s="780">
        <f t="shared" si="366"/>
        <v>2851023</v>
      </c>
      <c r="BJ174" s="418">
        <f t="shared" si="367"/>
        <v>2090626</v>
      </c>
      <c r="BK174" s="418">
        <f t="shared" si="368"/>
        <v>1760230</v>
      </c>
      <c r="BL174" s="418">
        <f t="shared" si="368"/>
        <v>330396</v>
      </c>
      <c r="BM174" s="418">
        <f t="shared" si="369"/>
        <v>0</v>
      </c>
      <c r="BN174" s="418">
        <f t="shared" si="370"/>
        <v>0</v>
      </c>
      <c r="BO174" s="418">
        <f t="shared" si="370"/>
        <v>0</v>
      </c>
      <c r="BP174" s="418">
        <f t="shared" si="371"/>
        <v>706632</v>
      </c>
      <c r="BQ174" s="418">
        <f t="shared" si="371"/>
        <v>20906</v>
      </c>
      <c r="BR174" s="418">
        <f t="shared" si="372"/>
        <v>32859</v>
      </c>
      <c r="BS174" s="419">
        <f t="shared" si="373"/>
        <v>3.8422999999999998</v>
      </c>
      <c r="BT174" s="419">
        <f t="shared" si="374"/>
        <v>2.9091</v>
      </c>
      <c r="BU174" s="421">
        <f t="shared" si="374"/>
        <v>0.93320000000000003</v>
      </c>
      <c r="BV174" s="854"/>
      <c r="BW174" s="723"/>
      <c r="BX174" s="723"/>
      <c r="BY174" s="723"/>
      <c r="BZ174" s="723"/>
      <c r="CA174" s="855"/>
    </row>
    <row r="175" spans="1:79" ht="12.95" customHeight="1" x14ac:dyDescent="0.25">
      <c r="A175" s="280">
        <v>35</v>
      </c>
      <c r="B175" s="212">
        <v>2306</v>
      </c>
      <c r="C175" s="212">
        <v>650025873</v>
      </c>
      <c r="D175" s="281">
        <v>70695946</v>
      </c>
      <c r="E175" s="211" t="s">
        <v>517</v>
      </c>
      <c r="F175" s="376">
        <v>3117</v>
      </c>
      <c r="G175" s="323" t="s">
        <v>291</v>
      </c>
      <c r="H175" s="285" t="s">
        <v>272</v>
      </c>
      <c r="I175" s="420">
        <v>319348</v>
      </c>
      <c r="J175" s="415">
        <v>236905</v>
      </c>
      <c r="K175" s="415">
        <v>236905</v>
      </c>
      <c r="L175" s="415">
        <v>0</v>
      </c>
      <c r="M175" s="415">
        <v>0</v>
      </c>
      <c r="N175" s="415">
        <v>0</v>
      </c>
      <c r="O175" s="415">
        <v>0</v>
      </c>
      <c r="P175" s="68">
        <v>80074</v>
      </c>
      <c r="Q175" s="68">
        <v>2369</v>
      </c>
      <c r="R175" s="415">
        <v>0</v>
      </c>
      <c r="S175" s="416">
        <v>0.64</v>
      </c>
      <c r="T175" s="416">
        <v>0.64</v>
      </c>
      <c r="U175" s="423">
        <v>0</v>
      </c>
      <c r="V175" s="424">
        <f t="shared" si="350"/>
        <v>0</v>
      </c>
      <c r="W175" s="418">
        <f t="shared" si="350"/>
        <v>0</v>
      </c>
      <c r="X175" s="418">
        <v>0</v>
      </c>
      <c r="Y175" s="418">
        <v>0</v>
      </c>
      <c r="Z175" s="418">
        <v>0</v>
      </c>
      <c r="AA175" s="418">
        <v>0</v>
      </c>
      <c r="AB175" s="418">
        <v>0</v>
      </c>
      <c r="AC175" s="418">
        <v>0</v>
      </c>
      <c r="AD175" s="418">
        <f t="shared" si="351"/>
        <v>0</v>
      </c>
      <c r="AE175" s="418">
        <f t="shared" si="352"/>
        <v>0</v>
      </c>
      <c r="AF175" s="418">
        <f t="shared" si="353"/>
        <v>0</v>
      </c>
      <c r="AG175" s="418">
        <v>0</v>
      </c>
      <c r="AH175" s="418">
        <v>0</v>
      </c>
      <c r="AI175" s="418">
        <v>0</v>
      </c>
      <c r="AJ175" s="418">
        <v>0</v>
      </c>
      <c r="AK175" s="418">
        <v>0</v>
      </c>
      <c r="AL175" s="418">
        <f t="shared" si="354"/>
        <v>0</v>
      </c>
      <c r="AM175" s="418">
        <f t="shared" si="355"/>
        <v>0</v>
      </c>
      <c r="AN175" s="418">
        <f t="shared" si="356"/>
        <v>0</v>
      </c>
      <c r="AO175" s="418">
        <f t="shared" si="357"/>
        <v>0</v>
      </c>
      <c r="AP175" s="418">
        <f t="shared" si="357"/>
        <v>0</v>
      </c>
      <c r="AQ175" s="418">
        <f t="shared" si="358"/>
        <v>0</v>
      </c>
      <c r="AR175" s="68">
        <f t="shared" si="359"/>
        <v>0</v>
      </c>
      <c r="AS175" s="68">
        <f t="shared" si="360"/>
        <v>0</v>
      </c>
      <c r="AT175" s="418">
        <v>0</v>
      </c>
      <c r="AU175" s="418">
        <v>0</v>
      </c>
      <c r="AV175" s="418">
        <f t="shared" si="361"/>
        <v>0</v>
      </c>
      <c r="AW175" s="418">
        <f t="shared" si="362"/>
        <v>0</v>
      </c>
      <c r="AX175" s="419">
        <v>0</v>
      </c>
      <c r="AY175" s="419">
        <v>0</v>
      </c>
      <c r="AZ175" s="419">
        <v>0</v>
      </c>
      <c r="BA175" s="419">
        <v>0</v>
      </c>
      <c r="BB175" s="419">
        <v>0</v>
      </c>
      <c r="BC175" s="419">
        <v>0</v>
      </c>
      <c r="BD175" s="419">
        <v>0</v>
      </c>
      <c r="BE175" s="419">
        <v>0</v>
      </c>
      <c r="BF175" s="419">
        <f t="shared" si="363"/>
        <v>0</v>
      </c>
      <c r="BG175" s="419">
        <f t="shared" si="364"/>
        <v>0</v>
      </c>
      <c r="BH175" s="421">
        <f t="shared" si="365"/>
        <v>0</v>
      </c>
      <c r="BI175" s="780">
        <f t="shared" si="366"/>
        <v>319348</v>
      </c>
      <c r="BJ175" s="418">
        <f t="shared" si="367"/>
        <v>236905</v>
      </c>
      <c r="BK175" s="418">
        <f t="shared" si="368"/>
        <v>236905</v>
      </c>
      <c r="BL175" s="418">
        <f t="shared" si="368"/>
        <v>0</v>
      </c>
      <c r="BM175" s="418">
        <f t="shared" si="369"/>
        <v>0</v>
      </c>
      <c r="BN175" s="418">
        <f t="shared" si="370"/>
        <v>0</v>
      </c>
      <c r="BO175" s="418">
        <f t="shared" si="370"/>
        <v>0</v>
      </c>
      <c r="BP175" s="418">
        <f t="shared" si="371"/>
        <v>80074</v>
      </c>
      <c r="BQ175" s="418">
        <f t="shared" si="371"/>
        <v>2369</v>
      </c>
      <c r="BR175" s="418">
        <f t="shared" si="372"/>
        <v>0</v>
      </c>
      <c r="BS175" s="419">
        <f t="shared" si="373"/>
        <v>0.64</v>
      </c>
      <c r="BT175" s="419">
        <f t="shared" si="374"/>
        <v>0.64</v>
      </c>
      <c r="BU175" s="421">
        <f t="shared" si="374"/>
        <v>0</v>
      </c>
      <c r="BV175" s="854"/>
      <c r="BW175" s="723"/>
      <c r="BX175" s="723"/>
      <c r="BY175" s="723"/>
      <c r="BZ175" s="723"/>
      <c r="CA175" s="855"/>
    </row>
    <row r="176" spans="1:79" ht="12.95" customHeight="1" x14ac:dyDescent="0.25">
      <c r="A176" s="280">
        <v>35</v>
      </c>
      <c r="B176" s="212">
        <v>2306</v>
      </c>
      <c r="C176" s="212">
        <v>650025873</v>
      </c>
      <c r="D176" s="281">
        <v>70695946</v>
      </c>
      <c r="E176" s="371" t="s">
        <v>517</v>
      </c>
      <c r="F176" s="382">
        <v>3141</v>
      </c>
      <c r="G176" s="373" t="s">
        <v>294</v>
      </c>
      <c r="H176" s="285" t="s">
        <v>272</v>
      </c>
      <c r="I176" s="420">
        <v>610660</v>
      </c>
      <c r="J176" s="415">
        <v>451298</v>
      </c>
      <c r="K176" s="415">
        <v>0</v>
      </c>
      <c r="L176" s="415">
        <v>451298</v>
      </c>
      <c r="M176" s="415">
        <v>0</v>
      </c>
      <c r="N176" s="415">
        <v>0</v>
      </c>
      <c r="O176" s="415">
        <v>0</v>
      </c>
      <c r="P176" s="68">
        <v>152539</v>
      </c>
      <c r="Q176" s="68">
        <v>4513</v>
      </c>
      <c r="R176" s="415">
        <v>2310</v>
      </c>
      <c r="S176" s="416">
        <v>1.3532999999999999</v>
      </c>
      <c r="T176" s="416">
        <v>0</v>
      </c>
      <c r="U176" s="423">
        <v>1.3532999999999999</v>
      </c>
      <c r="V176" s="424">
        <f t="shared" si="350"/>
        <v>0</v>
      </c>
      <c r="W176" s="418">
        <f t="shared" si="350"/>
        <v>0</v>
      </c>
      <c r="X176" s="418">
        <v>0</v>
      </c>
      <c r="Y176" s="418">
        <v>0</v>
      </c>
      <c r="Z176" s="418">
        <v>0</v>
      </c>
      <c r="AA176" s="418">
        <v>227059</v>
      </c>
      <c r="AB176" s="418">
        <v>0</v>
      </c>
      <c r="AC176" s="418">
        <v>0</v>
      </c>
      <c r="AD176" s="418">
        <f t="shared" si="351"/>
        <v>0</v>
      </c>
      <c r="AE176" s="418">
        <f t="shared" si="352"/>
        <v>227059</v>
      </c>
      <c r="AF176" s="418">
        <f t="shared" si="353"/>
        <v>227059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354"/>
        <v>0</v>
      </c>
      <c r="AM176" s="418">
        <f t="shared" si="355"/>
        <v>0</v>
      </c>
      <c r="AN176" s="418">
        <f t="shared" si="356"/>
        <v>0</v>
      </c>
      <c r="AO176" s="418">
        <f t="shared" si="357"/>
        <v>0</v>
      </c>
      <c r="AP176" s="418">
        <f t="shared" si="357"/>
        <v>227059</v>
      </c>
      <c r="AQ176" s="418">
        <f t="shared" si="358"/>
        <v>227059</v>
      </c>
      <c r="AR176" s="68">
        <f t="shared" si="359"/>
        <v>76746</v>
      </c>
      <c r="AS176" s="68">
        <f t="shared" si="360"/>
        <v>2271</v>
      </c>
      <c r="AT176" s="418">
        <v>0</v>
      </c>
      <c r="AU176" s="418">
        <v>1122</v>
      </c>
      <c r="AV176" s="418">
        <f t="shared" si="361"/>
        <v>1122</v>
      </c>
      <c r="AW176" s="418">
        <f t="shared" si="362"/>
        <v>307198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0.68</v>
      </c>
      <c r="BC176" s="419">
        <v>0</v>
      </c>
      <c r="BD176" s="419">
        <v>0</v>
      </c>
      <c r="BE176" s="419">
        <v>0</v>
      </c>
      <c r="BF176" s="419">
        <f t="shared" si="363"/>
        <v>0</v>
      </c>
      <c r="BG176" s="419">
        <f t="shared" si="364"/>
        <v>0.68</v>
      </c>
      <c r="BH176" s="421">
        <f t="shared" si="365"/>
        <v>0.68</v>
      </c>
      <c r="BI176" s="780">
        <f t="shared" si="366"/>
        <v>917858</v>
      </c>
      <c r="BJ176" s="418">
        <f t="shared" si="367"/>
        <v>678357</v>
      </c>
      <c r="BK176" s="418">
        <f t="shared" si="368"/>
        <v>0</v>
      </c>
      <c r="BL176" s="418">
        <f t="shared" si="368"/>
        <v>678357</v>
      </c>
      <c r="BM176" s="418">
        <f t="shared" si="369"/>
        <v>0</v>
      </c>
      <c r="BN176" s="418">
        <f t="shared" si="370"/>
        <v>0</v>
      </c>
      <c r="BO176" s="418">
        <f t="shared" si="370"/>
        <v>0</v>
      </c>
      <c r="BP176" s="418">
        <f t="shared" si="371"/>
        <v>229285</v>
      </c>
      <c r="BQ176" s="418">
        <f t="shared" si="371"/>
        <v>6784</v>
      </c>
      <c r="BR176" s="418">
        <f t="shared" si="372"/>
        <v>3432</v>
      </c>
      <c r="BS176" s="419">
        <f t="shared" si="373"/>
        <v>2.0333000000000001</v>
      </c>
      <c r="BT176" s="419">
        <f t="shared" si="374"/>
        <v>0</v>
      </c>
      <c r="BU176" s="421">
        <f t="shared" si="374"/>
        <v>2.0333000000000001</v>
      </c>
      <c r="BV176" s="854"/>
      <c r="BW176" s="723"/>
      <c r="BX176" s="723"/>
      <c r="BY176" s="723"/>
      <c r="BZ176" s="723"/>
      <c r="CA176" s="855"/>
    </row>
    <row r="177" spans="1:79" ht="12.95" customHeight="1" x14ac:dyDescent="0.25">
      <c r="A177" s="280">
        <v>35</v>
      </c>
      <c r="B177" s="212">
        <v>2306</v>
      </c>
      <c r="C177" s="212">
        <v>650025873</v>
      </c>
      <c r="D177" s="281">
        <v>70695946</v>
      </c>
      <c r="E177" s="211" t="s">
        <v>517</v>
      </c>
      <c r="F177" s="212">
        <v>3143</v>
      </c>
      <c r="G177" s="323" t="s">
        <v>595</v>
      </c>
      <c r="H177" s="285" t="s">
        <v>271</v>
      </c>
      <c r="I177" s="420">
        <v>766407</v>
      </c>
      <c r="J177" s="415">
        <v>568551</v>
      </c>
      <c r="K177" s="415">
        <v>568551</v>
      </c>
      <c r="L177" s="415">
        <v>0</v>
      </c>
      <c r="M177" s="415">
        <v>0</v>
      </c>
      <c r="N177" s="415">
        <v>0</v>
      </c>
      <c r="O177" s="415">
        <v>0</v>
      </c>
      <c r="P177" s="68">
        <v>192170</v>
      </c>
      <c r="Q177" s="68">
        <v>5686</v>
      </c>
      <c r="R177" s="415">
        <v>0</v>
      </c>
      <c r="S177" s="416">
        <v>1.1341000000000001</v>
      </c>
      <c r="T177" s="416">
        <v>1.1341000000000001</v>
      </c>
      <c r="U177" s="423">
        <v>0</v>
      </c>
      <c r="V177" s="424">
        <f t="shared" si="350"/>
        <v>0</v>
      </c>
      <c r="W177" s="418">
        <f t="shared" si="350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 t="shared" si="351"/>
        <v>0</v>
      </c>
      <c r="AE177" s="418">
        <f t="shared" si="352"/>
        <v>0</v>
      </c>
      <c r="AF177" s="418">
        <f t="shared" si="353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354"/>
        <v>0</v>
      </c>
      <c r="AM177" s="418">
        <f t="shared" si="355"/>
        <v>0</v>
      </c>
      <c r="AN177" s="418">
        <f t="shared" si="356"/>
        <v>0</v>
      </c>
      <c r="AO177" s="418">
        <f t="shared" si="357"/>
        <v>0</v>
      </c>
      <c r="AP177" s="418">
        <f t="shared" si="357"/>
        <v>0</v>
      </c>
      <c r="AQ177" s="418">
        <f t="shared" si="358"/>
        <v>0</v>
      </c>
      <c r="AR177" s="68">
        <f t="shared" si="359"/>
        <v>0</v>
      </c>
      <c r="AS177" s="68">
        <f t="shared" si="360"/>
        <v>0</v>
      </c>
      <c r="AT177" s="418">
        <v>0</v>
      </c>
      <c r="AU177" s="418">
        <v>0</v>
      </c>
      <c r="AV177" s="418">
        <f t="shared" si="361"/>
        <v>0</v>
      </c>
      <c r="AW177" s="418">
        <f t="shared" si="362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363"/>
        <v>0</v>
      </c>
      <c r="BG177" s="419">
        <f t="shared" si="364"/>
        <v>0</v>
      </c>
      <c r="BH177" s="421">
        <f t="shared" si="365"/>
        <v>0</v>
      </c>
      <c r="BI177" s="780">
        <f t="shared" si="366"/>
        <v>766407</v>
      </c>
      <c r="BJ177" s="418">
        <f t="shared" si="367"/>
        <v>568551</v>
      </c>
      <c r="BK177" s="418">
        <f t="shared" si="368"/>
        <v>568551</v>
      </c>
      <c r="BL177" s="418">
        <f t="shared" si="368"/>
        <v>0</v>
      </c>
      <c r="BM177" s="418">
        <f t="shared" si="369"/>
        <v>0</v>
      </c>
      <c r="BN177" s="418">
        <f t="shared" si="370"/>
        <v>0</v>
      </c>
      <c r="BO177" s="418">
        <f t="shared" si="370"/>
        <v>0</v>
      </c>
      <c r="BP177" s="418">
        <f t="shared" si="371"/>
        <v>192170</v>
      </c>
      <c r="BQ177" s="418">
        <f t="shared" si="371"/>
        <v>5686</v>
      </c>
      <c r="BR177" s="418">
        <f t="shared" si="372"/>
        <v>0</v>
      </c>
      <c r="BS177" s="419">
        <f t="shared" si="373"/>
        <v>1.1341000000000001</v>
      </c>
      <c r="BT177" s="419">
        <f t="shared" si="374"/>
        <v>1.1341000000000001</v>
      </c>
      <c r="BU177" s="421">
        <f t="shared" si="374"/>
        <v>0</v>
      </c>
      <c r="BV177" s="854"/>
      <c r="BW177" s="723"/>
      <c r="BX177" s="723"/>
      <c r="BY177" s="723"/>
      <c r="BZ177" s="723"/>
      <c r="CA177" s="855"/>
    </row>
    <row r="178" spans="1:79" ht="12.95" customHeight="1" x14ac:dyDescent="0.25">
      <c r="A178" s="280">
        <v>35</v>
      </c>
      <c r="B178" s="212">
        <v>2306</v>
      </c>
      <c r="C178" s="212">
        <v>650025873</v>
      </c>
      <c r="D178" s="281">
        <v>70695946</v>
      </c>
      <c r="E178" s="211" t="s">
        <v>517</v>
      </c>
      <c r="F178" s="212">
        <v>3143</v>
      </c>
      <c r="G178" s="323" t="s">
        <v>596</v>
      </c>
      <c r="H178" s="285" t="s">
        <v>272</v>
      </c>
      <c r="I178" s="420">
        <v>13831</v>
      </c>
      <c r="J178" s="415">
        <v>9900</v>
      </c>
      <c r="K178" s="415">
        <v>0</v>
      </c>
      <c r="L178" s="415">
        <v>9900</v>
      </c>
      <c r="M178" s="415">
        <v>0</v>
      </c>
      <c r="N178" s="415">
        <v>0</v>
      </c>
      <c r="O178" s="415">
        <v>0</v>
      </c>
      <c r="P178" s="68">
        <v>3346</v>
      </c>
      <c r="Q178" s="68">
        <v>99</v>
      </c>
      <c r="R178" s="415">
        <v>486</v>
      </c>
      <c r="S178" s="416">
        <v>3.7499999999999999E-2</v>
      </c>
      <c r="T178" s="416">
        <v>0</v>
      </c>
      <c r="U178" s="423">
        <v>3.7499999999999999E-2</v>
      </c>
      <c r="V178" s="424">
        <f t="shared" si="350"/>
        <v>0</v>
      </c>
      <c r="W178" s="418">
        <f t="shared" si="350"/>
        <v>0</v>
      </c>
      <c r="X178" s="418">
        <v>0</v>
      </c>
      <c r="Y178" s="418">
        <v>0</v>
      </c>
      <c r="Z178" s="418">
        <v>0</v>
      </c>
      <c r="AA178" s="418">
        <v>4950</v>
      </c>
      <c r="AB178" s="418">
        <v>0</v>
      </c>
      <c r="AC178" s="418">
        <v>0</v>
      </c>
      <c r="AD178" s="418">
        <f t="shared" si="351"/>
        <v>0</v>
      </c>
      <c r="AE178" s="418">
        <f t="shared" si="352"/>
        <v>4950</v>
      </c>
      <c r="AF178" s="418">
        <f t="shared" si="353"/>
        <v>4950</v>
      </c>
      <c r="AG178" s="418">
        <v>0</v>
      </c>
      <c r="AH178" s="418">
        <v>0</v>
      </c>
      <c r="AI178" s="418">
        <v>0</v>
      </c>
      <c r="AJ178" s="418">
        <v>0</v>
      </c>
      <c r="AK178" s="418">
        <v>0</v>
      </c>
      <c r="AL178" s="418">
        <f t="shared" si="354"/>
        <v>0</v>
      </c>
      <c r="AM178" s="418">
        <f t="shared" si="355"/>
        <v>0</v>
      </c>
      <c r="AN178" s="418">
        <f t="shared" si="356"/>
        <v>0</v>
      </c>
      <c r="AO178" s="418">
        <f t="shared" si="357"/>
        <v>0</v>
      </c>
      <c r="AP178" s="418">
        <f t="shared" si="357"/>
        <v>4950</v>
      </c>
      <c r="AQ178" s="418">
        <f t="shared" si="358"/>
        <v>4950</v>
      </c>
      <c r="AR178" s="68">
        <f t="shared" si="359"/>
        <v>1673</v>
      </c>
      <c r="AS178" s="68">
        <f t="shared" si="360"/>
        <v>50</v>
      </c>
      <c r="AT178" s="418">
        <v>0</v>
      </c>
      <c r="AU178" s="418">
        <v>243</v>
      </c>
      <c r="AV178" s="418">
        <f t="shared" si="361"/>
        <v>243</v>
      </c>
      <c r="AW178" s="418">
        <f t="shared" si="362"/>
        <v>6916</v>
      </c>
      <c r="AX178" s="419">
        <v>0</v>
      </c>
      <c r="AY178" s="419">
        <v>0</v>
      </c>
      <c r="AZ178" s="419">
        <v>0</v>
      </c>
      <c r="BA178" s="419">
        <v>0</v>
      </c>
      <c r="BB178" s="419">
        <v>0.02</v>
      </c>
      <c r="BC178" s="419">
        <v>0</v>
      </c>
      <c r="BD178" s="419">
        <v>0</v>
      </c>
      <c r="BE178" s="419">
        <v>0</v>
      </c>
      <c r="BF178" s="419">
        <f t="shared" si="363"/>
        <v>0</v>
      </c>
      <c r="BG178" s="419">
        <f t="shared" si="364"/>
        <v>0.02</v>
      </c>
      <c r="BH178" s="421">
        <f t="shared" si="365"/>
        <v>0.02</v>
      </c>
      <c r="BI178" s="780">
        <f t="shared" si="366"/>
        <v>20747</v>
      </c>
      <c r="BJ178" s="418">
        <f t="shared" si="367"/>
        <v>14850</v>
      </c>
      <c r="BK178" s="418">
        <f t="shared" si="368"/>
        <v>0</v>
      </c>
      <c r="BL178" s="418">
        <f t="shared" si="368"/>
        <v>14850</v>
      </c>
      <c r="BM178" s="418">
        <f t="shared" si="369"/>
        <v>0</v>
      </c>
      <c r="BN178" s="418">
        <f t="shared" si="370"/>
        <v>0</v>
      </c>
      <c r="BO178" s="418">
        <f t="shared" si="370"/>
        <v>0</v>
      </c>
      <c r="BP178" s="418">
        <f t="shared" si="371"/>
        <v>5019</v>
      </c>
      <c r="BQ178" s="418">
        <f t="shared" si="371"/>
        <v>149</v>
      </c>
      <c r="BR178" s="418">
        <f t="shared" si="372"/>
        <v>729</v>
      </c>
      <c r="BS178" s="419">
        <f t="shared" si="373"/>
        <v>5.7499999999999996E-2</v>
      </c>
      <c r="BT178" s="419">
        <f t="shared" si="374"/>
        <v>0</v>
      </c>
      <c r="BU178" s="421">
        <f t="shared" si="374"/>
        <v>5.7499999999999996E-2</v>
      </c>
      <c r="BV178" s="854"/>
      <c r="BW178" s="723"/>
      <c r="BX178" s="723"/>
      <c r="BY178" s="723"/>
      <c r="BZ178" s="723"/>
      <c r="CA178" s="855"/>
    </row>
    <row r="179" spans="1:79" ht="12.95" customHeight="1" x14ac:dyDescent="0.25">
      <c r="A179" s="214">
        <v>35</v>
      </c>
      <c r="B179" s="45">
        <v>2306</v>
      </c>
      <c r="C179" s="45">
        <v>650025873</v>
      </c>
      <c r="D179" s="45">
        <v>70695946</v>
      </c>
      <c r="E179" s="374" t="s">
        <v>518</v>
      </c>
      <c r="F179" s="45"/>
      <c r="G179" s="374"/>
      <c r="H179" s="182"/>
      <c r="I179" s="465">
        <v>7601265</v>
      </c>
      <c r="J179" s="461">
        <v>5604944</v>
      </c>
      <c r="K179" s="461">
        <v>4693542</v>
      </c>
      <c r="L179" s="461">
        <v>911402</v>
      </c>
      <c r="M179" s="461">
        <v>0</v>
      </c>
      <c r="N179" s="461">
        <v>0</v>
      </c>
      <c r="O179" s="461">
        <v>0</v>
      </c>
      <c r="P179" s="461">
        <v>1894471</v>
      </c>
      <c r="Q179" s="461">
        <v>56049</v>
      </c>
      <c r="R179" s="461">
        <v>45801</v>
      </c>
      <c r="S179" s="462">
        <v>11.212999999999999</v>
      </c>
      <c r="T179" s="462">
        <v>8.4089999999999989</v>
      </c>
      <c r="U179" s="535">
        <v>2.8039999999999998</v>
      </c>
      <c r="V179" s="465">
        <f t="shared" ref="V179:CA179" si="375">SUM(V173:V178)</f>
        <v>0</v>
      </c>
      <c r="W179" s="461">
        <f t="shared" si="375"/>
        <v>0</v>
      </c>
      <c r="X179" s="461">
        <f t="shared" si="375"/>
        <v>0</v>
      </c>
      <c r="Y179" s="461">
        <f t="shared" si="375"/>
        <v>0</v>
      </c>
      <c r="Z179" s="461">
        <f t="shared" si="375"/>
        <v>0</v>
      </c>
      <c r="AA179" s="461">
        <f t="shared" si="375"/>
        <v>232009</v>
      </c>
      <c r="AB179" s="461">
        <f t="shared" si="375"/>
        <v>0</v>
      </c>
      <c r="AC179" s="461">
        <f t="shared" si="375"/>
        <v>0</v>
      </c>
      <c r="AD179" s="461">
        <f t="shared" si="375"/>
        <v>0</v>
      </c>
      <c r="AE179" s="461">
        <f t="shared" si="375"/>
        <v>232009</v>
      </c>
      <c r="AF179" s="461">
        <f t="shared" si="375"/>
        <v>232009</v>
      </c>
      <c r="AG179" s="461">
        <f t="shared" si="375"/>
        <v>0</v>
      </c>
      <c r="AH179" s="461">
        <f t="shared" si="375"/>
        <v>0</v>
      </c>
      <c r="AI179" s="461">
        <f t="shared" si="375"/>
        <v>0</v>
      </c>
      <c r="AJ179" s="461">
        <f t="shared" si="375"/>
        <v>0</v>
      </c>
      <c r="AK179" s="461">
        <f t="shared" si="375"/>
        <v>0</v>
      </c>
      <c r="AL179" s="461">
        <f t="shared" si="375"/>
        <v>0</v>
      </c>
      <c r="AM179" s="461">
        <f t="shared" si="375"/>
        <v>0</v>
      </c>
      <c r="AN179" s="461">
        <f t="shared" si="375"/>
        <v>0</v>
      </c>
      <c r="AO179" s="461">
        <f t="shared" si="375"/>
        <v>0</v>
      </c>
      <c r="AP179" s="461">
        <f t="shared" si="375"/>
        <v>232009</v>
      </c>
      <c r="AQ179" s="461">
        <f t="shared" si="375"/>
        <v>232009</v>
      </c>
      <c r="AR179" s="461">
        <f t="shared" si="375"/>
        <v>78419</v>
      </c>
      <c r="AS179" s="461">
        <f t="shared" si="375"/>
        <v>2321</v>
      </c>
      <c r="AT179" s="461">
        <f t="shared" si="375"/>
        <v>0</v>
      </c>
      <c r="AU179" s="461">
        <f t="shared" si="375"/>
        <v>1365</v>
      </c>
      <c r="AV179" s="461">
        <f t="shared" si="375"/>
        <v>1365</v>
      </c>
      <c r="AW179" s="461">
        <f t="shared" si="375"/>
        <v>314114</v>
      </c>
      <c r="AX179" s="462">
        <f t="shared" si="375"/>
        <v>0</v>
      </c>
      <c r="AY179" s="462">
        <f t="shared" si="375"/>
        <v>0</v>
      </c>
      <c r="AZ179" s="462">
        <f t="shared" si="375"/>
        <v>0</v>
      </c>
      <c r="BA179" s="462">
        <f t="shared" si="375"/>
        <v>0</v>
      </c>
      <c r="BB179" s="462">
        <f t="shared" ref="BB179" si="376">SUM(BB173:BB178)</f>
        <v>0.70000000000000007</v>
      </c>
      <c r="BC179" s="462">
        <f t="shared" si="375"/>
        <v>0</v>
      </c>
      <c r="BD179" s="462">
        <f t="shared" si="375"/>
        <v>0</v>
      </c>
      <c r="BE179" s="462">
        <f t="shared" ref="BE179" si="377">SUM(BE173:BE178)</f>
        <v>0</v>
      </c>
      <c r="BF179" s="462">
        <f t="shared" si="375"/>
        <v>0</v>
      </c>
      <c r="BG179" s="462">
        <f t="shared" si="375"/>
        <v>0.70000000000000007</v>
      </c>
      <c r="BH179" s="279">
        <f t="shared" si="375"/>
        <v>0.70000000000000007</v>
      </c>
      <c r="BI179" s="781">
        <f t="shared" si="375"/>
        <v>7915379</v>
      </c>
      <c r="BJ179" s="461">
        <f t="shared" si="375"/>
        <v>5836953</v>
      </c>
      <c r="BK179" s="461">
        <f t="shared" si="375"/>
        <v>4693542</v>
      </c>
      <c r="BL179" s="461">
        <f t="shared" si="375"/>
        <v>1143411</v>
      </c>
      <c r="BM179" s="461">
        <f t="shared" si="375"/>
        <v>0</v>
      </c>
      <c r="BN179" s="461">
        <f t="shared" si="375"/>
        <v>0</v>
      </c>
      <c r="BO179" s="461">
        <f t="shared" si="375"/>
        <v>0</v>
      </c>
      <c r="BP179" s="461">
        <f t="shared" si="375"/>
        <v>1972890</v>
      </c>
      <c r="BQ179" s="461">
        <f t="shared" si="375"/>
        <v>58370</v>
      </c>
      <c r="BR179" s="461">
        <f t="shared" si="375"/>
        <v>47166</v>
      </c>
      <c r="BS179" s="462">
        <f t="shared" si="375"/>
        <v>11.913</v>
      </c>
      <c r="BT179" s="462">
        <f t="shared" si="375"/>
        <v>8.4089999999999989</v>
      </c>
      <c r="BU179" s="279">
        <f t="shared" si="375"/>
        <v>3.5040000000000004</v>
      </c>
      <c r="BV179" s="850">
        <f t="shared" si="375"/>
        <v>0</v>
      </c>
      <c r="BW179" s="713">
        <f t="shared" si="375"/>
        <v>0</v>
      </c>
      <c r="BX179" s="713">
        <f t="shared" si="375"/>
        <v>0</v>
      </c>
      <c r="BY179" s="713">
        <f t="shared" si="375"/>
        <v>0</v>
      </c>
      <c r="BZ179" s="713">
        <f t="shared" si="375"/>
        <v>0</v>
      </c>
      <c r="CA179" s="851">
        <f t="shared" si="375"/>
        <v>0</v>
      </c>
    </row>
    <row r="180" spans="1:79" ht="12.95" customHeight="1" x14ac:dyDescent="0.25">
      <c r="A180" s="280">
        <v>36</v>
      </c>
      <c r="B180" s="381">
        <v>2447</v>
      </c>
      <c r="C180" s="381">
        <v>600080111</v>
      </c>
      <c r="D180" s="281">
        <v>72744961</v>
      </c>
      <c r="E180" s="389" t="s">
        <v>519</v>
      </c>
      <c r="F180" s="381">
        <v>3117</v>
      </c>
      <c r="G180" s="372" t="s">
        <v>308</v>
      </c>
      <c r="H180" s="285" t="s">
        <v>271</v>
      </c>
      <c r="I180" s="420">
        <v>3106024</v>
      </c>
      <c r="J180" s="415">
        <v>2269866</v>
      </c>
      <c r="K180" s="415">
        <v>2040871</v>
      </c>
      <c r="L180" s="415">
        <v>228995</v>
      </c>
      <c r="M180" s="415">
        <v>0</v>
      </c>
      <c r="N180" s="415">
        <v>0</v>
      </c>
      <c r="O180" s="415">
        <v>0</v>
      </c>
      <c r="P180" s="68">
        <v>767214</v>
      </c>
      <c r="Q180" s="68">
        <v>22698</v>
      </c>
      <c r="R180" s="415">
        <v>46246</v>
      </c>
      <c r="S180" s="416">
        <v>3.8133999999999997</v>
      </c>
      <c r="T180" s="416">
        <v>3.2229999999999999</v>
      </c>
      <c r="U180" s="423">
        <v>0.59040000000000004</v>
      </c>
      <c r="V180" s="424">
        <f t="shared" ref="V180:W184" si="378">AG180*-1</f>
        <v>0</v>
      </c>
      <c r="W180" s="418">
        <f t="shared" si="378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ref="AO180:AP184" si="379">AD180+AL180</f>
        <v>0</v>
      </c>
      <c r="AP180" s="418">
        <f t="shared" si="379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8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</v>
      </c>
      <c r="BC180" s="41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421">
        <f>SUM(BF180:BG180)</f>
        <v>0</v>
      </c>
      <c r="BI180" s="780">
        <f>I180+AW180</f>
        <v>3106024</v>
      </c>
      <c r="BJ180" s="418">
        <f>J180+AF180</f>
        <v>2269866</v>
      </c>
      <c r="BK180" s="418">
        <f t="shared" ref="BK180:BL184" si="380">K180+AD180</f>
        <v>2040871</v>
      </c>
      <c r="BL180" s="418">
        <f t="shared" si="380"/>
        <v>228995</v>
      </c>
      <c r="BM180" s="418">
        <f>M180+AN180</f>
        <v>0</v>
      </c>
      <c r="BN180" s="418">
        <f t="shared" ref="BN180:BO184" si="381">N180+AL180</f>
        <v>0</v>
      </c>
      <c r="BO180" s="418">
        <f t="shared" si="381"/>
        <v>0</v>
      </c>
      <c r="BP180" s="418">
        <f t="shared" ref="BP180:BQ184" si="382">P180+AR180</f>
        <v>767214</v>
      </c>
      <c r="BQ180" s="418">
        <f t="shared" si="382"/>
        <v>22698</v>
      </c>
      <c r="BR180" s="418">
        <f>R180+AV180</f>
        <v>46246</v>
      </c>
      <c r="BS180" s="419">
        <f>S180+BH180</f>
        <v>3.8133999999999997</v>
      </c>
      <c r="BT180" s="419">
        <f t="shared" ref="BT180:BU184" si="383">T180+BF180</f>
        <v>3.2229999999999999</v>
      </c>
      <c r="BU180" s="421">
        <f t="shared" si="383"/>
        <v>0.59040000000000004</v>
      </c>
      <c r="BV180" s="854"/>
      <c r="BW180" s="723"/>
      <c r="BX180" s="723"/>
      <c r="BY180" s="723"/>
      <c r="BZ180" s="723"/>
      <c r="CA180" s="855"/>
    </row>
    <row r="181" spans="1:79" ht="12.95" customHeight="1" x14ac:dyDescent="0.25">
      <c r="A181" s="280">
        <v>36</v>
      </c>
      <c r="B181" s="376">
        <v>2447</v>
      </c>
      <c r="C181" s="376">
        <v>600080111</v>
      </c>
      <c r="D181" s="281">
        <v>72744961</v>
      </c>
      <c r="E181" s="211" t="s">
        <v>519</v>
      </c>
      <c r="F181" s="381">
        <v>3117</v>
      </c>
      <c r="G181" s="323" t="s">
        <v>291</v>
      </c>
      <c r="H181" s="285" t="s">
        <v>272</v>
      </c>
      <c r="I181" s="420">
        <v>0</v>
      </c>
      <c r="J181" s="415">
        <v>0</v>
      </c>
      <c r="K181" s="415">
        <v>0</v>
      </c>
      <c r="L181" s="415">
        <v>0</v>
      </c>
      <c r="M181" s="415">
        <v>0</v>
      </c>
      <c r="N181" s="415">
        <v>0</v>
      </c>
      <c r="O181" s="415">
        <v>0</v>
      </c>
      <c r="P181" s="68">
        <v>0</v>
      </c>
      <c r="Q181" s="68">
        <v>0</v>
      </c>
      <c r="R181" s="415">
        <v>0</v>
      </c>
      <c r="S181" s="416">
        <v>0</v>
      </c>
      <c r="T181" s="416">
        <v>0</v>
      </c>
      <c r="U181" s="423">
        <v>0</v>
      </c>
      <c r="V181" s="424">
        <f t="shared" si="378"/>
        <v>0</v>
      </c>
      <c r="W181" s="418">
        <f t="shared" si="378"/>
        <v>0</v>
      </c>
      <c r="X181" s="418">
        <v>0</v>
      </c>
      <c r="Y181" s="418">
        <v>0</v>
      </c>
      <c r="Z181" s="418">
        <v>0</v>
      </c>
      <c r="AA181" s="418">
        <v>0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0</v>
      </c>
      <c r="AF181" s="418">
        <f>SUM(AD181:AE181)</f>
        <v>0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379"/>
        <v>0</v>
      </c>
      <c r="AP181" s="418">
        <f t="shared" si="379"/>
        <v>0</v>
      </c>
      <c r="AQ181" s="418">
        <f>SUM(AO181:AP181)</f>
        <v>0</v>
      </c>
      <c r="AR181" s="68">
        <f>ROUND((AF181+AG181+AH181+AI181)*33.8%,0)</f>
        <v>0</v>
      </c>
      <c r="AS181" s="68">
        <f>ROUND(AF181*1%,0)</f>
        <v>0</v>
      </c>
      <c r="AT181" s="418">
        <v>0</v>
      </c>
      <c r="AU181" s="418">
        <v>0</v>
      </c>
      <c r="AV181" s="418">
        <f>AT181+AU181</f>
        <v>0</v>
      </c>
      <c r="AW181" s="418">
        <f>AQ181+AR181+AS181+AV181</f>
        <v>0</v>
      </c>
      <c r="AX181" s="419">
        <v>0</v>
      </c>
      <c r="AY181" s="419">
        <v>0</v>
      </c>
      <c r="AZ181" s="419">
        <v>0</v>
      </c>
      <c r="BA181" s="419">
        <v>0</v>
      </c>
      <c r="BB181" s="419">
        <v>0</v>
      </c>
      <c r="BC181" s="41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</v>
      </c>
      <c r="BH181" s="421">
        <f>SUM(BF181:BG181)</f>
        <v>0</v>
      </c>
      <c r="BI181" s="780">
        <f>I181+AW181</f>
        <v>0</v>
      </c>
      <c r="BJ181" s="418">
        <f>J181+AF181</f>
        <v>0</v>
      </c>
      <c r="BK181" s="418">
        <f t="shared" si="380"/>
        <v>0</v>
      </c>
      <c r="BL181" s="418">
        <f t="shared" si="380"/>
        <v>0</v>
      </c>
      <c r="BM181" s="418">
        <f>M181+AN181</f>
        <v>0</v>
      </c>
      <c r="BN181" s="418">
        <f t="shared" si="381"/>
        <v>0</v>
      </c>
      <c r="BO181" s="418">
        <f t="shared" si="381"/>
        <v>0</v>
      </c>
      <c r="BP181" s="418">
        <f t="shared" si="382"/>
        <v>0</v>
      </c>
      <c r="BQ181" s="418">
        <f t="shared" si="382"/>
        <v>0</v>
      </c>
      <c r="BR181" s="418">
        <f>R181+AV181</f>
        <v>0</v>
      </c>
      <c r="BS181" s="419">
        <f>S181+BH181</f>
        <v>0</v>
      </c>
      <c r="BT181" s="419">
        <f t="shared" si="383"/>
        <v>0</v>
      </c>
      <c r="BU181" s="421">
        <f t="shared" si="383"/>
        <v>0</v>
      </c>
      <c r="BV181" s="854"/>
      <c r="BW181" s="723"/>
      <c r="BX181" s="723"/>
      <c r="BY181" s="723"/>
      <c r="BZ181" s="723"/>
      <c r="CA181" s="855"/>
    </row>
    <row r="182" spans="1:79" ht="12.95" customHeight="1" x14ac:dyDescent="0.25">
      <c r="A182" s="280">
        <v>36</v>
      </c>
      <c r="B182" s="212">
        <v>2447</v>
      </c>
      <c r="C182" s="212">
        <v>600080111</v>
      </c>
      <c r="D182" s="281">
        <v>72744961</v>
      </c>
      <c r="E182" s="371" t="s">
        <v>519</v>
      </c>
      <c r="F182" s="382">
        <v>3141</v>
      </c>
      <c r="G182" s="373" t="s">
        <v>294</v>
      </c>
      <c r="H182" s="285" t="s">
        <v>272</v>
      </c>
      <c r="I182" s="420">
        <v>114717</v>
      </c>
      <c r="J182" s="415">
        <v>84470</v>
      </c>
      <c r="K182" s="415">
        <v>0</v>
      </c>
      <c r="L182" s="415">
        <v>84470</v>
      </c>
      <c r="M182" s="415">
        <v>0</v>
      </c>
      <c r="N182" s="415">
        <v>0</v>
      </c>
      <c r="O182" s="415">
        <v>0</v>
      </c>
      <c r="P182" s="68">
        <v>28551</v>
      </c>
      <c r="Q182" s="68">
        <v>845</v>
      </c>
      <c r="R182" s="415">
        <v>851</v>
      </c>
      <c r="S182" s="416">
        <v>0.25330000000000003</v>
      </c>
      <c r="T182" s="416">
        <v>0</v>
      </c>
      <c r="U182" s="423">
        <v>0.25330000000000003</v>
      </c>
      <c r="V182" s="424">
        <f t="shared" si="378"/>
        <v>0</v>
      </c>
      <c r="W182" s="418">
        <f t="shared" si="378"/>
        <v>0</v>
      </c>
      <c r="X182" s="418">
        <v>0</v>
      </c>
      <c r="Y182" s="418">
        <v>0</v>
      </c>
      <c r="Z182" s="418">
        <v>0</v>
      </c>
      <c r="AA182" s="418">
        <v>42359</v>
      </c>
      <c r="AB182" s="418">
        <v>0</v>
      </c>
      <c r="AC182" s="418">
        <v>0</v>
      </c>
      <c r="AD182" s="418">
        <f>V182+X182+Y182+Z182+AB182</f>
        <v>0</v>
      </c>
      <c r="AE182" s="418">
        <f>W182+AA182+AC182</f>
        <v>42359</v>
      </c>
      <c r="AF182" s="418">
        <f>SUM(AD182:AE182)</f>
        <v>42359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>AG182+AI182+AJ182</f>
        <v>0</v>
      </c>
      <c r="AM182" s="418">
        <f>AH182+AK182</f>
        <v>0</v>
      </c>
      <c r="AN182" s="418">
        <f>SUM(AL182:AM182)</f>
        <v>0</v>
      </c>
      <c r="AO182" s="418">
        <f t="shared" si="379"/>
        <v>0</v>
      </c>
      <c r="AP182" s="418">
        <f t="shared" si="379"/>
        <v>42359</v>
      </c>
      <c r="AQ182" s="418">
        <f>SUM(AO182:AP182)</f>
        <v>42359</v>
      </c>
      <c r="AR182" s="68">
        <f>ROUND((AF182+AG182+AH182+AI182)*33.8%,0)</f>
        <v>14317</v>
      </c>
      <c r="AS182" s="68">
        <f>ROUND(AF182*1%,0)</f>
        <v>424</v>
      </c>
      <c r="AT182" s="418">
        <v>0</v>
      </c>
      <c r="AU182" s="418">
        <v>407</v>
      </c>
      <c r="AV182" s="418">
        <f>AT182+AU182</f>
        <v>407</v>
      </c>
      <c r="AW182" s="418">
        <f>AQ182+AR182+AS182+AV182</f>
        <v>57507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0.13</v>
      </c>
      <c r="BC182" s="419">
        <v>0</v>
      </c>
      <c r="BD182" s="419">
        <v>0</v>
      </c>
      <c r="BE182" s="419">
        <v>0</v>
      </c>
      <c r="BF182" s="419">
        <f>AX182+AZ182+BA182+BC182+BD182</f>
        <v>0</v>
      </c>
      <c r="BG182" s="419">
        <f>AY182+BB182+BE182</f>
        <v>0.13</v>
      </c>
      <c r="BH182" s="421">
        <f>SUM(BF182:BG182)</f>
        <v>0.13</v>
      </c>
      <c r="BI182" s="780">
        <f>I182+AW182</f>
        <v>172224</v>
      </c>
      <c r="BJ182" s="418">
        <f>J182+AF182</f>
        <v>126829</v>
      </c>
      <c r="BK182" s="418">
        <f t="shared" si="380"/>
        <v>0</v>
      </c>
      <c r="BL182" s="418">
        <f t="shared" si="380"/>
        <v>126829</v>
      </c>
      <c r="BM182" s="418">
        <f>M182+AN182</f>
        <v>0</v>
      </c>
      <c r="BN182" s="418">
        <f t="shared" si="381"/>
        <v>0</v>
      </c>
      <c r="BO182" s="418">
        <f t="shared" si="381"/>
        <v>0</v>
      </c>
      <c r="BP182" s="418">
        <f t="shared" si="382"/>
        <v>42868</v>
      </c>
      <c r="BQ182" s="418">
        <f t="shared" si="382"/>
        <v>1269</v>
      </c>
      <c r="BR182" s="418">
        <f>R182+AV182</f>
        <v>1258</v>
      </c>
      <c r="BS182" s="419">
        <f>S182+BH182</f>
        <v>0.38330000000000003</v>
      </c>
      <c r="BT182" s="419">
        <f t="shared" si="383"/>
        <v>0</v>
      </c>
      <c r="BU182" s="421">
        <f t="shared" si="383"/>
        <v>0.38330000000000003</v>
      </c>
      <c r="BV182" s="854"/>
      <c r="BW182" s="723"/>
      <c r="BX182" s="723"/>
      <c r="BY182" s="723"/>
      <c r="BZ182" s="723"/>
      <c r="CA182" s="855"/>
    </row>
    <row r="183" spans="1:79" ht="12.95" customHeight="1" x14ac:dyDescent="0.25">
      <c r="A183" s="280">
        <v>36</v>
      </c>
      <c r="B183" s="376">
        <v>2447</v>
      </c>
      <c r="C183" s="376">
        <v>600080111</v>
      </c>
      <c r="D183" s="281">
        <v>72744961</v>
      </c>
      <c r="E183" s="211" t="s">
        <v>519</v>
      </c>
      <c r="F183" s="376">
        <v>3143</v>
      </c>
      <c r="G183" s="323" t="s">
        <v>595</v>
      </c>
      <c r="H183" s="285" t="s">
        <v>271</v>
      </c>
      <c r="I183" s="420">
        <v>931982</v>
      </c>
      <c r="J183" s="415">
        <v>691381</v>
      </c>
      <c r="K183" s="415">
        <v>691381</v>
      </c>
      <c r="L183" s="415">
        <v>0</v>
      </c>
      <c r="M183" s="415">
        <v>0</v>
      </c>
      <c r="N183" s="415">
        <v>0</v>
      </c>
      <c r="O183" s="415">
        <v>0</v>
      </c>
      <c r="P183" s="68">
        <v>233687</v>
      </c>
      <c r="Q183" s="68">
        <v>6914</v>
      </c>
      <c r="R183" s="415">
        <v>0</v>
      </c>
      <c r="S183" s="416">
        <v>1.5178</v>
      </c>
      <c r="T183" s="416">
        <v>1.5178</v>
      </c>
      <c r="U183" s="423">
        <v>0</v>
      </c>
      <c r="V183" s="424">
        <f t="shared" si="378"/>
        <v>0</v>
      </c>
      <c r="W183" s="418">
        <f t="shared" si="378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si="379"/>
        <v>0</v>
      </c>
      <c r="AP183" s="418">
        <f t="shared" si="379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8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421">
        <f>SUM(BF183:BG183)</f>
        <v>0</v>
      </c>
      <c r="BI183" s="780">
        <f>I183+AW183</f>
        <v>931982</v>
      </c>
      <c r="BJ183" s="418">
        <f>J183+AF183</f>
        <v>691381</v>
      </c>
      <c r="BK183" s="418">
        <f t="shared" si="380"/>
        <v>691381</v>
      </c>
      <c r="BL183" s="418">
        <f t="shared" si="380"/>
        <v>0</v>
      </c>
      <c r="BM183" s="418">
        <f>M183+AN183</f>
        <v>0</v>
      </c>
      <c r="BN183" s="418">
        <f t="shared" si="381"/>
        <v>0</v>
      </c>
      <c r="BO183" s="418">
        <f t="shared" si="381"/>
        <v>0</v>
      </c>
      <c r="BP183" s="418">
        <f t="shared" si="382"/>
        <v>233687</v>
      </c>
      <c r="BQ183" s="418">
        <f t="shared" si="382"/>
        <v>6914</v>
      </c>
      <c r="BR183" s="418">
        <f>R183+AV183</f>
        <v>0</v>
      </c>
      <c r="BS183" s="419">
        <f>S183+BH183</f>
        <v>1.5178</v>
      </c>
      <c r="BT183" s="419">
        <f t="shared" si="383"/>
        <v>1.5178</v>
      </c>
      <c r="BU183" s="421">
        <f t="shared" si="383"/>
        <v>0</v>
      </c>
      <c r="BV183" s="854"/>
      <c r="BW183" s="723"/>
      <c r="BX183" s="723"/>
      <c r="BY183" s="723"/>
      <c r="BZ183" s="723"/>
      <c r="CA183" s="855"/>
    </row>
    <row r="184" spans="1:79" ht="12.95" customHeight="1" x14ac:dyDescent="0.25">
      <c r="A184" s="280">
        <v>36</v>
      </c>
      <c r="B184" s="376">
        <v>2447</v>
      </c>
      <c r="C184" s="376">
        <v>600080111</v>
      </c>
      <c r="D184" s="281">
        <v>72744961</v>
      </c>
      <c r="E184" s="211" t="s">
        <v>519</v>
      </c>
      <c r="F184" s="376">
        <v>3143</v>
      </c>
      <c r="G184" s="323" t="s">
        <v>596</v>
      </c>
      <c r="H184" s="285" t="s">
        <v>272</v>
      </c>
      <c r="I184" s="420">
        <v>17410</v>
      </c>
      <c r="J184" s="415">
        <v>12461</v>
      </c>
      <c r="K184" s="415">
        <v>0</v>
      </c>
      <c r="L184" s="415">
        <v>12461</v>
      </c>
      <c r="M184" s="415">
        <v>0</v>
      </c>
      <c r="N184" s="415">
        <v>0</v>
      </c>
      <c r="O184" s="415">
        <v>0</v>
      </c>
      <c r="P184" s="68">
        <v>4212</v>
      </c>
      <c r="Q184" s="68">
        <v>125</v>
      </c>
      <c r="R184" s="415">
        <v>612</v>
      </c>
      <c r="S184" s="416">
        <v>4.7199999999999999E-2</v>
      </c>
      <c r="T184" s="416">
        <v>0</v>
      </c>
      <c r="U184" s="423">
        <v>4.7199999999999999E-2</v>
      </c>
      <c r="V184" s="424">
        <f t="shared" si="378"/>
        <v>0</v>
      </c>
      <c r="W184" s="418">
        <f t="shared" si="378"/>
        <v>0</v>
      </c>
      <c r="X184" s="418">
        <v>0</v>
      </c>
      <c r="Y184" s="418">
        <v>0</v>
      </c>
      <c r="Z184" s="418">
        <v>0</v>
      </c>
      <c r="AA184" s="418">
        <v>6239</v>
      </c>
      <c r="AB184" s="418">
        <v>0</v>
      </c>
      <c r="AC184" s="418">
        <v>0</v>
      </c>
      <c r="AD184" s="418">
        <f>V184+X184+Y184+Z184+AB184</f>
        <v>0</v>
      </c>
      <c r="AE184" s="418">
        <f>W184+AA184+AC184</f>
        <v>6239</v>
      </c>
      <c r="AF184" s="418">
        <f>SUM(AD184:AE184)</f>
        <v>6239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>AG184+AI184+AJ184</f>
        <v>0</v>
      </c>
      <c r="AM184" s="418">
        <f>AH184+AK184</f>
        <v>0</v>
      </c>
      <c r="AN184" s="418">
        <f>SUM(AL184:AM184)</f>
        <v>0</v>
      </c>
      <c r="AO184" s="418">
        <f t="shared" si="379"/>
        <v>0</v>
      </c>
      <c r="AP184" s="418">
        <f t="shared" si="379"/>
        <v>6239</v>
      </c>
      <c r="AQ184" s="418">
        <f>SUM(AO184:AP184)</f>
        <v>6239</v>
      </c>
      <c r="AR184" s="68">
        <f>ROUND((AF184+AG184+AH184+AI184)*33.8%,0)</f>
        <v>2109</v>
      </c>
      <c r="AS184" s="68">
        <f>ROUND(AF184*1%,0)</f>
        <v>62</v>
      </c>
      <c r="AT184" s="418">
        <v>0</v>
      </c>
      <c r="AU184" s="418">
        <v>306</v>
      </c>
      <c r="AV184" s="418">
        <f>AT184+AU184</f>
        <v>306</v>
      </c>
      <c r="AW184" s="418">
        <f>AQ184+AR184+AS184+AV184</f>
        <v>8716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0.02</v>
      </c>
      <c r="BC184" s="419">
        <v>0</v>
      </c>
      <c r="BD184" s="419">
        <v>0</v>
      </c>
      <c r="BE184" s="419">
        <v>0</v>
      </c>
      <c r="BF184" s="419">
        <f>AX184+AZ184+BA184+BC184+BD184</f>
        <v>0</v>
      </c>
      <c r="BG184" s="419">
        <f>AY184+BB184+BE184</f>
        <v>0.02</v>
      </c>
      <c r="BH184" s="421">
        <f>SUM(BF184:BG184)</f>
        <v>0.02</v>
      </c>
      <c r="BI184" s="780">
        <f>I184+AW184</f>
        <v>26126</v>
      </c>
      <c r="BJ184" s="418">
        <f>J184+AF184</f>
        <v>18700</v>
      </c>
      <c r="BK184" s="418">
        <f t="shared" si="380"/>
        <v>0</v>
      </c>
      <c r="BL184" s="418">
        <f t="shared" si="380"/>
        <v>18700</v>
      </c>
      <c r="BM184" s="418">
        <f>M184+AN184</f>
        <v>0</v>
      </c>
      <c r="BN184" s="418">
        <f t="shared" si="381"/>
        <v>0</v>
      </c>
      <c r="BO184" s="418">
        <f t="shared" si="381"/>
        <v>0</v>
      </c>
      <c r="BP184" s="418">
        <f t="shared" si="382"/>
        <v>6321</v>
      </c>
      <c r="BQ184" s="418">
        <f t="shared" si="382"/>
        <v>187</v>
      </c>
      <c r="BR184" s="418">
        <f>R184+AV184</f>
        <v>918</v>
      </c>
      <c r="BS184" s="419">
        <f>S184+BH184</f>
        <v>6.7199999999999996E-2</v>
      </c>
      <c r="BT184" s="419">
        <f t="shared" si="383"/>
        <v>0</v>
      </c>
      <c r="BU184" s="421">
        <f t="shared" si="383"/>
        <v>6.7199999999999996E-2</v>
      </c>
      <c r="BV184" s="854"/>
      <c r="BW184" s="723"/>
      <c r="BX184" s="723"/>
      <c r="BY184" s="723"/>
      <c r="BZ184" s="723"/>
      <c r="CA184" s="855"/>
    </row>
    <row r="185" spans="1:79" ht="12.95" customHeight="1" x14ac:dyDescent="0.25">
      <c r="A185" s="214">
        <v>36</v>
      </c>
      <c r="B185" s="46">
        <v>2447</v>
      </c>
      <c r="C185" s="46">
        <v>600080111</v>
      </c>
      <c r="D185" s="46">
        <v>72744961</v>
      </c>
      <c r="E185" s="378" t="s">
        <v>520</v>
      </c>
      <c r="F185" s="46"/>
      <c r="G185" s="378"/>
      <c r="H185" s="183"/>
      <c r="I185" s="465">
        <v>4170133</v>
      </c>
      <c r="J185" s="461">
        <v>3058178</v>
      </c>
      <c r="K185" s="461">
        <v>2732252</v>
      </c>
      <c r="L185" s="461">
        <v>325926</v>
      </c>
      <c r="M185" s="461">
        <v>0</v>
      </c>
      <c r="N185" s="461">
        <v>0</v>
      </c>
      <c r="O185" s="461">
        <v>0</v>
      </c>
      <c r="P185" s="461">
        <v>1033664</v>
      </c>
      <c r="Q185" s="461">
        <v>30582</v>
      </c>
      <c r="R185" s="461">
        <v>47709</v>
      </c>
      <c r="S185" s="462">
        <v>5.6317000000000004</v>
      </c>
      <c r="T185" s="462">
        <v>4.7408000000000001</v>
      </c>
      <c r="U185" s="535">
        <v>0.89090000000000014</v>
      </c>
      <c r="V185" s="465">
        <f t="shared" ref="V185:CA185" si="384">SUM(V180:V184)</f>
        <v>0</v>
      </c>
      <c r="W185" s="461">
        <f t="shared" si="384"/>
        <v>0</v>
      </c>
      <c r="X185" s="461">
        <f t="shared" si="384"/>
        <v>0</v>
      </c>
      <c r="Y185" s="461">
        <f t="shared" si="384"/>
        <v>0</v>
      </c>
      <c r="Z185" s="461">
        <f t="shared" si="384"/>
        <v>0</v>
      </c>
      <c r="AA185" s="461">
        <f t="shared" si="384"/>
        <v>48598</v>
      </c>
      <c r="AB185" s="461">
        <f t="shared" si="384"/>
        <v>0</v>
      </c>
      <c r="AC185" s="461">
        <f t="shared" si="384"/>
        <v>0</v>
      </c>
      <c r="AD185" s="461">
        <f t="shared" si="384"/>
        <v>0</v>
      </c>
      <c r="AE185" s="461">
        <f t="shared" si="384"/>
        <v>48598</v>
      </c>
      <c r="AF185" s="461">
        <f t="shared" si="384"/>
        <v>48598</v>
      </c>
      <c r="AG185" s="461">
        <f t="shared" si="384"/>
        <v>0</v>
      </c>
      <c r="AH185" s="461">
        <f t="shared" si="384"/>
        <v>0</v>
      </c>
      <c r="AI185" s="461">
        <f t="shared" si="384"/>
        <v>0</v>
      </c>
      <c r="AJ185" s="461">
        <f t="shared" si="384"/>
        <v>0</v>
      </c>
      <c r="AK185" s="461">
        <f t="shared" si="384"/>
        <v>0</v>
      </c>
      <c r="AL185" s="461">
        <f t="shared" si="384"/>
        <v>0</v>
      </c>
      <c r="AM185" s="461">
        <f t="shared" si="384"/>
        <v>0</v>
      </c>
      <c r="AN185" s="461">
        <f t="shared" si="384"/>
        <v>0</v>
      </c>
      <c r="AO185" s="461">
        <f t="shared" si="384"/>
        <v>0</v>
      </c>
      <c r="AP185" s="461">
        <f t="shared" si="384"/>
        <v>48598</v>
      </c>
      <c r="AQ185" s="461">
        <f t="shared" si="384"/>
        <v>48598</v>
      </c>
      <c r="AR185" s="461">
        <f t="shared" si="384"/>
        <v>16426</v>
      </c>
      <c r="AS185" s="461">
        <f t="shared" si="384"/>
        <v>486</v>
      </c>
      <c r="AT185" s="461">
        <f t="shared" si="384"/>
        <v>0</v>
      </c>
      <c r="AU185" s="461">
        <f t="shared" si="384"/>
        <v>713</v>
      </c>
      <c r="AV185" s="461">
        <f t="shared" si="384"/>
        <v>713</v>
      </c>
      <c r="AW185" s="461">
        <f t="shared" si="384"/>
        <v>66223</v>
      </c>
      <c r="AX185" s="462">
        <f t="shared" si="384"/>
        <v>0</v>
      </c>
      <c r="AY185" s="462">
        <f t="shared" si="384"/>
        <v>0</v>
      </c>
      <c r="AZ185" s="462">
        <f t="shared" si="384"/>
        <v>0</v>
      </c>
      <c r="BA185" s="462">
        <f t="shared" si="384"/>
        <v>0</v>
      </c>
      <c r="BB185" s="462">
        <f t="shared" ref="BB185" si="385">SUM(BB180:BB184)</f>
        <v>0.15</v>
      </c>
      <c r="BC185" s="462">
        <f t="shared" si="384"/>
        <v>0</v>
      </c>
      <c r="BD185" s="462">
        <f t="shared" si="384"/>
        <v>0</v>
      </c>
      <c r="BE185" s="462">
        <f t="shared" ref="BE185" si="386">SUM(BE180:BE184)</f>
        <v>0</v>
      </c>
      <c r="BF185" s="462">
        <f t="shared" si="384"/>
        <v>0</v>
      </c>
      <c r="BG185" s="462">
        <f t="shared" si="384"/>
        <v>0.15</v>
      </c>
      <c r="BH185" s="279">
        <f t="shared" si="384"/>
        <v>0.15</v>
      </c>
      <c r="BI185" s="781">
        <f t="shared" si="384"/>
        <v>4236356</v>
      </c>
      <c r="BJ185" s="461">
        <f t="shared" si="384"/>
        <v>3106776</v>
      </c>
      <c r="BK185" s="461">
        <f t="shared" si="384"/>
        <v>2732252</v>
      </c>
      <c r="BL185" s="461">
        <f t="shared" si="384"/>
        <v>374524</v>
      </c>
      <c r="BM185" s="461">
        <f t="shared" si="384"/>
        <v>0</v>
      </c>
      <c r="BN185" s="461">
        <f t="shared" si="384"/>
        <v>0</v>
      </c>
      <c r="BO185" s="461">
        <f t="shared" si="384"/>
        <v>0</v>
      </c>
      <c r="BP185" s="461">
        <f t="shared" si="384"/>
        <v>1050090</v>
      </c>
      <c r="BQ185" s="461">
        <f t="shared" si="384"/>
        <v>31068</v>
      </c>
      <c r="BR185" s="461">
        <f t="shared" si="384"/>
        <v>48422</v>
      </c>
      <c r="BS185" s="462">
        <f t="shared" si="384"/>
        <v>5.7816999999999998</v>
      </c>
      <c r="BT185" s="462">
        <f t="shared" si="384"/>
        <v>4.7408000000000001</v>
      </c>
      <c r="BU185" s="279">
        <f t="shared" si="384"/>
        <v>1.0408999999999999</v>
      </c>
      <c r="BV185" s="850">
        <f t="shared" si="384"/>
        <v>0</v>
      </c>
      <c r="BW185" s="713">
        <f t="shared" si="384"/>
        <v>0</v>
      </c>
      <c r="BX185" s="713">
        <f t="shared" si="384"/>
        <v>0</v>
      </c>
      <c r="BY185" s="713">
        <f t="shared" si="384"/>
        <v>0</v>
      </c>
      <c r="BZ185" s="713">
        <f t="shared" si="384"/>
        <v>0</v>
      </c>
      <c r="CA185" s="851">
        <f t="shared" si="384"/>
        <v>0</v>
      </c>
    </row>
    <row r="186" spans="1:79" ht="12.95" customHeight="1" x14ac:dyDescent="0.25">
      <c r="A186" s="280">
        <v>37</v>
      </c>
      <c r="B186" s="212">
        <v>5455</v>
      </c>
      <c r="C186" s="212">
        <v>600099067</v>
      </c>
      <c r="D186" s="281">
        <v>70986088</v>
      </c>
      <c r="E186" s="371" t="s">
        <v>521</v>
      </c>
      <c r="F186" s="382">
        <v>3111</v>
      </c>
      <c r="G186" s="373" t="s">
        <v>304</v>
      </c>
      <c r="H186" s="285" t="s">
        <v>271</v>
      </c>
      <c r="I186" s="420">
        <v>2956298</v>
      </c>
      <c r="J186" s="415">
        <v>2187355</v>
      </c>
      <c r="K186" s="415">
        <v>2067547</v>
      </c>
      <c r="L186" s="415">
        <v>119808</v>
      </c>
      <c r="M186" s="415">
        <v>0</v>
      </c>
      <c r="N186" s="415">
        <v>0</v>
      </c>
      <c r="O186" s="415">
        <v>0</v>
      </c>
      <c r="P186" s="68">
        <v>739326</v>
      </c>
      <c r="Q186" s="68">
        <v>21874</v>
      </c>
      <c r="R186" s="415">
        <v>7743</v>
      </c>
      <c r="S186" s="416">
        <v>4.4800000000000004</v>
      </c>
      <c r="T186" s="416">
        <v>4</v>
      </c>
      <c r="U186" s="423">
        <v>0.48</v>
      </c>
      <c r="V186" s="424">
        <f t="shared" ref="V186:W190" si="387">AG186*-1</f>
        <v>0</v>
      </c>
      <c r="W186" s="418">
        <f t="shared" si="387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>V186+X186+Y186+Z186+AB186</f>
        <v>0</v>
      </c>
      <c r="AE186" s="418">
        <f>W186+AA186+AC186</f>
        <v>0</v>
      </c>
      <c r="AF186" s="418">
        <f>SUM(AD186:AE186)</f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>AG186+AI186+AJ186</f>
        <v>0</v>
      </c>
      <c r="AM186" s="418">
        <f>AH186+AK186</f>
        <v>0</v>
      </c>
      <c r="AN186" s="418">
        <f>SUM(AL186:AM186)</f>
        <v>0</v>
      </c>
      <c r="AO186" s="418">
        <f t="shared" ref="AO186:AP190" si="388">AD186+AL186</f>
        <v>0</v>
      </c>
      <c r="AP186" s="418">
        <f t="shared" si="388"/>
        <v>0</v>
      </c>
      <c r="AQ186" s="418">
        <f>SUM(AO186:AP186)</f>
        <v>0</v>
      </c>
      <c r="AR186" s="68">
        <f>ROUND((AF186+AG186+AH186+AI186)*33.8%,0)</f>
        <v>0</v>
      </c>
      <c r="AS186" s="68">
        <f>ROUND(AF186*1%,0)</f>
        <v>0</v>
      </c>
      <c r="AT186" s="418">
        <v>0</v>
      </c>
      <c r="AU186" s="418">
        <v>0</v>
      </c>
      <c r="AV186" s="418">
        <f>AT186+AU186</f>
        <v>0</v>
      </c>
      <c r="AW186" s="418">
        <f>AQ186+AR186+AS186+AV186</f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>AX186+AZ186+BA186+BC186+BD186</f>
        <v>0</v>
      </c>
      <c r="BG186" s="419">
        <f>AY186+BB186+BE186</f>
        <v>0</v>
      </c>
      <c r="BH186" s="421">
        <f>SUM(BF186:BG186)</f>
        <v>0</v>
      </c>
      <c r="BI186" s="780">
        <f>I186+AW186</f>
        <v>2956298</v>
      </c>
      <c r="BJ186" s="418">
        <f>J186+AF186</f>
        <v>2187355</v>
      </c>
      <c r="BK186" s="418">
        <f t="shared" ref="BK186:BL190" si="389">K186+AD186</f>
        <v>2067547</v>
      </c>
      <c r="BL186" s="418">
        <f t="shared" si="389"/>
        <v>119808</v>
      </c>
      <c r="BM186" s="418">
        <f>M186+AN186</f>
        <v>0</v>
      </c>
      <c r="BN186" s="418">
        <f t="shared" ref="BN186:BO190" si="390">N186+AL186</f>
        <v>0</v>
      </c>
      <c r="BO186" s="418">
        <f t="shared" si="390"/>
        <v>0</v>
      </c>
      <c r="BP186" s="418">
        <f t="shared" ref="BP186:BQ190" si="391">P186+AR186</f>
        <v>739326</v>
      </c>
      <c r="BQ186" s="418">
        <f t="shared" si="391"/>
        <v>21874</v>
      </c>
      <c r="BR186" s="418">
        <f>R186+AV186</f>
        <v>7743</v>
      </c>
      <c r="BS186" s="419">
        <f>S186+BH186</f>
        <v>4.4800000000000004</v>
      </c>
      <c r="BT186" s="419">
        <f t="shared" ref="BT186:BU190" si="392">T186+BF186</f>
        <v>4</v>
      </c>
      <c r="BU186" s="421">
        <f t="shared" si="392"/>
        <v>0.48</v>
      </c>
      <c r="BV186" s="854"/>
      <c r="BW186" s="723"/>
      <c r="BX186" s="723"/>
      <c r="BY186" s="723"/>
      <c r="BZ186" s="723"/>
      <c r="CA186" s="855"/>
    </row>
    <row r="187" spans="1:79" ht="12.95" customHeight="1" x14ac:dyDescent="0.25">
      <c r="A187" s="280">
        <v>37</v>
      </c>
      <c r="B187" s="381">
        <v>5455</v>
      </c>
      <c r="C187" s="381">
        <v>600099067</v>
      </c>
      <c r="D187" s="281">
        <v>70986088</v>
      </c>
      <c r="E187" s="389" t="s">
        <v>521</v>
      </c>
      <c r="F187" s="381">
        <v>3117</v>
      </c>
      <c r="G187" s="372" t="s">
        <v>308</v>
      </c>
      <c r="H187" s="285" t="s">
        <v>271</v>
      </c>
      <c r="I187" s="420">
        <v>3121907</v>
      </c>
      <c r="J187" s="415">
        <v>2284356</v>
      </c>
      <c r="K187" s="415">
        <v>1985904</v>
      </c>
      <c r="L187" s="415">
        <v>298452</v>
      </c>
      <c r="M187" s="415">
        <v>0</v>
      </c>
      <c r="N187" s="415">
        <v>0</v>
      </c>
      <c r="O187" s="415">
        <v>0</v>
      </c>
      <c r="P187" s="68">
        <v>772113</v>
      </c>
      <c r="Q187" s="68">
        <v>22843</v>
      </c>
      <c r="R187" s="415">
        <v>42595</v>
      </c>
      <c r="S187" s="416">
        <v>3.1901000000000002</v>
      </c>
      <c r="T187" s="416">
        <v>2.3635999999999999</v>
      </c>
      <c r="U187" s="423">
        <v>0.82650000000000001</v>
      </c>
      <c r="V187" s="424">
        <f t="shared" si="387"/>
        <v>0</v>
      </c>
      <c r="W187" s="418">
        <f t="shared" si="387"/>
        <v>0</v>
      </c>
      <c r="X187" s="418">
        <v>0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>V187+X187+Y187+Z187+AB187</f>
        <v>0</v>
      </c>
      <c r="AE187" s="418">
        <f>W187+AA187+AC187</f>
        <v>0</v>
      </c>
      <c r="AF187" s="418">
        <f>SUM(AD187:AE187)</f>
        <v>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>AG187+AI187+AJ187</f>
        <v>0</v>
      </c>
      <c r="AM187" s="418">
        <f>AH187+AK187</f>
        <v>0</v>
      </c>
      <c r="AN187" s="418">
        <f>SUM(AL187:AM187)</f>
        <v>0</v>
      </c>
      <c r="AO187" s="418">
        <f t="shared" si="388"/>
        <v>0</v>
      </c>
      <c r="AP187" s="418">
        <f t="shared" si="388"/>
        <v>0</v>
      </c>
      <c r="AQ187" s="418">
        <f>SUM(AO187:AP187)</f>
        <v>0</v>
      </c>
      <c r="AR187" s="68">
        <f>ROUND((AF187+AG187+AH187+AI187)*33.8%,0)</f>
        <v>0</v>
      </c>
      <c r="AS187" s="68">
        <f>ROUND(AF187*1%,0)</f>
        <v>0</v>
      </c>
      <c r="AT187" s="418">
        <v>0</v>
      </c>
      <c r="AU187" s="418">
        <v>0</v>
      </c>
      <c r="AV187" s="418">
        <f>AT187+AU187</f>
        <v>0</v>
      </c>
      <c r="AW187" s="418">
        <f>AQ187+AR187+AS187+AV187</f>
        <v>0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</v>
      </c>
      <c r="BC187" s="419">
        <v>0</v>
      </c>
      <c r="BD187" s="419">
        <v>0</v>
      </c>
      <c r="BE187" s="419">
        <v>0</v>
      </c>
      <c r="BF187" s="419">
        <f>AX187+AZ187+BA187+BC187+BD187</f>
        <v>0</v>
      </c>
      <c r="BG187" s="419">
        <f>AY187+BB187+BE187</f>
        <v>0</v>
      </c>
      <c r="BH187" s="421">
        <f>SUM(BF187:BG187)</f>
        <v>0</v>
      </c>
      <c r="BI187" s="780">
        <f>I187+AW187</f>
        <v>3121907</v>
      </c>
      <c r="BJ187" s="418">
        <f>J187+AF187</f>
        <v>2284356</v>
      </c>
      <c r="BK187" s="418">
        <f t="shared" si="389"/>
        <v>1985904</v>
      </c>
      <c r="BL187" s="418">
        <f t="shared" si="389"/>
        <v>298452</v>
      </c>
      <c r="BM187" s="418">
        <f>M187+AN187</f>
        <v>0</v>
      </c>
      <c r="BN187" s="418">
        <f t="shared" si="390"/>
        <v>0</v>
      </c>
      <c r="BO187" s="418">
        <f t="shared" si="390"/>
        <v>0</v>
      </c>
      <c r="BP187" s="418">
        <f t="shared" si="391"/>
        <v>772113</v>
      </c>
      <c r="BQ187" s="418">
        <f t="shared" si="391"/>
        <v>22843</v>
      </c>
      <c r="BR187" s="418">
        <f>R187+AV187</f>
        <v>42595</v>
      </c>
      <c r="BS187" s="419">
        <f>S187+BH187</f>
        <v>3.1901000000000002</v>
      </c>
      <c r="BT187" s="419">
        <f t="shared" si="392"/>
        <v>2.3635999999999999</v>
      </c>
      <c r="BU187" s="421">
        <f t="shared" si="392"/>
        <v>0.82650000000000001</v>
      </c>
      <c r="BV187" s="854"/>
      <c r="BW187" s="723"/>
      <c r="BX187" s="723"/>
      <c r="BY187" s="723"/>
      <c r="BZ187" s="723"/>
      <c r="CA187" s="855"/>
    </row>
    <row r="188" spans="1:79" ht="12.95" customHeight="1" x14ac:dyDescent="0.25">
      <c r="A188" s="280">
        <v>37</v>
      </c>
      <c r="B188" s="212">
        <v>5455</v>
      </c>
      <c r="C188" s="212">
        <v>600099067</v>
      </c>
      <c r="D188" s="281">
        <v>70986088</v>
      </c>
      <c r="E188" s="372" t="s">
        <v>521</v>
      </c>
      <c r="F188" s="212">
        <v>3141</v>
      </c>
      <c r="G188" s="373" t="s">
        <v>294</v>
      </c>
      <c r="H188" s="285" t="s">
        <v>272</v>
      </c>
      <c r="I188" s="420">
        <v>574523</v>
      </c>
      <c r="J188" s="415">
        <v>424620</v>
      </c>
      <c r="K188" s="415">
        <v>0</v>
      </c>
      <c r="L188" s="415">
        <v>424620</v>
      </c>
      <c r="M188" s="415">
        <v>0</v>
      </c>
      <c r="N188" s="415">
        <v>0</v>
      </c>
      <c r="O188" s="415">
        <v>0</v>
      </c>
      <c r="P188" s="68">
        <v>143522</v>
      </c>
      <c r="Q188" s="68">
        <v>4246</v>
      </c>
      <c r="R188" s="415">
        <v>2135</v>
      </c>
      <c r="S188" s="416">
        <v>1.2733000000000001</v>
      </c>
      <c r="T188" s="416">
        <v>0</v>
      </c>
      <c r="U188" s="423">
        <v>1.2733000000000001</v>
      </c>
      <c r="V188" s="424">
        <f t="shared" si="387"/>
        <v>0</v>
      </c>
      <c r="W188" s="418">
        <f t="shared" si="387"/>
        <v>0</v>
      </c>
      <c r="X188" s="418">
        <v>0</v>
      </c>
      <c r="Y188" s="418">
        <v>0</v>
      </c>
      <c r="Z188" s="418">
        <v>0</v>
      </c>
      <c r="AA188" s="418">
        <v>211442</v>
      </c>
      <c r="AB188" s="418">
        <v>0</v>
      </c>
      <c r="AC188" s="418">
        <v>0</v>
      </c>
      <c r="AD188" s="418">
        <f>V188+X188+Y188+Z188+AB188</f>
        <v>0</v>
      </c>
      <c r="AE188" s="418">
        <f>W188+AA188+AC188</f>
        <v>211442</v>
      </c>
      <c r="AF188" s="418">
        <f>SUM(AD188:AE188)</f>
        <v>211442</v>
      </c>
      <c r="AG188" s="418">
        <v>0</v>
      </c>
      <c r="AH188" s="418">
        <v>0</v>
      </c>
      <c r="AI188" s="418">
        <v>0</v>
      </c>
      <c r="AJ188" s="418">
        <v>0</v>
      </c>
      <c r="AK188" s="418">
        <v>0</v>
      </c>
      <c r="AL188" s="418">
        <f>AG188+AI188+AJ188</f>
        <v>0</v>
      </c>
      <c r="AM188" s="418">
        <f>AH188+AK188</f>
        <v>0</v>
      </c>
      <c r="AN188" s="418">
        <f>SUM(AL188:AM188)</f>
        <v>0</v>
      </c>
      <c r="AO188" s="418">
        <f t="shared" si="388"/>
        <v>0</v>
      </c>
      <c r="AP188" s="418">
        <f t="shared" si="388"/>
        <v>211442</v>
      </c>
      <c r="AQ188" s="418">
        <f>SUM(AO188:AP188)</f>
        <v>211442</v>
      </c>
      <c r="AR188" s="68">
        <f>ROUND((AF188+AG188+AH188+AI188)*33.8%,0)</f>
        <v>71467</v>
      </c>
      <c r="AS188" s="68">
        <f>ROUND(AF188*1%,0)</f>
        <v>2114</v>
      </c>
      <c r="AT188" s="418">
        <v>0</v>
      </c>
      <c r="AU188" s="418">
        <v>1037</v>
      </c>
      <c r="AV188" s="418">
        <f>AT188+AU188</f>
        <v>1037</v>
      </c>
      <c r="AW188" s="418">
        <f>AQ188+AR188+AS188+AV188</f>
        <v>286060</v>
      </c>
      <c r="AX188" s="419">
        <v>0</v>
      </c>
      <c r="AY188" s="419">
        <v>0</v>
      </c>
      <c r="AZ188" s="419">
        <v>0</v>
      </c>
      <c r="BA188" s="419">
        <v>0</v>
      </c>
      <c r="BB188" s="419">
        <v>0.64</v>
      </c>
      <c r="BC188" s="419">
        <v>0</v>
      </c>
      <c r="BD188" s="419">
        <v>0</v>
      </c>
      <c r="BE188" s="419">
        <v>0</v>
      </c>
      <c r="BF188" s="419">
        <f>AX188+AZ188+BA188+BC188+BD188</f>
        <v>0</v>
      </c>
      <c r="BG188" s="419">
        <f>AY188+BB188+BE188</f>
        <v>0.64</v>
      </c>
      <c r="BH188" s="421">
        <f>SUM(BF188:BG188)</f>
        <v>0.64</v>
      </c>
      <c r="BI188" s="780">
        <f>I188+AW188</f>
        <v>860583</v>
      </c>
      <c r="BJ188" s="418">
        <f>J188+AF188</f>
        <v>636062</v>
      </c>
      <c r="BK188" s="418">
        <f t="shared" si="389"/>
        <v>0</v>
      </c>
      <c r="BL188" s="418">
        <f t="shared" si="389"/>
        <v>636062</v>
      </c>
      <c r="BM188" s="418">
        <f>M188+AN188</f>
        <v>0</v>
      </c>
      <c r="BN188" s="418">
        <f t="shared" si="390"/>
        <v>0</v>
      </c>
      <c r="BO188" s="418">
        <f t="shared" si="390"/>
        <v>0</v>
      </c>
      <c r="BP188" s="418">
        <f t="shared" si="391"/>
        <v>214989</v>
      </c>
      <c r="BQ188" s="418">
        <f t="shared" si="391"/>
        <v>6360</v>
      </c>
      <c r="BR188" s="418">
        <f>R188+AV188</f>
        <v>3172</v>
      </c>
      <c r="BS188" s="419">
        <f>S188+BH188</f>
        <v>1.9133</v>
      </c>
      <c r="BT188" s="419">
        <f t="shared" si="392"/>
        <v>0</v>
      </c>
      <c r="BU188" s="421">
        <f t="shared" si="392"/>
        <v>1.9133</v>
      </c>
      <c r="BV188" s="854"/>
      <c r="BW188" s="723"/>
      <c r="BX188" s="723"/>
      <c r="BY188" s="723"/>
      <c r="BZ188" s="723"/>
      <c r="CA188" s="855"/>
    </row>
    <row r="189" spans="1:79" ht="12.95" customHeight="1" x14ac:dyDescent="0.25">
      <c r="A189" s="280">
        <v>37</v>
      </c>
      <c r="B189" s="212">
        <v>5455</v>
      </c>
      <c r="C189" s="212">
        <v>600099067</v>
      </c>
      <c r="D189" s="281">
        <v>70986088</v>
      </c>
      <c r="E189" s="371" t="s">
        <v>521</v>
      </c>
      <c r="F189" s="382">
        <v>3143</v>
      </c>
      <c r="G189" s="323" t="s">
        <v>595</v>
      </c>
      <c r="H189" s="285" t="s">
        <v>271</v>
      </c>
      <c r="I189" s="420">
        <v>493636</v>
      </c>
      <c r="J189" s="415">
        <v>366199</v>
      </c>
      <c r="K189" s="415">
        <v>366199</v>
      </c>
      <c r="L189" s="415">
        <v>0</v>
      </c>
      <c r="M189" s="415">
        <v>0</v>
      </c>
      <c r="N189" s="415">
        <v>0</v>
      </c>
      <c r="O189" s="415">
        <v>0</v>
      </c>
      <c r="P189" s="68">
        <v>123775</v>
      </c>
      <c r="Q189" s="68">
        <v>3662</v>
      </c>
      <c r="R189" s="415">
        <v>0</v>
      </c>
      <c r="S189" s="416">
        <v>0.67800000000000005</v>
      </c>
      <c r="T189" s="416">
        <v>0.67800000000000005</v>
      </c>
      <c r="U189" s="423">
        <v>0</v>
      </c>
      <c r="V189" s="424">
        <f t="shared" si="387"/>
        <v>0</v>
      </c>
      <c r="W189" s="418">
        <f t="shared" si="387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>V189+X189+Y189+Z189+AB189</f>
        <v>0</v>
      </c>
      <c r="AE189" s="418">
        <f>W189+AA189+AC189</f>
        <v>0</v>
      </c>
      <c r="AF189" s="418">
        <f>SUM(AD189:AE189)</f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>AG189+AI189+AJ189</f>
        <v>0</v>
      </c>
      <c r="AM189" s="418">
        <f>AH189+AK189</f>
        <v>0</v>
      </c>
      <c r="AN189" s="418">
        <f>SUM(AL189:AM189)</f>
        <v>0</v>
      </c>
      <c r="AO189" s="418">
        <f t="shared" si="388"/>
        <v>0</v>
      </c>
      <c r="AP189" s="418">
        <f t="shared" si="388"/>
        <v>0</v>
      </c>
      <c r="AQ189" s="418">
        <f>SUM(AO189:AP189)</f>
        <v>0</v>
      </c>
      <c r="AR189" s="68">
        <f>ROUND((AF189+AG189+AH189+AI189)*33.8%,0)</f>
        <v>0</v>
      </c>
      <c r="AS189" s="68">
        <f>ROUND(AF189*1%,0)</f>
        <v>0</v>
      </c>
      <c r="AT189" s="418">
        <v>0</v>
      </c>
      <c r="AU189" s="418">
        <v>0</v>
      </c>
      <c r="AV189" s="418">
        <f>AT189+AU189</f>
        <v>0</v>
      </c>
      <c r="AW189" s="418">
        <f>AQ189+AR189+AS189+AV189</f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>AX189+AZ189+BA189+BC189+BD189</f>
        <v>0</v>
      </c>
      <c r="BG189" s="419">
        <f>AY189+BB189+BE189</f>
        <v>0</v>
      </c>
      <c r="BH189" s="421">
        <f>SUM(BF189:BG189)</f>
        <v>0</v>
      </c>
      <c r="BI189" s="780">
        <f>I189+AW189</f>
        <v>493636</v>
      </c>
      <c r="BJ189" s="418">
        <f>J189+AF189</f>
        <v>366199</v>
      </c>
      <c r="BK189" s="418">
        <f t="shared" si="389"/>
        <v>366199</v>
      </c>
      <c r="BL189" s="418">
        <f t="shared" si="389"/>
        <v>0</v>
      </c>
      <c r="BM189" s="418">
        <f>M189+AN189</f>
        <v>0</v>
      </c>
      <c r="BN189" s="418">
        <f t="shared" si="390"/>
        <v>0</v>
      </c>
      <c r="BO189" s="418">
        <f t="shared" si="390"/>
        <v>0</v>
      </c>
      <c r="BP189" s="418">
        <f t="shared" si="391"/>
        <v>123775</v>
      </c>
      <c r="BQ189" s="418">
        <f t="shared" si="391"/>
        <v>3662</v>
      </c>
      <c r="BR189" s="418">
        <f>R189+AV189</f>
        <v>0</v>
      </c>
      <c r="BS189" s="419">
        <f>S189+BH189</f>
        <v>0.67800000000000005</v>
      </c>
      <c r="BT189" s="419">
        <f t="shared" si="392"/>
        <v>0.67800000000000005</v>
      </c>
      <c r="BU189" s="421">
        <f t="shared" si="392"/>
        <v>0</v>
      </c>
      <c r="BV189" s="854"/>
      <c r="BW189" s="723"/>
      <c r="BX189" s="723"/>
      <c r="BY189" s="723"/>
      <c r="BZ189" s="723"/>
      <c r="CA189" s="855"/>
    </row>
    <row r="190" spans="1:79" ht="12.95" customHeight="1" x14ac:dyDescent="0.25">
      <c r="A190" s="280">
        <v>37</v>
      </c>
      <c r="B190" s="212">
        <v>5455</v>
      </c>
      <c r="C190" s="212">
        <v>600099067</v>
      </c>
      <c r="D190" s="281">
        <v>70986088</v>
      </c>
      <c r="E190" s="371" t="s">
        <v>521</v>
      </c>
      <c r="F190" s="382">
        <v>3143</v>
      </c>
      <c r="G190" s="323" t="s">
        <v>596</v>
      </c>
      <c r="H190" s="285" t="s">
        <v>272</v>
      </c>
      <c r="I190" s="420">
        <v>11767</v>
      </c>
      <c r="J190" s="415">
        <v>8422</v>
      </c>
      <c r="K190" s="415">
        <v>0</v>
      </c>
      <c r="L190" s="415">
        <v>8422</v>
      </c>
      <c r="M190" s="415">
        <v>0</v>
      </c>
      <c r="N190" s="415">
        <v>0</v>
      </c>
      <c r="O190" s="415">
        <v>0</v>
      </c>
      <c r="P190" s="68">
        <v>2847</v>
      </c>
      <c r="Q190" s="68">
        <v>84</v>
      </c>
      <c r="R190" s="415">
        <v>414</v>
      </c>
      <c r="S190" s="416">
        <v>3.1899999999999998E-2</v>
      </c>
      <c r="T190" s="416">
        <v>0</v>
      </c>
      <c r="U190" s="423">
        <v>3.1899999999999998E-2</v>
      </c>
      <c r="V190" s="424">
        <f t="shared" si="387"/>
        <v>0</v>
      </c>
      <c r="W190" s="418">
        <f t="shared" si="387"/>
        <v>0</v>
      </c>
      <c r="X190" s="418">
        <v>0</v>
      </c>
      <c r="Y190" s="418">
        <v>0</v>
      </c>
      <c r="Z190" s="418">
        <v>0</v>
      </c>
      <c r="AA190" s="418">
        <v>4228</v>
      </c>
      <c r="AB190" s="418">
        <v>0</v>
      </c>
      <c r="AC190" s="418">
        <v>0</v>
      </c>
      <c r="AD190" s="418">
        <f>V190+X190+Y190+Z190+AB190</f>
        <v>0</v>
      </c>
      <c r="AE190" s="418">
        <f>W190+AA190+AC190</f>
        <v>4228</v>
      </c>
      <c r="AF190" s="418">
        <f>SUM(AD190:AE190)</f>
        <v>4228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>AG190+AI190+AJ190</f>
        <v>0</v>
      </c>
      <c r="AM190" s="418">
        <f>AH190+AK190</f>
        <v>0</v>
      </c>
      <c r="AN190" s="418">
        <f>SUM(AL190:AM190)</f>
        <v>0</v>
      </c>
      <c r="AO190" s="418">
        <f t="shared" si="388"/>
        <v>0</v>
      </c>
      <c r="AP190" s="418">
        <f t="shared" si="388"/>
        <v>4228</v>
      </c>
      <c r="AQ190" s="418">
        <f>SUM(AO190:AP190)</f>
        <v>4228</v>
      </c>
      <c r="AR190" s="68">
        <f>ROUND((AF190+AG190+AH190+AI190)*33.8%,0)</f>
        <v>1429</v>
      </c>
      <c r="AS190" s="68">
        <f>ROUND(AF190*1%,0)</f>
        <v>42</v>
      </c>
      <c r="AT190" s="418">
        <v>0</v>
      </c>
      <c r="AU190" s="418">
        <v>207</v>
      </c>
      <c r="AV190" s="418">
        <f>AT190+AU190</f>
        <v>207</v>
      </c>
      <c r="AW190" s="418">
        <f>AQ190+AR190+AS190+AV190</f>
        <v>5906</v>
      </c>
      <c r="AX190" s="419">
        <v>0</v>
      </c>
      <c r="AY190" s="419">
        <v>0</v>
      </c>
      <c r="AZ190" s="419">
        <v>0</v>
      </c>
      <c r="BA190" s="419">
        <v>0</v>
      </c>
      <c r="BB190" s="419">
        <v>0.02</v>
      </c>
      <c r="BC190" s="419">
        <v>0</v>
      </c>
      <c r="BD190" s="419">
        <v>0</v>
      </c>
      <c r="BE190" s="419">
        <v>0</v>
      </c>
      <c r="BF190" s="419">
        <f>AX190+AZ190+BA190+BC190+BD190</f>
        <v>0</v>
      </c>
      <c r="BG190" s="419">
        <f>AY190+BB190+BE190</f>
        <v>0.02</v>
      </c>
      <c r="BH190" s="421">
        <f>SUM(BF190:BG190)</f>
        <v>0.02</v>
      </c>
      <c r="BI190" s="780">
        <f>I190+AW190</f>
        <v>17673</v>
      </c>
      <c r="BJ190" s="418">
        <f>J190+AF190</f>
        <v>12650</v>
      </c>
      <c r="BK190" s="418">
        <f t="shared" si="389"/>
        <v>0</v>
      </c>
      <c r="BL190" s="418">
        <f t="shared" si="389"/>
        <v>12650</v>
      </c>
      <c r="BM190" s="418">
        <f>M190+AN190</f>
        <v>0</v>
      </c>
      <c r="BN190" s="418">
        <f t="shared" si="390"/>
        <v>0</v>
      </c>
      <c r="BO190" s="418">
        <f t="shared" si="390"/>
        <v>0</v>
      </c>
      <c r="BP190" s="418">
        <f t="shared" si="391"/>
        <v>4276</v>
      </c>
      <c r="BQ190" s="418">
        <f t="shared" si="391"/>
        <v>126</v>
      </c>
      <c r="BR190" s="418">
        <f>R190+AV190</f>
        <v>621</v>
      </c>
      <c r="BS190" s="419">
        <f>S190+BH190</f>
        <v>5.1900000000000002E-2</v>
      </c>
      <c r="BT190" s="419">
        <f t="shared" si="392"/>
        <v>0</v>
      </c>
      <c r="BU190" s="421">
        <f t="shared" si="392"/>
        <v>5.1900000000000002E-2</v>
      </c>
      <c r="BV190" s="854"/>
      <c r="BW190" s="723"/>
      <c r="BX190" s="723"/>
      <c r="BY190" s="723"/>
      <c r="BZ190" s="723"/>
      <c r="CA190" s="855"/>
    </row>
    <row r="191" spans="1:79" ht="12.95" customHeight="1" x14ac:dyDescent="0.25">
      <c r="A191" s="214">
        <v>37</v>
      </c>
      <c r="B191" s="45">
        <v>5455</v>
      </c>
      <c r="C191" s="45">
        <v>600099067</v>
      </c>
      <c r="D191" s="45">
        <v>70986088</v>
      </c>
      <c r="E191" s="383" t="s">
        <v>522</v>
      </c>
      <c r="F191" s="384"/>
      <c r="G191" s="383"/>
      <c r="H191" s="385"/>
      <c r="I191" s="487">
        <v>7158131</v>
      </c>
      <c r="J191" s="483">
        <v>5270952</v>
      </c>
      <c r="K191" s="483">
        <v>4419650</v>
      </c>
      <c r="L191" s="483">
        <v>851302</v>
      </c>
      <c r="M191" s="483">
        <v>0</v>
      </c>
      <c r="N191" s="483">
        <v>0</v>
      </c>
      <c r="O191" s="483">
        <v>0</v>
      </c>
      <c r="P191" s="483">
        <v>1781583</v>
      </c>
      <c r="Q191" s="483">
        <v>52709</v>
      </c>
      <c r="R191" s="483">
        <v>52887</v>
      </c>
      <c r="S191" s="484">
        <v>9.6533000000000015</v>
      </c>
      <c r="T191" s="484">
        <v>7.0415999999999999</v>
      </c>
      <c r="U191" s="656">
        <v>2.6116999999999999</v>
      </c>
      <c r="V191" s="487">
        <f t="shared" ref="V191:CA191" si="393">SUM(V186:V190)</f>
        <v>0</v>
      </c>
      <c r="W191" s="483">
        <f t="shared" si="393"/>
        <v>0</v>
      </c>
      <c r="X191" s="483">
        <f t="shared" si="393"/>
        <v>0</v>
      </c>
      <c r="Y191" s="483">
        <f t="shared" si="393"/>
        <v>0</v>
      </c>
      <c r="Z191" s="483">
        <f t="shared" si="393"/>
        <v>0</v>
      </c>
      <c r="AA191" s="483">
        <f t="shared" si="393"/>
        <v>215670</v>
      </c>
      <c r="AB191" s="483">
        <f t="shared" si="393"/>
        <v>0</v>
      </c>
      <c r="AC191" s="483">
        <f t="shared" si="393"/>
        <v>0</v>
      </c>
      <c r="AD191" s="483">
        <f t="shared" si="393"/>
        <v>0</v>
      </c>
      <c r="AE191" s="483">
        <f t="shared" si="393"/>
        <v>215670</v>
      </c>
      <c r="AF191" s="483">
        <f t="shared" si="393"/>
        <v>215670</v>
      </c>
      <c r="AG191" s="483">
        <f t="shared" si="393"/>
        <v>0</v>
      </c>
      <c r="AH191" s="483">
        <f t="shared" si="393"/>
        <v>0</v>
      </c>
      <c r="AI191" s="483">
        <f t="shared" si="393"/>
        <v>0</v>
      </c>
      <c r="AJ191" s="483">
        <f t="shared" si="393"/>
        <v>0</v>
      </c>
      <c r="AK191" s="483">
        <f t="shared" si="393"/>
        <v>0</v>
      </c>
      <c r="AL191" s="483">
        <f t="shared" si="393"/>
        <v>0</v>
      </c>
      <c r="AM191" s="483">
        <f t="shared" si="393"/>
        <v>0</v>
      </c>
      <c r="AN191" s="483">
        <f t="shared" si="393"/>
        <v>0</v>
      </c>
      <c r="AO191" s="483">
        <f t="shared" si="393"/>
        <v>0</v>
      </c>
      <c r="AP191" s="483">
        <f t="shared" si="393"/>
        <v>215670</v>
      </c>
      <c r="AQ191" s="483">
        <f t="shared" si="393"/>
        <v>215670</v>
      </c>
      <c r="AR191" s="483">
        <f t="shared" si="393"/>
        <v>72896</v>
      </c>
      <c r="AS191" s="483">
        <f t="shared" si="393"/>
        <v>2156</v>
      </c>
      <c r="AT191" s="483">
        <f t="shared" si="393"/>
        <v>0</v>
      </c>
      <c r="AU191" s="483">
        <f t="shared" si="393"/>
        <v>1244</v>
      </c>
      <c r="AV191" s="483">
        <f t="shared" si="393"/>
        <v>1244</v>
      </c>
      <c r="AW191" s="483">
        <f t="shared" si="393"/>
        <v>291966</v>
      </c>
      <c r="AX191" s="484">
        <f t="shared" si="393"/>
        <v>0</v>
      </c>
      <c r="AY191" s="484">
        <f t="shared" si="393"/>
        <v>0</v>
      </c>
      <c r="AZ191" s="484">
        <f t="shared" si="393"/>
        <v>0</v>
      </c>
      <c r="BA191" s="484">
        <f t="shared" si="393"/>
        <v>0</v>
      </c>
      <c r="BB191" s="484">
        <f t="shared" ref="BB191" si="394">SUM(BB186:BB190)</f>
        <v>0.66</v>
      </c>
      <c r="BC191" s="484">
        <f t="shared" si="393"/>
        <v>0</v>
      </c>
      <c r="BD191" s="484">
        <f t="shared" si="393"/>
        <v>0</v>
      </c>
      <c r="BE191" s="484">
        <f t="shared" ref="BE191" si="395">SUM(BE186:BE190)</f>
        <v>0</v>
      </c>
      <c r="BF191" s="484">
        <f t="shared" si="393"/>
        <v>0</v>
      </c>
      <c r="BG191" s="484">
        <f t="shared" si="393"/>
        <v>0.66</v>
      </c>
      <c r="BH191" s="375">
        <f t="shared" si="393"/>
        <v>0.66</v>
      </c>
      <c r="BI191" s="792">
        <f t="shared" si="393"/>
        <v>7450097</v>
      </c>
      <c r="BJ191" s="483">
        <f t="shared" si="393"/>
        <v>5486622</v>
      </c>
      <c r="BK191" s="483">
        <f t="shared" si="393"/>
        <v>4419650</v>
      </c>
      <c r="BL191" s="483">
        <f t="shared" si="393"/>
        <v>1066972</v>
      </c>
      <c r="BM191" s="483">
        <f t="shared" si="393"/>
        <v>0</v>
      </c>
      <c r="BN191" s="483">
        <f t="shared" si="393"/>
        <v>0</v>
      </c>
      <c r="BO191" s="483">
        <f t="shared" si="393"/>
        <v>0</v>
      </c>
      <c r="BP191" s="483">
        <f t="shared" si="393"/>
        <v>1854479</v>
      </c>
      <c r="BQ191" s="483">
        <f t="shared" si="393"/>
        <v>54865</v>
      </c>
      <c r="BR191" s="483">
        <f t="shared" si="393"/>
        <v>54131</v>
      </c>
      <c r="BS191" s="484">
        <f t="shared" si="393"/>
        <v>10.313300000000002</v>
      </c>
      <c r="BT191" s="484">
        <f t="shared" si="393"/>
        <v>7.0415999999999999</v>
      </c>
      <c r="BU191" s="375">
        <f t="shared" si="393"/>
        <v>3.2717000000000001</v>
      </c>
      <c r="BV191" s="869">
        <f t="shared" si="393"/>
        <v>0</v>
      </c>
      <c r="BW191" s="733">
        <f t="shared" si="393"/>
        <v>0</v>
      </c>
      <c r="BX191" s="733">
        <f t="shared" si="393"/>
        <v>0</v>
      </c>
      <c r="BY191" s="733">
        <f t="shared" si="393"/>
        <v>0</v>
      </c>
      <c r="BZ191" s="733">
        <f t="shared" si="393"/>
        <v>0</v>
      </c>
      <c r="CA191" s="870">
        <f t="shared" si="393"/>
        <v>0</v>
      </c>
    </row>
    <row r="192" spans="1:79" ht="12.95" customHeight="1" x14ac:dyDescent="0.25">
      <c r="A192" s="280">
        <v>38</v>
      </c>
      <c r="B192" s="212">
        <v>5470</v>
      </c>
      <c r="C192" s="212">
        <v>600099091</v>
      </c>
      <c r="D192" s="281">
        <v>70695822</v>
      </c>
      <c r="E192" s="372" t="s">
        <v>523</v>
      </c>
      <c r="F192" s="212">
        <v>3111</v>
      </c>
      <c r="G192" s="373" t="s">
        <v>304</v>
      </c>
      <c r="H192" s="285" t="s">
        <v>271</v>
      </c>
      <c r="I192" s="420">
        <v>2910413</v>
      </c>
      <c r="J192" s="415">
        <v>2153712</v>
      </c>
      <c r="K192" s="415">
        <v>2033904</v>
      </c>
      <c r="L192" s="415">
        <v>119808</v>
      </c>
      <c r="M192" s="415">
        <v>0</v>
      </c>
      <c r="N192" s="415">
        <v>0</v>
      </c>
      <c r="O192" s="415">
        <v>0</v>
      </c>
      <c r="P192" s="68">
        <v>727955</v>
      </c>
      <c r="Q192" s="68">
        <v>21537</v>
      </c>
      <c r="R192" s="415">
        <v>7209</v>
      </c>
      <c r="S192" s="416">
        <v>4.3832000000000004</v>
      </c>
      <c r="T192" s="416">
        <v>3.9032</v>
      </c>
      <c r="U192" s="423">
        <v>0.48</v>
      </c>
      <c r="V192" s="424">
        <f t="shared" ref="V192:W197" si="396">AG192*-1</f>
        <v>0</v>
      </c>
      <c r="W192" s="418">
        <f t="shared" si="396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ref="AD192:AD197" si="397">V192+X192+Y192+Z192+AB192</f>
        <v>0</v>
      </c>
      <c r="AE192" s="418">
        <f t="shared" ref="AE192:AE197" si="398">W192+AA192+AC192</f>
        <v>0</v>
      </c>
      <c r="AF192" s="418">
        <f t="shared" ref="AF192:AF197" si="399">SUM(AD192:AE192)</f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ref="AL192:AL197" si="400">AG192+AI192+AJ192</f>
        <v>0</v>
      </c>
      <c r="AM192" s="418">
        <f t="shared" ref="AM192:AM197" si="401">AH192+AK192</f>
        <v>0</v>
      </c>
      <c r="AN192" s="418">
        <f t="shared" ref="AN192:AN197" si="402">SUM(AL192:AM192)</f>
        <v>0</v>
      </c>
      <c r="AO192" s="418">
        <f t="shared" ref="AO192:AP197" si="403">AD192+AL192</f>
        <v>0</v>
      </c>
      <c r="AP192" s="418">
        <f t="shared" si="403"/>
        <v>0</v>
      </c>
      <c r="AQ192" s="418">
        <f t="shared" ref="AQ192:AQ197" si="404">SUM(AO192:AP192)</f>
        <v>0</v>
      </c>
      <c r="AR192" s="68">
        <f t="shared" ref="AR192:AR197" si="405">ROUND((AF192+AG192+AH192+AI192)*33.8%,0)</f>
        <v>0</v>
      </c>
      <c r="AS192" s="68">
        <f t="shared" ref="AS192:AS197" si="406">ROUND(AF192*1%,0)</f>
        <v>0</v>
      </c>
      <c r="AT192" s="418">
        <v>0</v>
      </c>
      <c r="AU192" s="418">
        <v>0</v>
      </c>
      <c r="AV192" s="418">
        <f t="shared" ref="AV192:AV197" si="407">AT192+AU192</f>
        <v>0</v>
      </c>
      <c r="AW192" s="418">
        <f t="shared" ref="AW192:AW197" si="408">AQ192+AR192+AS192+AV192</f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ref="BF192:BF197" si="409">AX192+AZ192+BA192+BC192+BD192</f>
        <v>0</v>
      </c>
      <c r="BG192" s="419">
        <f t="shared" ref="BG192:BG197" si="410">AY192+BB192+BE192</f>
        <v>0</v>
      </c>
      <c r="BH192" s="421">
        <f t="shared" ref="BH192:BH197" si="411">SUM(BF192:BG192)</f>
        <v>0</v>
      </c>
      <c r="BI192" s="780">
        <f t="shared" ref="BI192:BI197" si="412">I192+AW192</f>
        <v>2910413</v>
      </c>
      <c r="BJ192" s="418">
        <f t="shared" ref="BJ192:BJ197" si="413">J192+AF192</f>
        <v>2153712</v>
      </c>
      <c r="BK192" s="418">
        <f t="shared" ref="BK192:BL197" si="414">K192+AD192</f>
        <v>2033904</v>
      </c>
      <c r="BL192" s="418">
        <f t="shared" si="414"/>
        <v>119808</v>
      </c>
      <c r="BM192" s="418">
        <f t="shared" ref="BM192:BM197" si="415">M192+AN192</f>
        <v>0</v>
      </c>
      <c r="BN192" s="418">
        <f t="shared" ref="BN192:BO197" si="416">N192+AL192</f>
        <v>0</v>
      </c>
      <c r="BO192" s="418">
        <f t="shared" si="416"/>
        <v>0</v>
      </c>
      <c r="BP192" s="418">
        <f t="shared" ref="BP192:BQ197" si="417">P192+AR192</f>
        <v>727955</v>
      </c>
      <c r="BQ192" s="418">
        <f t="shared" si="417"/>
        <v>21537</v>
      </c>
      <c r="BR192" s="418">
        <f t="shared" ref="BR192:BR197" si="418">R192+AV192</f>
        <v>7209</v>
      </c>
      <c r="BS192" s="419">
        <f t="shared" ref="BS192:BS197" si="419">S192+BH192</f>
        <v>4.3832000000000004</v>
      </c>
      <c r="BT192" s="419">
        <f t="shared" ref="BT192:BU197" si="420">T192+BF192</f>
        <v>3.9032</v>
      </c>
      <c r="BU192" s="421">
        <f t="shared" si="420"/>
        <v>0.48</v>
      </c>
      <c r="BV192" s="854"/>
      <c r="BW192" s="723"/>
      <c r="BX192" s="723"/>
      <c r="BY192" s="723"/>
      <c r="BZ192" s="723"/>
      <c r="CA192" s="855"/>
    </row>
    <row r="193" spans="1:79" ht="12.95" customHeight="1" x14ac:dyDescent="0.25">
      <c r="A193" s="280">
        <v>38</v>
      </c>
      <c r="B193" s="212">
        <v>5470</v>
      </c>
      <c r="C193" s="212">
        <v>600099091</v>
      </c>
      <c r="D193" s="281">
        <v>70695822</v>
      </c>
      <c r="E193" s="372" t="s">
        <v>523</v>
      </c>
      <c r="F193" s="212">
        <v>3117</v>
      </c>
      <c r="G193" s="372" t="s">
        <v>308</v>
      </c>
      <c r="H193" s="285" t="s">
        <v>271</v>
      </c>
      <c r="I193" s="420">
        <v>5608606</v>
      </c>
      <c r="J193" s="415">
        <v>3792818</v>
      </c>
      <c r="K193" s="415">
        <v>3372566</v>
      </c>
      <c r="L193" s="415">
        <v>420252</v>
      </c>
      <c r="M193" s="415">
        <v>302400</v>
      </c>
      <c r="N193" s="415">
        <v>152400</v>
      </c>
      <c r="O193" s="415">
        <v>150000</v>
      </c>
      <c r="P193" s="68">
        <v>1384184</v>
      </c>
      <c r="Q193" s="68">
        <v>37929</v>
      </c>
      <c r="R193" s="415">
        <v>91275</v>
      </c>
      <c r="S193" s="416">
        <v>6.8975</v>
      </c>
      <c r="T193" s="416">
        <v>5.2907000000000002</v>
      </c>
      <c r="U193" s="423">
        <v>1.6067999999999998</v>
      </c>
      <c r="V193" s="424">
        <f t="shared" si="396"/>
        <v>0</v>
      </c>
      <c r="W193" s="418">
        <f t="shared" si="396"/>
        <v>0</v>
      </c>
      <c r="X193" s="418">
        <v>0</v>
      </c>
      <c r="Y193" s="418">
        <v>0</v>
      </c>
      <c r="Z193" s="418">
        <v>0</v>
      </c>
      <c r="AA193" s="418">
        <v>0</v>
      </c>
      <c r="AB193" s="418">
        <v>0</v>
      </c>
      <c r="AC193" s="418">
        <v>0</v>
      </c>
      <c r="AD193" s="418">
        <f t="shared" si="397"/>
        <v>0</v>
      </c>
      <c r="AE193" s="418">
        <f t="shared" si="398"/>
        <v>0</v>
      </c>
      <c r="AF193" s="418">
        <f t="shared" si="399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400"/>
        <v>0</v>
      </c>
      <c r="AM193" s="418">
        <f t="shared" si="401"/>
        <v>0</v>
      </c>
      <c r="AN193" s="418">
        <f t="shared" si="402"/>
        <v>0</v>
      </c>
      <c r="AO193" s="418">
        <f t="shared" si="403"/>
        <v>0</v>
      </c>
      <c r="AP193" s="418">
        <f t="shared" si="403"/>
        <v>0</v>
      </c>
      <c r="AQ193" s="418">
        <f t="shared" si="404"/>
        <v>0</v>
      </c>
      <c r="AR193" s="68">
        <f t="shared" si="405"/>
        <v>0</v>
      </c>
      <c r="AS193" s="68">
        <f t="shared" si="406"/>
        <v>0</v>
      </c>
      <c r="AT193" s="418">
        <v>0</v>
      </c>
      <c r="AU193" s="418">
        <v>0</v>
      </c>
      <c r="AV193" s="418">
        <f t="shared" si="407"/>
        <v>0</v>
      </c>
      <c r="AW193" s="418">
        <f t="shared" si="408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</v>
      </c>
      <c r="BC193" s="419">
        <v>0</v>
      </c>
      <c r="BD193" s="419">
        <v>0</v>
      </c>
      <c r="BE193" s="419">
        <v>0</v>
      </c>
      <c r="BF193" s="419">
        <f t="shared" si="409"/>
        <v>0</v>
      </c>
      <c r="BG193" s="419">
        <f t="shared" si="410"/>
        <v>0</v>
      </c>
      <c r="BH193" s="421">
        <f t="shared" si="411"/>
        <v>0</v>
      </c>
      <c r="BI193" s="780">
        <f t="shared" si="412"/>
        <v>5608606</v>
      </c>
      <c r="BJ193" s="418">
        <f t="shared" si="413"/>
        <v>3792818</v>
      </c>
      <c r="BK193" s="418">
        <f t="shared" si="414"/>
        <v>3372566</v>
      </c>
      <c r="BL193" s="418">
        <f t="shared" si="414"/>
        <v>420252</v>
      </c>
      <c r="BM193" s="418">
        <f t="shared" si="415"/>
        <v>302400</v>
      </c>
      <c r="BN193" s="418">
        <f t="shared" si="416"/>
        <v>152400</v>
      </c>
      <c r="BO193" s="418">
        <f t="shared" si="416"/>
        <v>150000</v>
      </c>
      <c r="BP193" s="418">
        <f t="shared" si="417"/>
        <v>1384184</v>
      </c>
      <c r="BQ193" s="418">
        <f t="shared" si="417"/>
        <v>37929</v>
      </c>
      <c r="BR193" s="418">
        <f t="shared" si="418"/>
        <v>91275</v>
      </c>
      <c r="BS193" s="419">
        <f t="shared" si="419"/>
        <v>6.8975</v>
      </c>
      <c r="BT193" s="419">
        <f t="shared" si="420"/>
        <v>5.2907000000000002</v>
      </c>
      <c r="BU193" s="421">
        <f t="shared" si="420"/>
        <v>1.6067999999999998</v>
      </c>
      <c r="BV193" s="167">
        <v>152054</v>
      </c>
      <c r="BW193" s="735">
        <v>112800</v>
      </c>
      <c r="BX193" s="735">
        <v>0</v>
      </c>
      <c r="BY193" s="735">
        <v>38126</v>
      </c>
      <c r="BZ193" s="735">
        <v>1128</v>
      </c>
      <c r="CA193" s="862">
        <v>0.2</v>
      </c>
    </row>
    <row r="194" spans="1:79" ht="12.95" customHeight="1" x14ac:dyDescent="0.25">
      <c r="A194" s="280">
        <v>38</v>
      </c>
      <c r="B194" s="376">
        <v>5470</v>
      </c>
      <c r="C194" s="376">
        <v>600099091</v>
      </c>
      <c r="D194" s="281">
        <v>70695822</v>
      </c>
      <c r="E194" s="372" t="s">
        <v>523</v>
      </c>
      <c r="F194" s="212">
        <v>3117</v>
      </c>
      <c r="G194" s="323" t="s">
        <v>291</v>
      </c>
      <c r="H194" s="285" t="s">
        <v>272</v>
      </c>
      <c r="I194" s="420">
        <v>1891796</v>
      </c>
      <c r="J194" s="415">
        <v>1400813</v>
      </c>
      <c r="K194" s="415">
        <v>1400813</v>
      </c>
      <c r="L194" s="415">
        <v>0</v>
      </c>
      <c r="M194" s="415">
        <v>0</v>
      </c>
      <c r="N194" s="415">
        <v>0</v>
      </c>
      <c r="O194" s="415">
        <v>0</v>
      </c>
      <c r="P194" s="68">
        <v>473475</v>
      </c>
      <c r="Q194" s="68">
        <v>14008</v>
      </c>
      <c r="R194" s="415">
        <v>3500</v>
      </c>
      <c r="S194" s="416">
        <v>3.78</v>
      </c>
      <c r="T194" s="416">
        <v>3.78</v>
      </c>
      <c r="U194" s="423">
        <v>0</v>
      </c>
      <c r="V194" s="424">
        <f t="shared" si="396"/>
        <v>0</v>
      </c>
      <c r="W194" s="418">
        <f t="shared" si="396"/>
        <v>0</v>
      </c>
      <c r="X194" s="418">
        <v>0</v>
      </c>
      <c r="Y194" s="418">
        <v>0</v>
      </c>
      <c r="Z194" s="418">
        <v>0</v>
      </c>
      <c r="AA194" s="418">
        <v>0</v>
      </c>
      <c r="AB194" s="418">
        <v>0</v>
      </c>
      <c r="AC194" s="418">
        <v>0</v>
      </c>
      <c r="AD194" s="418">
        <f t="shared" si="397"/>
        <v>0</v>
      </c>
      <c r="AE194" s="418">
        <f t="shared" si="398"/>
        <v>0</v>
      </c>
      <c r="AF194" s="418">
        <f t="shared" si="399"/>
        <v>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400"/>
        <v>0</v>
      </c>
      <c r="AM194" s="418">
        <f t="shared" si="401"/>
        <v>0</v>
      </c>
      <c r="AN194" s="418">
        <f t="shared" si="402"/>
        <v>0</v>
      </c>
      <c r="AO194" s="418">
        <f t="shared" si="403"/>
        <v>0</v>
      </c>
      <c r="AP194" s="418">
        <f t="shared" si="403"/>
        <v>0</v>
      </c>
      <c r="AQ194" s="418">
        <f t="shared" si="404"/>
        <v>0</v>
      </c>
      <c r="AR194" s="68">
        <f t="shared" si="405"/>
        <v>0</v>
      </c>
      <c r="AS194" s="68">
        <f t="shared" si="406"/>
        <v>0</v>
      </c>
      <c r="AT194" s="418">
        <v>0</v>
      </c>
      <c r="AU194" s="418">
        <v>0</v>
      </c>
      <c r="AV194" s="418">
        <f t="shared" si="407"/>
        <v>0</v>
      </c>
      <c r="AW194" s="418">
        <f t="shared" si="408"/>
        <v>0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</v>
      </c>
      <c r="BC194" s="419">
        <v>0</v>
      </c>
      <c r="BD194" s="419">
        <v>0</v>
      </c>
      <c r="BE194" s="419">
        <v>0</v>
      </c>
      <c r="BF194" s="419">
        <f t="shared" si="409"/>
        <v>0</v>
      </c>
      <c r="BG194" s="419">
        <f t="shared" si="410"/>
        <v>0</v>
      </c>
      <c r="BH194" s="421">
        <f t="shared" si="411"/>
        <v>0</v>
      </c>
      <c r="BI194" s="780">
        <f t="shared" si="412"/>
        <v>1891796</v>
      </c>
      <c r="BJ194" s="418">
        <f t="shared" si="413"/>
        <v>1400813</v>
      </c>
      <c r="BK194" s="418">
        <f t="shared" si="414"/>
        <v>1400813</v>
      </c>
      <c r="BL194" s="418">
        <f t="shared" si="414"/>
        <v>0</v>
      </c>
      <c r="BM194" s="418">
        <f t="shared" si="415"/>
        <v>0</v>
      </c>
      <c r="BN194" s="418">
        <f t="shared" si="416"/>
        <v>0</v>
      </c>
      <c r="BO194" s="418">
        <f t="shared" si="416"/>
        <v>0</v>
      </c>
      <c r="BP194" s="418">
        <f t="shared" si="417"/>
        <v>473475</v>
      </c>
      <c r="BQ194" s="418">
        <f t="shared" si="417"/>
        <v>14008</v>
      </c>
      <c r="BR194" s="418">
        <f t="shared" si="418"/>
        <v>3500</v>
      </c>
      <c r="BS194" s="419">
        <f t="shared" si="419"/>
        <v>3.78</v>
      </c>
      <c r="BT194" s="419">
        <f t="shared" si="420"/>
        <v>3.78</v>
      </c>
      <c r="BU194" s="421">
        <f t="shared" si="420"/>
        <v>0</v>
      </c>
      <c r="BV194" s="854"/>
      <c r="BW194" s="723"/>
      <c r="BX194" s="723"/>
      <c r="BY194" s="723"/>
      <c r="BZ194" s="723"/>
      <c r="CA194" s="855"/>
    </row>
    <row r="195" spans="1:79" ht="12.95" customHeight="1" x14ac:dyDescent="0.25">
      <c r="A195" s="280">
        <v>38</v>
      </c>
      <c r="B195" s="212">
        <v>5470</v>
      </c>
      <c r="C195" s="212">
        <v>600099091</v>
      </c>
      <c r="D195" s="281">
        <v>70695822</v>
      </c>
      <c r="E195" s="371" t="s">
        <v>523</v>
      </c>
      <c r="F195" s="382">
        <v>3141</v>
      </c>
      <c r="G195" s="373" t="s">
        <v>294</v>
      </c>
      <c r="H195" s="285" t="s">
        <v>272</v>
      </c>
      <c r="I195" s="420">
        <v>744259</v>
      </c>
      <c r="J195" s="415">
        <v>549142</v>
      </c>
      <c r="K195" s="415">
        <v>0</v>
      </c>
      <c r="L195" s="415">
        <v>549142</v>
      </c>
      <c r="M195" s="415">
        <v>0</v>
      </c>
      <c r="N195" s="415">
        <v>0</v>
      </c>
      <c r="O195" s="415">
        <v>0</v>
      </c>
      <c r="P195" s="68">
        <v>185610</v>
      </c>
      <c r="Q195" s="68">
        <v>5491</v>
      </c>
      <c r="R195" s="415">
        <v>4016</v>
      </c>
      <c r="S195" s="416">
        <v>1.6467000000000001</v>
      </c>
      <c r="T195" s="416">
        <v>0</v>
      </c>
      <c r="U195" s="423">
        <v>1.6467000000000001</v>
      </c>
      <c r="V195" s="424">
        <f t="shared" si="396"/>
        <v>0</v>
      </c>
      <c r="W195" s="418">
        <f t="shared" si="396"/>
        <v>0</v>
      </c>
      <c r="X195" s="418">
        <v>0</v>
      </c>
      <c r="Y195" s="418">
        <v>0</v>
      </c>
      <c r="Z195" s="418">
        <v>0</v>
      </c>
      <c r="AA195" s="418">
        <f>209207+63714</f>
        <v>272921</v>
      </c>
      <c r="AB195" s="418">
        <v>0</v>
      </c>
      <c r="AC195" s="418">
        <v>0</v>
      </c>
      <c r="AD195" s="418">
        <f t="shared" si="397"/>
        <v>0</v>
      </c>
      <c r="AE195" s="418">
        <f t="shared" si="398"/>
        <v>272921</v>
      </c>
      <c r="AF195" s="418">
        <f t="shared" si="399"/>
        <v>272921</v>
      </c>
      <c r="AG195" s="418">
        <v>0</v>
      </c>
      <c r="AH195" s="418">
        <v>0</v>
      </c>
      <c r="AI195" s="418">
        <v>0</v>
      </c>
      <c r="AJ195" s="418">
        <v>0</v>
      </c>
      <c r="AK195" s="418">
        <v>0</v>
      </c>
      <c r="AL195" s="418">
        <f t="shared" si="400"/>
        <v>0</v>
      </c>
      <c r="AM195" s="418">
        <f t="shared" si="401"/>
        <v>0</v>
      </c>
      <c r="AN195" s="418">
        <f t="shared" si="402"/>
        <v>0</v>
      </c>
      <c r="AO195" s="418">
        <f t="shared" si="403"/>
        <v>0</v>
      </c>
      <c r="AP195" s="418">
        <f t="shared" si="403"/>
        <v>272921</v>
      </c>
      <c r="AQ195" s="418">
        <f t="shared" si="404"/>
        <v>272921</v>
      </c>
      <c r="AR195" s="68">
        <f t="shared" si="405"/>
        <v>92247</v>
      </c>
      <c r="AS195" s="68">
        <f t="shared" si="406"/>
        <v>2729</v>
      </c>
      <c r="AT195" s="418">
        <v>0</v>
      </c>
      <c r="AU195" s="418">
        <f>1202+726</f>
        <v>1928</v>
      </c>
      <c r="AV195" s="418">
        <f t="shared" si="407"/>
        <v>1928</v>
      </c>
      <c r="AW195" s="418">
        <f t="shared" si="408"/>
        <v>369825</v>
      </c>
      <c r="AX195" s="419">
        <v>0</v>
      </c>
      <c r="AY195" s="419">
        <v>0</v>
      </c>
      <c r="AZ195" s="419">
        <v>0</v>
      </c>
      <c r="BA195" s="419">
        <v>0</v>
      </c>
      <c r="BB195" s="419">
        <f>0.63+0.19</f>
        <v>0.82000000000000006</v>
      </c>
      <c r="BC195" s="419">
        <v>0</v>
      </c>
      <c r="BD195" s="419">
        <v>0</v>
      </c>
      <c r="BE195" s="419">
        <v>0</v>
      </c>
      <c r="BF195" s="419">
        <f t="shared" si="409"/>
        <v>0</v>
      </c>
      <c r="BG195" s="419">
        <f t="shared" si="410"/>
        <v>0.82000000000000006</v>
      </c>
      <c r="BH195" s="421">
        <f t="shared" si="411"/>
        <v>0.82000000000000006</v>
      </c>
      <c r="BI195" s="780">
        <f t="shared" si="412"/>
        <v>1114084</v>
      </c>
      <c r="BJ195" s="418">
        <f t="shared" si="413"/>
        <v>822063</v>
      </c>
      <c r="BK195" s="418">
        <f t="shared" si="414"/>
        <v>0</v>
      </c>
      <c r="BL195" s="418">
        <f t="shared" si="414"/>
        <v>822063</v>
      </c>
      <c r="BM195" s="418">
        <f t="shared" si="415"/>
        <v>0</v>
      </c>
      <c r="BN195" s="418">
        <f t="shared" si="416"/>
        <v>0</v>
      </c>
      <c r="BO195" s="418">
        <f t="shared" si="416"/>
        <v>0</v>
      </c>
      <c r="BP195" s="418">
        <f t="shared" si="417"/>
        <v>277857</v>
      </c>
      <c r="BQ195" s="418">
        <f t="shared" si="417"/>
        <v>8220</v>
      </c>
      <c r="BR195" s="418">
        <f t="shared" si="418"/>
        <v>5944</v>
      </c>
      <c r="BS195" s="419">
        <f t="shared" si="419"/>
        <v>2.4667000000000003</v>
      </c>
      <c r="BT195" s="419">
        <f t="shared" si="420"/>
        <v>0</v>
      </c>
      <c r="BU195" s="421">
        <f t="shared" si="420"/>
        <v>2.4667000000000003</v>
      </c>
      <c r="BV195" s="854"/>
      <c r="BW195" s="723"/>
      <c r="BX195" s="723"/>
      <c r="BY195" s="723"/>
      <c r="BZ195" s="723"/>
      <c r="CA195" s="855"/>
    </row>
    <row r="196" spans="1:79" ht="12.95" customHeight="1" x14ac:dyDescent="0.25">
      <c r="A196" s="280">
        <v>38</v>
      </c>
      <c r="B196" s="376">
        <v>5470</v>
      </c>
      <c r="C196" s="376">
        <v>600099091</v>
      </c>
      <c r="D196" s="281">
        <v>70695822</v>
      </c>
      <c r="E196" s="372" t="s">
        <v>523</v>
      </c>
      <c r="F196" s="212">
        <v>3143</v>
      </c>
      <c r="G196" s="323" t="s">
        <v>595</v>
      </c>
      <c r="H196" s="285" t="s">
        <v>271</v>
      </c>
      <c r="I196" s="420">
        <v>1032744</v>
      </c>
      <c r="J196" s="415">
        <v>766131</v>
      </c>
      <c r="K196" s="415">
        <v>766131</v>
      </c>
      <c r="L196" s="415">
        <v>0</v>
      </c>
      <c r="M196" s="415">
        <v>0</v>
      </c>
      <c r="N196" s="415">
        <v>0</v>
      </c>
      <c r="O196" s="415">
        <v>0</v>
      </c>
      <c r="P196" s="68">
        <v>258952</v>
      </c>
      <c r="Q196" s="68">
        <v>7661</v>
      </c>
      <c r="R196" s="415">
        <v>0</v>
      </c>
      <c r="S196" s="416">
        <v>1.6225000000000001</v>
      </c>
      <c r="T196" s="416">
        <v>1.6225000000000001</v>
      </c>
      <c r="U196" s="423">
        <v>0</v>
      </c>
      <c r="V196" s="424">
        <f t="shared" si="396"/>
        <v>0</v>
      </c>
      <c r="W196" s="418">
        <f t="shared" si="396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 t="shared" si="397"/>
        <v>0</v>
      </c>
      <c r="AE196" s="418">
        <f t="shared" si="398"/>
        <v>0</v>
      </c>
      <c r="AF196" s="418">
        <f t="shared" si="399"/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 t="shared" si="400"/>
        <v>0</v>
      </c>
      <c r="AM196" s="418">
        <f t="shared" si="401"/>
        <v>0</v>
      </c>
      <c r="AN196" s="418">
        <f t="shared" si="402"/>
        <v>0</v>
      </c>
      <c r="AO196" s="418">
        <f t="shared" si="403"/>
        <v>0</v>
      </c>
      <c r="AP196" s="418">
        <f t="shared" si="403"/>
        <v>0</v>
      </c>
      <c r="AQ196" s="418">
        <f t="shared" si="404"/>
        <v>0</v>
      </c>
      <c r="AR196" s="68">
        <f t="shared" si="405"/>
        <v>0</v>
      </c>
      <c r="AS196" s="68">
        <f t="shared" si="406"/>
        <v>0</v>
      </c>
      <c r="AT196" s="418">
        <v>0</v>
      </c>
      <c r="AU196" s="418">
        <v>0</v>
      </c>
      <c r="AV196" s="418">
        <f t="shared" si="407"/>
        <v>0</v>
      </c>
      <c r="AW196" s="418">
        <f t="shared" si="408"/>
        <v>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 t="shared" si="409"/>
        <v>0</v>
      </c>
      <c r="BG196" s="419">
        <f t="shared" si="410"/>
        <v>0</v>
      </c>
      <c r="BH196" s="421">
        <f t="shared" si="411"/>
        <v>0</v>
      </c>
      <c r="BI196" s="780">
        <f t="shared" si="412"/>
        <v>1032744</v>
      </c>
      <c r="BJ196" s="418">
        <f t="shared" si="413"/>
        <v>766131</v>
      </c>
      <c r="BK196" s="418">
        <f t="shared" si="414"/>
        <v>766131</v>
      </c>
      <c r="BL196" s="418">
        <f t="shared" si="414"/>
        <v>0</v>
      </c>
      <c r="BM196" s="418">
        <f t="shared" si="415"/>
        <v>0</v>
      </c>
      <c r="BN196" s="418">
        <f t="shared" si="416"/>
        <v>0</v>
      </c>
      <c r="BO196" s="418">
        <f t="shared" si="416"/>
        <v>0</v>
      </c>
      <c r="BP196" s="418">
        <f t="shared" si="417"/>
        <v>258952</v>
      </c>
      <c r="BQ196" s="418">
        <f t="shared" si="417"/>
        <v>7661</v>
      </c>
      <c r="BR196" s="418">
        <f t="shared" si="418"/>
        <v>0</v>
      </c>
      <c r="BS196" s="419">
        <f t="shared" si="419"/>
        <v>1.6225000000000001</v>
      </c>
      <c r="BT196" s="419">
        <f t="shared" si="420"/>
        <v>1.6225000000000001</v>
      </c>
      <c r="BU196" s="421">
        <f t="shared" si="420"/>
        <v>0</v>
      </c>
      <c r="BV196" s="854"/>
      <c r="BW196" s="723"/>
      <c r="BX196" s="723"/>
      <c r="BY196" s="723"/>
      <c r="BZ196" s="723"/>
      <c r="CA196" s="855"/>
    </row>
    <row r="197" spans="1:79" ht="12.95" customHeight="1" x14ac:dyDescent="0.25">
      <c r="A197" s="280">
        <v>38</v>
      </c>
      <c r="B197" s="376">
        <v>5470</v>
      </c>
      <c r="C197" s="376">
        <v>600099091</v>
      </c>
      <c r="D197" s="281">
        <v>70695822</v>
      </c>
      <c r="E197" s="372" t="s">
        <v>523</v>
      </c>
      <c r="F197" s="212">
        <v>3143</v>
      </c>
      <c r="G197" s="323" t="s">
        <v>596</v>
      </c>
      <c r="H197" s="285" t="s">
        <v>272</v>
      </c>
      <c r="I197" s="420">
        <v>23052</v>
      </c>
      <c r="J197" s="415">
        <v>16500</v>
      </c>
      <c r="K197" s="415">
        <v>0</v>
      </c>
      <c r="L197" s="415">
        <v>16500</v>
      </c>
      <c r="M197" s="415">
        <v>0</v>
      </c>
      <c r="N197" s="415">
        <v>0</v>
      </c>
      <c r="O197" s="415">
        <v>0</v>
      </c>
      <c r="P197" s="68">
        <v>5577</v>
      </c>
      <c r="Q197" s="68">
        <v>165</v>
      </c>
      <c r="R197" s="415">
        <v>810</v>
      </c>
      <c r="S197" s="416">
        <v>6.25E-2</v>
      </c>
      <c r="T197" s="416">
        <v>0</v>
      </c>
      <c r="U197" s="423">
        <v>6.25E-2</v>
      </c>
      <c r="V197" s="424">
        <f t="shared" si="396"/>
        <v>0</v>
      </c>
      <c r="W197" s="418">
        <f t="shared" si="396"/>
        <v>0</v>
      </c>
      <c r="X197" s="418">
        <v>0</v>
      </c>
      <c r="Y197" s="418">
        <v>0</v>
      </c>
      <c r="Z197" s="418">
        <v>0</v>
      </c>
      <c r="AA197" s="418">
        <f>8250</f>
        <v>8250</v>
      </c>
      <c r="AB197" s="418">
        <v>0</v>
      </c>
      <c r="AC197" s="418">
        <v>0</v>
      </c>
      <c r="AD197" s="418">
        <f t="shared" si="397"/>
        <v>0</v>
      </c>
      <c r="AE197" s="418">
        <f t="shared" si="398"/>
        <v>8250</v>
      </c>
      <c r="AF197" s="418">
        <f t="shared" si="399"/>
        <v>8250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 t="shared" si="400"/>
        <v>0</v>
      </c>
      <c r="AM197" s="418">
        <f t="shared" si="401"/>
        <v>0</v>
      </c>
      <c r="AN197" s="418">
        <f t="shared" si="402"/>
        <v>0</v>
      </c>
      <c r="AO197" s="418">
        <f t="shared" si="403"/>
        <v>0</v>
      </c>
      <c r="AP197" s="418">
        <f t="shared" si="403"/>
        <v>8250</v>
      </c>
      <c r="AQ197" s="418">
        <f t="shared" si="404"/>
        <v>8250</v>
      </c>
      <c r="AR197" s="68">
        <f t="shared" si="405"/>
        <v>2789</v>
      </c>
      <c r="AS197" s="68">
        <f t="shared" si="406"/>
        <v>83</v>
      </c>
      <c r="AT197" s="418">
        <v>0</v>
      </c>
      <c r="AU197" s="418">
        <v>405</v>
      </c>
      <c r="AV197" s="418">
        <f t="shared" si="407"/>
        <v>405</v>
      </c>
      <c r="AW197" s="418">
        <f t="shared" si="408"/>
        <v>11527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0.03</v>
      </c>
      <c r="BC197" s="419">
        <v>0</v>
      </c>
      <c r="BD197" s="419">
        <v>0</v>
      </c>
      <c r="BE197" s="419">
        <v>0</v>
      </c>
      <c r="BF197" s="419">
        <f t="shared" si="409"/>
        <v>0</v>
      </c>
      <c r="BG197" s="419">
        <f t="shared" si="410"/>
        <v>0.03</v>
      </c>
      <c r="BH197" s="421">
        <f t="shared" si="411"/>
        <v>0.03</v>
      </c>
      <c r="BI197" s="780">
        <f t="shared" si="412"/>
        <v>34579</v>
      </c>
      <c r="BJ197" s="418">
        <f t="shared" si="413"/>
        <v>24750</v>
      </c>
      <c r="BK197" s="418">
        <f t="shared" si="414"/>
        <v>0</v>
      </c>
      <c r="BL197" s="418">
        <f t="shared" si="414"/>
        <v>24750</v>
      </c>
      <c r="BM197" s="418">
        <f t="shared" si="415"/>
        <v>0</v>
      </c>
      <c r="BN197" s="418">
        <f t="shared" si="416"/>
        <v>0</v>
      </c>
      <c r="BO197" s="418">
        <f t="shared" si="416"/>
        <v>0</v>
      </c>
      <c r="BP197" s="418">
        <f t="shared" si="417"/>
        <v>8366</v>
      </c>
      <c r="BQ197" s="418">
        <f t="shared" si="417"/>
        <v>248</v>
      </c>
      <c r="BR197" s="418">
        <f t="shared" si="418"/>
        <v>1215</v>
      </c>
      <c r="BS197" s="419">
        <f t="shared" si="419"/>
        <v>9.2499999999999999E-2</v>
      </c>
      <c r="BT197" s="419">
        <f t="shared" si="420"/>
        <v>0</v>
      </c>
      <c r="BU197" s="421">
        <f t="shared" si="420"/>
        <v>9.2499999999999999E-2</v>
      </c>
      <c r="BV197" s="854"/>
      <c r="BW197" s="723"/>
      <c r="BX197" s="723"/>
      <c r="BY197" s="723"/>
      <c r="BZ197" s="723"/>
      <c r="CA197" s="855"/>
    </row>
    <row r="198" spans="1:79" ht="12.95" customHeight="1" thickBot="1" x14ac:dyDescent="0.3">
      <c r="A198" s="215">
        <v>38</v>
      </c>
      <c r="B198" s="166">
        <v>5470</v>
      </c>
      <c r="C198" s="166">
        <v>600099091</v>
      </c>
      <c r="D198" s="166">
        <v>70695822</v>
      </c>
      <c r="E198" s="390" t="s">
        <v>524</v>
      </c>
      <c r="F198" s="49"/>
      <c r="G198" s="390"/>
      <c r="H198" s="186"/>
      <c r="I198" s="513">
        <v>12210870</v>
      </c>
      <c r="J198" s="514">
        <v>8679116</v>
      </c>
      <c r="K198" s="514">
        <v>7573414</v>
      </c>
      <c r="L198" s="514">
        <v>1105702</v>
      </c>
      <c r="M198" s="514">
        <v>302400</v>
      </c>
      <c r="N198" s="514">
        <v>152400</v>
      </c>
      <c r="O198" s="514">
        <v>150000</v>
      </c>
      <c r="P198" s="514">
        <v>3035753</v>
      </c>
      <c r="Q198" s="514">
        <v>86791</v>
      </c>
      <c r="R198" s="514">
        <v>106810</v>
      </c>
      <c r="S198" s="515">
        <v>18.392399999999999</v>
      </c>
      <c r="T198" s="515">
        <v>14.596399999999999</v>
      </c>
      <c r="U198" s="774">
        <v>3.7959999999999998</v>
      </c>
      <c r="V198" s="513">
        <f t="shared" ref="V198:CA198" si="421">SUM(V192:V197)</f>
        <v>0</v>
      </c>
      <c r="W198" s="514">
        <f t="shared" si="421"/>
        <v>0</v>
      </c>
      <c r="X198" s="514">
        <f t="shared" si="421"/>
        <v>0</v>
      </c>
      <c r="Y198" s="514">
        <f t="shared" si="421"/>
        <v>0</v>
      </c>
      <c r="Z198" s="514">
        <f t="shared" si="421"/>
        <v>0</v>
      </c>
      <c r="AA198" s="514">
        <f t="shared" si="421"/>
        <v>281171</v>
      </c>
      <c r="AB198" s="514">
        <f t="shared" si="421"/>
        <v>0</v>
      </c>
      <c r="AC198" s="514">
        <f t="shared" si="421"/>
        <v>0</v>
      </c>
      <c r="AD198" s="514">
        <f t="shared" si="421"/>
        <v>0</v>
      </c>
      <c r="AE198" s="514">
        <f t="shared" si="421"/>
        <v>281171</v>
      </c>
      <c r="AF198" s="514">
        <f t="shared" si="421"/>
        <v>281171</v>
      </c>
      <c r="AG198" s="514">
        <f t="shared" si="421"/>
        <v>0</v>
      </c>
      <c r="AH198" s="514">
        <f t="shared" si="421"/>
        <v>0</v>
      </c>
      <c r="AI198" s="514">
        <f t="shared" si="421"/>
        <v>0</v>
      </c>
      <c r="AJ198" s="514">
        <f t="shared" si="421"/>
        <v>0</v>
      </c>
      <c r="AK198" s="514">
        <f t="shared" si="421"/>
        <v>0</v>
      </c>
      <c r="AL198" s="514">
        <f t="shared" si="421"/>
        <v>0</v>
      </c>
      <c r="AM198" s="514">
        <f t="shared" si="421"/>
        <v>0</v>
      </c>
      <c r="AN198" s="514">
        <f t="shared" si="421"/>
        <v>0</v>
      </c>
      <c r="AO198" s="514">
        <f t="shared" si="421"/>
        <v>0</v>
      </c>
      <c r="AP198" s="514">
        <f t="shared" si="421"/>
        <v>281171</v>
      </c>
      <c r="AQ198" s="514">
        <f t="shared" si="421"/>
        <v>281171</v>
      </c>
      <c r="AR198" s="514">
        <f t="shared" si="421"/>
        <v>95036</v>
      </c>
      <c r="AS198" s="514">
        <f t="shared" si="421"/>
        <v>2812</v>
      </c>
      <c r="AT198" s="514">
        <f t="shared" si="421"/>
        <v>0</v>
      </c>
      <c r="AU198" s="514">
        <f t="shared" si="421"/>
        <v>2333</v>
      </c>
      <c r="AV198" s="514">
        <f t="shared" si="421"/>
        <v>2333</v>
      </c>
      <c r="AW198" s="514">
        <f t="shared" si="421"/>
        <v>381352</v>
      </c>
      <c r="AX198" s="515">
        <f t="shared" si="421"/>
        <v>0</v>
      </c>
      <c r="AY198" s="515">
        <f t="shared" si="421"/>
        <v>0</v>
      </c>
      <c r="AZ198" s="515">
        <f t="shared" si="421"/>
        <v>0</v>
      </c>
      <c r="BA198" s="515">
        <f t="shared" si="421"/>
        <v>0</v>
      </c>
      <c r="BB198" s="515">
        <f t="shared" ref="BB198" si="422">SUM(BB192:BB197)</f>
        <v>0.85000000000000009</v>
      </c>
      <c r="BC198" s="515">
        <f t="shared" si="421"/>
        <v>0</v>
      </c>
      <c r="BD198" s="515">
        <f t="shared" si="421"/>
        <v>0</v>
      </c>
      <c r="BE198" s="515">
        <f t="shared" ref="BE198" si="423">SUM(BE192:BE197)</f>
        <v>0</v>
      </c>
      <c r="BF198" s="515">
        <f t="shared" si="421"/>
        <v>0</v>
      </c>
      <c r="BG198" s="515">
        <f t="shared" si="421"/>
        <v>0.85000000000000009</v>
      </c>
      <c r="BH198" s="516">
        <f t="shared" si="421"/>
        <v>0.85000000000000009</v>
      </c>
      <c r="BI198" s="783">
        <f t="shared" si="421"/>
        <v>12592222</v>
      </c>
      <c r="BJ198" s="514">
        <f t="shared" si="421"/>
        <v>8960287</v>
      </c>
      <c r="BK198" s="514">
        <f t="shared" si="421"/>
        <v>7573414</v>
      </c>
      <c r="BL198" s="514">
        <f t="shared" si="421"/>
        <v>1386873</v>
      </c>
      <c r="BM198" s="514">
        <f t="shared" si="421"/>
        <v>302400</v>
      </c>
      <c r="BN198" s="514">
        <f t="shared" si="421"/>
        <v>152400</v>
      </c>
      <c r="BO198" s="514">
        <f t="shared" si="421"/>
        <v>150000</v>
      </c>
      <c r="BP198" s="514">
        <f t="shared" si="421"/>
        <v>3130789</v>
      </c>
      <c r="BQ198" s="514">
        <f t="shared" si="421"/>
        <v>89603</v>
      </c>
      <c r="BR198" s="514">
        <f t="shared" si="421"/>
        <v>109143</v>
      </c>
      <c r="BS198" s="515">
        <f t="shared" si="421"/>
        <v>19.2424</v>
      </c>
      <c r="BT198" s="515">
        <f t="shared" si="421"/>
        <v>14.596399999999999</v>
      </c>
      <c r="BU198" s="516">
        <f t="shared" si="421"/>
        <v>4.6459999999999999</v>
      </c>
      <c r="BV198" s="866">
        <f t="shared" si="421"/>
        <v>152054</v>
      </c>
      <c r="BW198" s="730">
        <f t="shared" si="421"/>
        <v>112800</v>
      </c>
      <c r="BX198" s="730">
        <f t="shared" si="421"/>
        <v>0</v>
      </c>
      <c r="BY198" s="730">
        <f t="shared" si="421"/>
        <v>38126</v>
      </c>
      <c r="BZ198" s="730">
        <f t="shared" si="421"/>
        <v>1128</v>
      </c>
      <c r="CA198" s="867">
        <f t="shared" si="421"/>
        <v>0.2</v>
      </c>
    </row>
    <row r="199" spans="1:79" ht="12.95" customHeight="1" thickBot="1" x14ac:dyDescent="0.3">
      <c r="A199" s="391"/>
      <c r="B199" s="392"/>
      <c r="C199" s="392"/>
      <c r="D199" s="392"/>
      <c r="E199" s="305" t="s">
        <v>759</v>
      </c>
      <c r="F199" s="392"/>
      <c r="G199" s="393"/>
      <c r="H199" s="394"/>
      <c r="I199" s="580">
        <f>I198+I191+I185+I179+I172+I166+I162+I156+I153+I148+I145+I138+I135+I131+I125+I121+I115+I112+I105+I99+I95+I89+I85+I78+I76+I69+I64+I58+I52+I46+I44+I40+I37+I33+I29+I25+I21</f>
        <v>484427834</v>
      </c>
      <c r="J199" s="641">
        <f t="shared" ref="J199:BU199" si="424">J198+J191+J185+J179+J172+J166+J162+J156+J153+J148+J145+J138+J135+J131+J125+J121+J115+J112+J105+J99+J95+J89+J85+J78+J76+J69+J64+J58+J52+J46+J44+J40+J37+J33+J29+J25+J21</f>
        <v>355017568</v>
      </c>
      <c r="K199" s="641">
        <f t="shared" si="424"/>
        <v>313284511</v>
      </c>
      <c r="L199" s="641">
        <f t="shared" si="424"/>
        <v>41733057</v>
      </c>
      <c r="M199" s="641">
        <f t="shared" si="424"/>
        <v>1425180</v>
      </c>
      <c r="N199" s="641">
        <f t="shared" si="424"/>
        <v>709660</v>
      </c>
      <c r="O199" s="641">
        <f t="shared" si="424"/>
        <v>715520</v>
      </c>
      <c r="P199" s="641">
        <f t="shared" si="424"/>
        <v>120477645</v>
      </c>
      <c r="Q199" s="641">
        <f t="shared" si="424"/>
        <v>3550178</v>
      </c>
      <c r="R199" s="641">
        <f t="shared" si="424"/>
        <v>3957263</v>
      </c>
      <c r="S199" s="642">
        <f t="shared" si="424"/>
        <v>647.09170000000006</v>
      </c>
      <c r="T199" s="642">
        <f t="shared" si="424"/>
        <v>517.95339999999999</v>
      </c>
      <c r="U199" s="655">
        <f t="shared" si="424"/>
        <v>129.13830000000002</v>
      </c>
      <c r="V199" s="580">
        <f t="shared" si="424"/>
        <v>0</v>
      </c>
      <c r="W199" s="641">
        <f t="shared" si="424"/>
        <v>0</v>
      </c>
      <c r="X199" s="641">
        <f t="shared" si="424"/>
        <v>12379</v>
      </c>
      <c r="Y199" s="641">
        <f t="shared" si="424"/>
        <v>0</v>
      </c>
      <c r="Z199" s="773">
        <f t="shared" si="424"/>
        <v>0</v>
      </c>
      <c r="AA199" s="641">
        <f t="shared" si="424"/>
        <v>9894037</v>
      </c>
      <c r="AB199" s="641">
        <f t="shared" si="424"/>
        <v>0</v>
      </c>
      <c r="AC199" s="641">
        <f t="shared" si="424"/>
        <v>0</v>
      </c>
      <c r="AD199" s="641">
        <f t="shared" si="424"/>
        <v>12379</v>
      </c>
      <c r="AE199" s="641">
        <f t="shared" si="424"/>
        <v>9894037</v>
      </c>
      <c r="AF199" s="641">
        <f t="shared" si="424"/>
        <v>9906416</v>
      </c>
      <c r="AG199" s="641">
        <f t="shared" si="424"/>
        <v>0</v>
      </c>
      <c r="AH199" s="641">
        <f t="shared" si="424"/>
        <v>0</v>
      </c>
      <c r="AI199" s="641">
        <f t="shared" si="424"/>
        <v>0</v>
      </c>
      <c r="AJ199" s="641">
        <f t="shared" si="424"/>
        <v>0</v>
      </c>
      <c r="AK199" s="641">
        <f t="shared" si="424"/>
        <v>0</v>
      </c>
      <c r="AL199" s="641">
        <f t="shared" si="424"/>
        <v>0</v>
      </c>
      <c r="AM199" s="641">
        <f t="shared" si="424"/>
        <v>0</v>
      </c>
      <c r="AN199" s="641">
        <f t="shared" si="424"/>
        <v>0</v>
      </c>
      <c r="AO199" s="641">
        <f t="shared" si="424"/>
        <v>12379</v>
      </c>
      <c r="AP199" s="641">
        <f t="shared" si="424"/>
        <v>9894037</v>
      </c>
      <c r="AQ199" s="641">
        <f t="shared" si="424"/>
        <v>9906416</v>
      </c>
      <c r="AR199" s="641">
        <f t="shared" si="424"/>
        <v>3348366</v>
      </c>
      <c r="AS199" s="641">
        <f t="shared" si="424"/>
        <v>99064</v>
      </c>
      <c r="AT199" s="641">
        <f t="shared" si="424"/>
        <v>0</v>
      </c>
      <c r="AU199" s="641">
        <f t="shared" si="424"/>
        <v>88531</v>
      </c>
      <c r="AV199" s="641">
        <f t="shared" si="424"/>
        <v>88531</v>
      </c>
      <c r="AW199" s="641">
        <f t="shared" si="424"/>
        <v>13442377</v>
      </c>
      <c r="AX199" s="642">
        <f t="shared" si="424"/>
        <v>0</v>
      </c>
      <c r="AY199" s="642">
        <f t="shared" si="424"/>
        <v>0</v>
      </c>
      <c r="AZ199" s="642">
        <f t="shared" si="424"/>
        <v>0.03</v>
      </c>
      <c r="BA199" s="642">
        <f t="shared" si="424"/>
        <v>0</v>
      </c>
      <c r="BB199" s="642">
        <f t="shared" ref="BB199" si="425">BB198+BB191+BB185+BB179+BB172+BB166+BB162+BB156+BB153+BB148+BB145+BB138+BB135+BB131+BB125+BB121+BB115+BB112+BB105+BB99+BB95+BB89+BB85+BB78+BB76+BB69+BB64+BB58+BB52+BB46+BB44+BB40+BB37+BB33+BB29+BB25+BB21</f>
        <v>29.880000000000006</v>
      </c>
      <c r="BC199" s="642">
        <f t="shared" si="424"/>
        <v>0</v>
      </c>
      <c r="BD199" s="642">
        <f t="shared" si="424"/>
        <v>0</v>
      </c>
      <c r="BE199" s="642">
        <f t="shared" ref="BE199" si="426">BE198+BE191+BE185+BE179+BE172+BE166+BE162+BE156+BE153+BE148+BE145+BE138+BE135+BE131+BE125+BE121+BE115+BE112+BE105+BE99+BE95+BE89+BE85+BE78+BE76+BE69+BE64+BE58+BE52+BE46+BE44+BE40+BE37+BE33+BE29+BE25+BE21</f>
        <v>0</v>
      </c>
      <c r="BF199" s="642">
        <f t="shared" si="424"/>
        <v>0.03</v>
      </c>
      <c r="BG199" s="642">
        <f t="shared" si="424"/>
        <v>29.880000000000003</v>
      </c>
      <c r="BH199" s="655">
        <f t="shared" si="424"/>
        <v>29.910000000000004</v>
      </c>
      <c r="BI199" s="580">
        <f t="shared" si="424"/>
        <v>497870211</v>
      </c>
      <c r="BJ199" s="641">
        <f t="shared" si="424"/>
        <v>364923984</v>
      </c>
      <c r="BK199" s="641">
        <f t="shared" si="424"/>
        <v>313296890</v>
      </c>
      <c r="BL199" s="641">
        <f t="shared" si="424"/>
        <v>51627094</v>
      </c>
      <c r="BM199" s="641">
        <f t="shared" si="424"/>
        <v>1425180</v>
      </c>
      <c r="BN199" s="641">
        <f t="shared" si="424"/>
        <v>709660</v>
      </c>
      <c r="BO199" s="641">
        <f t="shared" si="424"/>
        <v>715520</v>
      </c>
      <c r="BP199" s="641">
        <f t="shared" si="424"/>
        <v>123826011</v>
      </c>
      <c r="BQ199" s="641">
        <f t="shared" si="424"/>
        <v>3649242</v>
      </c>
      <c r="BR199" s="641">
        <f t="shared" si="424"/>
        <v>4045794</v>
      </c>
      <c r="BS199" s="642">
        <f t="shared" si="424"/>
        <v>677.00170000000003</v>
      </c>
      <c r="BT199" s="642">
        <f t="shared" si="424"/>
        <v>517.98339999999996</v>
      </c>
      <c r="BU199" s="775">
        <f t="shared" si="424"/>
        <v>159.01829999999998</v>
      </c>
      <c r="BV199" s="731">
        <f t="shared" ref="BV199:CA199" si="427">BV198+BV191+BV185+BV179+BV172+BV166+BV162+BV156+BV153+BV148+BV145+BV138+BV135+BV131+BV125+BV121+BV115+BV112+BV105+BV99+BV95+BV89+BV85+BV78+BV76+BV69+BV64+BV58+BV52+BV46+BV44+BV40+BV37+BV33+BV29+BV25+BV21</f>
        <v>3193142</v>
      </c>
      <c r="BW199" s="674">
        <f t="shared" si="427"/>
        <v>2368800</v>
      </c>
      <c r="BX199" s="674">
        <f t="shared" si="427"/>
        <v>0</v>
      </c>
      <c r="BY199" s="674">
        <f t="shared" si="427"/>
        <v>800654</v>
      </c>
      <c r="BZ199" s="674">
        <f t="shared" si="427"/>
        <v>23688</v>
      </c>
      <c r="CA199" s="732">
        <f t="shared" si="427"/>
        <v>4.2</v>
      </c>
    </row>
    <row r="200" spans="1:79" s="314" customFormat="1" ht="12.95" customHeight="1" x14ac:dyDescent="0.25">
      <c r="A200" s="395"/>
      <c r="B200" s="250"/>
      <c r="C200" s="250"/>
      <c r="D200" s="250"/>
      <c r="E200" s="310"/>
      <c r="F200" s="309"/>
      <c r="G200" s="250"/>
      <c r="H200" s="396"/>
      <c r="I200" s="428">
        <f>J199+M199+P199+Q199+R199</f>
        <v>484427834</v>
      </c>
      <c r="J200" s="428">
        <f>SUM(K199:L199)</f>
        <v>355017568</v>
      </c>
      <c r="K200" s="428"/>
      <c r="L200" s="428"/>
      <c r="M200" s="428">
        <f>SUM(N199:O199)</f>
        <v>1425180</v>
      </c>
      <c r="N200" s="428"/>
      <c r="O200" s="428"/>
      <c r="P200" s="428"/>
      <c r="Q200" s="428"/>
      <c r="R200" s="428"/>
      <c r="S200" s="429">
        <f>SUM(T199:U199)</f>
        <v>647.09169999999995</v>
      </c>
      <c r="T200" s="429"/>
      <c r="U200" s="429"/>
      <c r="V200" s="428">
        <f>AG199</f>
        <v>0</v>
      </c>
      <c r="W200" s="428">
        <f>AH199</f>
        <v>0</v>
      </c>
      <c r="X200" s="429"/>
      <c r="Y200" s="429"/>
      <c r="Z200" s="429"/>
      <c r="AA200" s="429"/>
      <c r="AB200" s="429"/>
      <c r="AC200" s="429"/>
      <c r="AD200" s="430"/>
      <c r="AE200" s="430"/>
      <c r="AF200" s="430">
        <f>SUM(AD199:AE199)</f>
        <v>9906416</v>
      </c>
      <c r="AG200" s="430">
        <f>V199</f>
        <v>0</v>
      </c>
      <c r="AH200" s="430">
        <f>W199</f>
        <v>0</v>
      </c>
      <c r="AI200" s="431"/>
      <c r="AJ200" s="431"/>
      <c r="AK200" s="431"/>
      <c r="AL200" s="430"/>
      <c r="AM200" s="430"/>
      <c r="AN200" s="430">
        <f>SUM(AL199:AM199)</f>
        <v>0</v>
      </c>
      <c r="AO200" s="430"/>
      <c r="AP200" s="430"/>
      <c r="AQ200" s="430">
        <f>SUM(AO199:AP199)</f>
        <v>9906416</v>
      </c>
      <c r="AR200" s="432"/>
      <c r="AS200" s="432"/>
      <c r="AT200" s="431"/>
      <c r="AU200" s="431"/>
      <c r="AV200" s="430">
        <f>SUM(AT199:AU199)</f>
        <v>88531</v>
      </c>
      <c r="AW200" s="430">
        <f>AF199+AN199+AR199+AS199+AV199</f>
        <v>13442377</v>
      </c>
      <c r="AX200" s="433"/>
      <c r="AY200" s="433"/>
      <c r="AZ200" s="433"/>
      <c r="BA200" s="433"/>
      <c r="BB200" s="433"/>
      <c r="BC200" s="433"/>
      <c r="BD200" s="433"/>
      <c r="BE200" s="433"/>
      <c r="BF200" s="508">
        <f>AX199+AZ199+BA199+BC199+BD199</f>
        <v>0.03</v>
      </c>
      <c r="BG200" s="508">
        <f>AY199+BB199+BE199</f>
        <v>29.880000000000006</v>
      </c>
      <c r="BH200" s="508">
        <f>SUM(BF199:BG199)</f>
        <v>29.910000000000004</v>
      </c>
      <c r="BI200" s="428">
        <f>BJ199+BM199+BP199+BQ199+BR199</f>
        <v>497870211</v>
      </c>
      <c r="BJ200" s="428">
        <f>SUM(BK199:BL199)</f>
        <v>364923984</v>
      </c>
      <c r="BK200" s="430">
        <f>K199+AD199</f>
        <v>313296890</v>
      </c>
      <c r="BL200" s="430">
        <f>L199+AE199</f>
        <v>51627094</v>
      </c>
      <c r="BM200" s="86">
        <f>SUM(BN199:BO199)</f>
        <v>1425180</v>
      </c>
      <c r="BN200" s="430">
        <f>N199+AL199</f>
        <v>709660</v>
      </c>
      <c r="BO200" s="430">
        <f>O199+AM199</f>
        <v>715520</v>
      </c>
      <c r="BP200" s="430">
        <f>P199+AR199</f>
        <v>123826011</v>
      </c>
      <c r="BQ200" s="430">
        <f>Q199+AS199</f>
        <v>3649242</v>
      </c>
      <c r="BR200" s="430">
        <f>R199+AV199</f>
        <v>4045794</v>
      </c>
      <c r="BS200" s="429">
        <f>SUM(BT199:BU199)</f>
        <v>677.00169999999991</v>
      </c>
      <c r="BT200" s="508">
        <f>T199+BF199</f>
        <v>517.98339999999996</v>
      </c>
      <c r="BU200" s="508">
        <f>U199+BG199</f>
        <v>159.01830000000001</v>
      </c>
      <c r="BV200" s="235">
        <f>SUM(BW199:BZ199)</f>
        <v>3193142</v>
      </c>
      <c r="BW200" s="8"/>
      <c r="BX200" s="8"/>
      <c r="BY200" s="8"/>
      <c r="BZ200" s="8"/>
      <c r="CA200" s="7"/>
    </row>
    <row r="201" spans="1:79" s="314" customFormat="1" ht="12.95" customHeight="1" thickBot="1" x14ac:dyDescent="0.3">
      <c r="A201" s="395"/>
      <c r="B201" s="250"/>
      <c r="C201" s="250"/>
      <c r="D201" s="250"/>
      <c r="E201" s="250"/>
      <c r="F201" s="309"/>
      <c r="G201" s="250"/>
      <c r="H201" s="396"/>
      <c r="I201" s="428">
        <f>J202+M202+P202+Q202+R202</f>
        <v>484427834</v>
      </c>
      <c r="J201" s="428">
        <f>SUM(K202:L202)</f>
        <v>355017568</v>
      </c>
      <c r="K201" s="428"/>
      <c r="L201" s="428"/>
      <c r="M201" s="428">
        <f>SUM(N202:O202)</f>
        <v>1425180</v>
      </c>
      <c r="N201" s="428"/>
      <c r="O201" s="428"/>
      <c r="P201" s="428"/>
      <c r="Q201" s="428"/>
      <c r="R201" s="428"/>
      <c r="S201" s="429">
        <f>SUM(T202:U202)</f>
        <v>647.09169999999995</v>
      </c>
      <c r="T201" s="429"/>
      <c r="U201" s="429"/>
      <c r="V201" s="428">
        <f>AG202</f>
        <v>0</v>
      </c>
      <c r="W201" s="428">
        <f>AH202</f>
        <v>0</v>
      </c>
      <c r="X201" s="429"/>
      <c r="Y201" s="429"/>
      <c r="Z201" s="429"/>
      <c r="AA201" s="429"/>
      <c r="AB201" s="429"/>
      <c r="AC201" s="429"/>
      <c r="AD201" s="430"/>
      <c r="AE201" s="430"/>
      <c r="AF201" s="430">
        <f>SUM(AD202:AE202)</f>
        <v>9906416</v>
      </c>
      <c r="AG201" s="430"/>
      <c r="AH201" s="430"/>
      <c r="AI201" s="431"/>
      <c r="AJ201" s="431"/>
      <c r="AK201" s="431"/>
      <c r="AL201" s="430"/>
      <c r="AM201" s="430"/>
      <c r="AN201" s="430">
        <f>SUM(AL202:AM202)</f>
        <v>0</v>
      </c>
      <c r="AO201" s="430"/>
      <c r="AP201" s="430"/>
      <c r="AQ201" s="430">
        <f>SUM(AO202:AP202)</f>
        <v>9906416</v>
      </c>
      <c r="AR201" s="432"/>
      <c r="AS201" s="432"/>
      <c r="AT201" s="431"/>
      <c r="AU201" s="431"/>
      <c r="AV201" s="430">
        <f>SUM(AT202:AU202)</f>
        <v>88531</v>
      </c>
      <c r="AW201" s="430">
        <f>AF202+AN202+AR202+AS202+AV202</f>
        <v>13442377</v>
      </c>
      <c r="AX201" s="433"/>
      <c r="AY201" s="433"/>
      <c r="AZ201" s="433"/>
      <c r="BA201" s="433"/>
      <c r="BB201" s="433"/>
      <c r="BC201" s="433"/>
      <c r="BD201" s="433"/>
      <c r="BE201" s="433"/>
      <c r="BF201" s="508">
        <f>AX202+AZ202+BA202+BC202+BD202</f>
        <v>0.03</v>
      </c>
      <c r="BG201" s="508">
        <f>AY202+BB202+BE202</f>
        <v>29.88</v>
      </c>
      <c r="BH201" s="508">
        <f>SUM(BF202:BG202)</f>
        <v>29.91</v>
      </c>
      <c r="BI201" s="428">
        <f>BJ202+BM202+BP202+BQ202+BR202</f>
        <v>497870211</v>
      </c>
      <c r="BJ201" s="428">
        <f>SUM(BK202:BL202)</f>
        <v>364923984</v>
      </c>
      <c r="BK201" s="53"/>
      <c r="BL201" s="53"/>
      <c r="BM201" s="86">
        <f>SUM(BN202:BO202)</f>
        <v>1425180</v>
      </c>
      <c r="BN201" s="53"/>
      <c r="BO201" s="53"/>
      <c r="BP201" s="53"/>
      <c r="BQ201" s="53"/>
      <c r="BR201" s="53"/>
      <c r="BS201" s="429">
        <f>SUM(BT202:BU202)</f>
        <v>677.00170000000003</v>
      </c>
      <c r="BT201" s="87"/>
      <c r="BU201" s="87"/>
      <c r="BV201" s="235">
        <f>SUM(BW202:BZ202)</f>
        <v>3193142</v>
      </c>
      <c r="BW201" s="8"/>
      <c r="BX201" s="8"/>
      <c r="BY201" s="8"/>
      <c r="BZ201" s="8"/>
      <c r="CA201" s="7"/>
    </row>
    <row r="202" spans="1:79" s="89" customFormat="1" ht="12.75" customHeight="1" thickBot="1" x14ac:dyDescent="0.3">
      <c r="A202" s="311"/>
      <c r="D202" s="311"/>
      <c r="E202" s="312"/>
      <c r="F202" s="311"/>
      <c r="G202" s="313"/>
      <c r="H202" s="440" t="s">
        <v>0</v>
      </c>
      <c r="I202" s="664">
        <f t="shared" ref="I202:BT202" si="428">SUM(I203:I212)</f>
        <v>484427834</v>
      </c>
      <c r="J202" s="665">
        <f t="shared" si="428"/>
        <v>355017568</v>
      </c>
      <c r="K202" s="665">
        <f t="shared" si="428"/>
        <v>313284511</v>
      </c>
      <c r="L202" s="665">
        <f t="shared" si="428"/>
        <v>41733057</v>
      </c>
      <c r="M202" s="665">
        <f t="shared" si="428"/>
        <v>1425180</v>
      </c>
      <c r="N202" s="665">
        <f t="shared" si="428"/>
        <v>709660</v>
      </c>
      <c r="O202" s="665">
        <f t="shared" si="428"/>
        <v>715520</v>
      </c>
      <c r="P202" s="665">
        <f t="shared" si="428"/>
        <v>120477645</v>
      </c>
      <c r="Q202" s="665">
        <f t="shared" si="428"/>
        <v>3550178</v>
      </c>
      <c r="R202" s="665">
        <f t="shared" si="428"/>
        <v>3957263</v>
      </c>
      <c r="S202" s="666">
        <f t="shared" si="428"/>
        <v>647.09169999999995</v>
      </c>
      <c r="T202" s="666">
        <f t="shared" si="428"/>
        <v>517.95339999999999</v>
      </c>
      <c r="U202" s="667">
        <f t="shared" si="428"/>
        <v>129.13829999999999</v>
      </c>
      <c r="V202" s="562">
        <f t="shared" si="428"/>
        <v>0</v>
      </c>
      <c r="W202" s="480">
        <f t="shared" si="428"/>
        <v>0</v>
      </c>
      <c r="X202" s="480">
        <f t="shared" si="428"/>
        <v>12379</v>
      </c>
      <c r="Y202" s="480">
        <f t="shared" si="428"/>
        <v>0</v>
      </c>
      <c r="Z202" s="761">
        <f t="shared" si="428"/>
        <v>0</v>
      </c>
      <c r="AA202" s="480">
        <f t="shared" si="428"/>
        <v>9894037</v>
      </c>
      <c r="AB202" s="480">
        <f t="shared" si="428"/>
        <v>0</v>
      </c>
      <c r="AC202" s="480">
        <f t="shared" si="428"/>
        <v>0</v>
      </c>
      <c r="AD202" s="480">
        <f t="shared" si="428"/>
        <v>12379</v>
      </c>
      <c r="AE202" s="480">
        <f t="shared" si="428"/>
        <v>9894037</v>
      </c>
      <c r="AF202" s="480">
        <f t="shared" si="428"/>
        <v>9906416</v>
      </c>
      <c r="AG202" s="480">
        <f t="shared" si="428"/>
        <v>0</v>
      </c>
      <c r="AH202" s="480">
        <f t="shared" si="428"/>
        <v>0</v>
      </c>
      <c r="AI202" s="480">
        <f t="shared" si="428"/>
        <v>0</v>
      </c>
      <c r="AJ202" s="480">
        <f t="shared" si="428"/>
        <v>0</v>
      </c>
      <c r="AK202" s="480">
        <f t="shared" si="428"/>
        <v>0</v>
      </c>
      <c r="AL202" s="480">
        <f t="shared" si="428"/>
        <v>0</v>
      </c>
      <c r="AM202" s="480">
        <f t="shared" si="428"/>
        <v>0</v>
      </c>
      <c r="AN202" s="480">
        <f t="shared" si="428"/>
        <v>0</v>
      </c>
      <c r="AO202" s="480">
        <f t="shared" si="428"/>
        <v>12379</v>
      </c>
      <c r="AP202" s="480">
        <f t="shared" si="428"/>
        <v>9894037</v>
      </c>
      <c r="AQ202" s="480">
        <f t="shared" si="428"/>
        <v>9906416</v>
      </c>
      <c r="AR202" s="480">
        <f t="shared" si="428"/>
        <v>3348366</v>
      </c>
      <c r="AS202" s="480">
        <f t="shared" si="428"/>
        <v>99064</v>
      </c>
      <c r="AT202" s="480">
        <f t="shared" si="428"/>
        <v>0</v>
      </c>
      <c r="AU202" s="480">
        <f t="shared" si="428"/>
        <v>88531</v>
      </c>
      <c r="AV202" s="480">
        <f t="shared" si="428"/>
        <v>88531</v>
      </c>
      <c r="AW202" s="480">
        <f t="shared" si="428"/>
        <v>13442377</v>
      </c>
      <c r="AX202" s="481">
        <f t="shared" si="428"/>
        <v>0</v>
      </c>
      <c r="AY202" s="481">
        <f t="shared" si="428"/>
        <v>0</v>
      </c>
      <c r="AZ202" s="481">
        <f t="shared" si="428"/>
        <v>0.03</v>
      </c>
      <c r="BA202" s="481">
        <f t="shared" si="428"/>
        <v>0</v>
      </c>
      <c r="BB202" s="481">
        <f t="shared" si="428"/>
        <v>29.88</v>
      </c>
      <c r="BC202" s="481">
        <f t="shared" si="428"/>
        <v>0</v>
      </c>
      <c r="BD202" s="481">
        <f t="shared" si="428"/>
        <v>0</v>
      </c>
      <c r="BE202" s="481">
        <f t="shared" si="428"/>
        <v>0</v>
      </c>
      <c r="BF202" s="481">
        <f t="shared" si="428"/>
        <v>0.03</v>
      </c>
      <c r="BG202" s="481">
        <f t="shared" si="428"/>
        <v>29.88</v>
      </c>
      <c r="BH202" s="589">
        <f t="shared" si="428"/>
        <v>29.91</v>
      </c>
      <c r="BI202" s="479">
        <f t="shared" si="428"/>
        <v>497870211</v>
      </c>
      <c r="BJ202" s="480">
        <f t="shared" si="428"/>
        <v>364923984</v>
      </c>
      <c r="BK202" s="480">
        <f t="shared" si="428"/>
        <v>313296890</v>
      </c>
      <c r="BL202" s="480">
        <f t="shared" si="428"/>
        <v>51627094</v>
      </c>
      <c r="BM202" s="480">
        <f t="shared" si="428"/>
        <v>1425180</v>
      </c>
      <c r="BN202" s="480">
        <f t="shared" si="428"/>
        <v>709660</v>
      </c>
      <c r="BO202" s="480">
        <f t="shared" si="428"/>
        <v>715520</v>
      </c>
      <c r="BP202" s="480">
        <f t="shared" si="428"/>
        <v>123826011</v>
      </c>
      <c r="BQ202" s="480">
        <f t="shared" si="428"/>
        <v>3649242</v>
      </c>
      <c r="BR202" s="480">
        <f t="shared" si="428"/>
        <v>4045794</v>
      </c>
      <c r="BS202" s="481">
        <f t="shared" si="428"/>
        <v>677.00170000000003</v>
      </c>
      <c r="BT202" s="481">
        <f t="shared" si="428"/>
        <v>517.98339999999996</v>
      </c>
      <c r="BU202" s="589">
        <f t="shared" ref="BU202:CA202" si="429">SUM(BU203:BU212)</f>
        <v>159.01830000000004</v>
      </c>
      <c r="BV202" s="731">
        <f t="shared" si="429"/>
        <v>3193142</v>
      </c>
      <c r="BW202" s="674">
        <f t="shared" si="429"/>
        <v>2368800</v>
      </c>
      <c r="BX202" s="674">
        <f t="shared" si="429"/>
        <v>0</v>
      </c>
      <c r="BY202" s="674">
        <f t="shared" si="429"/>
        <v>800654</v>
      </c>
      <c r="BZ202" s="674">
        <f t="shared" si="429"/>
        <v>23688</v>
      </c>
      <c r="CA202" s="732">
        <f t="shared" si="429"/>
        <v>4.2</v>
      </c>
    </row>
    <row r="203" spans="1:79" s="89" customFormat="1" ht="12.75" customHeight="1" x14ac:dyDescent="0.25">
      <c r="A203" s="311"/>
      <c r="D203" s="311"/>
      <c r="E203" s="397"/>
      <c r="F203" s="311"/>
      <c r="G203" s="313"/>
      <c r="H203" s="441">
        <v>3111</v>
      </c>
      <c r="I203" s="668">
        <f t="shared" ref="I203:BT203" si="430">SUMIF($F$12:$F$464,"=3111",I$12:I$464)</f>
        <v>111805451</v>
      </c>
      <c r="J203" s="669">
        <f t="shared" si="430"/>
        <v>82600411</v>
      </c>
      <c r="K203" s="669">
        <f t="shared" si="430"/>
        <v>76421233</v>
      </c>
      <c r="L203" s="669">
        <f t="shared" si="430"/>
        <v>6179178</v>
      </c>
      <c r="M203" s="669">
        <f t="shared" si="430"/>
        <v>70000</v>
      </c>
      <c r="N203" s="669">
        <f t="shared" si="430"/>
        <v>30000</v>
      </c>
      <c r="O203" s="669">
        <f t="shared" si="430"/>
        <v>40000</v>
      </c>
      <c r="P203" s="669">
        <f t="shared" si="430"/>
        <v>27942598</v>
      </c>
      <c r="Q203" s="669">
        <f t="shared" si="430"/>
        <v>826007</v>
      </c>
      <c r="R203" s="669">
        <f t="shared" si="430"/>
        <v>366435</v>
      </c>
      <c r="S203" s="670">
        <f t="shared" si="430"/>
        <v>159.49810000000002</v>
      </c>
      <c r="T203" s="670">
        <f t="shared" si="430"/>
        <v>137.68729999999999</v>
      </c>
      <c r="U203" s="671">
        <f t="shared" si="430"/>
        <v>21.810800000000004</v>
      </c>
      <c r="V203" s="491">
        <f t="shared" si="430"/>
        <v>0</v>
      </c>
      <c r="W203" s="490">
        <f t="shared" si="430"/>
        <v>0</v>
      </c>
      <c r="X203" s="490">
        <f t="shared" si="430"/>
        <v>0</v>
      </c>
      <c r="Y203" s="490">
        <f t="shared" si="430"/>
        <v>0</v>
      </c>
      <c r="Z203" s="490">
        <f t="shared" si="430"/>
        <v>0</v>
      </c>
      <c r="AA203" s="490">
        <f t="shared" si="430"/>
        <v>0</v>
      </c>
      <c r="AB203" s="490">
        <f t="shared" si="430"/>
        <v>0</v>
      </c>
      <c r="AC203" s="490">
        <f t="shared" si="430"/>
        <v>0</v>
      </c>
      <c r="AD203" s="490">
        <f t="shared" si="430"/>
        <v>0</v>
      </c>
      <c r="AE203" s="490">
        <f t="shared" si="430"/>
        <v>0</v>
      </c>
      <c r="AF203" s="490">
        <f t="shared" si="430"/>
        <v>0</v>
      </c>
      <c r="AG203" s="490">
        <f t="shared" si="430"/>
        <v>0</v>
      </c>
      <c r="AH203" s="490">
        <f t="shared" si="430"/>
        <v>0</v>
      </c>
      <c r="AI203" s="490">
        <f t="shared" si="430"/>
        <v>0</v>
      </c>
      <c r="AJ203" s="490">
        <f t="shared" si="430"/>
        <v>0</v>
      </c>
      <c r="AK203" s="490">
        <f t="shared" si="430"/>
        <v>0</v>
      </c>
      <c r="AL203" s="490">
        <f t="shared" si="430"/>
        <v>0</v>
      </c>
      <c r="AM203" s="490">
        <f t="shared" si="430"/>
        <v>0</v>
      </c>
      <c r="AN203" s="490">
        <f t="shared" si="430"/>
        <v>0</v>
      </c>
      <c r="AO203" s="490">
        <f t="shared" si="430"/>
        <v>0</v>
      </c>
      <c r="AP203" s="490">
        <f t="shared" si="430"/>
        <v>0</v>
      </c>
      <c r="AQ203" s="490">
        <f t="shared" si="430"/>
        <v>0</v>
      </c>
      <c r="AR203" s="490">
        <f t="shared" si="430"/>
        <v>0</v>
      </c>
      <c r="AS203" s="490">
        <f t="shared" si="430"/>
        <v>0</v>
      </c>
      <c r="AT203" s="490">
        <f t="shared" si="430"/>
        <v>0</v>
      </c>
      <c r="AU203" s="490">
        <f t="shared" si="430"/>
        <v>0</v>
      </c>
      <c r="AV203" s="490">
        <f t="shared" si="430"/>
        <v>0</v>
      </c>
      <c r="AW203" s="490">
        <f t="shared" si="430"/>
        <v>0</v>
      </c>
      <c r="AX203" s="493">
        <f t="shared" si="430"/>
        <v>0</v>
      </c>
      <c r="AY203" s="493">
        <f t="shared" si="430"/>
        <v>0</v>
      </c>
      <c r="AZ203" s="493">
        <f t="shared" si="430"/>
        <v>0</v>
      </c>
      <c r="BA203" s="493">
        <f t="shared" si="430"/>
        <v>0</v>
      </c>
      <c r="BB203" s="493">
        <f t="shared" si="430"/>
        <v>0</v>
      </c>
      <c r="BC203" s="493">
        <f t="shared" si="430"/>
        <v>0</v>
      </c>
      <c r="BD203" s="493">
        <f t="shared" si="430"/>
        <v>0</v>
      </c>
      <c r="BE203" s="493">
        <f t="shared" si="430"/>
        <v>0</v>
      </c>
      <c r="BF203" s="493">
        <f t="shared" si="430"/>
        <v>0</v>
      </c>
      <c r="BG203" s="493">
        <f t="shared" si="430"/>
        <v>0</v>
      </c>
      <c r="BH203" s="494">
        <f t="shared" si="430"/>
        <v>0</v>
      </c>
      <c r="BI203" s="489">
        <f t="shared" si="430"/>
        <v>111805451</v>
      </c>
      <c r="BJ203" s="490">
        <f t="shared" si="430"/>
        <v>82600411</v>
      </c>
      <c r="BK203" s="490">
        <f t="shared" si="430"/>
        <v>76421233</v>
      </c>
      <c r="BL203" s="490">
        <f t="shared" si="430"/>
        <v>6179178</v>
      </c>
      <c r="BM203" s="490">
        <f t="shared" si="430"/>
        <v>70000</v>
      </c>
      <c r="BN203" s="490">
        <f t="shared" si="430"/>
        <v>30000</v>
      </c>
      <c r="BO203" s="490">
        <f t="shared" si="430"/>
        <v>40000</v>
      </c>
      <c r="BP203" s="490">
        <f t="shared" si="430"/>
        <v>27942598</v>
      </c>
      <c r="BQ203" s="490">
        <f t="shared" si="430"/>
        <v>826007</v>
      </c>
      <c r="BR203" s="490">
        <f t="shared" si="430"/>
        <v>366435</v>
      </c>
      <c r="BS203" s="493">
        <f t="shared" si="430"/>
        <v>159.49810000000002</v>
      </c>
      <c r="BT203" s="493">
        <f t="shared" si="430"/>
        <v>137.68729999999999</v>
      </c>
      <c r="BU203" s="494">
        <f t="shared" ref="BU203:CA203" si="431">SUMIF($F$12:$F$464,"=3111",BU$12:BU$464)</f>
        <v>21.810800000000004</v>
      </c>
      <c r="BV203" s="489">
        <f t="shared" si="431"/>
        <v>0</v>
      </c>
      <c r="BW203" s="490">
        <f t="shared" si="431"/>
        <v>0</v>
      </c>
      <c r="BX203" s="490">
        <f t="shared" si="431"/>
        <v>0</v>
      </c>
      <c r="BY203" s="490">
        <f t="shared" si="431"/>
        <v>0</v>
      </c>
      <c r="BZ203" s="490">
        <f t="shared" si="431"/>
        <v>0</v>
      </c>
      <c r="CA203" s="496">
        <f t="shared" si="431"/>
        <v>0</v>
      </c>
    </row>
    <row r="204" spans="1:79" s="89" customFormat="1" ht="12.75" customHeight="1" x14ac:dyDescent="0.25">
      <c r="A204" s="311"/>
      <c r="D204" s="311"/>
      <c r="E204" s="397"/>
      <c r="F204" s="311"/>
      <c r="G204" s="313"/>
      <c r="H204" s="2">
        <v>3113</v>
      </c>
      <c r="I204" s="167">
        <f t="shared" ref="I204:BT204" si="432">SUMIF($F$12:$F$464,"=3113",I$12:I$464)</f>
        <v>208954271</v>
      </c>
      <c r="J204" s="16">
        <f t="shared" si="432"/>
        <v>152591149</v>
      </c>
      <c r="K204" s="16">
        <f t="shared" si="432"/>
        <v>142843835</v>
      </c>
      <c r="L204" s="16">
        <f t="shared" si="432"/>
        <v>9747314</v>
      </c>
      <c r="M204" s="16">
        <f t="shared" si="432"/>
        <v>596480</v>
      </c>
      <c r="N204" s="16">
        <f t="shared" si="432"/>
        <v>461880</v>
      </c>
      <c r="O204" s="16">
        <f t="shared" si="432"/>
        <v>134600</v>
      </c>
      <c r="P204" s="16">
        <f t="shared" si="432"/>
        <v>51777417</v>
      </c>
      <c r="Q204" s="16">
        <f t="shared" si="432"/>
        <v>1525911</v>
      </c>
      <c r="R204" s="16">
        <f t="shared" si="432"/>
        <v>2463314</v>
      </c>
      <c r="S204" s="13">
        <f t="shared" si="432"/>
        <v>250.00599999999997</v>
      </c>
      <c r="T204" s="13">
        <f t="shared" si="432"/>
        <v>220.28050000000002</v>
      </c>
      <c r="U204" s="17">
        <f t="shared" si="432"/>
        <v>29.725499999999997</v>
      </c>
      <c r="V204" s="168">
        <f t="shared" si="432"/>
        <v>0</v>
      </c>
      <c r="W204" s="16">
        <f t="shared" si="432"/>
        <v>0</v>
      </c>
      <c r="X204" s="16">
        <f t="shared" si="432"/>
        <v>0</v>
      </c>
      <c r="Y204" s="16">
        <f t="shared" si="432"/>
        <v>0</v>
      </c>
      <c r="Z204" s="16">
        <f t="shared" si="432"/>
        <v>0</v>
      </c>
      <c r="AA204" s="16">
        <f t="shared" si="432"/>
        <v>0</v>
      </c>
      <c r="AB204" s="16">
        <f t="shared" si="432"/>
        <v>0</v>
      </c>
      <c r="AC204" s="16">
        <f t="shared" si="432"/>
        <v>0</v>
      </c>
      <c r="AD204" s="16">
        <f t="shared" si="432"/>
        <v>0</v>
      </c>
      <c r="AE204" s="16">
        <f t="shared" si="432"/>
        <v>0</v>
      </c>
      <c r="AF204" s="16">
        <f t="shared" si="432"/>
        <v>0</v>
      </c>
      <c r="AG204" s="16">
        <f t="shared" si="432"/>
        <v>0</v>
      </c>
      <c r="AH204" s="16">
        <f t="shared" si="432"/>
        <v>0</v>
      </c>
      <c r="AI204" s="16">
        <f t="shared" si="432"/>
        <v>0</v>
      </c>
      <c r="AJ204" s="16">
        <f t="shared" si="432"/>
        <v>0</v>
      </c>
      <c r="AK204" s="16">
        <f t="shared" si="432"/>
        <v>0</v>
      </c>
      <c r="AL204" s="16">
        <f t="shared" si="432"/>
        <v>0</v>
      </c>
      <c r="AM204" s="16">
        <f t="shared" si="432"/>
        <v>0</v>
      </c>
      <c r="AN204" s="16">
        <f t="shared" si="432"/>
        <v>0</v>
      </c>
      <c r="AO204" s="16">
        <f t="shared" si="432"/>
        <v>0</v>
      </c>
      <c r="AP204" s="16">
        <f t="shared" si="432"/>
        <v>0</v>
      </c>
      <c r="AQ204" s="16">
        <f t="shared" si="432"/>
        <v>0</v>
      </c>
      <c r="AR204" s="16">
        <f t="shared" si="432"/>
        <v>0</v>
      </c>
      <c r="AS204" s="16">
        <f t="shared" si="432"/>
        <v>0</v>
      </c>
      <c r="AT204" s="16">
        <f t="shared" si="432"/>
        <v>0</v>
      </c>
      <c r="AU204" s="16">
        <f t="shared" si="432"/>
        <v>0</v>
      </c>
      <c r="AV204" s="16">
        <f t="shared" si="432"/>
        <v>0</v>
      </c>
      <c r="AW204" s="16">
        <f t="shared" si="432"/>
        <v>0</v>
      </c>
      <c r="AX204" s="13">
        <f t="shared" si="432"/>
        <v>0</v>
      </c>
      <c r="AY204" s="13">
        <f t="shared" si="432"/>
        <v>0</v>
      </c>
      <c r="AZ204" s="13">
        <f t="shared" si="432"/>
        <v>0</v>
      </c>
      <c r="BA204" s="13">
        <f t="shared" si="432"/>
        <v>0</v>
      </c>
      <c r="BB204" s="13">
        <f t="shared" si="432"/>
        <v>0</v>
      </c>
      <c r="BC204" s="13">
        <f t="shared" si="432"/>
        <v>0</v>
      </c>
      <c r="BD204" s="13">
        <f t="shared" si="432"/>
        <v>0</v>
      </c>
      <c r="BE204" s="13">
        <f t="shared" si="432"/>
        <v>0</v>
      </c>
      <c r="BF204" s="13">
        <f t="shared" si="432"/>
        <v>0</v>
      </c>
      <c r="BG204" s="13">
        <f t="shared" si="432"/>
        <v>0</v>
      </c>
      <c r="BH204" s="169">
        <f t="shared" si="432"/>
        <v>0</v>
      </c>
      <c r="BI204" s="167">
        <f t="shared" si="432"/>
        <v>208954271</v>
      </c>
      <c r="BJ204" s="16">
        <f t="shared" si="432"/>
        <v>152591149</v>
      </c>
      <c r="BK204" s="16">
        <f t="shared" si="432"/>
        <v>142843835</v>
      </c>
      <c r="BL204" s="16">
        <f t="shared" si="432"/>
        <v>9747314</v>
      </c>
      <c r="BM204" s="16">
        <f t="shared" si="432"/>
        <v>596480</v>
      </c>
      <c r="BN204" s="16">
        <f t="shared" si="432"/>
        <v>461880</v>
      </c>
      <c r="BO204" s="16">
        <f t="shared" si="432"/>
        <v>134600</v>
      </c>
      <c r="BP204" s="16">
        <f t="shared" si="432"/>
        <v>51777417</v>
      </c>
      <c r="BQ204" s="16">
        <f t="shared" si="432"/>
        <v>1525911</v>
      </c>
      <c r="BR204" s="16">
        <f t="shared" si="432"/>
        <v>2463314</v>
      </c>
      <c r="BS204" s="13">
        <f t="shared" si="432"/>
        <v>250.00599999999997</v>
      </c>
      <c r="BT204" s="13">
        <f t="shared" si="432"/>
        <v>220.28050000000002</v>
      </c>
      <c r="BU204" s="169">
        <f t="shared" ref="BU204:CA204" si="433">SUMIF($F$12:$F$464,"=3113",BU$12:BU$464)</f>
        <v>29.725499999999997</v>
      </c>
      <c r="BV204" s="167">
        <f t="shared" si="433"/>
        <v>2889034</v>
      </c>
      <c r="BW204" s="16">
        <f t="shared" si="433"/>
        <v>2143200</v>
      </c>
      <c r="BX204" s="16">
        <f t="shared" si="433"/>
        <v>0</v>
      </c>
      <c r="BY204" s="16">
        <f t="shared" si="433"/>
        <v>724402</v>
      </c>
      <c r="BZ204" s="16">
        <f t="shared" si="433"/>
        <v>21432</v>
      </c>
      <c r="CA204" s="17">
        <f t="shared" si="433"/>
        <v>3.8</v>
      </c>
    </row>
    <row r="205" spans="1:79" s="89" customFormat="1" ht="12.75" customHeight="1" x14ac:dyDescent="0.25">
      <c r="A205" s="311"/>
      <c r="D205" s="311"/>
      <c r="E205" s="397"/>
      <c r="F205" s="311"/>
      <c r="G205" s="313"/>
      <c r="H205" s="2">
        <v>3114</v>
      </c>
      <c r="I205" s="167">
        <f t="shared" ref="I205:BT205" si="434">SUMIF($F$12:$F$464,"=3114",I$12:I$464)</f>
        <v>27695501</v>
      </c>
      <c r="J205" s="16">
        <f t="shared" si="434"/>
        <v>20327458</v>
      </c>
      <c r="K205" s="16">
        <f t="shared" si="434"/>
        <v>18741491</v>
      </c>
      <c r="L205" s="16">
        <f t="shared" si="434"/>
        <v>1585967</v>
      </c>
      <c r="M205" s="16">
        <f t="shared" si="434"/>
        <v>110000</v>
      </c>
      <c r="N205" s="16">
        <f t="shared" si="434"/>
        <v>0</v>
      </c>
      <c r="O205" s="16">
        <f t="shared" si="434"/>
        <v>110000</v>
      </c>
      <c r="P205" s="16">
        <f t="shared" si="434"/>
        <v>6907860</v>
      </c>
      <c r="Q205" s="16">
        <f t="shared" si="434"/>
        <v>203275</v>
      </c>
      <c r="R205" s="16">
        <f t="shared" si="434"/>
        <v>146908</v>
      </c>
      <c r="S205" s="13">
        <f t="shared" si="434"/>
        <v>34.651000000000003</v>
      </c>
      <c r="T205" s="13">
        <f t="shared" si="434"/>
        <v>30.128900000000002</v>
      </c>
      <c r="U205" s="17">
        <f t="shared" si="434"/>
        <v>4.5221</v>
      </c>
      <c r="V205" s="168">
        <f t="shared" si="434"/>
        <v>0</v>
      </c>
      <c r="W205" s="16">
        <f t="shared" si="434"/>
        <v>0</v>
      </c>
      <c r="X205" s="16">
        <f t="shared" si="434"/>
        <v>12379</v>
      </c>
      <c r="Y205" s="16">
        <f t="shared" si="434"/>
        <v>0</v>
      </c>
      <c r="Z205" s="16">
        <f t="shared" si="434"/>
        <v>0</v>
      </c>
      <c r="AA205" s="16">
        <f t="shared" si="434"/>
        <v>0</v>
      </c>
      <c r="AB205" s="16">
        <f t="shared" si="434"/>
        <v>0</v>
      </c>
      <c r="AC205" s="16">
        <f t="shared" si="434"/>
        <v>0</v>
      </c>
      <c r="AD205" s="16">
        <f t="shared" si="434"/>
        <v>12379</v>
      </c>
      <c r="AE205" s="16">
        <f t="shared" si="434"/>
        <v>0</v>
      </c>
      <c r="AF205" s="16">
        <f t="shared" si="434"/>
        <v>12379</v>
      </c>
      <c r="AG205" s="16">
        <f t="shared" si="434"/>
        <v>0</v>
      </c>
      <c r="AH205" s="16">
        <f t="shared" si="434"/>
        <v>0</v>
      </c>
      <c r="AI205" s="16">
        <f t="shared" si="434"/>
        <v>0</v>
      </c>
      <c r="AJ205" s="16">
        <f t="shared" si="434"/>
        <v>0</v>
      </c>
      <c r="AK205" s="16">
        <f t="shared" si="434"/>
        <v>0</v>
      </c>
      <c r="AL205" s="16">
        <f t="shared" si="434"/>
        <v>0</v>
      </c>
      <c r="AM205" s="16">
        <f t="shared" si="434"/>
        <v>0</v>
      </c>
      <c r="AN205" s="16">
        <f t="shared" si="434"/>
        <v>0</v>
      </c>
      <c r="AO205" s="16">
        <f t="shared" si="434"/>
        <v>12379</v>
      </c>
      <c r="AP205" s="16">
        <f t="shared" si="434"/>
        <v>0</v>
      </c>
      <c r="AQ205" s="16">
        <f t="shared" si="434"/>
        <v>12379</v>
      </c>
      <c r="AR205" s="16">
        <f t="shared" si="434"/>
        <v>4184</v>
      </c>
      <c r="AS205" s="16">
        <f t="shared" si="434"/>
        <v>124</v>
      </c>
      <c r="AT205" s="16">
        <f t="shared" si="434"/>
        <v>0</v>
      </c>
      <c r="AU205" s="16">
        <f t="shared" si="434"/>
        <v>0</v>
      </c>
      <c r="AV205" s="16">
        <f t="shared" si="434"/>
        <v>0</v>
      </c>
      <c r="AW205" s="16">
        <f t="shared" si="434"/>
        <v>16687</v>
      </c>
      <c r="AX205" s="13">
        <f t="shared" si="434"/>
        <v>0</v>
      </c>
      <c r="AY205" s="13">
        <f t="shared" si="434"/>
        <v>0</v>
      </c>
      <c r="AZ205" s="13">
        <f t="shared" si="434"/>
        <v>0.03</v>
      </c>
      <c r="BA205" s="13">
        <f t="shared" si="434"/>
        <v>0</v>
      </c>
      <c r="BB205" s="13">
        <f t="shared" si="434"/>
        <v>0</v>
      </c>
      <c r="BC205" s="13">
        <f t="shared" si="434"/>
        <v>0</v>
      </c>
      <c r="BD205" s="13">
        <f t="shared" si="434"/>
        <v>0</v>
      </c>
      <c r="BE205" s="13">
        <f t="shared" si="434"/>
        <v>0</v>
      </c>
      <c r="BF205" s="13">
        <f t="shared" si="434"/>
        <v>0.03</v>
      </c>
      <c r="BG205" s="13">
        <f t="shared" si="434"/>
        <v>0</v>
      </c>
      <c r="BH205" s="169">
        <f t="shared" si="434"/>
        <v>0.03</v>
      </c>
      <c r="BI205" s="167">
        <f t="shared" si="434"/>
        <v>27712188</v>
      </c>
      <c r="BJ205" s="16">
        <f t="shared" si="434"/>
        <v>20339837</v>
      </c>
      <c r="BK205" s="16">
        <f t="shared" si="434"/>
        <v>18753870</v>
      </c>
      <c r="BL205" s="16">
        <f t="shared" si="434"/>
        <v>1585967</v>
      </c>
      <c r="BM205" s="16">
        <f t="shared" si="434"/>
        <v>110000</v>
      </c>
      <c r="BN205" s="16">
        <f t="shared" si="434"/>
        <v>0</v>
      </c>
      <c r="BO205" s="16">
        <f t="shared" si="434"/>
        <v>110000</v>
      </c>
      <c r="BP205" s="16">
        <f t="shared" si="434"/>
        <v>6912044</v>
      </c>
      <c r="BQ205" s="16">
        <f t="shared" si="434"/>
        <v>203399</v>
      </c>
      <c r="BR205" s="16">
        <f t="shared" si="434"/>
        <v>146908</v>
      </c>
      <c r="BS205" s="13">
        <f t="shared" si="434"/>
        <v>34.680999999999997</v>
      </c>
      <c r="BT205" s="13">
        <f t="shared" si="434"/>
        <v>30.158899999999999</v>
      </c>
      <c r="BU205" s="169">
        <f t="shared" ref="BU205:CA205" si="435">SUMIF($F$12:$F$464,"=3114",BU$12:BU$464)</f>
        <v>4.5221</v>
      </c>
      <c r="BV205" s="167">
        <f t="shared" si="435"/>
        <v>0</v>
      </c>
      <c r="BW205" s="16">
        <f t="shared" si="435"/>
        <v>0</v>
      </c>
      <c r="BX205" s="16">
        <f t="shared" si="435"/>
        <v>0</v>
      </c>
      <c r="BY205" s="16">
        <f t="shared" si="435"/>
        <v>0</v>
      </c>
      <c r="BZ205" s="16">
        <f t="shared" si="435"/>
        <v>0</v>
      </c>
      <c r="CA205" s="17">
        <f t="shared" si="435"/>
        <v>0</v>
      </c>
    </row>
    <row r="206" spans="1:79" s="89" customFormat="1" ht="12.95" customHeight="1" x14ac:dyDescent="0.25">
      <c r="A206" s="311"/>
      <c r="D206" s="311"/>
      <c r="E206" s="397"/>
      <c r="F206" s="311"/>
      <c r="G206" s="313"/>
      <c r="H206" s="2">
        <v>3117</v>
      </c>
      <c r="I206" s="167">
        <f t="shared" ref="I206:BT206" si="436">SUMIF($F$12:$F$464,"=3117",I$12:I$464)</f>
        <v>53678758</v>
      </c>
      <c r="J206" s="16">
        <f t="shared" si="436"/>
        <v>38894222</v>
      </c>
      <c r="K206" s="16">
        <f t="shared" si="436"/>
        <v>34825370</v>
      </c>
      <c r="L206" s="16">
        <f t="shared" si="436"/>
        <v>4068852</v>
      </c>
      <c r="M206" s="16">
        <f t="shared" si="436"/>
        <v>358100</v>
      </c>
      <c r="N206" s="16">
        <f t="shared" si="436"/>
        <v>196100</v>
      </c>
      <c r="O206" s="16">
        <f t="shared" si="436"/>
        <v>162000</v>
      </c>
      <c r="P206" s="16">
        <f t="shared" si="436"/>
        <v>13267285</v>
      </c>
      <c r="Q206" s="16">
        <f t="shared" si="436"/>
        <v>388941</v>
      </c>
      <c r="R206" s="16">
        <f t="shared" si="436"/>
        <v>770210</v>
      </c>
      <c r="S206" s="13">
        <f t="shared" si="436"/>
        <v>68.637</v>
      </c>
      <c r="T206" s="13">
        <f t="shared" si="436"/>
        <v>56.92710000000001</v>
      </c>
      <c r="U206" s="17">
        <f t="shared" si="436"/>
        <v>11.709899999999999</v>
      </c>
      <c r="V206" s="168">
        <f t="shared" si="436"/>
        <v>0</v>
      </c>
      <c r="W206" s="16">
        <f t="shared" si="436"/>
        <v>0</v>
      </c>
      <c r="X206" s="16">
        <f t="shared" si="436"/>
        <v>0</v>
      </c>
      <c r="Y206" s="16">
        <f t="shared" si="436"/>
        <v>0</v>
      </c>
      <c r="Z206" s="16">
        <f t="shared" si="436"/>
        <v>0</v>
      </c>
      <c r="AA206" s="16">
        <f t="shared" si="436"/>
        <v>0</v>
      </c>
      <c r="AB206" s="16">
        <f t="shared" si="436"/>
        <v>0</v>
      </c>
      <c r="AC206" s="16">
        <f t="shared" si="436"/>
        <v>0</v>
      </c>
      <c r="AD206" s="16">
        <f t="shared" si="436"/>
        <v>0</v>
      </c>
      <c r="AE206" s="16">
        <f t="shared" si="436"/>
        <v>0</v>
      </c>
      <c r="AF206" s="16">
        <f t="shared" si="436"/>
        <v>0</v>
      </c>
      <c r="AG206" s="16">
        <f t="shared" si="436"/>
        <v>0</v>
      </c>
      <c r="AH206" s="16">
        <f t="shared" si="436"/>
        <v>0</v>
      </c>
      <c r="AI206" s="16">
        <f t="shared" si="436"/>
        <v>0</v>
      </c>
      <c r="AJ206" s="16">
        <f t="shared" si="436"/>
        <v>0</v>
      </c>
      <c r="AK206" s="16">
        <f t="shared" si="436"/>
        <v>0</v>
      </c>
      <c r="AL206" s="16">
        <f t="shared" si="436"/>
        <v>0</v>
      </c>
      <c r="AM206" s="16">
        <f t="shared" si="436"/>
        <v>0</v>
      </c>
      <c r="AN206" s="16">
        <f t="shared" si="436"/>
        <v>0</v>
      </c>
      <c r="AO206" s="16">
        <f t="shared" si="436"/>
        <v>0</v>
      </c>
      <c r="AP206" s="16">
        <f t="shared" si="436"/>
        <v>0</v>
      </c>
      <c r="AQ206" s="16">
        <f t="shared" si="436"/>
        <v>0</v>
      </c>
      <c r="AR206" s="16">
        <f t="shared" si="436"/>
        <v>0</v>
      </c>
      <c r="AS206" s="16">
        <f t="shared" si="436"/>
        <v>0</v>
      </c>
      <c r="AT206" s="16">
        <f t="shared" si="436"/>
        <v>0</v>
      </c>
      <c r="AU206" s="16">
        <f t="shared" si="436"/>
        <v>0</v>
      </c>
      <c r="AV206" s="16">
        <f t="shared" si="436"/>
        <v>0</v>
      </c>
      <c r="AW206" s="16">
        <f t="shared" si="436"/>
        <v>0</v>
      </c>
      <c r="AX206" s="13">
        <f t="shared" si="436"/>
        <v>0</v>
      </c>
      <c r="AY206" s="13">
        <f t="shared" si="436"/>
        <v>0</v>
      </c>
      <c r="AZ206" s="13">
        <f t="shared" si="436"/>
        <v>0</v>
      </c>
      <c r="BA206" s="13">
        <f t="shared" si="436"/>
        <v>0</v>
      </c>
      <c r="BB206" s="13">
        <f t="shared" si="436"/>
        <v>0</v>
      </c>
      <c r="BC206" s="13">
        <f t="shared" si="436"/>
        <v>0</v>
      </c>
      <c r="BD206" s="13">
        <f t="shared" si="436"/>
        <v>0</v>
      </c>
      <c r="BE206" s="13">
        <f t="shared" si="436"/>
        <v>0</v>
      </c>
      <c r="BF206" s="13">
        <f t="shared" si="436"/>
        <v>0</v>
      </c>
      <c r="BG206" s="13">
        <f t="shared" si="436"/>
        <v>0</v>
      </c>
      <c r="BH206" s="169">
        <f t="shared" si="436"/>
        <v>0</v>
      </c>
      <c r="BI206" s="167">
        <f t="shared" si="436"/>
        <v>53678758</v>
      </c>
      <c r="BJ206" s="16">
        <f t="shared" si="436"/>
        <v>38894222</v>
      </c>
      <c r="BK206" s="16">
        <f t="shared" si="436"/>
        <v>34825370</v>
      </c>
      <c r="BL206" s="16">
        <f t="shared" si="436"/>
        <v>4068852</v>
      </c>
      <c r="BM206" s="16">
        <f t="shared" si="436"/>
        <v>358100</v>
      </c>
      <c r="BN206" s="16">
        <f t="shared" si="436"/>
        <v>196100</v>
      </c>
      <c r="BO206" s="16">
        <f t="shared" si="436"/>
        <v>162000</v>
      </c>
      <c r="BP206" s="16">
        <f t="shared" si="436"/>
        <v>13267285</v>
      </c>
      <c r="BQ206" s="16">
        <f t="shared" si="436"/>
        <v>388941</v>
      </c>
      <c r="BR206" s="16">
        <f t="shared" si="436"/>
        <v>770210</v>
      </c>
      <c r="BS206" s="13">
        <f t="shared" si="436"/>
        <v>68.637</v>
      </c>
      <c r="BT206" s="13">
        <f t="shared" si="436"/>
        <v>56.92710000000001</v>
      </c>
      <c r="BU206" s="169">
        <f t="shared" ref="BU206:CA206" si="437">SUMIF($F$12:$F$464,"=3117",BU$12:BU$464)</f>
        <v>11.709899999999999</v>
      </c>
      <c r="BV206" s="167">
        <f t="shared" si="437"/>
        <v>304108</v>
      </c>
      <c r="BW206" s="16">
        <f t="shared" si="437"/>
        <v>225600</v>
      </c>
      <c r="BX206" s="16">
        <f t="shared" si="437"/>
        <v>0</v>
      </c>
      <c r="BY206" s="16">
        <f t="shared" si="437"/>
        <v>76252</v>
      </c>
      <c r="BZ206" s="16">
        <f t="shared" si="437"/>
        <v>2256</v>
      </c>
      <c r="CA206" s="17">
        <f t="shared" si="437"/>
        <v>0.4</v>
      </c>
    </row>
    <row r="207" spans="1:79" s="89" customFormat="1" ht="12.95" customHeight="1" x14ac:dyDescent="0.25">
      <c r="A207" s="311"/>
      <c r="D207" s="311"/>
      <c r="E207" s="397"/>
      <c r="F207" s="311"/>
      <c r="G207" s="313"/>
      <c r="H207" s="2">
        <v>3122</v>
      </c>
      <c r="I207" s="167">
        <f t="shared" ref="I207:BT207" si="438">SUMIF($F$12:$F$464,"=3122",I$12:I$464)</f>
        <v>0</v>
      </c>
      <c r="J207" s="16">
        <f t="shared" si="438"/>
        <v>0</v>
      </c>
      <c r="K207" s="16">
        <f t="shared" si="438"/>
        <v>0</v>
      </c>
      <c r="L207" s="16">
        <f t="shared" si="438"/>
        <v>0</v>
      </c>
      <c r="M207" s="16">
        <f t="shared" si="438"/>
        <v>0</v>
      </c>
      <c r="N207" s="16">
        <f t="shared" si="438"/>
        <v>0</v>
      </c>
      <c r="O207" s="16">
        <f t="shared" si="438"/>
        <v>0</v>
      </c>
      <c r="P207" s="16">
        <f t="shared" si="438"/>
        <v>0</v>
      </c>
      <c r="Q207" s="16">
        <f t="shared" si="438"/>
        <v>0</v>
      </c>
      <c r="R207" s="16">
        <f t="shared" si="438"/>
        <v>0</v>
      </c>
      <c r="S207" s="13">
        <f t="shared" si="438"/>
        <v>0</v>
      </c>
      <c r="T207" s="13">
        <f t="shared" si="438"/>
        <v>0</v>
      </c>
      <c r="U207" s="17">
        <f t="shared" si="438"/>
        <v>0</v>
      </c>
      <c r="V207" s="168">
        <f t="shared" si="438"/>
        <v>0</v>
      </c>
      <c r="W207" s="16">
        <f t="shared" si="438"/>
        <v>0</v>
      </c>
      <c r="X207" s="16">
        <f t="shared" si="438"/>
        <v>0</v>
      </c>
      <c r="Y207" s="16">
        <f t="shared" si="438"/>
        <v>0</v>
      </c>
      <c r="Z207" s="16">
        <f t="shared" si="438"/>
        <v>0</v>
      </c>
      <c r="AA207" s="16">
        <f t="shared" si="438"/>
        <v>0</v>
      </c>
      <c r="AB207" s="16">
        <f t="shared" si="438"/>
        <v>0</v>
      </c>
      <c r="AC207" s="16">
        <f t="shared" si="438"/>
        <v>0</v>
      </c>
      <c r="AD207" s="16">
        <f t="shared" si="438"/>
        <v>0</v>
      </c>
      <c r="AE207" s="16">
        <f t="shared" si="438"/>
        <v>0</v>
      </c>
      <c r="AF207" s="16">
        <f t="shared" si="438"/>
        <v>0</v>
      </c>
      <c r="AG207" s="16">
        <f t="shared" si="438"/>
        <v>0</v>
      </c>
      <c r="AH207" s="16">
        <f t="shared" si="438"/>
        <v>0</v>
      </c>
      <c r="AI207" s="16">
        <f t="shared" si="438"/>
        <v>0</v>
      </c>
      <c r="AJ207" s="16">
        <f t="shared" si="438"/>
        <v>0</v>
      </c>
      <c r="AK207" s="16">
        <f t="shared" si="438"/>
        <v>0</v>
      </c>
      <c r="AL207" s="16">
        <f t="shared" si="438"/>
        <v>0</v>
      </c>
      <c r="AM207" s="16">
        <f t="shared" si="438"/>
        <v>0</v>
      </c>
      <c r="AN207" s="16">
        <f t="shared" si="438"/>
        <v>0</v>
      </c>
      <c r="AO207" s="16">
        <f t="shared" si="438"/>
        <v>0</v>
      </c>
      <c r="AP207" s="16">
        <f t="shared" si="438"/>
        <v>0</v>
      </c>
      <c r="AQ207" s="16">
        <f t="shared" si="438"/>
        <v>0</v>
      </c>
      <c r="AR207" s="16">
        <f t="shared" si="438"/>
        <v>0</v>
      </c>
      <c r="AS207" s="16">
        <f t="shared" si="438"/>
        <v>0</v>
      </c>
      <c r="AT207" s="16">
        <f t="shared" si="438"/>
        <v>0</v>
      </c>
      <c r="AU207" s="16">
        <f t="shared" si="438"/>
        <v>0</v>
      </c>
      <c r="AV207" s="16">
        <f t="shared" si="438"/>
        <v>0</v>
      </c>
      <c r="AW207" s="16">
        <f t="shared" si="438"/>
        <v>0</v>
      </c>
      <c r="AX207" s="13">
        <f t="shared" si="438"/>
        <v>0</v>
      </c>
      <c r="AY207" s="13">
        <f t="shared" si="438"/>
        <v>0</v>
      </c>
      <c r="AZ207" s="13">
        <f t="shared" si="438"/>
        <v>0</v>
      </c>
      <c r="BA207" s="13">
        <f t="shared" si="438"/>
        <v>0</v>
      </c>
      <c r="BB207" s="13">
        <f t="shared" si="438"/>
        <v>0</v>
      </c>
      <c r="BC207" s="13">
        <f t="shared" si="438"/>
        <v>0</v>
      </c>
      <c r="BD207" s="13">
        <f t="shared" si="438"/>
        <v>0</v>
      </c>
      <c r="BE207" s="13">
        <f t="shared" si="438"/>
        <v>0</v>
      </c>
      <c r="BF207" s="13">
        <f t="shared" si="438"/>
        <v>0</v>
      </c>
      <c r="BG207" s="13">
        <f t="shared" si="438"/>
        <v>0</v>
      </c>
      <c r="BH207" s="169">
        <f t="shared" si="438"/>
        <v>0</v>
      </c>
      <c r="BI207" s="167">
        <f t="shared" si="438"/>
        <v>0</v>
      </c>
      <c r="BJ207" s="16">
        <f t="shared" si="438"/>
        <v>0</v>
      </c>
      <c r="BK207" s="16">
        <f t="shared" si="438"/>
        <v>0</v>
      </c>
      <c r="BL207" s="16">
        <f t="shared" si="438"/>
        <v>0</v>
      </c>
      <c r="BM207" s="16">
        <f t="shared" si="438"/>
        <v>0</v>
      </c>
      <c r="BN207" s="16">
        <f t="shared" si="438"/>
        <v>0</v>
      </c>
      <c r="BO207" s="16">
        <f t="shared" si="438"/>
        <v>0</v>
      </c>
      <c r="BP207" s="16">
        <f t="shared" si="438"/>
        <v>0</v>
      </c>
      <c r="BQ207" s="16">
        <f t="shared" si="438"/>
        <v>0</v>
      </c>
      <c r="BR207" s="16">
        <f t="shared" si="438"/>
        <v>0</v>
      </c>
      <c r="BS207" s="13">
        <f t="shared" si="438"/>
        <v>0</v>
      </c>
      <c r="BT207" s="13">
        <f t="shared" si="438"/>
        <v>0</v>
      </c>
      <c r="BU207" s="169">
        <f t="shared" ref="BU207:CA207" si="439">SUMIF($F$12:$F$464,"=3122",BU$12:BU$464)</f>
        <v>0</v>
      </c>
      <c r="BV207" s="167">
        <f t="shared" si="439"/>
        <v>0</v>
      </c>
      <c r="BW207" s="16">
        <f t="shared" si="439"/>
        <v>0</v>
      </c>
      <c r="BX207" s="16">
        <f t="shared" si="439"/>
        <v>0</v>
      </c>
      <c r="BY207" s="16">
        <f t="shared" si="439"/>
        <v>0</v>
      </c>
      <c r="BZ207" s="16">
        <f t="shared" si="439"/>
        <v>0</v>
      </c>
      <c r="CA207" s="17">
        <f t="shared" si="439"/>
        <v>0</v>
      </c>
    </row>
    <row r="208" spans="1:79" s="89" customFormat="1" ht="12.95" customHeight="1" x14ac:dyDescent="0.25">
      <c r="A208" s="311"/>
      <c r="D208" s="311"/>
      <c r="E208" s="397"/>
      <c r="F208" s="311"/>
      <c r="G208" s="313"/>
      <c r="H208" s="2">
        <v>3124</v>
      </c>
      <c r="I208" s="167">
        <f t="shared" ref="I208:BT208" si="440">SUMIF($F$12:$F$464,"=3124",I$12:I$464)</f>
        <v>0</v>
      </c>
      <c r="J208" s="16">
        <f t="shared" si="440"/>
        <v>0</v>
      </c>
      <c r="K208" s="16">
        <f t="shared" si="440"/>
        <v>0</v>
      </c>
      <c r="L208" s="16">
        <f t="shared" si="440"/>
        <v>0</v>
      </c>
      <c r="M208" s="16">
        <f t="shared" si="440"/>
        <v>0</v>
      </c>
      <c r="N208" s="16">
        <f t="shared" si="440"/>
        <v>0</v>
      </c>
      <c r="O208" s="16">
        <f t="shared" si="440"/>
        <v>0</v>
      </c>
      <c r="P208" s="16">
        <f t="shared" si="440"/>
        <v>0</v>
      </c>
      <c r="Q208" s="16">
        <f t="shared" si="440"/>
        <v>0</v>
      </c>
      <c r="R208" s="16">
        <f t="shared" si="440"/>
        <v>0</v>
      </c>
      <c r="S208" s="13">
        <f t="shared" si="440"/>
        <v>0</v>
      </c>
      <c r="T208" s="13">
        <f t="shared" si="440"/>
        <v>0</v>
      </c>
      <c r="U208" s="17">
        <f t="shared" si="440"/>
        <v>0</v>
      </c>
      <c r="V208" s="168">
        <f t="shared" si="440"/>
        <v>0</v>
      </c>
      <c r="W208" s="16">
        <f t="shared" si="440"/>
        <v>0</v>
      </c>
      <c r="X208" s="16">
        <f t="shared" si="440"/>
        <v>0</v>
      </c>
      <c r="Y208" s="16">
        <f t="shared" si="440"/>
        <v>0</v>
      </c>
      <c r="Z208" s="16">
        <f t="shared" si="440"/>
        <v>0</v>
      </c>
      <c r="AA208" s="16">
        <f t="shared" si="440"/>
        <v>0</v>
      </c>
      <c r="AB208" s="16">
        <f t="shared" si="440"/>
        <v>0</v>
      </c>
      <c r="AC208" s="16">
        <f t="shared" si="440"/>
        <v>0</v>
      </c>
      <c r="AD208" s="16">
        <f t="shared" si="440"/>
        <v>0</v>
      </c>
      <c r="AE208" s="16">
        <f t="shared" si="440"/>
        <v>0</v>
      </c>
      <c r="AF208" s="16">
        <f t="shared" si="440"/>
        <v>0</v>
      </c>
      <c r="AG208" s="16">
        <f t="shared" si="440"/>
        <v>0</v>
      </c>
      <c r="AH208" s="16">
        <f t="shared" si="440"/>
        <v>0</v>
      </c>
      <c r="AI208" s="16">
        <f t="shared" si="440"/>
        <v>0</v>
      </c>
      <c r="AJ208" s="16">
        <f t="shared" si="440"/>
        <v>0</v>
      </c>
      <c r="AK208" s="16">
        <f t="shared" si="440"/>
        <v>0</v>
      </c>
      <c r="AL208" s="16">
        <f t="shared" si="440"/>
        <v>0</v>
      </c>
      <c r="AM208" s="16">
        <f t="shared" si="440"/>
        <v>0</v>
      </c>
      <c r="AN208" s="16">
        <f t="shared" si="440"/>
        <v>0</v>
      </c>
      <c r="AO208" s="16">
        <f t="shared" si="440"/>
        <v>0</v>
      </c>
      <c r="AP208" s="16">
        <f t="shared" si="440"/>
        <v>0</v>
      </c>
      <c r="AQ208" s="16">
        <f t="shared" si="440"/>
        <v>0</v>
      </c>
      <c r="AR208" s="16">
        <f t="shared" si="440"/>
        <v>0</v>
      </c>
      <c r="AS208" s="16">
        <f t="shared" si="440"/>
        <v>0</v>
      </c>
      <c r="AT208" s="16">
        <f t="shared" si="440"/>
        <v>0</v>
      </c>
      <c r="AU208" s="16">
        <f t="shared" si="440"/>
        <v>0</v>
      </c>
      <c r="AV208" s="16">
        <f t="shared" si="440"/>
        <v>0</v>
      </c>
      <c r="AW208" s="16">
        <f t="shared" si="440"/>
        <v>0</v>
      </c>
      <c r="AX208" s="13">
        <f t="shared" si="440"/>
        <v>0</v>
      </c>
      <c r="AY208" s="13">
        <f t="shared" si="440"/>
        <v>0</v>
      </c>
      <c r="AZ208" s="13">
        <f t="shared" si="440"/>
        <v>0</v>
      </c>
      <c r="BA208" s="13">
        <f t="shared" si="440"/>
        <v>0</v>
      </c>
      <c r="BB208" s="13">
        <f t="shared" si="440"/>
        <v>0</v>
      </c>
      <c r="BC208" s="13">
        <f t="shared" si="440"/>
        <v>0</v>
      </c>
      <c r="BD208" s="13">
        <f t="shared" si="440"/>
        <v>0</v>
      </c>
      <c r="BE208" s="13">
        <f t="shared" si="440"/>
        <v>0</v>
      </c>
      <c r="BF208" s="13">
        <f t="shared" si="440"/>
        <v>0</v>
      </c>
      <c r="BG208" s="13">
        <f t="shared" si="440"/>
        <v>0</v>
      </c>
      <c r="BH208" s="169">
        <f t="shared" si="440"/>
        <v>0</v>
      </c>
      <c r="BI208" s="167">
        <f t="shared" si="440"/>
        <v>0</v>
      </c>
      <c r="BJ208" s="16">
        <f t="shared" si="440"/>
        <v>0</v>
      </c>
      <c r="BK208" s="16">
        <f t="shared" si="440"/>
        <v>0</v>
      </c>
      <c r="BL208" s="16">
        <f t="shared" si="440"/>
        <v>0</v>
      </c>
      <c r="BM208" s="16">
        <f t="shared" si="440"/>
        <v>0</v>
      </c>
      <c r="BN208" s="16">
        <f t="shared" si="440"/>
        <v>0</v>
      </c>
      <c r="BO208" s="16">
        <f t="shared" si="440"/>
        <v>0</v>
      </c>
      <c r="BP208" s="16">
        <f t="shared" si="440"/>
        <v>0</v>
      </c>
      <c r="BQ208" s="16">
        <f t="shared" si="440"/>
        <v>0</v>
      </c>
      <c r="BR208" s="16">
        <f t="shared" si="440"/>
        <v>0</v>
      </c>
      <c r="BS208" s="13">
        <f t="shared" si="440"/>
        <v>0</v>
      </c>
      <c r="BT208" s="13">
        <f t="shared" si="440"/>
        <v>0</v>
      </c>
      <c r="BU208" s="169">
        <f t="shared" ref="BU208:CA208" si="441">SUMIF($F$12:$F$464,"=3124",BU$12:BU$464)</f>
        <v>0</v>
      </c>
      <c r="BV208" s="167">
        <f t="shared" si="441"/>
        <v>0</v>
      </c>
      <c r="BW208" s="16">
        <f t="shared" si="441"/>
        <v>0</v>
      </c>
      <c r="BX208" s="16">
        <f t="shared" si="441"/>
        <v>0</v>
      </c>
      <c r="BY208" s="16">
        <f t="shared" si="441"/>
        <v>0</v>
      </c>
      <c r="BZ208" s="16">
        <f t="shared" si="441"/>
        <v>0</v>
      </c>
      <c r="CA208" s="17">
        <f t="shared" si="441"/>
        <v>0</v>
      </c>
    </row>
    <row r="209" spans="1:79" s="89" customFormat="1" ht="12.95" customHeight="1" x14ac:dyDescent="0.25">
      <c r="A209" s="311"/>
      <c r="D209" s="311"/>
      <c r="E209" s="397"/>
      <c r="F209" s="311"/>
      <c r="G209" s="313"/>
      <c r="H209" s="2">
        <v>3141</v>
      </c>
      <c r="I209" s="167">
        <f t="shared" ref="I209:BT209" si="442">SUMIF($F$12:$F$464,"=3141",I$12:I$464)</f>
        <v>25289373</v>
      </c>
      <c r="J209" s="16">
        <f t="shared" si="442"/>
        <v>18399600</v>
      </c>
      <c r="K209" s="16">
        <f t="shared" si="442"/>
        <v>0</v>
      </c>
      <c r="L209" s="16">
        <f t="shared" si="442"/>
        <v>18399600</v>
      </c>
      <c r="M209" s="16">
        <f t="shared" si="442"/>
        <v>246400</v>
      </c>
      <c r="N209" s="16">
        <f t="shared" si="442"/>
        <v>0</v>
      </c>
      <c r="O209" s="16">
        <f t="shared" si="442"/>
        <v>246400</v>
      </c>
      <c r="P209" s="16">
        <f t="shared" si="442"/>
        <v>6302348</v>
      </c>
      <c r="Q209" s="16">
        <f t="shared" si="442"/>
        <v>183996</v>
      </c>
      <c r="R209" s="16">
        <f t="shared" si="442"/>
        <v>157029</v>
      </c>
      <c r="S209" s="13">
        <f t="shared" si="442"/>
        <v>55.673400000000001</v>
      </c>
      <c r="T209" s="13">
        <f t="shared" si="442"/>
        <v>0</v>
      </c>
      <c r="U209" s="17">
        <f t="shared" si="442"/>
        <v>55.673400000000001</v>
      </c>
      <c r="V209" s="168">
        <f t="shared" si="442"/>
        <v>0</v>
      </c>
      <c r="W209" s="16">
        <f t="shared" si="442"/>
        <v>0</v>
      </c>
      <c r="X209" s="16">
        <f t="shared" si="442"/>
        <v>0</v>
      </c>
      <c r="Y209" s="16">
        <f t="shared" si="442"/>
        <v>0</v>
      </c>
      <c r="Z209" s="16">
        <f t="shared" si="442"/>
        <v>0</v>
      </c>
      <c r="AA209" s="16">
        <f t="shared" si="442"/>
        <v>9331725</v>
      </c>
      <c r="AB209" s="16">
        <f t="shared" si="442"/>
        <v>0</v>
      </c>
      <c r="AC209" s="16">
        <f t="shared" si="442"/>
        <v>0</v>
      </c>
      <c r="AD209" s="16">
        <f t="shared" si="442"/>
        <v>0</v>
      </c>
      <c r="AE209" s="16">
        <f t="shared" si="442"/>
        <v>9331725</v>
      </c>
      <c r="AF209" s="16">
        <f t="shared" si="442"/>
        <v>9331725</v>
      </c>
      <c r="AG209" s="16">
        <f t="shared" si="442"/>
        <v>0</v>
      </c>
      <c r="AH209" s="16">
        <f t="shared" si="442"/>
        <v>0</v>
      </c>
      <c r="AI209" s="16">
        <f t="shared" si="442"/>
        <v>0</v>
      </c>
      <c r="AJ209" s="16">
        <f t="shared" si="442"/>
        <v>0</v>
      </c>
      <c r="AK209" s="16">
        <f t="shared" si="442"/>
        <v>0</v>
      </c>
      <c r="AL209" s="16">
        <f t="shared" si="442"/>
        <v>0</v>
      </c>
      <c r="AM209" s="16">
        <f t="shared" si="442"/>
        <v>0</v>
      </c>
      <c r="AN209" s="16">
        <f t="shared" si="442"/>
        <v>0</v>
      </c>
      <c r="AO209" s="16">
        <f t="shared" si="442"/>
        <v>0</v>
      </c>
      <c r="AP209" s="16">
        <f t="shared" si="442"/>
        <v>9331725</v>
      </c>
      <c r="AQ209" s="16">
        <f t="shared" si="442"/>
        <v>9331725</v>
      </c>
      <c r="AR209" s="16">
        <f t="shared" si="442"/>
        <v>3154120</v>
      </c>
      <c r="AS209" s="16">
        <f t="shared" si="442"/>
        <v>93315</v>
      </c>
      <c r="AT209" s="16">
        <f t="shared" si="442"/>
        <v>0</v>
      </c>
      <c r="AU209" s="16">
        <f t="shared" si="442"/>
        <v>75945</v>
      </c>
      <c r="AV209" s="16">
        <f t="shared" si="442"/>
        <v>75945</v>
      </c>
      <c r="AW209" s="16">
        <f t="shared" si="442"/>
        <v>12655105</v>
      </c>
      <c r="AX209" s="13">
        <f t="shared" si="442"/>
        <v>0</v>
      </c>
      <c r="AY209" s="13">
        <f t="shared" si="442"/>
        <v>0</v>
      </c>
      <c r="AZ209" s="13">
        <f t="shared" si="442"/>
        <v>0</v>
      </c>
      <c r="BA209" s="13">
        <f t="shared" si="442"/>
        <v>0</v>
      </c>
      <c r="BB209" s="13">
        <f t="shared" si="442"/>
        <v>27.95</v>
      </c>
      <c r="BC209" s="13">
        <f t="shared" si="442"/>
        <v>0</v>
      </c>
      <c r="BD209" s="13">
        <f t="shared" si="442"/>
        <v>0</v>
      </c>
      <c r="BE209" s="13">
        <f t="shared" si="442"/>
        <v>0</v>
      </c>
      <c r="BF209" s="13">
        <f t="shared" si="442"/>
        <v>0</v>
      </c>
      <c r="BG209" s="13">
        <f t="shared" si="442"/>
        <v>27.95</v>
      </c>
      <c r="BH209" s="169">
        <f t="shared" si="442"/>
        <v>27.95</v>
      </c>
      <c r="BI209" s="167">
        <f t="shared" si="442"/>
        <v>37944478</v>
      </c>
      <c r="BJ209" s="16">
        <f t="shared" si="442"/>
        <v>27731325</v>
      </c>
      <c r="BK209" s="16">
        <f t="shared" si="442"/>
        <v>0</v>
      </c>
      <c r="BL209" s="16">
        <f t="shared" si="442"/>
        <v>27731325</v>
      </c>
      <c r="BM209" s="16">
        <f t="shared" si="442"/>
        <v>246400</v>
      </c>
      <c r="BN209" s="16">
        <f t="shared" si="442"/>
        <v>0</v>
      </c>
      <c r="BO209" s="16">
        <f t="shared" si="442"/>
        <v>246400</v>
      </c>
      <c r="BP209" s="16">
        <f t="shared" si="442"/>
        <v>9456468</v>
      </c>
      <c r="BQ209" s="16">
        <f t="shared" si="442"/>
        <v>277311</v>
      </c>
      <c r="BR209" s="16">
        <f t="shared" si="442"/>
        <v>232974</v>
      </c>
      <c r="BS209" s="13">
        <f t="shared" si="442"/>
        <v>83.623400000000004</v>
      </c>
      <c r="BT209" s="13">
        <f t="shared" si="442"/>
        <v>0</v>
      </c>
      <c r="BU209" s="169">
        <f t="shared" ref="BU209:CA209" si="443">SUMIF($F$12:$F$464,"=3141",BU$12:BU$464)</f>
        <v>83.623400000000004</v>
      </c>
      <c r="BV209" s="167">
        <f t="shared" si="443"/>
        <v>0</v>
      </c>
      <c r="BW209" s="16">
        <f t="shared" si="443"/>
        <v>0</v>
      </c>
      <c r="BX209" s="16">
        <f t="shared" si="443"/>
        <v>0</v>
      </c>
      <c r="BY209" s="16">
        <f t="shared" si="443"/>
        <v>0</v>
      </c>
      <c r="BZ209" s="16">
        <f t="shared" si="443"/>
        <v>0</v>
      </c>
      <c r="CA209" s="17">
        <f t="shared" si="443"/>
        <v>0</v>
      </c>
    </row>
    <row r="210" spans="1:79" s="89" customFormat="1" ht="12.95" customHeight="1" x14ac:dyDescent="0.25">
      <c r="A210" s="311"/>
      <c r="D210" s="311"/>
      <c r="E210" s="397"/>
      <c r="F210" s="311"/>
      <c r="G210" s="313"/>
      <c r="H210" s="2">
        <v>3143</v>
      </c>
      <c r="I210" s="167">
        <f t="shared" ref="I210:BT210" si="444">SUMIF($F$12:$F$464,"=3143",I$12:I$464)</f>
        <v>28481290</v>
      </c>
      <c r="J210" s="16">
        <f t="shared" si="444"/>
        <v>21068978</v>
      </c>
      <c r="K210" s="16">
        <f t="shared" si="444"/>
        <v>20645733</v>
      </c>
      <c r="L210" s="16">
        <f t="shared" si="444"/>
        <v>423245</v>
      </c>
      <c r="M210" s="16">
        <f t="shared" si="444"/>
        <v>44200</v>
      </c>
      <c r="N210" s="16">
        <f t="shared" si="444"/>
        <v>21680</v>
      </c>
      <c r="O210" s="16">
        <f t="shared" si="444"/>
        <v>22520</v>
      </c>
      <c r="P210" s="16">
        <f t="shared" si="444"/>
        <v>7136254</v>
      </c>
      <c r="Q210" s="16">
        <f t="shared" si="444"/>
        <v>210690</v>
      </c>
      <c r="R210" s="16">
        <f t="shared" si="444"/>
        <v>21168</v>
      </c>
      <c r="S210" s="13">
        <f t="shared" si="444"/>
        <v>42.618399999999994</v>
      </c>
      <c r="T210" s="13">
        <f t="shared" si="444"/>
        <v>40.926600000000001</v>
      </c>
      <c r="U210" s="17">
        <f t="shared" si="444"/>
        <v>1.6918</v>
      </c>
      <c r="V210" s="168">
        <f t="shared" si="444"/>
        <v>0</v>
      </c>
      <c r="W210" s="16">
        <f t="shared" si="444"/>
        <v>0</v>
      </c>
      <c r="X210" s="16">
        <f t="shared" si="444"/>
        <v>0</v>
      </c>
      <c r="Y210" s="16">
        <f t="shared" si="444"/>
        <v>0</v>
      </c>
      <c r="Z210" s="16">
        <f t="shared" si="444"/>
        <v>0</v>
      </c>
      <c r="AA210" s="16">
        <f t="shared" si="444"/>
        <v>223035</v>
      </c>
      <c r="AB210" s="16">
        <f t="shared" si="444"/>
        <v>0</v>
      </c>
      <c r="AC210" s="16">
        <f t="shared" si="444"/>
        <v>0</v>
      </c>
      <c r="AD210" s="16">
        <f t="shared" si="444"/>
        <v>0</v>
      </c>
      <c r="AE210" s="16">
        <f t="shared" si="444"/>
        <v>223035</v>
      </c>
      <c r="AF210" s="16">
        <f t="shared" si="444"/>
        <v>223035</v>
      </c>
      <c r="AG210" s="16">
        <f t="shared" si="444"/>
        <v>0</v>
      </c>
      <c r="AH210" s="16">
        <f t="shared" si="444"/>
        <v>0</v>
      </c>
      <c r="AI210" s="16">
        <f t="shared" si="444"/>
        <v>0</v>
      </c>
      <c r="AJ210" s="16">
        <f t="shared" si="444"/>
        <v>0</v>
      </c>
      <c r="AK210" s="16">
        <f t="shared" si="444"/>
        <v>0</v>
      </c>
      <c r="AL210" s="16">
        <f t="shared" si="444"/>
        <v>0</v>
      </c>
      <c r="AM210" s="16">
        <f t="shared" si="444"/>
        <v>0</v>
      </c>
      <c r="AN210" s="16">
        <f t="shared" si="444"/>
        <v>0</v>
      </c>
      <c r="AO210" s="16">
        <f t="shared" si="444"/>
        <v>0</v>
      </c>
      <c r="AP210" s="16">
        <f t="shared" si="444"/>
        <v>223035</v>
      </c>
      <c r="AQ210" s="16">
        <f t="shared" si="444"/>
        <v>223035</v>
      </c>
      <c r="AR210" s="16">
        <f t="shared" si="444"/>
        <v>75386</v>
      </c>
      <c r="AS210" s="16">
        <f t="shared" si="444"/>
        <v>2232</v>
      </c>
      <c r="AT210" s="16">
        <f t="shared" si="444"/>
        <v>0</v>
      </c>
      <c r="AU210" s="16">
        <f t="shared" si="444"/>
        <v>10584</v>
      </c>
      <c r="AV210" s="16">
        <f t="shared" si="444"/>
        <v>10584</v>
      </c>
      <c r="AW210" s="16">
        <f t="shared" si="444"/>
        <v>311237</v>
      </c>
      <c r="AX210" s="13">
        <f t="shared" si="444"/>
        <v>0</v>
      </c>
      <c r="AY210" s="13">
        <f t="shared" si="444"/>
        <v>0</v>
      </c>
      <c r="AZ210" s="13">
        <f t="shared" si="444"/>
        <v>0</v>
      </c>
      <c r="BA210" s="13">
        <f t="shared" si="444"/>
        <v>0</v>
      </c>
      <c r="BB210" s="13">
        <f t="shared" si="444"/>
        <v>0.8400000000000003</v>
      </c>
      <c r="BC210" s="13">
        <f t="shared" si="444"/>
        <v>0</v>
      </c>
      <c r="BD210" s="13">
        <f t="shared" si="444"/>
        <v>0</v>
      </c>
      <c r="BE210" s="13">
        <f t="shared" si="444"/>
        <v>0</v>
      </c>
      <c r="BF210" s="13">
        <f t="shared" si="444"/>
        <v>0</v>
      </c>
      <c r="BG210" s="13">
        <f t="shared" si="444"/>
        <v>0.8400000000000003</v>
      </c>
      <c r="BH210" s="169">
        <f t="shared" si="444"/>
        <v>0.8400000000000003</v>
      </c>
      <c r="BI210" s="167">
        <f t="shared" si="444"/>
        <v>28792527</v>
      </c>
      <c r="BJ210" s="16">
        <f t="shared" si="444"/>
        <v>21292013</v>
      </c>
      <c r="BK210" s="16">
        <f t="shared" si="444"/>
        <v>20645733</v>
      </c>
      <c r="BL210" s="16">
        <f t="shared" si="444"/>
        <v>646280</v>
      </c>
      <c r="BM210" s="16">
        <f t="shared" si="444"/>
        <v>44200</v>
      </c>
      <c r="BN210" s="16">
        <f t="shared" si="444"/>
        <v>21680</v>
      </c>
      <c r="BO210" s="16">
        <f t="shared" si="444"/>
        <v>22520</v>
      </c>
      <c r="BP210" s="16">
        <f t="shared" si="444"/>
        <v>7211640</v>
      </c>
      <c r="BQ210" s="16">
        <f t="shared" si="444"/>
        <v>212922</v>
      </c>
      <c r="BR210" s="16">
        <f t="shared" si="444"/>
        <v>31752</v>
      </c>
      <c r="BS210" s="13">
        <f t="shared" si="444"/>
        <v>43.458400000000012</v>
      </c>
      <c r="BT210" s="13">
        <f t="shared" si="444"/>
        <v>40.926600000000001</v>
      </c>
      <c r="BU210" s="169">
        <f t="shared" ref="BU210:CA210" si="445">SUMIF($F$12:$F$464,"=3143",BU$12:BU$464)</f>
        <v>2.5318000000000001</v>
      </c>
      <c r="BV210" s="167">
        <f t="shared" si="445"/>
        <v>0</v>
      </c>
      <c r="BW210" s="16">
        <f t="shared" si="445"/>
        <v>0</v>
      </c>
      <c r="BX210" s="16">
        <f t="shared" si="445"/>
        <v>0</v>
      </c>
      <c r="BY210" s="16">
        <f t="shared" si="445"/>
        <v>0</v>
      </c>
      <c r="BZ210" s="16">
        <f t="shared" si="445"/>
        <v>0</v>
      </c>
      <c r="CA210" s="17">
        <f t="shared" si="445"/>
        <v>0</v>
      </c>
    </row>
    <row r="211" spans="1:79" s="89" customFormat="1" ht="12.95" customHeight="1" x14ac:dyDescent="0.25">
      <c r="A211" s="311"/>
      <c r="D211" s="311"/>
      <c r="E211" s="397"/>
      <c r="F211" s="311"/>
      <c r="G211" s="313"/>
      <c r="H211" s="2">
        <v>3231</v>
      </c>
      <c r="I211" s="167">
        <f t="shared" ref="I211:BT211" si="446">SUMIF($F$12:$F$464,"=3231",I$12:I$464)</f>
        <v>23937572</v>
      </c>
      <c r="J211" s="16">
        <f t="shared" si="446"/>
        <v>17737669</v>
      </c>
      <c r="K211" s="16">
        <f t="shared" si="446"/>
        <v>17087355</v>
      </c>
      <c r="L211" s="16">
        <f t="shared" si="446"/>
        <v>650314</v>
      </c>
      <c r="M211" s="16">
        <f t="shared" si="446"/>
        <v>0</v>
      </c>
      <c r="N211" s="16">
        <f t="shared" si="446"/>
        <v>0</v>
      </c>
      <c r="O211" s="16">
        <f t="shared" si="446"/>
        <v>0</v>
      </c>
      <c r="P211" s="16">
        <f t="shared" si="446"/>
        <v>5995332</v>
      </c>
      <c r="Q211" s="16">
        <f t="shared" si="446"/>
        <v>177377</v>
      </c>
      <c r="R211" s="16">
        <f t="shared" si="446"/>
        <v>27194</v>
      </c>
      <c r="S211" s="13">
        <f t="shared" si="446"/>
        <v>28.907799999999998</v>
      </c>
      <c r="T211" s="13">
        <f t="shared" si="446"/>
        <v>27.082999999999998</v>
      </c>
      <c r="U211" s="17">
        <f t="shared" si="446"/>
        <v>1.8248</v>
      </c>
      <c r="V211" s="168">
        <f t="shared" si="446"/>
        <v>0</v>
      </c>
      <c r="W211" s="16">
        <f t="shared" si="446"/>
        <v>0</v>
      </c>
      <c r="X211" s="16">
        <f t="shared" si="446"/>
        <v>0</v>
      </c>
      <c r="Y211" s="16">
        <f t="shared" si="446"/>
        <v>0</v>
      </c>
      <c r="Z211" s="16">
        <f t="shared" si="446"/>
        <v>0</v>
      </c>
      <c r="AA211" s="16">
        <f t="shared" si="446"/>
        <v>0</v>
      </c>
      <c r="AB211" s="16">
        <f t="shared" si="446"/>
        <v>0</v>
      </c>
      <c r="AC211" s="16">
        <f t="shared" si="446"/>
        <v>0</v>
      </c>
      <c r="AD211" s="16">
        <f t="shared" si="446"/>
        <v>0</v>
      </c>
      <c r="AE211" s="16">
        <f t="shared" si="446"/>
        <v>0</v>
      </c>
      <c r="AF211" s="16">
        <f t="shared" si="446"/>
        <v>0</v>
      </c>
      <c r="AG211" s="16">
        <f t="shared" si="446"/>
        <v>0</v>
      </c>
      <c r="AH211" s="16">
        <f t="shared" si="446"/>
        <v>0</v>
      </c>
      <c r="AI211" s="16">
        <f t="shared" si="446"/>
        <v>0</v>
      </c>
      <c r="AJ211" s="16">
        <f t="shared" si="446"/>
        <v>0</v>
      </c>
      <c r="AK211" s="16">
        <f t="shared" si="446"/>
        <v>0</v>
      </c>
      <c r="AL211" s="16">
        <f t="shared" si="446"/>
        <v>0</v>
      </c>
      <c r="AM211" s="16">
        <f t="shared" si="446"/>
        <v>0</v>
      </c>
      <c r="AN211" s="16">
        <f t="shared" si="446"/>
        <v>0</v>
      </c>
      <c r="AO211" s="16">
        <f t="shared" si="446"/>
        <v>0</v>
      </c>
      <c r="AP211" s="16">
        <f t="shared" si="446"/>
        <v>0</v>
      </c>
      <c r="AQ211" s="16">
        <f t="shared" si="446"/>
        <v>0</v>
      </c>
      <c r="AR211" s="16">
        <f t="shared" si="446"/>
        <v>0</v>
      </c>
      <c r="AS211" s="16">
        <f t="shared" si="446"/>
        <v>0</v>
      </c>
      <c r="AT211" s="16">
        <f t="shared" si="446"/>
        <v>0</v>
      </c>
      <c r="AU211" s="16">
        <f t="shared" si="446"/>
        <v>0</v>
      </c>
      <c r="AV211" s="16">
        <f t="shared" si="446"/>
        <v>0</v>
      </c>
      <c r="AW211" s="16">
        <f t="shared" si="446"/>
        <v>0</v>
      </c>
      <c r="AX211" s="13">
        <f t="shared" si="446"/>
        <v>0</v>
      </c>
      <c r="AY211" s="13">
        <f t="shared" si="446"/>
        <v>0</v>
      </c>
      <c r="AZ211" s="13">
        <f t="shared" si="446"/>
        <v>0</v>
      </c>
      <c r="BA211" s="13">
        <f t="shared" si="446"/>
        <v>0</v>
      </c>
      <c r="BB211" s="13">
        <f t="shared" si="446"/>
        <v>0</v>
      </c>
      <c r="BC211" s="13">
        <f t="shared" si="446"/>
        <v>0</v>
      </c>
      <c r="BD211" s="13">
        <f t="shared" si="446"/>
        <v>0</v>
      </c>
      <c r="BE211" s="13">
        <f t="shared" si="446"/>
        <v>0</v>
      </c>
      <c r="BF211" s="13">
        <f t="shared" si="446"/>
        <v>0</v>
      </c>
      <c r="BG211" s="13">
        <f t="shared" si="446"/>
        <v>0</v>
      </c>
      <c r="BH211" s="169">
        <f t="shared" si="446"/>
        <v>0</v>
      </c>
      <c r="BI211" s="167">
        <f t="shared" si="446"/>
        <v>23937572</v>
      </c>
      <c r="BJ211" s="16">
        <f t="shared" si="446"/>
        <v>17737669</v>
      </c>
      <c r="BK211" s="16">
        <f t="shared" si="446"/>
        <v>17087355</v>
      </c>
      <c r="BL211" s="16">
        <f t="shared" si="446"/>
        <v>650314</v>
      </c>
      <c r="BM211" s="16">
        <f t="shared" si="446"/>
        <v>0</v>
      </c>
      <c r="BN211" s="16">
        <f t="shared" si="446"/>
        <v>0</v>
      </c>
      <c r="BO211" s="16">
        <f t="shared" si="446"/>
        <v>0</v>
      </c>
      <c r="BP211" s="16">
        <f t="shared" si="446"/>
        <v>5995332</v>
      </c>
      <c r="BQ211" s="16">
        <f t="shared" si="446"/>
        <v>177377</v>
      </c>
      <c r="BR211" s="16">
        <f t="shared" si="446"/>
        <v>27194</v>
      </c>
      <c r="BS211" s="13">
        <f t="shared" si="446"/>
        <v>28.907799999999998</v>
      </c>
      <c r="BT211" s="13">
        <f t="shared" si="446"/>
        <v>27.082999999999998</v>
      </c>
      <c r="BU211" s="169">
        <f t="shared" ref="BU211:CA211" si="447">SUMIF($F$12:$F$464,"=3231",BU$12:BU$464)</f>
        <v>1.8248</v>
      </c>
      <c r="BV211" s="167">
        <f t="shared" si="447"/>
        <v>0</v>
      </c>
      <c r="BW211" s="16">
        <f t="shared" si="447"/>
        <v>0</v>
      </c>
      <c r="BX211" s="16">
        <f t="shared" si="447"/>
        <v>0</v>
      </c>
      <c r="BY211" s="16">
        <f t="shared" si="447"/>
        <v>0</v>
      </c>
      <c r="BZ211" s="16">
        <f t="shared" si="447"/>
        <v>0</v>
      </c>
      <c r="CA211" s="17">
        <f t="shared" si="447"/>
        <v>0</v>
      </c>
    </row>
    <row r="212" spans="1:79" s="89" customFormat="1" ht="12.95" customHeight="1" thickBot="1" x14ac:dyDescent="0.3">
      <c r="A212" s="311"/>
      <c r="D212" s="311"/>
      <c r="E212" s="397"/>
      <c r="F212" s="311"/>
      <c r="G212" s="313"/>
      <c r="H212" s="151">
        <v>3233</v>
      </c>
      <c r="I212" s="170">
        <f t="shared" ref="I212:BT212" si="448">SUMIF($F$12:$F$464,"=3233",I$12:I$464)</f>
        <v>4585618</v>
      </c>
      <c r="J212" s="171">
        <f t="shared" si="448"/>
        <v>3398081</v>
      </c>
      <c r="K212" s="171">
        <f t="shared" si="448"/>
        <v>2719494</v>
      </c>
      <c r="L212" s="171">
        <f t="shared" si="448"/>
        <v>678587</v>
      </c>
      <c r="M212" s="171">
        <f t="shared" si="448"/>
        <v>0</v>
      </c>
      <c r="N212" s="171">
        <f t="shared" si="448"/>
        <v>0</v>
      </c>
      <c r="O212" s="171">
        <f t="shared" si="448"/>
        <v>0</v>
      </c>
      <c r="P212" s="171">
        <f t="shared" si="448"/>
        <v>1148551</v>
      </c>
      <c r="Q212" s="171">
        <f t="shared" si="448"/>
        <v>33981</v>
      </c>
      <c r="R212" s="171">
        <f t="shared" si="448"/>
        <v>5005</v>
      </c>
      <c r="S212" s="172">
        <f t="shared" si="448"/>
        <v>7.1</v>
      </c>
      <c r="T212" s="172">
        <f t="shared" si="448"/>
        <v>4.92</v>
      </c>
      <c r="U212" s="173">
        <f t="shared" si="448"/>
        <v>2.1800000000000002</v>
      </c>
      <c r="V212" s="174">
        <f t="shared" si="448"/>
        <v>0</v>
      </c>
      <c r="W212" s="171">
        <f t="shared" si="448"/>
        <v>0</v>
      </c>
      <c r="X212" s="171">
        <f t="shared" si="448"/>
        <v>0</v>
      </c>
      <c r="Y212" s="171">
        <f t="shared" si="448"/>
        <v>0</v>
      </c>
      <c r="Z212" s="171">
        <f t="shared" si="448"/>
        <v>0</v>
      </c>
      <c r="AA212" s="171">
        <f t="shared" si="448"/>
        <v>339277</v>
      </c>
      <c r="AB212" s="171">
        <f t="shared" si="448"/>
        <v>0</v>
      </c>
      <c r="AC212" s="171">
        <f t="shared" si="448"/>
        <v>0</v>
      </c>
      <c r="AD212" s="171">
        <f t="shared" si="448"/>
        <v>0</v>
      </c>
      <c r="AE212" s="171">
        <f t="shared" si="448"/>
        <v>339277</v>
      </c>
      <c r="AF212" s="171">
        <f t="shared" si="448"/>
        <v>339277</v>
      </c>
      <c r="AG212" s="171">
        <f t="shared" si="448"/>
        <v>0</v>
      </c>
      <c r="AH212" s="171">
        <f t="shared" si="448"/>
        <v>0</v>
      </c>
      <c r="AI212" s="171">
        <f t="shared" si="448"/>
        <v>0</v>
      </c>
      <c r="AJ212" s="171">
        <f t="shared" si="448"/>
        <v>0</v>
      </c>
      <c r="AK212" s="171">
        <f t="shared" si="448"/>
        <v>0</v>
      </c>
      <c r="AL212" s="171">
        <f t="shared" si="448"/>
        <v>0</v>
      </c>
      <c r="AM212" s="171">
        <f t="shared" si="448"/>
        <v>0</v>
      </c>
      <c r="AN212" s="171">
        <f t="shared" si="448"/>
        <v>0</v>
      </c>
      <c r="AO212" s="171">
        <f t="shared" si="448"/>
        <v>0</v>
      </c>
      <c r="AP212" s="171">
        <f t="shared" si="448"/>
        <v>339277</v>
      </c>
      <c r="AQ212" s="171">
        <f t="shared" si="448"/>
        <v>339277</v>
      </c>
      <c r="AR212" s="171">
        <f t="shared" si="448"/>
        <v>114676</v>
      </c>
      <c r="AS212" s="171">
        <f t="shared" si="448"/>
        <v>3393</v>
      </c>
      <c r="AT212" s="171">
        <f t="shared" si="448"/>
        <v>0</v>
      </c>
      <c r="AU212" s="171">
        <f t="shared" si="448"/>
        <v>2002</v>
      </c>
      <c r="AV212" s="171">
        <f t="shared" si="448"/>
        <v>2002</v>
      </c>
      <c r="AW212" s="171">
        <f t="shared" si="448"/>
        <v>459348</v>
      </c>
      <c r="AX212" s="172">
        <f t="shared" si="448"/>
        <v>0</v>
      </c>
      <c r="AY212" s="172">
        <f t="shared" si="448"/>
        <v>0</v>
      </c>
      <c r="AZ212" s="172">
        <f t="shared" si="448"/>
        <v>0</v>
      </c>
      <c r="BA212" s="172">
        <f t="shared" si="448"/>
        <v>0</v>
      </c>
      <c r="BB212" s="172">
        <f t="shared" si="448"/>
        <v>1.0900000000000001</v>
      </c>
      <c r="BC212" s="172">
        <f t="shared" si="448"/>
        <v>0</v>
      </c>
      <c r="BD212" s="172">
        <f t="shared" si="448"/>
        <v>0</v>
      </c>
      <c r="BE212" s="172">
        <f t="shared" si="448"/>
        <v>0</v>
      </c>
      <c r="BF212" s="172">
        <f t="shared" si="448"/>
        <v>0</v>
      </c>
      <c r="BG212" s="172">
        <f t="shared" si="448"/>
        <v>1.0900000000000001</v>
      </c>
      <c r="BH212" s="175">
        <f t="shared" si="448"/>
        <v>1.0900000000000001</v>
      </c>
      <c r="BI212" s="170">
        <f t="shared" si="448"/>
        <v>5044966</v>
      </c>
      <c r="BJ212" s="171">
        <f t="shared" si="448"/>
        <v>3737358</v>
      </c>
      <c r="BK212" s="171">
        <f t="shared" si="448"/>
        <v>2719494</v>
      </c>
      <c r="BL212" s="171">
        <f t="shared" si="448"/>
        <v>1017864</v>
      </c>
      <c r="BM212" s="171">
        <f t="shared" si="448"/>
        <v>0</v>
      </c>
      <c r="BN212" s="171">
        <f t="shared" si="448"/>
        <v>0</v>
      </c>
      <c r="BO212" s="171">
        <f t="shared" si="448"/>
        <v>0</v>
      </c>
      <c r="BP212" s="171">
        <f t="shared" si="448"/>
        <v>1263227</v>
      </c>
      <c r="BQ212" s="171">
        <f t="shared" si="448"/>
        <v>37374</v>
      </c>
      <c r="BR212" s="171">
        <f t="shared" si="448"/>
        <v>7007</v>
      </c>
      <c r="BS212" s="172">
        <f t="shared" si="448"/>
        <v>8.19</v>
      </c>
      <c r="BT212" s="172">
        <f t="shared" si="448"/>
        <v>4.92</v>
      </c>
      <c r="BU212" s="175">
        <f t="shared" ref="BU212:CA212" si="449">SUMIF($F$12:$F$464,"=3233",BU$12:BU$464)</f>
        <v>3.2700000000000005</v>
      </c>
      <c r="BV212" s="170">
        <f t="shared" si="449"/>
        <v>0</v>
      </c>
      <c r="BW212" s="171">
        <f t="shared" si="449"/>
        <v>0</v>
      </c>
      <c r="BX212" s="171">
        <f t="shared" si="449"/>
        <v>0</v>
      </c>
      <c r="BY212" s="171">
        <f t="shared" si="449"/>
        <v>0</v>
      </c>
      <c r="BZ212" s="171">
        <f t="shared" si="449"/>
        <v>0</v>
      </c>
      <c r="CA212" s="173">
        <f t="shared" si="449"/>
        <v>0</v>
      </c>
    </row>
    <row r="213" spans="1:79" s="314" customFormat="1" ht="12.95" customHeight="1" x14ac:dyDescent="0.25">
      <c r="A213" s="395"/>
      <c r="B213" s="250"/>
      <c r="C213" s="250"/>
      <c r="D213" s="250"/>
      <c r="E213" s="250"/>
      <c r="F213" s="250"/>
      <c r="G213" s="250"/>
      <c r="H213" s="396"/>
      <c r="S213" s="315"/>
      <c r="T213" s="315"/>
      <c r="U213" s="315"/>
      <c r="AP213" s="315"/>
      <c r="AQ213" s="315"/>
      <c r="AR213" s="315"/>
      <c r="AX213" s="315"/>
      <c r="AY213" s="315"/>
      <c r="AZ213" s="315"/>
      <c r="BA213" s="315"/>
      <c r="BB213" s="315"/>
      <c r="BC213" s="315"/>
      <c r="BD213" s="315"/>
      <c r="BE213" s="315"/>
      <c r="BF213" s="315"/>
      <c r="BG213" s="315"/>
      <c r="BH213" s="315"/>
      <c r="BI213" s="315"/>
      <c r="BJ213" s="315"/>
      <c r="BK213" s="315"/>
      <c r="BL213" s="315"/>
      <c r="BM213" s="315"/>
      <c r="BN213" s="315"/>
      <c r="BO213" s="315"/>
      <c r="BP213" s="315"/>
      <c r="BQ213" s="315"/>
      <c r="BR213" s="315"/>
      <c r="BS213" s="315"/>
      <c r="BT213" s="315"/>
      <c r="BU213" s="315"/>
      <c r="CA213" s="315"/>
    </row>
    <row r="214" spans="1:79" s="314" customFormat="1" ht="12.95" customHeight="1" x14ac:dyDescent="0.25">
      <c r="A214" s="395"/>
      <c r="B214" s="250"/>
      <c r="C214" s="250"/>
      <c r="D214" s="250"/>
      <c r="E214" s="250"/>
      <c r="F214" s="309"/>
      <c r="G214" s="250"/>
      <c r="H214" s="396"/>
      <c r="S214" s="315"/>
      <c r="T214" s="315"/>
      <c r="U214" s="315"/>
      <c r="AP214" s="315"/>
      <c r="AQ214" s="315"/>
      <c r="AR214" s="315"/>
      <c r="AX214" s="315"/>
      <c r="AY214" s="315"/>
      <c r="AZ214" s="315"/>
      <c r="BA214" s="315"/>
      <c r="BB214" s="315"/>
      <c r="BC214" s="315"/>
      <c r="BD214" s="315"/>
      <c r="BE214" s="315"/>
      <c r="BF214" s="315"/>
      <c r="BG214" s="315"/>
      <c r="BH214" s="315"/>
      <c r="BI214" s="315"/>
      <c r="BJ214" s="315"/>
      <c r="BK214" s="315"/>
      <c r="BL214" s="315"/>
      <c r="BM214" s="315"/>
      <c r="BN214" s="315"/>
      <c r="BO214" s="315"/>
      <c r="BP214" s="315"/>
      <c r="BQ214" s="315"/>
      <c r="BR214" s="315"/>
      <c r="BS214" s="315"/>
      <c r="BT214" s="315"/>
      <c r="BU214" s="315"/>
      <c r="CA214" s="315"/>
    </row>
    <row r="215" spans="1:79" s="314" customFormat="1" ht="12.95" customHeight="1" x14ac:dyDescent="0.25">
      <c r="A215" s="395"/>
      <c r="B215" s="250"/>
      <c r="C215" s="250"/>
      <c r="D215" s="250"/>
      <c r="E215" s="250"/>
      <c r="F215" s="309"/>
      <c r="G215" s="250"/>
      <c r="H215" s="396"/>
      <c r="S215" s="315"/>
      <c r="T215" s="315"/>
      <c r="U215" s="315"/>
      <c r="AP215" s="315"/>
      <c r="AQ215" s="315"/>
      <c r="AR215" s="315"/>
      <c r="AX215" s="315"/>
      <c r="AY215" s="315"/>
      <c r="AZ215" s="315"/>
      <c r="BA215" s="315"/>
      <c r="BB215" s="315"/>
      <c r="BC215" s="315"/>
      <c r="BD215" s="315"/>
      <c r="BE215" s="315"/>
      <c r="BF215" s="315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CA215" s="315"/>
    </row>
    <row r="216" spans="1:79" s="314" customFormat="1" ht="12.95" customHeight="1" x14ac:dyDescent="0.25">
      <c r="A216" s="395"/>
      <c r="B216" s="250"/>
      <c r="C216" s="250"/>
      <c r="D216" s="250"/>
      <c r="E216" s="250"/>
      <c r="F216" s="309"/>
      <c r="G216" s="250"/>
      <c r="H216" s="396"/>
      <c r="S216" s="315"/>
      <c r="T216" s="315"/>
      <c r="U216" s="315"/>
      <c r="AP216" s="315"/>
      <c r="AQ216" s="315"/>
      <c r="AR216" s="315"/>
      <c r="AX216" s="315"/>
      <c r="AY216" s="315"/>
      <c r="AZ216" s="315"/>
      <c r="BA216" s="315"/>
      <c r="BB216" s="315"/>
      <c r="BC216" s="315"/>
      <c r="BD216" s="315"/>
      <c r="BE216" s="315"/>
      <c r="BF216" s="315"/>
      <c r="BG216" s="315"/>
      <c r="BH216" s="315"/>
      <c r="BI216" s="315"/>
      <c r="BJ216" s="315"/>
      <c r="BK216" s="315"/>
      <c r="BL216" s="315"/>
      <c r="BM216" s="315"/>
      <c r="BN216" s="315"/>
      <c r="BO216" s="315"/>
      <c r="BP216" s="315"/>
      <c r="BQ216" s="315"/>
      <c r="BR216" s="315"/>
      <c r="BS216" s="315"/>
      <c r="BT216" s="315"/>
      <c r="BU216" s="315"/>
      <c r="CA216" s="315"/>
    </row>
    <row r="217" spans="1:79" s="314" customFormat="1" ht="12.95" customHeight="1" x14ac:dyDescent="0.25">
      <c r="A217" s="395"/>
      <c r="B217" s="250"/>
      <c r="C217" s="250"/>
      <c r="D217" s="250"/>
      <c r="E217" s="250"/>
      <c r="F217" s="309"/>
      <c r="G217" s="250"/>
      <c r="H217" s="396"/>
      <c r="S217" s="315"/>
      <c r="T217" s="315"/>
      <c r="U217" s="315"/>
      <c r="AQ217" s="315"/>
      <c r="AR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CA217" s="315"/>
    </row>
    <row r="218" spans="1:79" s="314" customFormat="1" ht="12.95" customHeight="1" x14ac:dyDescent="0.25">
      <c r="A218" s="395"/>
      <c r="B218" s="250"/>
      <c r="C218" s="250"/>
      <c r="D218" s="250"/>
      <c r="E218" s="250"/>
      <c r="F218" s="309"/>
      <c r="G218" s="250"/>
      <c r="H218" s="396"/>
      <c r="S218" s="315"/>
      <c r="T218" s="315"/>
      <c r="U218" s="315"/>
      <c r="AP218" s="315"/>
      <c r="AQ218" s="315"/>
      <c r="AR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CA218" s="315"/>
    </row>
    <row r="219" spans="1:79" s="314" customFormat="1" ht="12.95" customHeight="1" x14ac:dyDescent="0.25">
      <c r="A219" s="395"/>
      <c r="B219" s="250"/>
      <c r="C219" s="250"/>
      <c r="D219" s="250"/>
      <c r="E219" s="250"/>
      <c r="F219" s="309"/>
      <c r="G219" s="250"/>
      <c r="H219" s="396"/>
      <c r="S219" s="315"/>
      <c r="T219" s="315"/>
      <c r="U219" s="315"/>
      <c r="AP219" s="315"/>
      <c r="AQ219" s="315"/>
      <c r="AR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CA219" s="315"/>
    </row>
  </sheetData>
  <mergeCells count="54">
    <mergeCell ref="A3:E3"/>
    <mergeCell ref="I8:I10"/>
    <mergeCell ref="I6:U7"/>
    <mergeCell ref="AN9:AN10"/>
    <mergeCell ref="AL9:AM9"/>
    <mergeCell ref="V6:BH6"/>
    <mergeCell ref="AF9:AF10"/>
    <mergeCell ref="AG9:AH9"/>
    <mergeCell ref="AI9:AI10"/>
    <mergeCell ref="AJ9:AK9"/>
    <mergeCell ref="Y9:Y10"/>
    <mergeCell ref="AB9:AC9"/>
    <mergeCell ref="AX7:BH7"/>
    <mergeCell ref="Z9:AA9"/>
    <mergeCell ref="Q9:Q10"/>
    <mergeCell ref="AT7:AV9"/>
    <mergeCell ref="AW7:AW10"/>
    <mergeCell ref="V9:W9"/>
    <mergeCell ref="X9:X10"/>
    <mergeCell ref="V7:AF8"/>
    <mergeCell ref="AG7:AN8"/>
    <mergeCell ref="AO7:AQ9"/>
    <mergeCell ref="AR7:AR10"/>
    <mergeCell ref="AS7:AS10"/>
    <mergeCell ref="AD9:AE9"/>
    <mergeCell ref="AX8:AY9"/>
    <mergeCell ref="BJ8:BR8"/>
    <mergeCell ref="AZ8:AZ9"/>
    <mergeCell ref="BJ9:BJ10"/>
    <mergeCell ref="BP9:BP10"/>
    <mergeCell ref="BQ9:BQ10"/>
    <mergeCell ref="BI8:BI10"/>
    <mergeCell ref="BR9:BR10"/>
    <mergeCell ref="BC8:BC9"/>
    <mergeCell ref="BD8:BE9"/>
    <mergeCell ref="BF8:BH9"/>
    <mergeCell ref="BA8:BB9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V6:CA7"/>
    <mergeCell ref="BV8:CA9"/>
    <mergeCell ref="BI6:BU7"/>
    <mergeCell ref="BM9:BM10"/>
    <mergeCell ref="BT8:BU9"/>
    <mergeCell ref="BS8:BS10"/>
    <mergeCell ref="BN9:BO9"/>
    <mergeCell ref="BK9:BL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BT37"/>
  <sheetViews>
    <sheetView topLeftCell="AE6" workbookViewId="0">
      <selection activeCell="AU13" sqref="AU13"/>
    </sheetView>
  </sheetViews>
  <sheetFormatPr defaultRowHeight="12.75" x14ac:dyDescent="0.2"/>
  <cols>
    <col min="1" max="1" width="7.85546875" style="21" customWidth="1"/>
    <col min="2" max="11" width="10.85546875" style="8" customWidth="1"/>
    <col min="12" max="12" width="11.28515625" style="7" customWidth="1"/>
    <col min="13" max="14" width="10" style="7" customWidth="1"/>
    <col min="15" max="16" width="9.140625" style="8"/>
    <col min="17" max="17" width="9.42578125" style="8" customWidth="1"/>
    <col min="18" max="18" width="9.140625" style="8"/>
    <col min="19" max="20" width="10.5703125" style="8" customWidth="1"/>
    <col min="21" max="22" width="9.140625" style="8"/>
    <col min="23" max="23" width="9.85546875" style="8" customWidth="1"/>
    <col min="24" max="24" width="9.42578125" style="8" customWidth="1"/>
    <col min="25" max="25" width="9.5703125" style="8" customWidth="1"/>
    <col min="26" max="33" width="9.140625" style="8"/>
    <col min="34" max="34" width="9.28515625" style="8" customWidth="1"/>
    <col min="35" max="35" width="9.7109375" style="8" customWidth="1"/>
    <col min="36" max="36" width="9.28515625" style="8" customWidth="1"/>
    <col min="37" max="37" width="11.42578125" style="8" customWidth="1"/>
    <col min="38" max="39" width="9.140625" style="8"/>
    <col min="40" max="40" width="12.28515625" style="8" customWidth="1"/>
    <col min="41" max="41" width="9.140625" style="8"/>
    <col min="42" max="42" width="9.28515625" style="8" customWidth="1"/>
    <col min="43" max="45" width="9.140625" style="7"/>
    <col min="46" max="47" width="9.7109375" style="7" customWidth="1"/>
    <col min="48" max="53" width="9.140625" style="7"/>
    <col min="54" max="63" width="10.85546875" style="8" customWidth="1"/>
    <col min="64" max="66" width="10.85546875" style="7" customWidth="1"/>
    <col min="72" max="72" width="9.140625" style="7"/>
    <col min="80" max="80" width="7.42578125" customWidth="1"/>
    <col min="81" max="82" width="10.85546875" bestFit="1" customWidth="1"/>
    <col min="83" max="84" width="10.85546875" customWidth="1"/>
    <col min="85" max="89" width="10" customWidth="1"/>
    <col min="93" max="94" width="10.85546875" bestFit="1" customWidth="1"/>
    <col min="95" max="95" width="10" bestFit="1" customWidth="1"/>
    <col min="96" max="97" width="9.28515625" bestFit="1" customWidth="1"/>
    <col min="336" max="336" width="7.42578125" customWidth="1"/>
    <col min="337" max="338" width="10.85546875" bestFit="1" customWidth="1"/>
    <col min="339" max="340" width="10.85546875" customWidth="1"/>
    <col min="341" max="345" width="10" customWidth="1"/>
    <col min="349" max="350" width="10.85546875" bestFit="1" customWidth="1"/>
    <col min="351" max="351" width="10" bestFit="1" customWidth="1"/>
    <col min="352" max="353" width="9.28515625" bestFit="1" customWidth="1"/>
    <col min="592" max="592" width="7.42578125" customWidth="1"/>
    <col min="593" max="594" width="10.85546875" bestFit="1" customWidth="1"/>
    <col min="595" max="596" width="10.85546875" customWidth="1"/>
    <col min="597" max="601" width="10" customWidth="1"/>
    <col min="605" max="606" width="10.85546875" bestFit="1" customWidth="1"/>
    <col min="607" max="607" width="10" bestFit="1" customWidth="1"/>
    <col min="608" max="609" width="9.28515625" bestFit="1" customWidth="1"/>
    <col min="848" max="848" width="7.42578125" customWidth="1"/>
    <col min="849" max="850" width="10.85546875" bestFit="1" customWidth="1"/>
    <col min="851" max="852" width="10.85546875" customWidth="1"/>
    <col min="853" max="857" width="10" customWidth="1"/>
    <col min="861" max="862" width="10.85546875" bestFit="1" customWidth="1"/>
    <col min="863" max="863" width="10" bestFit="1" customWidth="1"/>
    <col min="864" max="865" width="9.28515625" bestFit="1" customWidth="1"/>
    <col min="1104" max="1104" width="7.42578125" customWidth="1"/>
    <col min="1105" max="1106" width="10.85546875" bestFit="1" customWidth="1"/>
    <col min="1107" max="1108" width="10.85546875" customWidth="1"/>
    <col min="1109" max="1113" width="10" customWidth="1"/>
    <col min="1117" max="1118" width="10.85546875" bestFit="1" customWidth="1"/>
    <col min="1119" max="1119" width="10" bestFit="1" customWidth="1"/>
    <col min="1120" max="1121" width="9.28515625" bestFit="1" customWidth="1"/>
    <col min="1360" max="1360" width="7.42578125" customWidth="1"/>
    <col min="1361" max="1362" width="10.85546875" bestFit="1" customWidth="1"/>
    <col min="1363" max="1364" width="10.85546875" customWidth="1"/>
    <col min="1365" max="1369" width="10" customWidth="1"/>
    <col min="1373" max="1374" width="10.85546875" bestFit="1" customWidth="1"/>
    <col min="1375" max="1375" width="10" bestFit="1" customWidth="1"/>
    <col min="1376" max="1377" width="9.28515625" bestFit="1" customWidth="1"/>
    <col min="1616" max="1616" width="7.42578125" customWidth="1"/>
    <col min="1617" max="1618" width="10.85546875" bestFit="1" customWidth="1"/>
    <col min="1619" max="1620" width="10.85546875" customWidth="1"/>
    <col min="1621" max="1625" width="10" customWidth="1"/>
    <col min="1629" max="1630" width="10.85546875" bestFit="1" customWidth="1"/>
    <col min="1631" max="1631" width="10" bestFit="1" customWidth="1"/>
    <col min="1632" max="1633" width="9.28515625" bestFit="1" customWidth="1"/>
    <col min="1872" max="1872" width="7.42578125" customWidth="1"/>
    <col min="1873" max="1874" width="10.85546875" bestFit="1" customWidth="1"/>
    <col min="1875" max="1876" width="10.85546875" customWidth="1"/>
    <col min="1877" max="1881" width="10" customWidth="1"/>
    <col min="1885" max="1886" width="10.85546875" bestFit="1" customWidth="1"/>
    <col min="1887" max="1887" width="10" bestFit="1" customWidth="1"/>
    <col min="1888" max="1889" width="9.28515625" bestFit="1" customWidth="1"/>
    <col min="2128" max="2128" width="7.42578125" customWidth="1"/>
    <col min="2129" max="2130" width="10.85546875" bestFit="1" customWidth="1"/>
    <col min="2131" max="2132" width="10.85546875" customWidth="1"/>
    <col min="2133" max="2137" width="10" customWidth="1"/>
    <col min="2141" max="2142" width="10.85546875" bestFit="1" customWidth="1"/>
    <col min="2143" max="2143" width="10" bestFit="1" customWidth="1"/>
    <col min="2144" max="2145" width="9.28515625" bestFit="1" customWidth="1"/>
    <col min="2384" max="2384" width="7.42578125" customWidth="1"/>
    <col min="2385" max="2386" width="10.85546875" bestFit="1" customWidth="1"/>
    <col min="2387" max="2388" width="10.85546875" customWidth="1"/>
    <col min="2389" max="2393" width="10" customWidth="1"/>
    <col min="2397" max="2398" width="10.85546875" bestFit="1" customWidth="1"/>
    <col min="2399" max="2399" width="10" bestFit="1" customWidth="1"/>
    <col min="2400" max="2401" width="9.28515625" bestFit="1" customWidth="1"/>
    <col min="2640" max="2640" width="7.42578125" customWidth="1"/>
    <col min="2641" max="2642" width="10.85546875" bestFit="1" customWidth="1"/>
    <col min="2643" max="2644" width="10.85546875" customWidth="1"/>
    <col min="2645" max="2649" width="10" customWidth="1"/>
    <col min="2653" max="2654" width="10.85546875" bestFit="1" customWidth="1"/>
    <col min="2655" max="2655" width="10" bestFit="1" customWidth="1"/>
    <col min="2656" max="2657" width="9.28515625" bestFit="1" customWidth="1"/>
    <col min="2896" max="2896" width="7.42578125" customWidth="1"/>
    <col min="2897" max="2898" width="10.85546875" bestFit="1" customWidth="1"/>
    <col min="2899" max="2900" width="10.85546875" customWidth="1"/>
    <col min="2901" max="2905" width="10" customWidth="1"/>
    <col min="2909" max="2910" width="10.85546875" bestFit="1" customWidth="1"/>
    <col min="2911" max="2911" width="10" bestFit="1" customWidth="1"/>
    <col min="2912" max="2913" width="9.28515625" bestFit="1" customWidth="1"/>
    <col min="3152" max="3152" width="7.42578125" customWidth="1"/>
    <col min="3153" max="3154" width="10.85546875" bestFit="1" customWidth="1"/>
    <col min="3155" max="3156" width="10.85546875" customWidth="1"/>
    <col min="3157" max="3161" width="10" customWidth="1"/>
    <col min="3165" max="3166" width="10.85546875" bestFit="1" customWidth="1"/>
    <col min="3167" max="3167" width="10" bestFit="1" customWidth="1"/>
    <col min="3168" max="3169" width="9.28515625" bestFit="1" customWidth="1"/>
    <col min="3408" max="3408" width="7.42578125" customWidth="1"/>
    <col min="3409" max="3410" width="10.85546875" bestFit="1" customWidth="1"/>
    <col min="3411" max="3412" width="10.85546875" customWidth="1"/>
    <col min="3413" max="3417" width="10" customWidth="1"/>
    <col min="3421" max="3422" width="10.85546875" bestFit="1" customWidth="1"/>
    <col min="3423" max="3423" width="10" bestFit="1" customWidth="1"/>
    <col min="3424" max="3425" width="9.28515625" bestFit="1" customWidth="1"/>
    <col min="3664" max="3664" width="7.42578125" customWidth="1"/>
    <col min="3665" max="3666" width="10.85546875" bestFit="1" customWidth="1"/>
    <col min="3667" max="3668" width="10.85546875" customWidth="1"/>
    <col min="3669" max="3673" width="10" customWidth="1"/>
    <col min="3677" max="3678" width="10.85546875" bestFit="1" customWidth="1"/>
    <col min="3679" max="3679" width="10" bestFit="1" customWidth="1"/>
    <col min="3680" max="3681" width="9.28515625" bestFit="1" customWidth="1"/>
    <col min="3920" max="3920" width="7.42578125" customWidth="1"/>
    <col min="3921" max="3922" width="10.85546875" bestFit="1" customWidth="1"/>
    <col min="3923" max="3924" width="10.85546875" customWidth="1"/>
    <col min="3925" max="3929" width="10" customWidth="1"/>
    <col min="3933" max="3934" width="10.85546875" bestFit="1" customWidth="1"/>
    <col min="3935" max="3935" width="10" bestFit="1" customWidth="1"/>
    <col min="3936" max="3937" width="9.28515625" bestFit="1" customWidth="1"/>
    <col min="4176" max="4176" width="7.42578125" customWidth="1"/>
    <col min="4177" max="4178" width="10.85546875" bestFit="1" customWidth="1"/>
    <col min="4179" max="4180" width="10.85546875" customWidth="1"/>
    <col min="4181" max="4185" width="10" customWidth="1"/>
    <col min="4189" max="4190" width="10.85546875" bestFit="1" customWidth="1"/>
    <col min="4191" max="4191" width="10" bestFit="1" customWidth="1"/>
    <col min="4192" max="4193" width="9.28515625" bestFit="1" customWidth="1"/>
    <col min="4432" max="4432" width="7.42578125" customWidth="1"/>
    <col min="4433" max="4434" width="10.85546875" bestFit="1" customWidth="1"/>
    <col min="4435" max="4436" width="10.85546875" customWidth="1"/>
    <col min="4437" max="4441" width="10" customWidth="1"/>
    <col min="4445" max="4446" width="10.85546875" bestFit="1" customWidth="1"/>
    <col min="4447" max="4447" width="10" bestFit="1" customWidth="1"/>
    <col min="4448" max="4449" width="9.28515625" bestFit="1" customWidth="1"/>
    <col min="4688" max="4688" width="7.42578125" customWidth="1"/>
    <col min="4689" max="4690" width="10.85546875" bestFit="1" customWidth="1"/>
    <col min="4691" max="4692" width="10.85546875" customWidth="1"/>
    <col min="4693" max="4697" width="10" customWidth="1"/>
    <col min="4701" max="4702" width="10.85546875" bestFit="1" customWidth="1"/>
    <col min="4703" max="4703" width="10" bestFit="1" customWidth="1"/>
    <col min="4704" max="4705" width="9.28515625" bestFit="1" customWidth="1"/>
    <col min="4944" max="4944" width="7.42578125" customWidth="1"/>
    <col min="4945" max="4946" width="10.85546875" bestFit="1" customWidth="1"/>
    <col min="4947" max="4948" width="10.85546875" customWidth="1"/>
    <col min="4949" max="4953" width="10" customWidth="1"/>
    <col min="4957" max="4958" width="10.85546875" bestFit="1" customWidth="1"/>
    <col min="4959" max="4959" width="10" bestFit="1" customWidth="1"/>
    <col min="4960" max="4961" width="9.28515625" bestFit="1" customWidth="1"/>
    <col min="5200" max="5200" width="7.42578125" customWidth="1"/>
    <col min="5201" max="5202" width="10.85546875" bestFit="1" customWidth="1"/>
    <col min="5203" max="5204" width="10.85546875" customWidth="1"/>
    <col min="5205" max="5209" width="10" customWidth="1"/>
    <col min="5213" max="5214" width="10.85546875" bestFit="1" customWidth="1"/>
    <col min="5215" max="5215" width="10" bestFit="1" customWidth="1"/>
    <col min="5216" max="5217" width="9.28515625" bestFit="1" customWidth="1"/>
    <col min="5456" max="5456" width="7.42578125" customWidth="1"/>
    <col min="5457" max="5458" width="10.85546875" bestFit="1" customWidth="1"/>
    <col min="5459" max="5460" width="10.85546875" customWidth="1"/>
    <col min="5461" max="5465" width="10" customWidth="1"/>
    <col min="5469" max="5470" width="10.85546875" bestFit="1" customWidth="1"/>
    <col min="5471" max="5471" width="10" bestFit="1" customWidth="1"/>
    <col min="5472" max="5473" width="9.28515625" bestFit="1" customWidth="1"/>
    <col min="5712" max="5712" width="7.42578125" customWidth="1"/>
    <col min="5713" max="5714" width="10.85546875" bestFit="1" customWidth="1"/>
    <col min="5715" max="5716" width="10.85546875" customWidth="1"/>
    <col min="5717" max="5721" width="10" customWidth="1"/>
    <col min="5725" max="5726" width="10.85546875" bestFit="1" customWidth="1"/>
    <col min="5727" max="5727" width="10" bestFit="1" customWidth="1"/>
    <col min="5728" max="5729" width="9.28515625" bestFit="1" customWidth="1"/>
    <col min="5968" max="5968" width="7.42578125" customWidth="1"/>
    <col min="5969" max="5970" width="10.85546875" bestFit="1" customWidth="1"/>
    <col min="5971" max="5972" width="10.85546875" customWidth="1"/>
    <col min="5973" max="5977" width="10" customWidth="1"/>
    <col min="5981" max="5982" width="10.85546875" bestFit="1" customWidth="1"/>
    <col min="5983" max="5983" width="10" bestFit="1" customWidth="1"/>
    <col min="5984" max="5985" width="9.28515625" bestFit="1" customWidth="1"/>
    <col min="6224" max="6224" width="7.42578125" customWidth="1"/>
    <col min="6225" max="6226" width="10.85546875" bestFit="1" customWidth="1"/>
    <col min="6227" max="6228" width="10.85546875" customWidth="1"/>
    <col min="6229" max="6233" width="10" customWidth="1"/>
    <col min="6237" max="6238" width="10.85546875" bestFit="1" customWidth="1"/>
    <col min="6239" max="6239" width="10" bestFit="1" customWidth="1"/>
    <col min="6240" max="6241" width="9.28515625" bestFit="1" customWidth="1"/>
    <col min="6480" max="6480" width="7.42578125" customWidth="1"/>
    <col min="6481" max="6482" width="10.85546875" bestFit="1" customWidth="1"/>
    <col min="6483" max="6484" width="10.85546875" customWidth="1"/>
    <col min="6485" max="6489" width="10" customWidth="1"/>
    <col min="6493" max="6494" width="10.85546875" bestFit="1" customWidth="1"/>
    <col min="6495" max="6495" width="10" bestFit="1" customWidth="1"/>
    <col min="6496" max="6497" width="9.28515625" bestFit="1" customWidth="1"/>
    <col min="6736" max="6736" width="7.42578125" customWidth="1"/>
    <col min="6737" max="6738" width="10.85546875" bestFit="1" customWidth="1"/>
    <col min="6739" max="6740" width="10.85546875" customWidth="1"/>
    <col min="6741" max="6745" width="10" customWidth="1"/>
    <col min="6749" max="6750" width="10.85546875" bestFit="1" customWidth="1"/>
    <col min="6751" max="6751" width="10" bestFit="1" customWidth="1"/>
    <col min="6752" max="6753" width="9.28515625" bestFit="1" customWidth="1"/>
    <col min="6992" max="6992" width="7.42578125" customWidth="1"/>
    <col min="6993" max="6994" width="10.85546875" bestFit="1" customWidth="1"/>
    <col min="6995" max="6996" width="10.85546875" customWidth="1"/>
    <col min="6997" max="7001" width="10" customWidth="1"/>
    <col min="7005" max="7006" width="10.85546875" bestFit="1" customWidth="1"/>
    <col min="7007" max="7007" width="10" bestFit="1" customWidth="1"/>
    <col min="7008" max="7009" width="9.28515625" bestFit="1" customWidth="1"/>
    <col min="7248" max="7248" width="7.42578125" customWidth="1"/>
    <col min="7249" max="7250" width="10.85546875" bestFit="1" customWidth="1"/>
    <col min="7251" max="7252" width="10.85546875" customWidth="1"/>
    <col min="7253" max="7257" width="10" customWidth="1"/>
    <col min="7261" max="7262" width="10.85546875" bestFit="1" customWidth="1"/>
    <col min="7263" max="7263" width="10" bestFit="1" customWidth="1"/>
    <col min="7264" max="7265" width="9.28515625" bestFit="1" customWidth="1"/>
    <col min="7504" max="7504" width="7.42578125" customWidth="1"/>
    <col min="7505" max="7506" width="10.85546875" bestFit="1" customWidth="1"/>
    <col min="7507" max="7508" width="10.85546875" customWidth="1"/>
    <col min="7509" max="7513" width="10" customWidth="1"/>
    <col min="7517" max="7518" width="10.85546875" bestFit="1" customWidth="1"/>
    <col min="7519" max="7519" width="10" bestFit="1" customWidth="1"/>
    <col min="7520" max="7521" width="9.28515625" bestFit="1" customWidth="1"/>
    <col min="7760" max="7760" width="7.42578125" customWidth="1"/>
    <col min="7761" max="7762" width="10.85546875" bestFit="1" customWidth="1"/>
    <col min="7763" max="7764" width="10.85546875" customWidth="1"/>
    <col min="7765" max="7769" width="10" customWidth="1"/>
    <col min="7773" max="7774" width="10.85546875" bestFit="1" customWidth="1"/>
    <col min="7775" max="7775" width="10" bestFit="1" customWidth="1"/>
    <col min="7776" max="7777" width="9.28515625" bestFit="1" customWidth="1"/>
    <col min="8016" max="8016" width="7.42578125" customWidth="1"/>
    <col min="8017" max="8018" width="10.85546875" bestFit="1" customWidth="1"/>
    <col min="8019" max="8020" width="10.85546875" customWidth="1"/>
    <col min="8021" max="8025" width="10" customWidth="1"/>
    <col min="8029" max="8030" width="10.85546875" bestFit="1" customWidth="1"/>
    <col min="8031" max="8031" width="10" bestFit="1" customWidth="1"/>
    <col min="8032" max="8033" width="9.28515625" bestFit="1" customWidth="1"/>
    <col min="8272" max="8272" width="7.42578125" customWidth="1"/>
    <col min="8273" max="8274" width="10.85546875" bestFit="1" customWidth="1"/>
    <col min="8275" max="8276" width="10.85546875" customWidth="1"/>
    <col min="8277" max="8281" width="10" customWidth="1"/>
    <col min="8285" max="8286" width="10.85546875" bestFit="1" customWidth="1"/>
    <col min="8287" max="8287" width="10" bestFit="1" customWidth="1"/>
    <col min="8288" max="8289" width="9.28515625" bestFit="1" customWidth="1"/>
    <col min="8528" max="8528" width="7.42578125" customWidth="1"/>
    <col min="8529" max="8530" width="10.85546875" bestFit="1" customWidth="1"/>
    <col min="8531" max="8532" width="10.85546875" customWidth="1"/>
    <col min="8533" max="8537" width="10" customWidth="1"/>
    <col min="8541" max="8542" width="10.85546875" bestFit="1" customWidth="1"/>
    <col min="8543" max="8543" width="10" bestFit="1" customWidth="1"/>
    <col min="8544" max="8545" width="9.28515625" bestFit="1" customWidth="1"/>
    <col min="8784" max="8784" width="7.42578125" customWidth="1"/>
    <col min="8785" max="8786" width="10.85546875" bestFit="1" customWidth="1"/>
    <col min="8787" max="8788" width="10.85546875" customWidth="1"/>
    <col min="8789" max="8793" width="10" customWidth="1"/>
    <col min="8797" max="8798" width="10.85546875" bestFit="1" customWidth="1"/>
    <col min="8799" max="8799" width="10" bestFit="1" customWidth="1"/>
    <col min="8800" max="8801" width="9.28515625" bestFit="1" customWidth="1"/>
    <col min="9040" max="9040" width="7.42578125" customWidth="1"/>
    <col min="9041" max="9042" width="10.85546875" bestFit="1" customWidth="1"/>
    <col min="9043" max="9044" width="10.85546875" customWidth="1"/>
    <col min="9045" max="9049" width="10" customWidth="1"/>
    <col min="9053" max="9054" width="10.85546875" bestFit="1" customWidth="1"/>
    <col min="9055" max="9055" width="10" bestFit="1" customWidth="1"/>
    <col min="9056" max="9057" width="9.28515625" bestFit="1" customWidth="1"/>
    <col min="9296" max="9296" width="7.42578125" customWidth="1"/>
    <col min="9297" max="9298" width="10.85546875" bestFit="1" customWidth="1"/>
    <col min="9299" max="9300" width="10.85546875" customWidth="1"/>
    <col min="9301" max="9305" width="10" customWidth="1"/>
    <col min="9309" max="9310" width="10.85546875" bestFit="1" customWidth="1"/>
    <col min="9311" max="9311" width="10" bestFit="1" customWidth="1"/>
    <col min="9312" max="9313" width="9.28515625" bestFit="1" customWidth="1"/>
    <col min="9552" max="9552" width="7.42578125" customWidth="1"/>
    <col min="9553" max="9554" width="10.85546875" bestFit="1" customWidth="1"/>
    <col min="9555" max="9556" width="10.85546875" customWidth="1"/>
    <col min="9557" max="9561" width="10" customWidth="1"/>
    <col min="9565" max="9566" width="10.85546875" bestFit="1" customWidth="1"/>
    <col min="9567" max="9567" width="10" bestFit="1" customWidth="1"/>
    <col min="9568" max="9569" width="9.28515625" bestFit="1" customWidth="1"/>
    <col min="9808" max="9808" width="7.42578125" customWidth="1"/>
    <col min="9809" max="9810" width="10.85546875" bestFit="1" customWidth="1"/>
    <col min="9811" max="9812" width="10.85546875" customWidth="1"/>
    <col min="9813" max="9817" width="10" customWidth="1"/>
    <col min="9821" max="9822" width="10.85546875" bestFit="1" customWidth="1"/>
    <col min="9823" max="9823" width="10" bestFit="1" customWidth="1"/>
    <col min="9824" max="9825" width="9.28515625" bestFit="1" customWidth="1"/>
    <col min="10064" max="10064" width="7.42578125" customWidth="1"/>
    <col min="10065" max="10066" width="10.85546875" bestFit="1" customWidth="1"/>
    <col min="10067" max="10068" width="10.85546875" customWidth="1"/>
    <col min="10069" max="10073" width="10" customWidth="1"/>
    <col min="10077" max="10078" width="10.85546875" bestFit="1" customWidth="1"/>
    <col min="10079" max="10079" width="10" bestFit="1" customWidth="1"/>
    <col min="10080" max="10081" width="9.28515625" bestFit="1" customWidth="1"/>
    <col min="10320" max="10320" width="7.42578125" customWidth="1"/>
    <col min="10321" max="10322" width="10.85546875" bestFit="1" customWidth="1"/>
    <col min="10323" max="10324" width="10.85546875" customWidth="1"/>
    <col min="10325" max="10329" width="10" customWidth="1"/>
    <col min="10333" max="10334" width="10.85546875" bestFit="1" customWidth="1"/>
    <col min="10335" max="10335" width="10" bestFit="1" customWidth="1"/>
    <col min="10336" max="10337" width="9.28515625" bestFit="1" customWidth="1"/>
    <col min="10576" max="10576" width="7.42578125" customWidth="1"/>
    <col min="10577" max="10578" width="10.85546875" bestFit="1" customWidth="1"/>
    <col min="10579" max="10580" width="10.85546875" customWidth="1"/>
    <col min="10581" max="10585" width="10" customWidth="1"/>
    <col min="10589" max="10590" width="10.85546875" bestFit="1" customWidth="1"/>
    <col min="10591" max="10591" width="10" bestFit="1" customWidth="1"/>
    <col min="10592" max="10593" width="9.28515625" bestFit="1" customWidth="1"/>
    <col min="10832" max="10832" width="7.42578125" customWidth="1"/>
    <col min="10833" max="10834" width="10.85546875" bestFit="1" customWidth="1"/>
    <col min="10835" max="10836" width="10.85546875" customWidth="1"/>
    <col min="10837" max="10841" width="10" customWidth="1"/>
    <col min="10845" max="10846" width="10.85546875" bestFit="1" customWidth="1"/>
    <col min="10847" max="10847" width="10" bestFit="1" customWidth="1"/>
    <col min="10848" max="10849" width="9.28515625" bestFit="1" customWidth="1"/>
    <col min="11088" max="11088" width="7.42578125" customWidth="1"/>
    <col min="11089" max="11090" width="10.85546875" bestFit="1" customWidth="1"/>
    <col min="11091" max="11092" width="10.85546875" customWidth="1"/>
    <col min="11093" max="11097" width="10" customWidth="1"/>
    <col min="11101" max="11102" width="10.85546875" bestFit="1" customWidth="1"/>
    <col min="11103" max="11103" width="10" bestFit="1" customWidth="1"/>
    <col min="11104" max="11105" width="9.28515625" bestFit="1" customWidth="1"/>
    <col min="11344" max="11344" width="7.42578125" customWidth="1"/>
    <col min="11345" max="11346" width="10.85546875" bestFit="1" customWidth="1"/>
    <col min="11347" max="11348" width="10.85546875" customWidth="1"/>
    <col min="11349" max="11353" width="10" customWidth="1"/>
    <col min="11357" max="11358" width="10.85546875" bestFit="1" customWidth="1"/>
    <col min="11359" max="11359" width="10" bestFit="1" customWidth="1"/>
    <col min="11360" max="11361" width="9.28515625" bestFit="1" customWidth="1"/>
    <col min="11600" max="11600" width="7.42578125" customWidth="1"/>
    <col min="11601" max="11602" width="10.85546875" bestFit="1" customWidth="1"/>
    <col min="11603" max="11604" width="10.85546875" customWidth="1"/>
    <col min="11605" max="11609" width="10" customWidth="1"/>
    <col min="11613" max="11614" width="10.85546875" bestFit="1" customWidth="1"/>
    <col min="11615" max="11615" width="10" bestFit="1" customWidth="1"/>
    <col min="11616" max="11617" width="9.28515625" bestFit="1" customWidth="1"/>
    <col min="11856" max="11856" width="7.42578125" customWidth="1"/>
    <col min="11857" max="11858" width="10.85546875" bestFit="1" customWidth="1"/>
    <col min="11859" max="11860" width="10.85546875" customWidth="1"/>
    <col min="11861" max="11865" width="10" customWidth="1"/>
    <col min="11869" max="11870" width="10.85546875" bestFit="1" customWidth="1"/>
    <col min="11871" max="11871" width="10" bestFit="1" customWidth="1"/>
    <col min="11872" max="11873" width="9.28515625" bestFit="1" customWidth="1"/>
    <col min="12112" max="12112" width="7.42578125" customWidth="1"/>
    <col min="12113" max="12114" width="10.85546875" bestFit="1" customWidth="1"/>
    <col min="12115" max="12116" width="10.85546875" customWidth="1"/>
    <col min="12117" max="12121" width="10" customWidth="1"/>
    <col min="12125" max="12126" width="10.85546875" bestFit="1" customWidth="1"/>
    <col min="12127" max="12127" width="10" bestFit="1" customWidth="1"/>
    <col min="12128" max="12129" width="9.28515625" bestFit="1" customWidth="1"/>
    <col min="12368" max="12368" width="7.42578125" customWidth="1"/>
    <col min="12369" max="12370" width="10.85546875" bestFit="1" customWidth="1"/>
    <col min="12371" max="12372" width="10.85546875" customWidth="1"/>
    <col min="12373" max="12377" width="10" customWidth="1"/>
    <col min="12381" max="12382" width="10.85546875" bestFit="1" customWidth="1"/>
    <col min="12383" max="12383" width="10" bestFit="1" customWidth="1"/>
    <col min="12384" max="12385" width="9.28515625" bestFit="1" customWidth="1"/>
    <col min="12624" max="12624" width="7.42578125" customWidth="1"/>
    <col min="12625" max="12626" width="10.85546875" bestFit="1" customWidth="1"/>
    <col min="12627" max="12628" width="10.85546875" customWidth="1"/>
    <col min="12629" max="12633" width="10" customWidth="1"/>
    <col min="12637" max="12638" width="10.85546875" bestFit="1" customWidth="1"/>
    <col min="12639" max="12639" width="10" bestFit="1" customWidth="1"/>
    <col min="12640" max="12641" width="9.28515625" bestFit="1" customWidth="1"/>
    <col min="12880" max="12880" width="7.42578125" customWidth="1"/>
    <col min="12881" max="12882" width="10.85546875" bestFit="1" customWidth="1"/>
    <col min="12883" max="12884" width="10.85546875" customWidth="1"/>
    <col min="12885" max="12889" width="10" customWidth="1"/>
    <col min="12893" max="12894" width="10.85546875" bestFit="1" customWidth="1"/>
    <col min="12895" max="12895" width="10" bestFit="1" customWidth="1"/>
    <col min="12896" max="12897" width="9.28515625" bestFit="1" customWidth="1"/>
    <col min="13136" max="13136" width="7.42578125" customWidth="1"/>
    <col min="13137" max="13138" width="10.85546875" bestFit="1" customWidth="1"/>
    <col min="13139" max="13140" width="10.85546875" customWidth="1"/>
    <col min="13141" max="13145" width="10" customWidth="1"/>
    <col min="13149" max="13150" width="10.85546875" bestFit="1" customWidth="1"/>
    <col min="13151" max="13151" width="10" bestFit="1" customWidth="1"/>
    <col min="13152" max="13153" width="9.28515625" bestFit="1" customWidth="1"/>
    <col min="13392" max="13392" width="7.42578125" customWidth="1"/>
    <col min="13393" max="13394" width="10.85546875" bestFit="1" customWidth="1"/>
    <col min="13395" max="13396" width="10.85546875" customWidth="1"/>
    <col min="13397" max="13401" width="10" customWidth="1"/>
    <col min="13405" max="13406" width="10.85546875" bestFit="1" customWidth="1"/>
    <col min="13407" max="13407" width="10" bestFit="1" customWidth="1"/>
    <col min="13408" max="13409" width="9.28515625" bestFit="1" customWidth="1"/>
    <col min="13648" max="13648" width="7.42578125" customWidth="1"/>
    <col min="13649" max="13650" width="10.85546875" bestFit="1" customWidth="1"/>
    <col min="13651" max="13652" width="10.85546875" customWidth="1"/>
    <col min="13653" max="13657" width="10" customWidth="1"/>
    <col min="13661" max="13662" width="10.85546875" bestFit="1" customWidth="1"/>
    <col min="13663" max="13663" width="10" bestFit="1" customWidth="1"/>
    <col min="13664" max="13665" width="9.28515625" bestFit="1" customWidth="1"/>
    <col min="13904" max="13904" width="7.42578125" customWidth="1"/>
    <col min="13905" max="13906" width="10.85546875" bestFit="1" customWidth="1"/>
    <col min="13907" max="13908" width="10.85546875" customWidth="1"/>
    <col min="13909" max="13913" width="10" customWidth="1"/>
    <col min="13917" max="13918" width="10.85546875" bestFit="1" customWidth="1"/>
    <col min="13919" max="13919" width="10" bestFit="1" customWidth="1"/>
    <col min="13920" max="13921" width="9.28515625" bestFit="1" customWidth="1"/>
    <col min="14160" max="14160" width="7.42578125" customWidth="1"/>
    <col min="14161" max="14162" width="10.85546875" bestFit="1" customWidth="1"/>
    <col min="14163" max="14164" width="10.85546875" customWidth="1"/>
    <col min="14165" max="14169" width="10" customWidth="1"/>
    <col min="14173" max="14174" width="10.85546875" bestFit="1" customWidth="1"/>
    <col min="14175" max="14175" width="10" bestFit="1" customWidth="1"/>
    <col min="14176" max="14177" width="9.28515625" bestFit="1" customWidth="1"/>
    <col min="14416" max="14416" width="7.42578125" customWidth="1"/>
    <col min="14417" max="14418" width="10.85546875" bestFit="1" customWidth="1"/>
    <col min="14419" max="14420" width="10.85546875" customWidth="1"/>
    <col min="14421" max="14425" width="10" customWidth="1"/>
    <col min="14429" max="14430" width="10.85546875" bestFit="1" customWidth="1"/>
    <col min="14431" max="14431" width="10" bestFit="1" customWidth="1"/>
    <col min="14432" max="14433" width="9.28515625" bestFit="1" customWidth="1"/>
    <col min="14672" max="14672" width="7.42578125" customWidth="1"/>
    <col min="14673" max="14674" width="10.85546875" bestFit="1" customWidth="1"/>
    <col min="14675" max="14676" width="10.85546875" customWidth="1"/>
    <col min="14677" max="14681" width="10" customWidth="1"/>
    <col min="14685" max="14686" width="10.85546875" bestFit="1" customWidth="1"/>
    <col min="14687" max="14687" width="10" bestFit="1" customWidth="1"/>
    <col min="14688" max="14689" width="9.28515625" bestFit="1" customWidth="1"/>
    <col min="14928" max="14928" width="7.42578125" customWidth="1"/>
    <col min="14929" max="14930" width="10.85546875" bestFit="1" customWidth="1"/>
    <col min="14931" max="14932" width="10.85546875" customWidth="1"/>
    <col min="14933" max="14937" width="10" customWidth="1"/>
    <col min="14941" max="14942" width="10.85546875" bestFit="1" customWidth="1"/>
    <col min="14943" max="14943" width="10" bestFit="1" customWidth="1"/>
    <col min="14944" max="14945" width="9.28515625" bestFit="1" customWidth="1"/>
    <col min="15184" max="15184" width="7.42578125" customWidth="1"/>
    <col min="15185" max="15186" width="10.85546875" bestFit="1" customWidth="1"/>
    <col min="15187" max="15188" width="10.85546875" customWidth="1"/>
    <col min="15189" max="15193" width="10" customWidth="1"/>
    <col min="15197" max="15198" width="10.85546875" bestFit="1" customWidth="1"/>
    <col min="15199" max="15199" width="10" bestFit="1" customWidth="1"/>
    <col min="15200" max="15201" width="9.28515625" bestFit="1" customWidth="1"/>
    <col min="15440" max="15440" width="7.42578125" customWidth="1"/>
    <col min="15441" max="15442" width="10.85546875" bestFit="1" customWidth="1"/>
    <col min="15443" max="15444" width="10.85546875" customWidth="1"/>
    <col min="15445" max="15449" width="10" customWidth="1"/>
    <col min="15453" max="15454" width="10.85546875" bestFit="1" customWidth="1"/>
    <col min="15455" max="15455" width="10" bestFit="1" customWidth="1"/>
    <col min="15456" max="15457" width="9.28515625" bestFit="1" customWidth="1"/>
  </cols>
  <sheetData>
    <row r="1" spans="1:72" x14ac:dyDescent="0.2">
      <c r="A1" s="44" t="s">
        <v>2</v>
      </c>
    </row>
    <row r="2" spans="1:72" x14ac:dyDescent="0.2">
      <c r="A2" s="44" t="s">
        <v>3</v>
      </c>
    </row>
    <row r="3" spans="1:72" x14ac:dyDescent="0.2">
      <c r="A3" s="1089" t="s">
        <v>4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</row>
    <row r="4" spans="1:72" x14ac:dyDescent="0.2">
      <c r="A4" s="6"/>
    </row>
    <row r="5" spans="1:72" ht="16.5" customHeight="1" x14ac:dyDescent="0.25">
      <c r="A5" s="181" t="s">
        <v>883</v>
      </c>
      <c r="B5" s="51"/>
      <c r="C5" s="51"/>
      <c r="D5" s="51"/>
      <c r="E5" s="52"/>
      <c r="F5" s="252"/>
      <c r="G5" s="51"/>
      <c r="H5" s="51"/>
      <c r="I5" s="52"/>
      <c r="J5" s="252"/>
      <c r="K5" s="252"/>
      <c r="L5" s="492"/>
      <c r="M5" s="180"/>
      <c r="N5" s="180"/>
      <c r="Q5" s="903" t="s">
        <v>855</v>
      </c>
    </row>
    <row r="6" spans="1:72" ht="13.5" thickBot="1" x14ac:dyDescent="0.25">
      <c r="A6" s="528" t="s">
        <v>800</v>
      </c>
      <c r="B6" s="529"/>
      <c r="C6" s="530"/>
      <c r="D6" s="530"/>
      <c r="E6" s="530"/>
      <c r="F6" s="530"/>
      <c r="G6" s="530"/>
      <c r="H6" s="530"/>
      <c r="I6" s="529"/>
      <c r="J6" s="529"/>
      <c r="K6" s="529"/>
      <c r="L6" s="180"/>
      <c r="M6" s="11"/>
      <c r="N6" s="11"/>
      <c r="Q6" s="903" t="s">
        <v>856</v>
      </c>
    </row>
    <row r="7" spans="1:72" ht="15.75" customHeight="1" x14ac:dyDescent="0.25">
      <c r="A7" s="10"/>
      <c r="B7" s="1023" t="s">
        <v>850</v>
      </c>
      <c r="C7" s="1024"/>
      <c r="D7" s="1024"/>
      <c r="E7" s="1024"/>
      <c r="F7" s="1024"/>
      <c r="G7" s="1024"/>
      <c r="H7" s="1024"/>
      <c r="I7" s="1024"/>
      <c r="J7" s="1024"/>
      <c r="K7" s="1024"/>
      <c r="L7" s="1024"/>
      <c r="M7" s="1024"/>
      <c r="N7" s="1025"/>
      <c r="O7" s="1046" t="s">
        <v>857</v>
      </c>
      <c r="P7" s="1046"/>
      <c r="Q7" s="1046"/>
      <c r="R7" s="1046"/>
      <c r="S7" s="1046"/>
      <c r="T7" s="1046"/>
      <c r="U7" s="1046"/>
      <c r="V7" s="1046"/>
      <c r="W7" s="1046"/>
      <c r="X7" s="1046"/>
      <c r="Y7" s="1046"/>
      <c r="Z7" s="1046"/>
      <c r="AA7" s="1046"/>
      <c r="AB7" s="1046"/>
      <c r="AC7" s="1046"/>
      <c r="AD7" s="1046"/>
      <c r="AE7" s="1046"/>
      <c r="AF7" s="1046"/>
      <c r="AG7" s="1046"/>
      <c r="AH7" s="1046"/>
      <c r="AI7" s="1046"/>
      <c r="AJ7" s="1046"/>
      <c r="AK7" s="1046"/>
      <c r="AL7" s="1046"/>
      <c r="AM7" s="1046"/>
      <c r="AN7" s="1046"/>
      <c r="AO7" s="1046"/>
      <c r="AP7" s="1046"/>
      <c r="AQ7" s="1046"/>
      <c r="AR7" s="1046"/>
      <c r="AS7" s="1046"/>
      <c r="AT7" s="1046"/>
      <c r="AU7" s="1046"/>
      <c r="AV7" s="1046"/>
      <c r="AW7" s="1046"/>
      <c r="AX7" s="1046"/>
      <c r="AY7" s="1046"/>
      <c r="AZ7" s="1046"/>
      <c r="BA7" s="1047"/>
      <c r="BB7" s="1023" t="s">
        <v>884</v>
      </c>
      <c r="BC7" s="1024"/>
      <c r="BD7" s="1024"/>
      <c r="BE7" s="1024"/>
      <c r="BF7" s="1024"/>
      <c r="BG7" s="1024"/>
      <c r="BH7" s="1024"/>
      <c r="BI7" s="1024"/>
      <c r="BJ7" s="1024"/>
      <c r="BK7" s="1024"/>
      <c r="BL7" s="1024"/>
      <c r="BM7" s="1024"/>
      <c r="BN7" s="1025"/>
      <c r="BO7" s="1011" t="s">
        <v>847</v>
      </c>
      <c r="BP7" s="1012"/>
      <c r="BQ7" s="1012"/>
      <c r="BR7" s="1012"/>
      <c r="BS7" s="1012"/>
      <c r="BT7" s="1013"/>
    </row>
    <row r="8" spans="1:72" ht="13.5" customHeight="1" thickBot="1" x14ac:dyDescent="0.25">
      <c r="B8" s="1026"/>
      <c r="C8" s="1027"/>
      <c r="D8" s="1027"/>
      <c r="E8" s="1027"/>
      <c r="F8" s="1027"/>
      <c r="G8" s="1027"/>
      <c r="H8" s="1027"/>
      <c r="I8" s="1027"/>
      <c r="J8" s="1027"/>
      <c r="K8" s="1027"/>
      <c r="L8" s="1027"/>
      <c r="M8" s="1027"/>
      <c r="N8" s="1028"/>
      <c r="O8" s="1065" t="s">
        <v>807</v>
      </c>
      <c r="P8" s="1065"/>
      <c r="Q8" s="1065"/>
      <c r="R8" s="1065"/>
      <c r="S8" s="1065"/>
      <c r="T8" s="1065"/>
      <c r="U8" s="1065"/>
      <c r="V8" s="1065"/>
      <c r="W8" s="1065"/>
      <c r="X8" s="1065"/>
      <c r="Y8" s="1066"/>
      <c r="Z8" s="1064" t="s">
        <v>808</v>
      </c>
      <c r="AA8" s="1065"/>
      <c r="AB8" s="1065"/>
      <c r="AC8" s="1065"/>
      <c r="AD8" s="1065"/>
      <c r="AE8" s="1065"/>
      <c r="AF8" s="1065"/>
      <c r="AG8" s="1066"/>
      <c r="AH8" s="985" t="s">
        <v>822</v>
      </c>
      <c r="AI8" s="985"/>
      <c r="AJ8" s="985"/>
      <c r="AK8" s="994" t="s">
        <v>5</v>
      </c>
      <c r="AL8" s="994" t="s">
        <v>275</v>
      </c>
      <c r="AM8" s="997" t="s">
        <v>796</v>
      </c>
      <c r="AN8" s="997"/>
      <c r="AO8" s="998"/>
      <c r="AP8" s="1003" t="s">
        <v>288</v>
      </c>
      <c r="AQ8" s="1006" t="s">
        <v>809</v>
      </c>
      <c r="AR8" s="1007"/>
      <c r="AS8" s="1007"/>
      <c r="AT8" s="1007"/>
      <c r="AU8" s="1007"/>
      <c r="AV8" s="1007"/>
      <c r="AW8" s="1007"/>
      <c r="AX8" s="1007"/>
      <c r="AY8" s="1007"/>
      <c r="AZ8" s="1007"/>
      <c r="BA8" s="1007"/>
      <c r="BB8" s="1026"/>
      <c r="BC8" s="1027"/>
      <c r="BD8" s="1027"/>
      <c r="BE8" s="1027"/>
      <c r="BF8" s="1027"/>
      <c r="BG8" s="1027"/>
      <c r="BH8" s="1027"/>
      <c r="BI8" s="1027"/>
      <c r="BJ8" s="1027"/>
      <c r="BK8" s="1027"/>
      <c r="BL8" s="1027"/>
      <c r="BM8" s="1027"/>
      <c r="BN8" s="1028"/>
      <c r="BO8" s="1014"/>
      <c r="BP8" s="1015"/>
      <c r="BQ8" s="1015"/>
      <c r="BR8" s="1015"/>
      <c r="BS8" s="1015"/>
      <c r="BT8" s="1016"/>
    </row>
    <row r="9" spans="1:72" ht="38.25" customHeight="1" x14ac:dyDescent="0.2">
      <c r="B9" s="1051" t="s">
        <v>6</v>
      </c>
      <c r="C9" s="1048" t="s">
        <v>777</v>
      </c>
      <c r="D9" s="1049"/>
      <c r="E9" s="1049"/>
      <c r="F9" s="1049"/>
      <c r="G9" s="1049"/>
      <c r="H9" s="1049"/>
      <c r="I9" s="1049"/>
      <c r="J9" s="1049"/>
      <c r="K9" s="1050"/>
      <c r="L9" s="1029" t="s">
        <v>813</v>
      </c>
      <c r="M9" s="1054" t="s">
        <v>814</v>
      </c>
      <c r="N9" s="1055"/>
      <c r="O9" s="1068"/>
      <c r="P9" s="1068"/>
      <c r="Q9" s="1068"/>
      <c r="R9" s="1068"/>
      <c r="S9" s="1068"/>
      <c r="T9" s="1068"/>
      <c r="U9" s="1068"/>
      <c r="V9" s="1068"/>
      <c r="W9" s="1068"/>
      <c r="X9" s="1068"/>
      <c r="Y9" s="1069"/>
      <c r="Z9" s="1067"/>
      <c r="AA9" s="1068"/>
      <c r="AB9" s="1068"/>
      <c r="AC9" s="1068"/>
      <c r="AD9" s="1068"/>
      <c r="AE9" s="1068"/>
      <c r="AF9" s="1068"/>
      <c r="AG9" s="1069"/>
      <c r="AH9" s="985"/>
      <c r="AI9" s="985"/>
      <c r="AJ9" s="985"/>
      <c r="AK9" s="995"/>
      <c r="AL9" s="995"/>
      <c r="AM9" s="999"/>
      <c r="AN9" s="999"/>
      <c r="AO9" s="1000"/>
      <c r="AP9" s="1004"/>
      <c r="AQ9" s="990" t="s">
        <v>276</v>
      </c>
      <c r="AR9" s="991"/>
      <c r="AS9" s="1009" t="s">
        <v>277</v>
      </c>
      <c r="AT9" s="1076" t="s">
        <v>851</v>
      </c>
      <c r="AU9" s="1076"/>
      <c r="AV9" s="1009" t="s">
        <v>787</v>
      </c>
      <c r="AW9" s="990" t="s">
        <v>278</v>
      </c>
      <c r="AX9" s="991"/>
      <c r="AY9" s="990" t="s">
        <v>823</v>
      </c>
      <c r="AZ9" s="1072"/>
      <c r="BA9" s="1072"/>
      <c r="BB9" s="1042" t="s">
        <v>6</v>
      </c>
      <c r="BC9" s="1036" t="s">
        <v>777</v>
      </c>
      <c r="BD9" s="1036"/>
      <c r="BE9" s="1036"/>
      <c r="BF9" s="1036"/>
      <c r="BG9" s="1036"/>
      <c r="BH9" s="1036"/>
      <c r="BI9" s="1036"/>
      <c r="BJ9" s="1036"/>
      <c r="BK9" s="1036"/>
      <c r="BL9" s="1029" t="s">
        <v>813</v>
      </c>
      <c r="BM9" s="986" t="s">
        <v>778</v>
      </c>
      <c r="BN9" s="987"/>
      <c r="BO9" s="1017" t="s">
        <v>846</v>
      </c>
      <c r="BP9" s="1018"/>
      <c r="BQ9" s="1018"/>
      <c r="BR9" s="1018"/>
      <c r="BS9" s="1018"/>
      <c r="BT9" s="1019"/>
    </row>
    <row r="10" spans="1:72" ht="18" customHeight="1" thickBot="1" x14ac:dyDescent="0.25">
      <c r="A10"/>
      <c r="B10" s="1052"/>
      <c r="C10" s="1058" t="s">
        <v>268</v>
      </c>
      <c r="D10" s="1037" t="s">
        <v>827</v>
      </c>
      <c r="E10" s="1038"/>
      <c r="F10" s="1060" t="s">
        <v>274</v>
      </c>
      <c r="G10" s="1037" t="s">
        <v>834</v>
      </c>
      <c r="H10" s="1038"/>
      <c r="I10" s="1060" t="s">
        <v>5</v>
      </c>
      <c r="J10" s="1060" t="s">
        <v>1</v>
      </c>
      <c r="K10" s="1060" t="s">
        <v>7</v>
      </c>
      <c r="L10" s="1030"/>
      <c r="M10" s="1056"/>
      <c r="N10" s="1057"/>
      <c r="O10" s="1077" t="s">
        <v>279</v>
      </c>
      <c r="P10" s="1071"/>
      <c r="Q10" s="1078" t="s">
        <v>812</v>
      </c>
      <c r="R10" s="1078" t="s">
        <v>811</v>
      </c>
      <c r="S10" s="1081" t="s">
        <v>851</v>
      </c>
      <c r="T10" s="1081"/>
      <c r="U10" s="1081" t="s">
        <v>278</v>
      </c>
      <c r="V10" s="1081"/>
      <c r="W10" s="1070" t="s">
        <v>788</v>
      </c>
      <c r="X10" s="1071"/>
      <c r="Y10" s="1062" t="s">
        <v>788</v>
      </c>
      <c r="Z10" s="1070" t="s">
        <v>280</v>
      </c>
      <c r="AA10" s="1071"/>
      <c r="AB10" s="1079" t="s">
        <v>810</v>
      </c>
      <c r="AC10" s="1070" t="s">
        <v>281</v>
      </c>
      <c r="AD10" s="1071"/>
      <c r="AE10" s="1070" t="s">
        <v>745</v>
      </c>
      <c r="AF10" s="1071"/>
      <c r="AG10" s="1062" t="s">
        <v>745</v>
      </c>
      <c r="AH10" s="985"/>
      <c r="AI10" s="985"/>
      <c r="AJ10" s="985"/>
      <c r="AK10" s="995"/>
      <c r="AL10" s="995"/>
      <c r="AM10" s="1001"/>
      <c r="AN10" s="1001"/>
      <c r="AO10" s="1002"/>
      <c r="AP10" s="1004"/>
      <c r="AQ10" s="992"/>
      <c r="AR10" s="993"/>
      <c r="AS10" s="1010"/>
      <c r="AT10" s="763" t="s">
        <v>805</v>
      </c>
      <c r="AU10" s="763" t="s">
        <v>806</v>
      </c>
      <c r="AV10" s="1010"/>
      <c r="AW10" s="992"/>
      <c r="AX10" s="993"/>
      <c r="AY10" s="992"/>
      <c r="AZ10" s="1074"/>
      <c r="BA10" s="1074"/>
      <c r="BB10" s="1043"/>
      <c r="BC10" s="1032" t="s">
        <v>268</v>
      </c>
      <c r="BD10" s="1037" t="s">
        <v>827</v>
      </c>
      <c r="BE10" s="1038"/>
      <c r="BF10" s="1034" t="s">
        <v>274</v>
      </c>
      <c r="BG10" s="1039" t="s">
        <v>834</v>
      </c>
      <c r="BH10" s="1039"/>
      <c r="BI10" s="1040" t="s">
        <v>5</v>
      </c>
      <c r="BJ10" s="1040" t="s">
        <v>1</v>
      </c>
      <c r="BK10" s="1040" t="s">
        <v>7</v>
      </c>
      <c r="BL10" s="1030"/>
      <c r="BM10" s="988"/>
      <c r="BN10" s="989"/>
      <c r="BO10" s="1020"/>
      <c r="BP10" s="1021"/>
      <c r="BQ10" s="1021"/>
      <c r="BR10" s="1021"/>
      <c r="BS10" s="1021"/>
      <c r="BT10" s="1022"/>
    </row>
    <row r="11" spans="1:72" s="5" customFormat="1" ht="39.950000000000003" customHeight="1" thickBot="1" x14ac:dyDescent="0.25">
      <c r="A11" s="12" t="s">
        <v>244</v>
      </c>
      <c r="B11" s="1053"/>
      <c r="C11" s="1059"/>
      <c r="D11" s="591" t="s">
        <v>805</v>
      </c>
      <c r="E11" s="591" t="s">
        <v>806</v>
      </c>
      <c r="F11" s="1061"/>
      <c r="G11" s="591" t="s">
        <v>805</v>
      </c>
      <c r="H11" s="591" t="s">
        <v>806</v>
      </c>
      <c r="I11" s="1061"/>
      <c r="J11" s="1061"/>
      <c r="K11" s="1061"/>
      <c r="L11" s="1031"/>
      <c r="M11" s="592" t="s">
        <v>805</v>
      </c>
      <c r="N11" s="608" t="s">
        <v>806</v>
      </c>
      <c r="O11" s="564" t="s">
        <v>805</v>
      </c>
      <c r="P11" s="558" t="s">
        <v>806</v>
      </c>
      <c r="Q11" s="1078"/>
      <c r="R11" s="1078"/>
      <c r="S11" s="558" t="s">
        <v>805</v>
      </c>
      <c r="T11" s="563" t="s">
        <v>806</v>
      </c>
      <c r="U11" s="558" t="s">
        <v>805</v>
      </c>
      <c r="V11" s="563" t="s">
        <v>806</v>
      </c>
      <c r="W11" s="558" t="s">
        <v>805</v>
      </c>
      <c r="X11" s="563" t="s">
        <v>806</v>
      </c>
      <c r="Y11" s="1063"/>
      <c r="Z11" s="559" t="s">
        <v>805</v>
      </c>
      <c r="AA11" s="559" t="s">
        <v>806</v>
      </c>
      <c r="AB11" s="1080"/>
      <c r="AC11" s="558" t="s">
        <v>805</v>
      </c>
      <c r="AD11" s="558" t="s">
        <v>806</v>
      </c>
      <c r="AE11" s="558" t="s">
        <v>805</v>
      </c>
      <c r="AF11" s="558" t="s">
        <v>806</v>
      </c>
      <c r="AG11" s="1063"/>
      <c r="AH11" s="558" t="s">
        <v>805</v>
      </c>
      <c r="AI11" s="558" t="s">
        <v>806</v>
      </c>
      <c r="AJ11" s="558" t="s">
        <v>256</v>
      </c>
      <c r="AK11" s="996"/>
      <c r="AL11" s="996"/>
      <c r="AM11" s="404" t="s">
        <v>277</v>
      </c>
      <c r="AN11" s="404" t="s">
        <v>851</v>
      </c>
      <c r="AO11" s="404" t="s">
        <v>746</v>
      </c>
      <c r="AP11" s="1005"/>
      <c r="AQ11" s="567" t="s">
        <v>805</v>
      </c>
      <c r="AR11" s="567" t="s">
        <v>806</v>
      </c>
      <c r="AS11" s="567" t="s">
        <v>805</v>
      </c>
      <c r="AT11" s="567" t="s">
        <v>805</v>
      </c>
      <c r="AU11" s="567" t="s">
        <v>806</v>
      </c>
      <c r="AV11" s="567" t="s">
        <v>805</v>
      </c>
      <c r="AW11" s="567" t="s">
        <v>805</v>
      </c>
      <c r="AX11" s="567" t="s">
        <v>806</v>
      </c>
      <c r="AY11" s="567" t="s">
        <v>805</v>
      </c>
      <c r="AZ11" s="567" t="s">
        <v>806</v>
      </c>
      <c r="BA11" s="873" t="s">
        <v>826</v>
      </c>
      <c r="BB11" s="1044"/>
      <c r="BC11" s="1033"/>
      <c r="BD11" s="559" t="s">
        <v>805</v>
      </c>
      <c r="BE11" s="559" t="s">
        <v>806</v>
      </c>
      <c r="BF11" s="1035"/>
      <c r="BG11" s="559" t="s">
        <v>805</v>
      </c>
      <c r="BH11" s="559" t="s">
        <v>806</v>
      </c>
      <c r="BI11" s="1041"/>
      <c r="BJ11" s="1041"/>
      <c r="BK11" s="1041"/>
      <c r="BL11" s="1031"/>
      <c r="BM11" s="567" t="s">
        <v>805</v>
      </c>
      <c r="BN11" s="896" t="s">
        <v>806</v>
      </c>
      <c r="BO11" s="681" t="s">
        <v>841</v>
      </c>
      <c r="BP11" s="682" t="s">
        <v>268</v>
      </c>
      <c r="BQ11" s="682" t="s">
        <v>274</v>
      </c>
      <c r="BR11" s="682" t="s">
        <v>840</v>
      </c>
      <c r="BS11" s="682" t="s">
        <v>1</v>
      </c>
      <c r="BT11" s="683" t="s">
        <v>842</v>
      </c>
    </row>
    <row r="12" spans="1:72" s="5" customFormat="1" ht="12" customHeight="1" thickBot="1" x14ac:dyDescent="0.25">
      <c r="A12" s="414" t="s">
        <v>245</v>
      </c>
      <c r="B12" s="140" t="s">
        <v>262</v>
      </c>
      <c r="C12" s="141" t="s">
        <v>263</v>
      </c>
      <c r="D12" s="141" t="s">
        <v>801</v>
      </c>
      <c r="E12" s="141" t="s">
        <v>802</v>
      </c>
      <c r="F12" s="141" t="s">
        <v>269</v>
      </c>
      <c r="G12" s="141" t="s">
        <v>803</v>
      </c>
      <c r="H12" s="141" t="s">
        <v>804</v>
      </c>
      <c r="I12" s="141" t="s">
        <v>264</v>
      </c>
      <c r="J12" s="141" t="s">
        <v>265</v>
      </c>
      <c r="K12" s="141" t="s">
        <v>266</v>
      </c>
      <c r="L12" s="402" t="s">
        <v>267</v>
      </c>
      <c r="M12" s="142" t="s">
        <v>532</v>
      </c>
      <c r="N12" s="179" t="s">
        <v>533</v>
      </c>
      <c r="O12" s="509" t="s">
        <v>815</v>
      </c>
      <c r="P12" s="141" t="s">
        <v>816</v>
      </c>
      <c r="Q12" s="141" t="s">
        <v>815</v>
      </c>
      <c r="R12" s="141" t="s">
        <v>815</v>
      </c>
      <c r="S12" s="141" t="s">
        <v>815</v>
      </c>
      <c r="T12" s="141" t="s">
        <v>816</v>
      </c>
      <c r="U12" s="141" t="s">
        <v>815</v>
      </c>
      <c r="V12" s="141" t="s">
        <v>816</v>
      </c>
      <c r="W12" s="141" t="s">
        <v>815</v>
      </c>
      <c r="X12" s="141" t="s">
        <v>816</v>
      </c>
      <c r="Y12" s="141" t="s">
        <v>824</v>
      </c>
      <c r="Z12" s="141" t="s">
        <v>817</v>
      </c>
      <c r="AA12" s="141" t="s">
        <v>818</v>
      </c>
      <c r="AB12" s="141" t="s">
        <v>817</v>
      </c>
      <c r="AC12" s="141" t="s">
        <v>817</v>
      </c>
      <c r="AD12" s="141" t="s">
        <v>818</v>
      </c>
      <c r="AE12" s="141" t="s">
        <v>817</v>
      </c>
      <c r="AF12" s="141" t="s">
        <v>818</v>
      </c>
      <c r="AG12" s="141" t="s">
        <v>825</v>
      </c>
      <c r="AH12" s="509" t="s">
        <v>819</v>
      </c>
      <c r="AI12" s="509" t="s">
        <v>820</v>
      </c>
      <c r="AJ12" s="141" t="s">
        <v>821</v>
      </c>
      <c r="AK12" s="141" t="s">
        <v>282</v>
      </c>
      <c r="AL12" s="141" t="s">
        <v>283</v>
      </c>
      <c r="AM12" s="141" t="s">
        <v>284</v>
      </c>
      <c r="AN12" s="141" t="s">
        <v>284</v>
      </c>
      <c r="AO12" s="141" t="s">
        <v>284</v>
      </c>
      <c r="AP12" s="141" t="s">
        <v>289</v>
      </c>
      <c r="AQ12" s="402" t="s">
        <v>285</v>
      </c>
      <c r="AR12" s="142" t="s">
        <v>286</v>
      </c>
      <c r="AS12" s="142" t="s">
        <v>285</v>
      </c>
      <c r="AT12" s="142" t="s">
        <v>285</v>
      </c>
      <c r="AU12" s="142" t="s">
        <v>286</v>
      </c>
      <c r="AV12" s="142" t="s">
        <v>285</v>
      </c>
      <c r="AW12" s="142" t="s">
        <v>285</v>
      </c>
      <c r="AX12" s="142" t="s">
        <v>286</v>
      </c>
      <c r="AY12" s="142" t="s">
        <v>285</v>
      </c>
      <c r="AZ12" s="142" t="s">
        <v>286</v>
      </c>
      <c r="BA12" s="143" t="s">
        <v>287</v>
      </c>
      <c r="BB12" s="140" t="s">
        <v>262</v>
      </c>
      <c r="BC12" s="141" t="s">
        <v>263</v>
      </c>
      <c r="BD12" s="141" t="s">
        <v>801</v>
      </c>
      <c r="BE12" s="141" t="s">
        <v>802</v>
      </c>
      <c r="BF12" s="141" t="s">
        <v>269</v>
      </c>
      <c r="BG12" s="141" t="s">
        <v>803</v>
      </c>
      <c r="BH12" s="141" t="s">
        <v>804</v>
      </c>
      <c r="BI12" s="141" t="s">
        <v>264</v>
      </c>
      <c r="BJ12" s="141" t="s">
        <v>265</v>
      </c>
      <c r="BK12" s="141" t="s">
        <v>266</v>
      </c>
      <c r="BL12" s="142" t="s">
        <v>267</v>
      </c>
      <c r="BM12" s="142" t="s">
        <v>532</v>
      </c>
      <c r="BN12" s="179" t="s">
        <v>533</v>
      </c>
      <c r="BO12" s="688" t="s">
        <v>843</v>
      </c>
      <c r="BP12" s="662" t="s">
        <v>837</v>
      </c>
      <c r="BQ12" s="662" t="s">
        <v>838</v>
      </c>
      <c r="BR12" s="662" t="s">
        <v>844</v>
      </c>
      <c r="BS12" s="662" t="s">
        <v>845</v>
      </c>
      <c r="BT12" s="689" t="s">
        <v>839</v>
      </c>
    </row>
    <row r="13" spans="1:72" x14ac:dyDescent="0.2">
      <c r="A13" s="176" t="s">
        <v>246</v>
      </c>
      <c r="B13" s="406">
        <f>LB!I465</f>
        <v>1907499431</v>
      </c>
      <c r="C13" s="407">
        <f>LB!J465</f>
        <v>1396161105</v>
      </c>
      <c r="D13" s="407">
        <f>LB!K465</f>
        <v>1254091140</v>
      </c>
      <c r="E13" s="407">
        <f>LB!L465</f>
        <v>142069965</v>
      </c>
      <c r="F13" s="407">
        <f>LB!M465</f>
        <v>6878806</v>
      </c>
      <c r="G13" s="407">
        <f>LB!N465</f>
        <v>4536046</v>
      </c>
      <c r="H13" s="407">
        <f>LB!O465</f>
        <v>2342760</v>
      </c>
      <c r="I13" s="407">
        <f>LB!P465</f>
        <v>474192270</v>
      </c>
      <c r="J13" s="407">
        <f>LB!Q465</f>
        <v>13961615</v>
      </c>
      <c r="K13" s="407">
        <f>LB!R465</f>
        <v>16305635</v>
      </c>
      <c r="L13" s="408">
        <f>LB!S465</f>
        <v>2517.0570000000007</v>
      </c>
      <c r="M13" s="408">
        <f>LB!T465</f>
        <v>2077.3634000000006</v>
      </c>
      <c r="N13" s="422">
        <f>LB!U465</f>
        <v>439.69359999999995</v>
      </c>
      <c r="O13" s="406">
        <f>LB!V465</f>
        <v>0</v>
      </c>
      <c r="P13" s="407">
        <f>LB!W465</f>
        <v>0</v>
      </c>
      <c r="Q13" s="407">
        <f>LB!X465</f>
        <v>-1250719</v>
      </c>
      <c r="R13" s="407">
        <f>LB!Y465</f>
        <v>0</v>
      </c>
      <c r="S13" s="407">
        <f>LB!Z465</f>
        <v>0</v>
      </c>
      <c r="T13" s="407">
        <f>LB!AA465</f>
        <v>31402204</v>
      </c>
      <c r="U13" s="407">
        <f>LB!AB465</f>
        <v>0</v>
      </c>
      <c r="V13" s="407">
        <f>LB!AC465</f>
        <v>132280</v>
      </c>
      <c r="W13" s="407">
        <f>LB!AD465</f>
        <v>-1250719</v>
      </c>
      <c r="X13" s="407">
        <f>LB!AE465</f>
        <v>31534484</v>
      </c>
      <c r="Y13" s="407">
        <f>LB!AF465</f>
        <v>30283765</v>
      </c>
      <c r="Z13" s="407">
        <f>LB!AG465</f>
        <v>0</v>
      </c>
      <c r="AA13" s="407">
        <f>LB!AH465</f>
        <v>0</v>
      </c>
      <c r="AB13" s="407">
        <f>LB!AI465</f>
        <v>0</v>
      </c>
      <c r="AC13" s="407">
        <f>LB!AJ465</f>
        <v>0</v>
      </c>
      <c r="AD13" s="407">
        <f>LB!AK465</f>
        <v>0</v>
      </c>
      <c r="AE13" s="407">
        <f>LB!AL465</f>
        <v>0</v>
      </c>
      <c r="AF13" s="407">
        <f>LB!AM465</f>
        <v>0</v>
      </c>
      <c r="AG13" s="407">
        <f>LB!AN465</f>
        <v>0</v>
      </c>
      <c r="AH13" s="407">
        <f>LB!AO465</f>
        <v>-1250719</v>
      </c>
      <c r="AI13" s="407">
        <f>LB!AP465</f>
        <v>31534484</v>
      </c>
      <c r="AJ13" s="407">
        <f>LB!AQ465</f>
        <v>30283765</v>
      </c>
      <c r="AK13" s="407">
        <f>LB!AR465</f>
        <v>10235914</v>
      </c>
      <c r="AL13" s="407">
        <f>LB!AS465</f>
        <v>302837</v>
      </c>
      <c r="AM13" s="407">
        <f>LB!AT465</f>
        <v>15000</v>
      </c>
      <c r="AN13" s="407">
        <f>LB!AU465</f>
        <v>300674</v>
      </c>
      <c r="AO13" s="407">
        <f>LB!AV465</f>
        <v>315674</v>
      </c>
      <c r="AP13" s="407">
        <f>LB!AW465</f>
        <v>41138190</v>
      </c>
      <c r="AQ13" s="408">
        <f>LB!AX465</f>
        <v>0</v>
      </c>
      <c r="AR13" s="408">
        <f>LB!AY465</f>
        <v>0</v>
      </c>
      <c r="AS13" s="408">
        <f>LB!AZ465</f>
        <v>-3.3899999999999992</v>
      </c>
      <c r="AT13" s="408">
        <f>LB!BA465</f>
        <v>0</v>
      </c>
      <c r="AU13" s="408">
        <f>LB!BB465</f>
        <v>95.439999999999969</v>
      </c>
      <c r="AV13" s="408">
        <f>LB!BC465</f>
        <v>0</v>
      </c>
      <c r="AW13" s="408">
        <f>LB!BD465</f>
        <v>0</v>
      </c>
      <c r="AX13" s="408">
        <f>LB!BE465</f>
        <v>0</v>
      </c>
      <c r="AY13" s="408">
        <f>LB!BF465</f>
        <v>-3.3899999999999992</v>
      </c>
      <c r="AZ13" s="408">
        <f>LB!BG465</f>
        <v>95.439999999999969</v>
      </c>
      <c r="BA13" s="495">
        <f>LB!BH465</f>
        <v>92.05</v>
      </c>
      <c r="BB13" s="406">
        <f>LB!BI465</f>
        <v>1948637621</v>
      </c>
      <c r="BC13" s="407">
        <f>LB!BJ465</f>
        <v>1426444870</v>
      </c>
      <c r="BD13" s="407">
        <f>LB!BK465</f>
        <v>1252840421</v>
      </c>
      <c r="BE13" s="407">
        <f>LB!BL465</f>
        <v>173604449</v>
      </c>
      <c r="BF13" s="407">
        <f>LB!BM465</f>
        <v>6878806</v>
      </c>
      <c r="BG13" s="407">
        <f>LB!BN465</f>
        <v>4536046</v>
      </c>
      <c r="BH13" s="407">
        <f>LB!BO465</f>
        <v>2342760</v>
      </c>
      <c r="BI13" s="407">
        <f>LB!BP465</f>
        <v>484428184</v>
      </c>
      <c r="BJ13" s="407">
        <f>LB!BQ465</f>
        <v>14264452</v>
      </c>
      <c r="BK13" s="407">
        <f>LB!BR465</f>
        <v>16621309</v>
      </c>
      <c r="BL13" s="408">
        <f>LB!BS465</f>
        <v>2609.107</v>
      </c>
      <c r="BM13" s="408">
        <f>LB!BT465</f>
        <v>2073.9734000000003</v>
      </c>
      <c r="BN13" s="495">
        <f>LB!BU465</f>
        <v>535.1336</v>
      </c>
      <c r="BO13" s="406">
        <f>LB!BV465</f>
        <v>12690902</v>
      </c>
      <c r="BP13" s="407">
        <f>LB!BW465</f>
        <v>8854800</v>
      </c>
      <c r="BQ13" s="407">
        <f>LB!BX465</f>
        <v>564000</v>
      </c>
      <c r="BR13" s="407">
        <f>LB!BY465</f>
        <v>3183554</v>
      </c>
      <c r="BS13" s="407">
        <f>LB!BZ465</f>
        <v>88548</v>
      </c>
      <c r="BT13" s="495">
        <f>LB!CA465</f>
        <v>15.7</v>
      </c>
    </row>
    <row r="14" spans="1:72" x14ac:dyDescent="0.2">
      <c r="A14" s="177" t="s">
        <v>247</v>
      </c>
      <c r="B14" s="420">
        <f>FR!I129</f>
        <v>341557200</v>
      </c>
      <c r="C14" s="415">
        <f>FR!J129</f>
        <v>249071619</v>
      </c>
      <c r="D14" s="415">
        <f>FR!K129</f>
        <v>221750424</v>
      </c>
      <c r="E14" s="415">
        <f>FR!L129</f>
        <v>27321195</v>
      </c>
      <c r="F14" s="415">
        <f>FR!M129</f>
        <v>2276718</v>
      </c>
      <c r="G14" s="415">
        <f>FR!N129</f>
        <v>1374510</v>
      </c>
      <c r="H14" s="415">
        <f>FR!O129</f>
        <v>902208</v>
      </c>
      <c r="I14" s="415">
        <f>FR!P129</f>
        <v>84893140</v>
      </c>
      <c r="J14" s="415">
        <f>FR!Q129</f>
        <v>2490716</v>
      </c>
      <c r="K14" s="415">
        <f>FR!R129</f>
        <v>2825007</v>
      </c>
      <c r="L14" s="416">
        <f>FR!S129</f>
        <v>466.9788999999999</v>
      </c>
      <c r="M14" s="416">
        <f>FR!T129</f>
        <v>381.58449999999999</v>
      </c>
      <c r="N14" s="423">
        <f>FR!U129</f>
        <v>85.39439999999999</v>
      </c>
      <c r="O14" s="420">
        <f>FR!V129</f>
        <v>0</v>
      </c>
      <c r="P14" s="415">
        <f>FR!W129</f>
        <v>0</v>
      </c>
      <c r="Q14" s="415">
        <f>FR!X129</f>
        <v>0</v>
      </c>
      <c r="R14" s="415">
        <f>FR!Y129</f>
        <v>0</v>
      </c>
      <c r="S14" s="415">
        <f>FR!Z129</f>
        <v>0</v>
      </c>
      <c r="T14" s="415">
        <f>FR!AA129</f>
        <v>6481318</v>
      </c>
      <c r="U14" s="415">
        <f>FR!AB129</f>
        <v>0</v>
      </c>
      <c r="V14" s="415">
        <f>FR!AC129</f>
        <v>170075</v>
      </c>
      <c r="W14" s="415">
        <f>FR!AD129</f>
        <v>0</v>
      </c>
      <c r="X14" s="415">
        <f>FR!AE129</f>
        <v>6651393</v>
      </c>
      <c r="Y14" s="415">
        <f>FR!AF129</f>
        <v>6651393</v>
      </c>
      <c r="Z14" s="415">
        <f>FR!AG129</f>
        <v>0</v>
      </c>
      <c r="AA14" s="415">
        <f>FR!AH129</f>
        <v>0</v>
      </c>
      <c r="AB14" s="415">
        <f>FR!AI129</f>
        <v>0</v>
      </c>
      <c r="AC14" s="415">
        <f>FR!AJ129</f>
        <v>0</v>
      </c>
      <c r="AD14" s="415">
        <f>FR!AK129</f>
        <v>0</v>
      </c>
      <c r="AE14" s="415">
        <f>FR!AL129</f>
        <v>0</v>
      </c>
      <c r="AF14" s="415">
        <f>FR!AM129</f>
        <v>0</v>
      </c>
      <c r="AG14" s="415">
        <f>FR!AN129</f>
        <v>0</v>
      </c>
      <c r="AH14" s="415">
        <f>FR!AO129</f>
        <v>0</v>
      </c>
      <c r="AI14" s="415">
        <f>FR!AP129</f>
        <v>6651393</v>
      </c>
      <c r="AJ14" s="415">
        <f>FR!AQ129</f>
        <v>6651393</v>
      </c>
      <c r="AK14" s="415">
        <f>FR!AR129</f>
        <v>2248172</v>
      </c>
      <c r="AL14" s="415">
        <f>FR!AS129</f>
        <v>66514</v>
      </c>
      <c r="AM14" s="415">
        <f>FR!AT129</f>
        <v>0</v>
      </c>
      <c r="AN14" s="415">
        <f>FR!AU129</f>
        <v>56161</v>
      </c>
      <c r="AO14" s="415">
        <f>FR!AV129</f>
        <v>56161</v>
      </c>
      <c r="AP14" s="415">
        <f>FR!AW129</f>
        <v>9022240</v>
      </c>
      <c r="AQ14" s="416">
        <f>FR!AX129</f>
        <v>0</v>
      </c>
      <c r="AR14" s="416">
        <f>FR!AY129</f>
        <v>0</v>
      </c>
      <c r="AS14" s="416">
        <f>FR!AZ129</f>
        <v>0</v>
      </c>
      <c r="AT14" s="416">
        <f>FR!BA129</f>
        <v>0</v>
      </c>
      <c r="AU14" s="416">
        <f>FR!BB129</f>
        <v>20.07</v>
      </c>
      <c r="AV14" s="416">
        <f>FR!BC129</f>
        <v>0</v>
      </c>
      <c r="AW14" s="416">
        <f>FR!BD129</f>
        <v>0</v>
      </c>
      <c r="AX14" s="416">
        <f>FR!BE129</f>
        <v>0</v>
      </c>
      <c r="AY14" s="416">
        <f>FR!BF129</f>
        <v>0</v>
      </c>
      <c r="AZ14" s="416">
        <f>FR!BG129</f>
        <v>20.07</v>
      </c>
      <c r="BA14" s="510">
        <f>FR!BH129</f>
        <v>20.07</v>
      </c>
      <c r="BB14" s="420">
        <f>FR!BI129</f>
        <v>350579440</v>
      </c>
      <c r="BC14" s="415">
        <f>FR!BJ129</f>
        <v>255723012</v>
      </c>
      <c r="BD14" s="415">
        <f>FR!BK129</f>
        <v>221750424</v>
      </c>
      <c r="BE14" s="415">
        <f>FR!BL129</f>
        <v>33972588</v>
      </c>
      <c r="BF14" s="415">
        <f>FR!BM129</f>
        <v>2276718</v>
      </c>
      <c r="BG14" s="415">
        <f>FR!BN129</f>
        <v>1374510</v>
      </c>
      <c r="BH14" s="415">
        <f>FR!BO129</f>
        <v>902208</v>
      </c>
      <c r="BI14" s="415">
        <f>FR!BP129</f>
        <v>87141312</v>
      </c>
      <c r="BJ14" s="415">
        <f>FR!BQ129</f>
        <v>2557230</v>
      </c>
      <c r="BK14" s="415">
        <f>FR!BR129</f>
        <v>2881168</v>
      </c>
      <c r="BL14" s="416">
        <f>FR!BS129</f>
        <v>487.04890000000006</v>
      </c>
      <c r="BM14" s="416">
        <f>FR!BT129</f>
        <v>381.58449999999999</v>
      </c>
      <c r="BN14" s="510">
        <f>FR!BU129</f>
        <v>105.4644</v>
      </c>
      <c r="BO14" s="420">
        <f>FR!BV129</f>
        <v>1900680</v>
      </c>
      <c r="BP14" s="415">
        <f>FR!BW129</f>
        <v>1410000</v>
      </c>
      <c r="BQ14" s="415">
        <f>FR!BX129</f>
        <v>0</v>
      </c>
      <c r="BR14" s="415">
        <f>FR!BY129</f>
        <v>476580</v>
      </c>
      <c r="BS14" s="415">
        <f>FR!BZ129</f>
        <v>14100</v>
      </c>
      <c r="BT14" s="510">
        <f>FR!CA129</f>
        <v>2.5</v>
      </c>
    </row>
    <row r="15" spans="1:72" s="3" customFormat="1" x14ac:dyDescent="0.2">
      <c r="A15" s="177" t="s">
        <v>248</v>
      </c>
      <c r="B15" s="420">
        <f>JN!I192</f>
        <v>676628685</v>
      </c>
      <c r="C15" s="415">
        <f>JN!J192</f>
        <v>496020581</v>
      </c>
      <c r="D15" s="415">
        <f>JN!K192</f>
        <v>438083126</v>
      </c>
      <c r="E15" s="415">
        <f>JN!L192</f>
        <v>57937455</v>
      </c>
      <c r="F15" s="415">
        <f>JN!M192</f>
        <v>1657046</v>
      </c>
      <c r="G15" s="415">
        <f>JN!N192</f>
        <v>1276746</v>
      </c>
      <c r="H15" s="415">
        <f>JN!O192</f>
        <v>380300</v>
      </c>
      <c r="I15" s="415">
        <f>JN!P192</f>
        <v>168140431</v>
      </c>
      <c r="J15" s="415">
        <f>JN!Q192</f>
        <v>4960207</v>
      </c>
      <c r="K15" s="415">
        <f>JN!R192</f>
        <v>5850420</v>
      </c>
      <c r="L15" s="416">
        <f>JN!S192</f>
        <v>904.70709999999985</v>
      </c>
      <c r="M15" s="416">
        <f>JN!T192</f>
        <v>726.37649999999996</v>
      </c>
      <c r="N15" s="423">
        <f>JN!U192</f>
        <v>178.33059999999998</v>
      </c>
      <c r="O15" s="420">
        <f>JN!V192</f>
        <v>0</v>
      </c>
      <c r="P15" s="415">
        <f>JN!W192</f>
        <v>0</v>
      </c>
      <c r="Q15" s="415">
        <f>JN!X192</f>
        <v>-375817</v>
      </c>
      <c r="R15" s="415">
        <f>JN!Y192</f>
        <v>0</v>
      </c>
      <c r="S15" s="415">
        <f>JN!Z192</f>
        <v>0</v>
      </c>
      <c r="T15" s="415">
        <f>JN!AA192</f>
        <v>14032892</v>
      </c>
      <c r="U15" s="415">
        <f>JN!AB192</f>
        <v>-432216</v>
      </c>
      <c r="V15" s="415">
        <f>JN!AC192</f>
        <v>-41253</v>
      </c>
      <c r="W15" s="415">
        <f>JN!AD192</f>
        <v>-808033</v>
      </c>
      <c r="X15" s="415">
        <f>JN!AE192</f>
        <v>13991639</v>
      </c>
      <c r="Y15" s="415">
        <f>JN!AF192</f>
        <v>13183606</v>
      </c>
      <c r="Z15" s="415">
        <f>JN!AG192</f>
        <v>0</v>
      </c>
      <c r="AA15" s="415">
        <f>JN!AH192</f>
        <v>0</v>
      </c>
      <c r="AB15" s="415">
        <f>JN!AI192</f>
        <v>0</v>
      </c>
      <c r="AC15" s="415">
        <f>JN!AJ192</f>
        <v>127198</v>
      </c>
      <c r="AD15" s="415">
        <f>JN!AK192</f>
        <v>0</v>
      </c>
      <c r="AE15" s="415">
        <f>JN!AL192</f>
        <v>127198</v>
      </c>
      <c r="AF15" s="415">
        <f>JN!AM192</f>
        <v>0</v>
      </c>
      <c r="AG15" s="415">
        <f>JN!AN192</f>
        <v>127198</v>
      </c>
      <c r="AH15" s="415">
        <f>JN!AO192</f>
        <v>-680835</v>
      </c>
      <c r="AI15" s="415">
        <f>JN!AP192</f>
        <v>13991639</v>
      </c>
      <c r="AJ15" s="415">
        <f>JN!AQ192</f>
        <v>13310804</v>
      </c>
      <c r="AK15" s="415">
        <f>JN!AR192</f>
        <v>4456060</v>
      </c>
      <c r="AL15" s="415">
        <f>JN!AS192</f>
        <v>131832</v>
      </c>
      <c r="AM15" s="415">
        <f>JN!AT192</f>
        <v>0</v>
      </c>
      <c r="AN15" s="415">
        <f>JN!AU192</f>
        <v>123788</v>
      </c>
      <c r="AO15" s="415">
        <f>JN!AV192</f>
        <v>123788</v>
      </c>
      <c r="AP15" s="415">
        <f>JN!AW192</f>
        <v>18022484</v>
      </c>
      <c r="AQ15" s="416">
        <f>JN!AX192</f>
        <v>0</v>
      </c>
      <c r="AR15" s="416">
        <f>JN!AY192</f>
        <v>0</v>
      </c>
      <c r="AS15" s="416">
        <f>JN!AZ192</f>
        <v>-0.84000000000000008</v>
      </c>
      <c r="AT15" s="416">
        <f>JN!BA192</f>
        <v>0</v>
      </c>
      <c r="AU15" s="416">
        <f>JN!BB192</f>
        <v>42.370000000000005</v>
      </c>
      <c r="AV15" s="416">
        <f>JN!BC192</f>
        <v>0</v>
      </c>
      <c r="AW15" s="416">
        <f>JN!BD192</f>
        <v>-0.75</v>
      </c>
      <c r="AX15" s="416">
        <f>JN!BE192</f>
        <v>-0.14000000000000001</v>
      </c>
      <c r="AY15" s="416">
        <f>JN!BF192</f>
        <v>-1.59</v>
      </c>
      <c r="AZ15" s="416">
        <f>JN!BG192</f>
        <v>42.230000000000004</v>
      </c>
      <c r="BA15" s="510">
        <f>JN!BH192</f>
        <v>40.640000000000008</v>
      </c>
      <c r="BB15" s="420">
        <f>JN!BI192</f>
        <v>694651169</v>
      </c>
      <c r="BC15" s="415">
        <f>JN!BJ192</f>
        <v>509204187</v>
      </c>
      <c r="BD15" s="415">
        <f>JN!BK192</f>
        <v>437275093</v>
      </c>
      <c r="BE15" s="415">
        <f>JN!BL192</f>
        <v>71929094</v>
      </c>
      <c r="BF15" s="415">
        <f>JN!BM192</f>
        <v>1784244</v>
      </c>
      <c r="BG15" s="415">
        <f>JN!BN192</f>
        <v>1403944</v>
      </c>
      <c r="BH15" s="415">
        <f>JN!BO192</f>
        <v>380300</v>
      </c>
      <c r="BI15" s="415">
        <f>JN!BP192</f>
        <v>172596491</v>
      </c>
      <c r="BJ15" s="415">
        <f>JN!BQ192</f>
        <v>5092039</v>
      </c>
      <c r="BK15" s="415">
        <f>JN!BR192</f>
        <v>5974208</v>
      </c>
      <c r="BL15" s="416">
        <f>JN!BS192</f>
        <v>945.34710000000007</v>
      </c>
      <c r="BM15" s="416">
        <f>JN!BT192</f>
        <v>724.78650000000005</v>
      </c>
      <c r="BN15" s="510">
        <f>JN!BU192</f>
        <v>220.56060000000002</v>
      </c>
      <c r="BO15" s="420">
        <f>JN!BV192</f>
        <v>3327292</v>
      </c>
      <c r="BP15" s="415">
        <f>JN!BW192</f>
        <v>1974000</v>
      </c>
      <c r="BQ15" s="415">
        <f>JN!BX192</f>
        <v>498012</v>
      </c>
      <c r="BR15" s="415">
        <f>JN!BY192</f>
        <v>835540</v>
      </c>
      <c r="BS15" s="415">
        <f>JN!BZ192</f>
        <v>19740</v>
      </c>
      <c r="BT15" s="510">
        <f>JN!CA192</f>
        <v>3.5</v>
      </c>
    </row>
    <row r="16" spans="1:72" x14ac:dyDescent="0.2">
      <c r="A16" s="177" t="s">
        <v>249</v>
      </c>
      <c r="B16" s="420">
        <f>TA!I100</f>
        <v>271999967</v>
      </c>
      <c r="C16" s="415">
        <f>TA!J100</f>
        <v>198760243</v>
      </c>
      <c r="D16" s="415">
        <f>TA!K100</f>
        <v>178570517</v>
      </c>
      <c r="E16" s="415">
        <f>TA!L100</f>
        <v>20189726</v>
      </c>
      <c r="F16" s="415">
        <f>TA!M100</f>
        <v>1321905</v>
      </c>
      <c r="G16" s="415">
        <f>TA!N100</f>
        <v>760640</v>
      </c>
      <c r="H16" s="415">
        <f>TA!O100</f>
        <v>561265</v>
      </c>
      <c r="I16" s="415">
        <f>TA!P100</f>
        <v>67627766</v>
      </c>
      <c r="J16" s="415">
        <f>TA!Q100</f>
        <v>1987602</v>
      </c>
      <c r="K16" s="415">
        <f>TA!R100</f>
        <v>2302451</v>
      </c>
      <c r="L16" s="416">
        <f>TA!S100</f>
        <v>373.97060000000005</v>
      </c>
      <c r="M16" s="416">
        <f>TA!T100</f>
        <v>312.61439999999999</v>
      </c>
      <c r="N16" s="423">
        <f>TA!U100</f>
        <v>61.356200000000008</v>
      </c>
      <c r="O16" s="420">
        <f>TA!V100</f>
        <v>0</v>
      </c>
      <c r="P16" s="415">
        <f>TA!W100</f>
        <v>0</v>
      </c>
      <c r="Q16" s="415">
        <f>TA!X100</f>
        <v>0</v>
      </c>
      <c r="R16" s="415">
        <f>TA!Y100</f>
        <v>0</v>
      </c>
      <c r="S16" s="415">
        <f>TA!Z100</f>
        <v>0</v>
      </c>
      <c r="T16" s="415">
        <f>TA!AA100</f>
        <v>4221579</v>
      </c>
      <c r="U16" s="415">
        <f>TA!AB100</f>
        <v>0</v>
      </c>
      <c r="V16" s="415">
        <f>TA!AC100</f>
        <v>0</v>
      </c>
      <c r="W16" s="415">
        <f>TA!AD100</f>
        <v>0</v>
      </c>
      <c r="X16" s="415">
        <f>TA!AE100</f>
        <v>4221579</v>
      </c>
      <c r="Y16" s="415">
        <f>TA!AF100</f>
        <v>4221579</v>
      </c>
      <c r="Z16" s="415">
        <f>TA!AG100</f>
        <v>0</v>
      </c>
      <c r="AA16" s="415">
        <f>TA!AH100</f>
        <v>0</v>
      </c>
      <c r="AB16" s="415">
        <f>TA!AI100</f>
        <v>0</v>
      </c>
      <c r="AC16" s="415">
        <f>TA!AJ100</f>
        <v>0</v>
      </c>
      <c r="AD16" s="415">
        <f>TA!AK100</f>
        <v>0</v>
      </c>
      <c r="AE16" s="415">
        <f>TA!AL100</f>
        <v>0</v>
      </c>
      <c r="AF16" s="415">
        <f>TA!AM100</f>
        <v>0</v>
      </c>
      <c r="AG16" s="415">
        <f>TA!AN100</f>
        <v>0</v>
      </c>
      <c r="AH16" s="415">
        <f>TA!AO100</f>
        <v>0</v>
      </c>
      <c r="AI16" s="415">
        <f>TA!AP100</f>
        <v>4221579</v>
      </c>
      <c r="AJ16" s="415">
        <f>TA!AQ100</f>
        <v>4221579</v>
      </c>
      <c r="AK16" s="415">
        <f>TA!AR100</f>
        <v>1426893</v>
      </c>
      <c r="AL16" s="415">
        <f>TA!AS100</f>
        <v>42216</v>
      </c>
      <c r="AM16" s="415">
        <f>TA!AT100</f>
        <v>0</v>
      </c>
      <c r="AN16" s="415">
        <f>TA!AU100</f>
        <v>33312</v>
      </c>
      <c r="AO16" s="415">
        <f>TA!AV100</f>
        <v>33312</v>
      </c>
      <c r="AP16" s="415">
        <f>TA!AW100</f>
        <v>5724000</v>
      </c>
      <c r="AQ16" s="416">
        <f>TA!AX100</f>
        <v>0</v>
      </c>
      <c r="AR16" s="416">
        <f>TA!AY100</f>
        <v>0</v>
      </c>
      <c r="AS16" s="416">
        <f>TA!AZ100</f>
        <v>0</v>
      </c>
      <c r="AT16" s="416">
        <f>TA!BA100</f>
        <v>0</v>
      </c>
      <c r="AU16" s="416">
        <f>TA!BB100</f>
        <v>12.78</v>
      </c>
      <c r="AV16" s="416">
        <f>TA!BC100</f>
        <v>0</v>
      </c>
      <c r="AW16" s="416">
        <f>TA!BD100</f>
        <v>0</v>
      </c>
      <c r="AX16" s="416">
        <f>TA!BE100</f>
        <v>0</v>
      </c>
      <c r="AY16" s="416">
        <f>TA!BF100</f>
        <v>0</v>
      </c>
      <c r="AZ16" s="416">
        <f>TA!BG100</f>
        <v>12.78</v>
      </c>
      <c r="BA16" s="510">
        <f>TA!BH100</f>
        <v>12.78</v>
      </c>
      <c r="BB16" s="420">
        <f>TA!BI100</f>
        <v>277723967</v>
      </c>
      <c r="BC16" s="415">
        <f>TA!BJ100</f>
        <v>202981822</v>
      </c>
      <c r="BD16" s="415">
        <f>TA!BK100</f>
        <v>178570517</v>
      </c>
      <c r="BE16" s="415">
        <f>TA!BL100</f>
        <v>24411305</v>
      </c>
      <c r="BF16" s="415">
        <f>TA!BM100</f>
        <v>1321905</v>
      </c>
      <c r="BG16" s="415">
        <f>TA!BN100</f>
        <v>760640</v>
      </c>
      <c r="BH16" s="415">
        <f>TA!BO100</f>
        <v>561265</v>
      </c>
      <c r="BI16" s="415">
        <f>TA!BP100</f>
        <v>69054659</v>
      </c>
      <c r="BJ16" s="415">
        <f>TA!BQ100</f>
        <v>2029818</v>
      </c>
      <c r="BK16" s="415">
        <f>TA!BR100</f>
        <v>2335763</v>
      </c>
      <c r="BL16" s="416">
        <f>TA!BS100</f>
        <v>386.75060000000002</v>
      </c>
      <c r="BM16" s="416">
        <f>TA!BT100</f>
        <v>312.61439999999999</v>
      </c>
      <c r="BN16" s="510">
        <f>TA!BU100</f>
        <v>74.136200000000002</v>
      </c>
      <c r="BO16" s="420">
        <f>TA!BV100</f>
        <v>1899552</v>
      </c>
      <c r="BP16" s="415">
        <f>TA!BW100</f>
        <v>1297200</v>
      </c>
      <c r="BQ16" s="415">
        <f>TA!BX100</f>
        <v>112800</v>
      </c>
      <c r="BR16" s="415">
        <f>TA!BY100</f>
        <v>476580</v>
      </c>
      <c r="BS16" s="415">
        <f>TA!BZ100</f>
        <v>12972</v>
      </c>
      <c r="BT16" s="510">
        <f>TA!CA100</f>
        <v>2.2999999999999998</v>
      </c>
    </row>
    <row r="17" spans="1:72" x14ac:dyDescent="0.2">
      <c r="A17" s="177" t="s">
        <v>250</v>
      </c>
      <c r="B17" s="420">
        <f>ŽB!I74</f>
        <v>153814187</v>
      </c>
      <c r="C17" s="415">
        <f>ŽB!J74</f>
        <v>112439701</v>
      </c>
      <c r="D17" s="415">
        <f>ŽB!K74</f>
        <v>99169392</v>
      </c>
      <c r="E17" s="415">
        <f>ŽB!L74</f>
        <v>13270309</v>
      </c>
      <c r="F17" s="415">
        <f>ŽB!M74</f>
        <v>714120</v>
      </c>
      <c r="G17" s="415">
        <f>ŽB!N74</f>
        <v>405520</v>
      </c>
      <c r="H17" s="415">
        <f>ŽB!O74</f>
        <v>308600</v>
      </c>
      <c r="I17" s="415">
        <f>ŽB!P74</f>
        <v>38245992</v>
      </c>
      <c r="J17" s="415">
        <f>ŽB!Q74</f>
        <v>1124400</v>
      </c>
      <c r="K17" s="415">
        <f>ŽB!R74</f>
        <v>1289974</v>
      </c>
      <c r="L17" s="416">
        <f>ŽB!S74</f>
        <v>203.5899</v>
      </c>
      <c r="M17" s="416">
        <f>ŽB!T74</f>
        <v>163.27980000000002</v>
      </c>
      <c r="N17" s="423">
        <f>ŽB!U74</f>
        <v>40.310100000000006</v>
      </c>
      <c r="O17" s="420">
        <f>ŽB!V74</f>
        <v>0</v>
      </c>
      <c r="P17" s="415">
        <f>ŽB!W74</f>
        <v>0</v>
      </c>
      <c r="Q17" s="415">
        <f>ŽB!X74</f>
        <v>-12379</v>
      </c>
      <c r="R17" s="415">
        <f>ŽB!Y74</f>
        <v>0</v>
      </c>
      <c r="S17" s="415">
        <f>ŽB!Z74</f>
        <v>0</v>
      </c>
      <c r="T17" s="415">
        <f>ŽB!AA74</f>
        <v>3288921</v>
      </c>
      <c r="U17" s="415">
        <f>ŽB!AB74</f>
        <v>0</v>
      </c>
      <c r="V17" s="415">
        <f>ŽB!AC74</f>
        <v>0</v>
      </c>
      <c r="W17" s="415">
        <f>ŽB!AD74</f>
        <v>-12379</v>
      </c>
      <c r="X17" s="415">
        <f>ŽB!AE74</f>
        <v>3288921</v>
      </c>
      <c r="Y17" s="415">
        <f>ŽB!AF74</f>
        <v>3276542</v>
      </c>
      <c r="Z17" s="415">
        <f>ŽB!AG74</f>
        <v>0</v>
      </c>
      <c r="AA17" s="415">
        <f>ŽB!AH74</f>
        <v>0</v>
      </c>
      <c r="AB17" s="415">
        <f>ŽB!AI74</f>
        <v>0</v>
      </c>
      <c r="AC17" s="415">
        <f>ŽB!AJ74</f>
        <v>0</v>
      </c>
      <c r="AD17" s="415">
        <f>ŽB!AK74</f>
        <v>0</v>
      </c>
      <c r="AE17" s="415">
        <f>ŽB!AL74</f>
        <v>0</v>
      </c>
      <c r="AF17" s="415">
        <f>ŽB!AM74</f>
        <v>0</v>
      </c>
      <c r="AG17" s="415">
        <f>ŽB!AN74</f>
        <v>0</v>
      </c>
      <c r="AH17" s="415">
        <f>ŽB!AO74</f>
        <v>-12379</v>
      </c>
      <c r="AI17" s="415">
        <f>ŽB!AP74</f>
        <v>3288921</v>
      </c>
      <c r="AJ17" s="415">
        <f>ŽB!AQ74</f>
        <v>3276542</v>
      </c>
      <c r="AK17" s="415">
        <f>ŽB!AR74</f>
        <v>1107470</v>
      </c>
      <c r="AL17" s="415">
        <f>ŽB!AS74</f>
        <v>32765</v>
      </c>
      <c r="AM17" s="415">
        <f>ŽB!AT74</f>
        <v>0</v>
      </c>
      <c r="AN17" s="415">
        <f>ŽB!AU74</f>
        <v>27298</v>
      </c>
      <c r="AO17" s="415">
        <f>ŽB!AV74</f>
        <v>27298</v>
      </c>
      <c r="AP17" s="415">
        <f>ŽB!AW74</f>
        <v>4444075</v>
      </c>
      <c r="AQ17" s="416">
        <f>ŽB!AX74</f>
        <v>0</v>
      </c>
      <c r="AR17" s="416">
        <f>ŽB!AY74</f>
        <v>0</v>
      </c>
      <c r="AS17" s="416">
        <f>ŽB!AZ74</f>
        <v>-0.03</v>
      </c>
      <c r="AT17" s="416">
        <f>ŽB!BA74</f>
        <v>0</v>
      </c>
      <c r="AU17" s="416">
        <f>ŽB!BB74</f>
        <v>9.92</v>
      </c>
      <c r="AV17" s="416">
        <f>ŽB!BC74</f>
        <v>0</v>
      </c>
      <c r="AW17" s="416">
        <f>ŽB!BD74</f>
        <v>0</v>
      </c>
      <c r="AX17" s="416">
        <f>ŽB!BE74</f>
        <v>0</v>
      </c>
      <c r="AY17" s="416">
        <f>ŽB!BF74</f>
        <v>-0.03</v>
      </c>
      <c r="AZ17" s="416">
        <f>ŽB!BG74</f>
        <v>9.92</v>
      </c>
      <c r="BA17" s="510">
        <f>ŽB!BH74</f>
        <v>9.89</v>
      </c>
      <c r="BB17" s="420">
        <f>ŽB!BI74</f>
        <v>158258262</v>
      </c>
      <c r="BC17" s="415">
        <f>ŽB!BJ74</f>
        <v>115716243</v>
      </c>
      <c r="BD17" s="415">
        <f>ŽB!BK74</f>
        <v>99157013</v>
      </c>
      <c r="BE17" s="415">
        <f>ŽB!BL74</f>
        <v>16559230</v>
      </c>
      <c r="BF17" s="415">
        <f>ŽB!BM74</f>
        <v>714120</v>
      </c>
      <c r="BG17" s="415">
        <f>ŽB!BN74</f>
        <v>405520</v>
      </c>
      <c r="BH17" s="415">
        <f>ŽB!BO74</f>
        <v>308600</v>
      </c>
      <c r="BI17" s="415">
        <f>ŽB!BP74</f>
        <v>39353462</v>
      </c>
      <c r="BJ17" s="415">
        <f>ŽB!BQ74</f>
        <v>1157165</v>
      </c>
      <c r="BK17" s="415">
        <f>ŽB!BR74</f>
        <v>1317272</v>
      </c>
      <c r="BL17" s="416">
        <f>ŽB!BS74</f>
        <v>213.47989999999999</v>
      </c>
      <c r="BM17" s="416">
        <f>ŽB!BT74</f>
        <v>163.24979999999999</v>
      </c>
      <c r="BN17" s="510">
        <f>ŽB!BU74</f>
        <v>50.230100000000007</v>
      </c>
      <c r="BO17" s="420">
        <f>ŽB!BV74</f>
        <v>380136</v>
      </c>
      <c r="BP17" s="415">
        <f>ŽB!BW74</f>
        <v>282000</v>
      </c>
      <c r="BQ17" s="415">
        <f>ŽB!BX74</f>
        <v>0</v>
      </c>
      <c r="BR17" s="415">
        <f>ŽB!BY74</f>
        <v>95316</v>
      </c>
      <c r="BS17" s="415">
        <f>ŽB!BZ74</f>
        <v>2820</v>
      </c>
      <c r="BT17" s="510">
        <f>ŽB!CA74</f>
        <v>0.5</v>
      </c>
    </row>
    <row r="18" spans="1:72" s="3" customFormat="1" x14ac:dyDescent="0.2">
      <c r="A18" s="177" t="s">
        <v>251</v>
      </c>
      <c r="B18" s="420">
        <f>ČL!I293</f>
        <v>1042126482</v>
      </c>
      <c r="C18" s="415">
        <f>ČL!J293</f>
        <v>762665433</v>
      </c>
      <c r="D18" s="415">
        <f>ČL!K293</f>
        <v>680513216</v>
      </c>
      <c r="E18" s="415">
        <f>ČL!L293</f>
        <v>82152217</v>
      </c>
      <c r="F18" s="415">
        <f>ČL!M293</f>
        <v>4079440</v>
      </c>
      <c r="G18" s="415">
        <f>ČL!N293</f>
        <v>2858740</v>
      </c>
      <c r="H18" s="415">
        <f>ČL!O293</f>
        <v>1220700</v>
      </c>
      <c r="I18" s="415">
        <f>ČL!P293</f>
        <v>259159768</v>
      </c>
      <c r="J18" s="415">
        <f>ČL!Q293</f>
        <v>7626650</v>
      </c>
      <c r="K18" s="415">
        <f>ČL!R293</f>
        <v>8595191</v>
      </c>
      <c r="L18" s="416">
        <f>ČL!S293</f>
        <v>1389.0372999999995</v>
      </c>
      <c r="M18" s="416">
        <f>ČL!T293</f>
        <v>1136.5829000000001</v>
      </c>
      <c r="N18" s="423">
        <f>ČL!U293</f>
        <v>252.45439999999996</v>
      </c>
      <c r="O18" s="420">
        <f>ČL!V293</f>
        <v>0</v>
      </c>
      <c r="P18" s="415">
        <f>ČL!W293</f>
        <v>0</v>
      </c>
      <c r="Q18" s="415">
        <f>ČL!X293</f>
        <v>-166881</v>
      </c>
      <c r="R18" s="415">
        <f>ČL!Y293</f>
        <v>0</v>
      </c>
      <c r="S18" s="415">
        <f>ČL!Z293</f>
        <v>0</v>
      </c>
      <c r="T18" s="415">
        <f>ČL!AA293</f>
        <v>19119739</v>
      </c>
      <c r="U18" s="415">
        <f>ČL!AB293</f>
        <v>0</v>
      </c>
      <c r="V18" s="415">
        <f>ČL!AC293</f>
        <v>115606</v>
      </c>
      <c r="W18" s="415">
        <f>ČL!AD293</f>
        <v>-166881</v>
      </c>
      <c r="X18" s="415">
        <f>ČL!AE293</f>
        <v>19235345</v>
      </c>
      <c r="Y18" s="415">
        <f>ČL!AF293</f>
        <v>19068464</v>
      </c>
      <c r="Z18" s="415">
        <f>ČL!AG293</f>
        <v>0</v>
      </c>
      <c r="AA18" s="415">
        <f>ČL!AH293</f>
        <v>0</v>
      </c>
      <c r="AB18" s="415">
        <f>ČL!AI293</f>
        <v>0</v>
      </c>
      <c r="AC18" s="415">
        <f>ČL!AJ293</f>
        <v>0</v>
      </c>
      <c r="AD18" s="415">
        <f>ČL!AK293</f>
        <v>0</v>
      </c>
      <c r="AE18" s="415">
        <f>ČL!AL293</f>
        <v>0</v>
      </c>
      <c r="AF18" s="415">
        <f>ČL!AM293</f>
        <v>0</v>
      </c>
      <c r="AG18" s="415">
        <f>ČL!AN293</f>
        <v>0</v>
      </c>
      <c r="AH18" s="415">
        <f>ČL!AO293</f>
        <v>-166881</v>
      </c>
      <c r="AI18" s="415">
        <f>ČL!AP293</f>
        <v>19235345</v>
      </c>
      <c r="AJ18" s="415">
        <f>ČL!AQ293</f>
        <v>19068464</v>
      </c>
      <c r="AK18" s="415">
        <f>ČL!AR293</f>
        <v>6445143</v>
      </c>
      <c r="AL18" s="415">
        <f>ČL!AS293</f>
        <v>190684</v>
      </c>
      <c r="AM18" s="415">
        <f>ČL!AT293</f>
        <v>14000</v>
      </c>
      <c r="AN18" s="415">
        <f>ČL!AU293</f>
        <v>166001</v>
      </c>
      <c r="AO18" s="415">
        <f>ČL!AV293</f>
        <v>180001</v>
      </c>
      <c r="AP18" s="415">
        <f>ČL!AW293</f>
        <v>25884292</v>
      </c>
      <c r="AQ18" s="416">
        <f>ČL!AX293</f>
        <v>0</v>
      </c>
      <c r="AR18" s="416">
        <f>ČL!AY293</f>
        <v>0</v>
      </c>
      <c r="AS18" s="416">
        <f>ČL!AZ293</f>
        <v>-0.44999999999999996</v>
      </c>
      <c r="AT18" s="416">
        <f>ČL!BA293</f>
        <v>0</v>
      </c>
      <c r="AU18" s="416">
        <f>ČL!BB293</f>
        <v>57.839999999999996</v>
      </c>
      <c r="AV18" s="416">
        <f>ČL!BC293</f>
        <v>0</v>
      </c>
      <c r="AW18" s="416">
        <f>ČL!BD293</f>
        <v>0</v>
      </c>
      <c r="AX18" s="416">
        <f>ČL!BE293</f>
        <v>0.35</v>
      </c>
      <c r="AY18" s="416">
        <f>ČL!BF293</f>
        <v>-0.44999999999999996</v>
      </c>
      <c r="AZ18" s="416">
        <f>ČL!BG293</f>
        <v>58.190000000000005</v>
      </c>
      <c r="BA18" s="510">
        <f>ČL!BH293</f>
        <v>57.74</v>
      </c>
      <c r="BB18" s="420">
        <f>ČL!BI293</f>
        <v>1068010774</v>
      </c>
      <c r="BC18" s="415">
        <f>ČL!BJ293</f>
        <v>781733897</v>
      </c>
      <c r="BD18" s="415">
        <f>ČL!BK293</f>
        <v>680346335</v>
      </c>
      <c r="BE18" s="415">
        <f>ČL!BL293</f>
        <v>101387562</v>
      </c>
      <c r="BF18" s="415">
        <f>ČL!BM293</f>
        <v>4079440</v>
      </c>
      <c r="BG18" s="415">
        <f>ČL!BN293</f>
        <v>2858740</v>
      </c>
      <c r="BH18" s="415">
        <f>ČL!BO293</f>
        <v>1220700</v>
      </c>
      <c r="BI18" s="415">
        <f>ČL!BP293</f>
        <v>265604911</v>
      </c>
      <c r="BJ18" s="415">
        <f>ČL!BQ293</f>
        <v>7817334</v>
      </c>
      <c r="BK18" s="415">
        <f>ČL!BR293</f>
        <v>8775192</v>
      </c>
      <c r="BL18" s="416">
        <f>ČL!BS293</f>
        <v>1446.7772999999997</v>
      </c>
      <c r="BM18" s="416">
        <f>ČL!BT293</f>
        <v>1136.1329000000001</v>
      </c>
      <c r="BN18" s="510">
        <f>ČL!BU293</f>
        <v>310.64439999999991</v>
      </c>
      <c r="BO18" s="420">
        <f>ČL!BV293</f>
        <v>2051606</v>
      </c>
      <c r="BP18" s="415">
        <f>ČL!BW293</f>
        <v>1410000</v>
      </c>
      <c r="BQ18" s="415">
        <f>ČL!BX293</f>
        <v>112800</v>
      </c>
      <c r="BR18" s="415">
        <f>ČL!BY293</f>
        <v>514706</v>
      </c>
      <c r="BS18" s="415">
        <f>ČL!BZ293</f>
        <v>14100</v>
      </c>
      <c r="BT18" s="510">
        <f>ČL!CA293</f>
        <v>2.5</v>
      </c>
    </row>
    <row r="19" spans="1:72" x14ac:dyDescent="0.2">
      <c r="A19" s="177" t="s">
        <v>252</v>
      </c>
      <c r="B19" s="420">
        <f>NB!I124</f>
        <v>342452737</v>
      </c>
      <c r="C19" s="415">
        <f>NB!J124</f>
        <v>250513399</v>
      </c>
      <c r="D19" s="415">
        <f>NB!K124</f>
        <v>222158984</v>
      </c>
      <c r="E19" s="415">
        <f>NB!L124</f>
        <v>28354415</v>
      </c>
      <c r="F19" s="415">
        <f>NB!M124</f>
        <v>1427320</v>
      </c>
      <c r="G19" s="415">
        <f>NB!N124</f>
        <v>836040</v>
      </c>
      <c r="H19" s="415">
        <f>NB!O124</f>
        <v>591280</v>
      </c>
      <c r="I19" s="415">
        <f>NB!P124</f>
        <v>85155961</v>
      </c>
      <c r="J19" s="415">
        <f>NB!Q124</f>
        <v>2505138</v>
      </c>
      <c r="K19" s="415">
        <f>NB!R124</f>
        <v>2850919</v>
      </c>
      <c r="L19" s="416">
        <f>NB!S124</f>
        <v>458.56740000000002</v>
      </c>
      <c r="M19" s="416">
        <f>NB!T124</f>
        <v>371.18940000000003</v>
      </c>
      <c r="N19" s="423">
        <f>NB!U124</f>
        <v>87.377999999999986</v>
      </c>
      <c r="O19" s="420">
        <f>NB!V124</f>
        <v>0</v>
      </c>
      <c r="P19" s="415">
        <f>NB!W124</f>
        <v>0</v>
      </c>
      <c r="Q19" s="415">
        <f>NB!X124</f>
        <v>-300785</v>
      </c>
      <c r="R19" s="415">
        <f>NB!Y124</f>
        <v>0</v>
      </c>
      <c r="S19" s="415">
        <f>NB!Z124</f>
        <v>0</v>
      </c>
      <c r="T19" s="415">
        <f>NB!AA124</f>
        <v>6985449</v>
      </c>
      <c r="U19" s="415">
        <f>NB!AB124</f>
        <v>0</v>
      </c>
      <c r="V19" s="415">
        <f>NB!AC124</f>
        <v>0</v>
      </c>
      <c r="W19" s="415">
        <f>NB!AD124</f>
        <v>-300785</v>
      </c>
      <c r="X19" s="415">
        <f>NB!AE124</f>
        <v>6985449</v>
      </c>
      <c r="Y19" s="415">
        <f>NB!AF124</f>
        <v>6684664</v>
      </c>
      <c r="Z19" s="415">
        <f>NB!AG124</f>
        <v>0</v>
      </c>
      <c r="AA19" s="415">
        <f>NB!AH124</f>
        <v>0</v>
      </c>
      <c r="AB19" s="415">
        <f>NB!AI124</f>
        <v>0</v>
      </c>
      <c r="AC19" s="415">
        <f>NB!AJ124</f>
        <v>0</v>
      </c>
      <c r="AD19" s="415">
        <f>NB!AK124</f>
        <v>0</v>
      </c>
      <c r="AE19" s="415">
        <f>NB!AL124</f>
        <v>0</v>
      </c>
      <c r="AF19" s="415">
        <f>NB!AM124</f>
        <v>0</v>
      </c>
      <c r="AG19" s="415">
        <f>NB!AN124</f>
        <v>0</v>
      </c>
      <c r="AH19" s="415">
        <f>NB!AO124</f>
        <v>-300785</v>
      </c>
      <c r="AI19" s="415">
        <f>NB!AP124</f>
        <v>6985449</v>
      </c>
      <c r="AJ19" s="415">
        <f>NB!AQ124</f>
        <v>6684664</v>
      </c>
      <c r="AK19" s="415">
        <f>NB!AR124</f>
        <v>2259414</v>
      </c>
      <c r="AL19" s="415">
        <f>NB!AS124</f>
        <v>66846</v>
      </c>
      <c r="AM19" s="415">
        <f>NB!AT124</f>
        <v>2500</v>
      </c>
      <c r="AN19" s="415">
        <f>NB!AU124</f>
        <v>59891</v>
      </c>
      <c r="AO19" s="415">
        <f>NB!AV124</f>
        <v>62391</v>
      </c>
      <c r="AP19" s="415">
        <f>NB!AW124</f>
        <v>9073315</v>
      </c>
      <c r="AQ19" s="416">
        <f>NB!AX124</f>
        <v>0</v>
      </c>
      <c r="AR19" s="416">
        <f>NB!AY124</f>
        <v>0</v>
      </c>
      <c r="AS19" s="416">
        <f>NB!AZ124</f>
        <v>-0.81</v>
      </c>
      <c r="AT19" s="416">
        <f>NB!BA124</f>
        <v>0</v>
      </c>
      <c r="AU19" s="416">
        <f>NB!BB124</f>
        <v>21.19</v>
      </c>
      <c r="AV19" s="416">
        <f>NB!BC124</f>
        <v>0</v>
      </c>
      <c r="AW19" s="416">
        <f>NB!BD124</f>
        <v>0</v>
      </c>
      <c r="AX19" s="416">
        <f>NB!BE124</f>
        <v>0</v>
      </c>
      <c r="AY19" s="416">
        <f>NB!BF124</f>
        <v>-0.81</v>
      </c>
      <c r="AZ19" s="416">
        <f>NB!BG124</f>
        <v>21.19</v>
      </c>
      <c r="BA19" s="510">
        <f>NB!BH124</f>
        <v>20.38</v>
      </c>
      <c r="BB19" s="420">
        <f>NB!BI124</f>
        <v>351526052</v>
      </c>
      <c r="BC19" s="415">
        <f>NB!BJ124</f>
        <v>257198063</v>
      </c>
      <c r="BD19" s="415">
        <f>NB!BK124</f>
        <v>221858199</v>
      </c>
      <c r="BE19" s="415">
        <f>NB!BL124</f>
        <v>35339864</v>
      </c>
      <c r="BF19" s="415">
        <f>NB!BM124</f>
        <v>1427320</v>
      </c>
      <c r="BG19" s="415">
        <f>NB!BN124</f>
        <v>836040</v>
      </c>
      <c r="BH19" s="415">
        <f>NB!BO124</f>
        <v>591280</v>
      </c>
      <c r="BI19" s="415">
        <f>NB!BP124</f>
        <v>87415375</v>
      </c>
      <c r="BJ19" s="415">
        <f>NB!BQ124</f>
        <v>2571984</v>
      </c>
      <c r="BK19" s="415">
        <f>NB!BR124</f>
        <v>2913310</v>
      </c>
      <c r="BL19" s="416">
        <f>NB!BS124</f>
        <v>478.94740000000002</v>
      </c>
      <c r="BM19" s="416">
        <f>NB!BT124</f>
        <v>370.37940000000003</v>
      </c>
      <c r="BN19" s="510">
        <f>NB!BU124</f>
        <v>108.568</v>
      </c>
      <c r="BO19" s="420">
        <f>NB!BV124</f>
        <v>456163</v>
      </c>
      <c r="BP19" s="415">
        <f>NB!BW124</f>
        <v>338400</v>
      </c>
      <c r="BQ19" s="415">
        <f>NB!BX124</f>
        <v>0</v>
      </c>
      <c r="BR19" s="415">
        <f>NB!BY124</f>
        <v>114379</v>
      </c>
      <c r="BS19" s="415">
        <f>NB!BZ124</f>
        <v>3384</v>
      </c>
      <c r="BT19" s="510">
        <f>NB!CA124</f>
        <v>0.60000000000000009</v>
      </c>
    </row>
    <row r="20" spans="1:72" x14ac:dyDescent="0.2">
      <c r="A20" s="177" t="s">
        <v>253</v>
      </c>
      <c r="B20" s="420">
        <f>SM!I166</f>
        <v>367297982</v>
      </c>
      <c r="C20" s="415">
        <f>SM!J166</f>
        <v>268098545</v>
      </c>
      <c r="D20" s="415">
        <f>SM!K166</f>
        <v>236843119</v>
      </c>
      <c r="E20" s="415">
        <f>SM!L166</f>
        <v>31255426</v>
      </c>
      <c r="F20" s="415">
        <f>SM!M166</f>
        <v>2340388</v>
      </c>
      <c r="G20" s="415">
        <f>SM!N166</f>
        <v>1876108</v>
      </c>
      <c r="H20" s="415">
        <f>SM!O166</f>
        <v>464280</v>
      </c>
      <c r="I20" s="415">
        <f>SM!P166</f>
        <v>91313777</v>
      </c>
      <c r="J20" s="415">
        <f>SM!Q166</f>
        <v>2680985</v>
      </c>
      <c r="K20" s="415">
        <f>SM!R166</f>
        <v>2864287</v>
      </c>
      <c r="L20" s="416">
        <f>SM!S166</f>
        <v>487.39279999999997</v>
      </c>
      <c r="M20" s="416">
        <f>SM!T166</f>
        <v>392.36930000000001</v>
      </c>
      <c r="N20" s="423">
        <f>SM!U166</f>
        <v>95.023499999999999</v>
      </c>
      <c r="O20" s="420">
        <f>SM!V166</f>
        <v>0</v>
      </c>
      <c r="P20" s="415">
        <f>SM!W166</f>
        <v>0</v>
      </c>
      <c r="Q20" s="415">
        <f>SM!X166</f>
        <v>-92701</v>
      </c>
      <c r="R20" s="415">
        <f>SM!Y166</f>
        <v>0</v>
      </c>
      <c r="S20" s="415">
        <f>SM!Z166</f>
        <v>0</v>
      </c>
      <c r="T20" s="415">
        <f>SM!AA166</f>
        <v>7199900</v>
      </c>
      <c r="U20" s="415">
        <f>SM!AB166</f>
        <v>0</v>
      </c>
      <c r="V20" s="415">
        <f>SM!AC166</f>
        <v>0</v>
      </c>
      <c r="W20" s="415">
        <f>SM!AD166</f>
        <v>-92701</v>
      </c>
      <c r="X20" s="415">
        <f>SM!AE166</f>
        <v>7199900</v>
      </c>
      <c r="Y20" s="415">
        <f>SM!AF166</f>
        <v>7107199</v>
      </c>
      <c r="Z20" s="415">
        <f>SM!AG166</f>
        <v>0</v>
      </c>
      <c r="AA20" s="415">
        <f>SM!AH166</f>
        <v>0</v>
      </c>
      <c r="AB20" s="415">
        <f>SM!AI166</f>
        <v>0</v>
      </c>
      <c r="AC20" s="415">
        <f>SM!AJ166</f>
        <v>0</v>
      </c>
      <c r="AD20" s="415">
        <f>SM!AK166</f>
        <v>0</v>
      </c>
      <c r="AE20" s="415">
        <f>SM!AL166</f>
        <v>0</v>
      </c>
      <c r="AF20" s="415">
        <f>SM!AM166</f>
        <v>0</v>
      </c>
      <c r="AG20" s="415">
        <f>SM!AN166</f>
        <v>0</v>
      </c>
      <c r="AH20" s="415">
        <f>SM!AO166</f>
        <v>-92701</v>
      </c>
      <c r="AI20" s="415">
        <f>SM!AP166</f>
        <v>7199900</v>
      </c>
      <c r="AJ20" s="415">
        <f>SM!AQ166</f>
        <v>7107199</v>
      </c>
      <c r="AK20" s="415">
        <f>SM!AR166</f>
        <v>2402233</v>
      </c>
      <c r="AL20" s="415">
        <f>SM!AS166</f>
        <v>71073</v>
      </c>
      <c r="AM20" s="415">
        <f>SM!AT166</f>
        <v>1400</v>
      </c>
      <c r="AN20" s="415">
        <f>SM!AU166</f>
        <v>58296</v>
      </c>
      <c r="AO20" s="415">
        <f>SM!AV166</f>
        <v>59696</v>
      </c>
      <c r="AP20" s="415">
        <f>SM!AW166</f>
        <v>9640201</v>
      </c>
      <c r="AQ20" s="416">
        <f>SM!AX166</f>
        <v>0</v>
      </c>
      <c r="AR20" s="416">
        <f>SM!AY166</f>
        <v>0</v>
      </c>
      <c r="AS20" s="416">
        <f>SM!AZ166</f>
        <v>-0.25</v>
      </c>
      <c r="AT20" s="416">
        <f>SM!BA166</f>
        <v>0</v>
      </c>
      <c r="AU20" s="416">
        <f>SM!BB166</f>
        <v>21.780000000000005</v>
      </c>
      <c r="AV20" s="416">
        <f>SM!BC166</f>
        <v>0</v>
      </c>
      <c r="AW20" s="416">
        <f>SM!BD166</f>
        <v>0</v>
      </c>
      <c r="AX20" s="416">
        <f>SM!BE166</f>
        <v>0</v>
      </c>
      <c r="AY20" s="416">
        <f>SM!BF166</f>
        <v>-0.25</v>
      </c>
      <c r="AZ20" s="416">
        <f>SM!BG166</f>
        <v>21.780000000000005</v>
      </c>
      <c r="BA20" s="510">
        <f>SM!BH166</f>
        <v>21.530000000000005</v>
      </c>
      <c r="BB20" s="420">
        <f>SM!BI166</f>
        <v>376938183</v>
      </c>
      <c r="BC20" s="415">
        <f>SM!BJ166</f>
        <v>275205744</v>
      </c>
      <c r="BD20" s="415">
        <f>SM!BK166</f>
        <v>236750418</v>
      </c>
      <c r="BE20" s="415">
        <f>SM!BL166</f>
        <v>38455326</v>
      </c>
      <c r="BF20" s="415">
        <f>SM!BM166</f>
        <v>2340388</v>
      </c>
      <c r="BG20" s="415">
        <f>SM!BN166</f>
        <v>1876108</v>
      </c>
      <c r="BH20" s="415">
        <f>SM!BO166</f>
        <v>464280</v>
      </c>
      <c r="BI20" s="415">
        <f>SM!BP166</f>
        <v>93716010</v>
      </c>
      <c r="BJ20" s="415">
        <f>SM!BQ166</f>
        <v>2752058</v>
      </c>
      <c r="BK20" s="415">
        <f>SM!BR166</f>
        <v>2923983</v>
      </c>
      <c r="BL20" s="416">
        <f>SM!BS166</f>
        <v>508.9228</v>
      </c>
      <c r="BM20" s="416">
        <f>SM!BT166</f>
        <v>392.11930000000001</v>
      </c>
      <c r="BN20" s="510">
        <f>SM!BU166</f>
        <v>116.80350000000001</v>
      </c>
      <c r="BO20" s="420">
        <f>SM!BV166</f>
        <v>1974452</v>
      </c>
      <c r="BP20" s="415">
        <f>SM!BW166</f>
        <v>1240800</v>
      </c>
      <c r="BQ20" s="415">
        <f>SM!BX166</f>
        <v>225600</v>
      </c>
      <c r="BR20" s="415">
        <f>SM!BY166</f>
        <v>495644</v>
      </c>
      <c r="BS20" s="415">
        <f>SM!BZ166</f>
        <v>12408</v>
      </c>
      <c r="BT20" s="510">
        <f>SM!CA166</f>
        <v>2.2000000000000002</v>
      </c>
    </row>
    <row r="21" spans="1:72" s="3" customFormat="1" x14ac:dyDescent="0.2">
      <c r="A21" s="177" t="s">
        <v>254</v>
      </c>
      <c r="B21" s="420">
        <f>JI!I138</f>
        <v>297303340</v>
      </c>
      <c r="C21" s="415">
        <f>JI!J138</f>
        <v>217547712</v>
      </c>
      <c r="D21" s="415">
        <f>JI!K138</f>
        <v>192701506</v>
      </c>
      <c r="E21" s="415">
        <f>JI!L138</f>
        <v>24846206</v>
      </c>
      <c r="F21" s="415">
        <f>JI!M138</f>
        <v>1383629</v>
      </c>
      <c r="G21" s="415">
        <f>JI!N138</f>
        <v>954029</v>
      </c>
      <c r="H21" s="415">
        <f>JI!O138</f>
        <v>429600</v>
      </c>
      <c r="I21" s="415">
        <f>JI!P138</f>
        <v>73937728</v>
      </c>
      <c r="J21" s="415">
        <f>JI!Q138</f>
        <v>2175477</v>
      </c>
      <c r="K21" s="415">
        <f>JI!R138</f>
        <v>2258794</v>
      </c>
      <c r="L21" s="416">
        <f>JI!S138</f>
        <v>399.73320000000001</v>
      </c>
      <c r="M21" s="416">
        <f>JI!T138</f>
        <v>324.50230000000005</v>
      </c>
      <c r="N21" s="423">
        <f>JI!U138</f>
        <v>75.230899999999991</v>
      </c>
      <c r="O21" s="420">
        <f>JI!V138</f>
        <v>0</v>
      </c>
      <c r="P21" s="415">
        <f>JI!W138</f>
        <v>0</v>
      </c>
      <c r="Q21" s="415">
        <f>JI!X138</f>
        <v>0</v>
      </c>
      <c r="R21" s="415">
        <f>JI!Y138</f>
        <v>0</v>
      </c>
      <c r="S21" s="415">
        <f>JI!Z138</f>
        <v>0</v>
      </c>
      <c r="T21" s="415">
        <f>JI!AA138</f>
        <v>5094485</v>
      </c>
      <c r="U21" s="415">
        <f>JI!AB138</f>
        <v>2989</v>
      </c>
      <c r="V21" s="415">
        <f>JI!AC138</f>
        <v>0</v>
      </c>
      <c r="W21" s="415">
        <f>JI!AD138</f>
        <v>2989</v>
      </c>
      <c r="X21" s="415">
        <f>JI!AE138</f>
        <v>5094485</v>
      </c>
      <c r="Y21" s="415">
        <f>JI!AF138</f>
        <v>5097474</v>
      </c>
      <c r="Z21" s="415">
        <f>JI!AG138</f>
        <v>0</v>
      </c>
      <c r="AA21" s="415">
        <f>JI!AH138</f>
        <v>0</v>
      </c>
      <c r="AB21" s="415">
        <f>JI!AI138</f>
        <v>0</v>
      </c>
      <c r="AC21" s="415">
        <f>JI!AJ138</f>
        <v>0</v>
      </c>
      <c r="AD21" s="415">
        <f>JI!AK138</f>
        <v>0</v>
      </c>
      <c r="AE21" s="415">
        <f>JI!AL138</f>
        <v>0</v>
      </c>
      <c r="AF21" s="415">
        <f>JI!AM138</f>
        <v>0</v>
      </c>
      <c r="AG21" s="415">
        <f>JI!AN138</f>
        <v>0</v>
      </c>
      <c r="AH21" s="415">
        <f>JI!AO138</f>
        <v>2989</v>
      </c>
      <c r="AI21" s="415">
        <f>JI!AP138</f>
        <v>5094485</v>
      </c>
      <c r="AJ21" s="415">
        <f>JI!AQ138</f>
        <v>5097474</v>
      </c>
      <c r="AK21" s="415">
        <f>JI!AR138</f>
        <v>1722947</v>
      </c>
      <c r="AL21" s="415">
        <f>JI!AS138</f>
        <v>50977</v>
      </c>
      <c r="AM21" s="415">
        <f>JI!AT138</f>
        <v>61893</v>
      </c>
      <c r="AN21" s="415">
        <f>JI!AU138</f>
        <v>38829</v>
      </c>
      <c r="AO21" s="415">
        <f>JI!AV138</f>
        <v>100722</v>
      </c>
      <c r="AP21" s="415">
        <f>JI!AW138</f>
        <v>6972120</v>
      </c>
      <c r="AQ21" s="416">
        <f>JI!AX138</f>
        <v>0</v>
      </c>
      <c r="AR21" s="416">
        <f>JI!AY138</f>
        <v>0</v>
      </c>
      <c r="AS21" s="416">
        <f>JI!AZ138</f>
        <v>0.13</v>
      </c>
      <c r="AT21" s="416">
        <f>JI!BA138</f>
        <v>0</v>
      </c>
      <c r="AU21" s="416">
        <f>JI!BB138</f>
        <v>15.42</v>
      </c>
      <c r="AV21" s="416">
        <f>JI!BC138</f>
        <v>0</v>
      </c>
      <c r="AW21" s="416">
        <f>JI!BD138</f>
        <v>0</v>
      </c>
      <c r="AX21" s="416">
        <f>JI!BE138</f>
        <v>0</v>
      </c>
      <c r="AY21" s="416">
        <f>JI!BF138</f>
        <v>0.13</v>
      </c>
      <c r="AZ21" s="416">
        <f>JI!BG138</f>
        <v>15.42</v>
      </c>
      <c r="BA21" s="510">
        <f>JI!BH138</f>
        <v>15.549999999999999</v>
      </c>
      <c r="BB21" s="420">
        <f>JI!BI138</f>
        <v>304275460</v>
      </c>
      <c r="BC21" s="415">
        <f>JI!BJ138</f>
        <v>222645186</v>
      </c>
      <c r="BD21" s="415">
        <f>JI!BK138</f>
        <v>192704495</v>
      </c>
      <c r="BE21" s="415">
        <f>JI!BL138</f>
        <v>29940691</v>
      </c>
      <c r="BF21" s="415">
        <f>JI!BM138</f>
        <v>1383629</v>
      </c>
      <c r="BG21" s="415">
        <f>JI!BN138</f>
        <v>954029</v>
      </c>
      <c r="BH21" s="415">
        <f>JI!BO138</f>
        <v>429600</v>
      </c>
      <c r="BI21" s="415">
        <f>JI!BP138</f>
        <v>75660675</v>
      </c>
      <c r="BJ21" s="415">
        <f>JI!BQ138</f>
        <v>2226454</v>
      </c>
      <c r="BK21" s="415">
        <f>JI!BR138</f>
        <v>2359516</v>
      </c>
      <c r="BL21" s="416">
        <f>JI!BS138</f>
        <v>415.28320000000002</v>
      </c>
      <c r="BM21" s="416">
        <f>JI!BT138</f>
        <v>324.63230000000004</v>
      </c>
      <c r="BN21" s="510">
        <f>JI!BU138</f>
        <v>90.650899999999993</v>
      </c>
      <c r="BO21" s="420">
        <f>JI!BV138</f>
        <v>1976708</v>
      </c>
      <c r="BP21" s="415">
        <f>JI!BW138</f>
        <v>1466400</v>
      </c>
      <c r="BQ21" s="415">
        <f>JI!BX138</f>
        <v>0</v>
      </c>
      <c r="BR21" s="415">
        <f>JI!BY138</f>
        <v>495644</v>
      </c>
      <c r="BS21" s="415">
        <f>JI!BZ138</f>
        <v>14664</v>
      </c>
      <c r="BT21" s="510">
        <f>JI!CA138</f>
        <v>2.6</v>
      </c>
    </row>
    <row r="22" spans="1:72" ht="13.5" thickBot="1" x14ac:dyDescent="0.25">
      <c r="A22" s="400" t="s">
        <v>255</v>
      </c>
      <c r="B22" s="968">
        <f>TU!I199</f>
        <v>484427834</v>
      </c>
      <c r="C22" s="969">
        <f>TU!J199</f>
        <v>355017568</v>
      </c>
      <c r="D22" s="969">
        <f>TU!K199</f>
        <v>313284511</v>
      </c>
      <c r="E22" s="969">
        <f>TU!L199</f>
        <v>41733057</v>
      </c>
      <c r="F22" s="969">
        <f>TU!M199</f>
        <v>1425180</v>
      </c>
      <c r="G22" s="969">
        <f>TU!N199</f>
        <v>709660</v>
      </c>
      <c r="H22" s="969">
        <f>TU!O199</f>
        <v>715520</v>
      </c>
      <c r="I22" s="969">
        <f>TU!P199</f>
        <v>120477645</v>
      </c>
      <c r="J22" s="969">
        <f>TU!Q199</f>
        <v>3550178</v>
      </c>
      <c r="K22" s="969">
        <f>TU!R199</f>
        <v>3957263</v>
      </c>
      <c r="L22" s="970">
        <f>TU!S199</f>
        <v>647.09170000000006</v>
      </c>
      <c r="M22" s="970">
        <f>TU!T199</f>
        <v>517.95339999999999</v>
      </c>
      <c r="N22" s="979">
        <f>TU!U199</f>
        <v>129.13830000000002</v>
      </c>
      <c r="O22" s="968">
        <f>TU!V199</f>
        <v>0</v>
      </c>
      <c r="P22" s="969">
        <f>TU!W199</f>
        <v>0</v>
      </c>
      <c r="Q22" s="969">
        <f>TU!X199</f>
        <v>12379</v>
      </c>
      <c r="R22" s="969">
        <f>TU!Y199</f>
        <v>0</v>
      </c>
      <c r="S22" s="969">
        <f>TU!Z199</f>
        <v>0</v>
      </c>
      <c r="T22" s="969">
        <f>TU!AA199</f>
        <v>9894037</v>
      </c>
      <c r="U22" s="969">
        <f>TU!AB199</f>
        <v>0</v>
      </c>
      <c r="V22" s="969">
        <f>TU!AC199</f>
        <v>0</v>
      </c>
      <c r="W22" s="969">
        <f>TU!AD199</f>
        <v>12379</v>
      </c>
      <c r="X22" s="969">
        <f>TU!AE199</f>
        <v>9894037</v>
      </c>
      <c r="Y22" s="969">
        <f>TU!AF199</f>
        <v>9906416</v>
      </c>
      <c r="Z22" s="969">
        <f>TU!AG199</f>
        <v>0</v>
      </c>
      <c r="AA22" s="969">
        <f>TU!AH199</f>
        <v>0</v>
      </c>
      <c r="AB22" s="969">
        <f>TU!AI199</f>
        <v>0</v>
      </c>
      <c r="AC22" s="969">
        <f>TU!AJ199</f>
        <v>0</v>
      </c>
      <c r="AD22" s="969">
        <f>TU!AK199</f>
        <v>0</v>
      </c>
      <c r="AE22" s="969">
        <f>TU!AL199</f>
        <v>0</v>
      </c>
      <c r="AF22" s="969">
        <f>TU!AM199</f>
        <v>0</v>
      </c>
      <c r="AG22" s="969">
        <f>TU!AN199</f>
        <v>0</v>
      </c>
      <c r="AH22" s="969">
        <f>TU!AO199</f>
        <v>12379</v>
      </c>
      <c r="AI22" s="969">
        <f>TU!AP199</f>
        <v>9894037</v>
      </c>
      <c r="AJ22" s="969">
        <f>TU!AQ199</f>
        <v>9906416</v>
      </c>
      <c r="AK22" s="969">
        <f>TU!AR199</f>
        <v>3348366</v>
      </c>
      <c r="AL22" s="969">
        <f>TU!AS199</f>
        <v>99064</v>
      </c>
      <c r="AM22" s="969">
        <f>TU!AT199</f>
        <v>0</v>
      </c>
      <c r="AN22" s="969">
        <f>TU!AU199</f>
        <v>88531</v>
      </c>
      <c r="AO22" s="969">
        <f>TU!AV199</f>
        <v>88531</v>
      </c>
      <c r="AP22" s="969">
        <f>TU!AW199</f>
        <v>13442377</v>
      </c>
      <c r="AQ22" s="970">
        <f>TU!AX199</f>
        <v>0</v>
      </c>
      <c r="AR22" s="970">
        <f>TU!AY199</f>
        <v>0</v>
      </c>
      <c r="AS22" s="970">
        <f>TU!AZ199</f>
        <v>0.03</v>
      </c>
      <c r="AT22" s="970">
        <f>TU!BA199</f>
        <v>0</v>
      </c>
      <c r="AU22" s="970">
        <f>TU!BB199</f>
        <v>29.880000000000006</v>
      </c>
      <c r="AV22" s="970">
        <f>TU!BC199</f>
        <v>0</v>
      </c>
      <c r="AW22" s="970">
        <f>TU!BD199</f>
        <v>0</v>
      </c>
      <c r="AX22" s="970">
        <f>TU!BE199</f>
        <v>0</v>
      </c>
      <c r="AY22" s="970">
        <f>TU!BF199</f>
        <v>0.03</v>
      </c>
      <c r="AZ22" s="970">
        <f>TU!BG199</f>
        <v>29.880000000000003</v>
      </c>
      <c r="BA22" s="971">
        <f>TU!BH199</f>
        <v>29.910000000000004</v>
      </c>
      <c r="BB22" s="968">
        <f>TU!BI199</f>
        <v>497870211</v>
      </c>
      <c r="BC22" s="969">
        <f>TU!BJ199</f>
        <v>364923984</v>
      </c>
      <c r="BD22" s="969">
        <f>TU!BK199</f>
        <v>313296890</v>
      </c>
      <c r="BE22" s="969">
        <f>TU!BL199</f>
        <v>51627094</v>
      </c>
      <c r="BF22" s="969">
        <f>TU!BM199</f>
        <v>1425180</v>
      </c>
      <c r="BG22" s="969">
        <f>TU!BN199</f>
        <v>709660</v>
      </c>
      <c r="BH22" s="969">
        <f>TU!BO199</f>
        <v>715520</v>
      </c>
      <c r="BI22" s="969">
        <f>TU!BP199</f>
        <v>123826011</v>
      </c>
      <c r="BJ22" s="969">
        <f>TU!BQ199</f>
        <v>3649242</v>
      </c>
      <c r="BK22" s="969">
        <f>TU!BR199</f>
        <v>4045794</v>
      </c>
      <c r="BL22" s="970">
        <f>TU!BS199</f>
        <v>677.00170000000003</v>
      </c>
      <c r="BM22" s="970">
        <f>TU!BT199</f>
        <v>517.98339999999996</v>
      </c>
      <c r="BN22" s="971">
        <f>TU!BU199</f>
        <v>159.01829999999998</v>
      </c>
      <c r="BO22" s="968">
        <f>TU!BV199</f>
        <v>3193142</v>
      </c>
      <c r="BP22" s="969">
        <f>TU!BW199</f>
        <v>2368800</v>
      </c>
      <c r="BQ22" s="969">
        <f>TU!BX199</f>
        <v>0</v>
      </c>
      <c r="BR22" s="969">
        <f>TU!BY199</f>
        <v>800654</v>
      </c>
      <c r="BS22" s="969">
        <f>TU!BZ199</f>
        <v>23688</v>
      </c>
      <c r="BT22" s="971">
        <f>TU!CA199</f>
        <v>4.2</v>
      </c>
    </row>
    <row r="23" spans="1:72" s="3" customFormat="1" ht="13.5" thickBot="1" x14ac:dyDescent="0.25">
      <c r="A23" s="178" t="s">
        <v>256</v>
      </c>
      <c r="B23" s="972">
        <f>SUM(B13:B22)</f>
        <v>5885107845</v>
      </c>
      <c r="C23" s="973">
        <f t="shared" ref="C23:N23" si="0">SUM(C13:C22)</f>
        <v>4306295906</v>
      </c>
      <c r="D23" s="973">
        <f t="shared" si="0"/>
        <v>3837165935</v>
      </c>
      <c r="E23" s="973">
        <f t="shared" si="0"/>
        <v>469129971</v>
      </c>
      <c r="F23" s="973">
        <f t="shared" si="0"/>
        <v>23504552</v>
      </c>
      <c r="G23" s="973">
        <f t="shared" si="0"/>
        <v>15588039</v>
      </c>
      <c r="H23" s="973">
        <f t="shared" si="0"/>
        <v>7916513</v>
      </c>
      <c r="I23" s="973">
        <f t="shared" si="0"/>
        <v>1463144478</v>
      </c>
      <c r="J23" s="973">
        <f t="shared" si="0"/>
        <v>43062968</v>
      </c>
      <c r="K23" s="973">
        <f t="shared" si="0"/>
        <v>49099941</v>
      </c>
      <c r="L23" s="974">
        <f t="shared" si="0"/>
        <v>7848.1258999999991</v>
      </c>
      <c r="M23" s="974">
        <f t="shared" si="0"/>
        <v>6403.8159000000014</v>
      </c>
      <c r="N23" s="980">
        <f t="shared" si="0"/>
        <v>1444.31</v>
      </c>
      <c r="O23" s="972">
        <f t="shared" ref="O23:BN23" si="1">SUM(O13:O22)</f>
        <v>0</v>
      </c>
      <c r="P23" s="973">
        <f t="shared" si="1"/>
        <v>0</v>
      </c>
      <c r="Q23" s="973">
        <f t="shared" si="1"/>
        <v>-2186903</v>
      </c>
      <c r="R23" s="973">
        <f t="shared" si="1"/>
        <v>0</v>
      </c>
      <c r="S23" s="973">
        <f t="shared" si="1"/>
        <v>0</v>
      </c>
      <c r="T23" s="973">
        <f t="shared" si="1"/>
        <v>107720524</v>
      </c>
      <c r="U23" s="973">
        <f t="shared" si="1"/>
        <v>-429227</v>
      </c>
      <c r="V23" s="973">
        <f t="shared" si="1"/>
        <v>376708</v>
      </c>
      <c r="W23" s="973">
        <f t="shared" si="1"/>
        <v>-2616130</v>
      </c>
      <c r="X23" s="973">
        <f t="shared" si="1"/>
        <v>108097232</v>
      </c>
      <c r="Y23" s="973">
        <f t="shared" si="1"/>
        <v>105481102</v>
      </c>
      <c r="Z23" s="973">
        <f t="shared" si="1"/>
        <v>0</v>
      </c>
      <c r="AA23" s="973">
        <f t="shared" si="1"/>
        <v>0</v>
      </c>
      <c r="AB23" s="973">
        <f t="shared" si="1"/>
        <v>0</v>
      </c>
      <c r="AC23" s="973">
        <f t="shared" si="1"/>
        <v>127198</v>
      </c>
      <c r="AD23" s="973">
        <f t="shared" si="1"/>
        <v>0</v>
      </c>
      <c r="AE23" s="973">
        <f t="shared" si="1"/>
        <v>127198</v>
      </c>
      <c r="AF23" s="973">
        <f t="shared" si="1"/>
        <v>0</v>
      </c>
      <c r="AG23" s="973">
        <f t="shared" si="1"/>
        <v>127198</v>
      </c>
      <c r="AH23" s="973">
        <f t="shared" si="1"/>
        <v>-2488932</v>
      </c>
      <c r="AI23" s="973">
        <f t="shared" si="1"/>
        <v>108097232</v>
      </c>
      <c r="AJ23" s="973">
        <f t="shared" si="1"/>
        <v>105608300</v>
      </c>
      <c r="AK23" s="973">
        <f t="shared" si="1"/>
        <v>35652612</v>
      </c>
      <c r="AL23" s="973">
        <f t="shared" si="1"/>
        <v>1054808</v>
      </c>
      <c r="AM23" s="973">
        <f t="shared" si="1"/>
        <v>94793</v>
      </c>
      <c r="AN23" s="973">
        <f t="shared" si="1"/>
        <v>952781</v>
      </c>
      <c r="AO23" s="973">
        <f t="shared" si="1"/>
        <v>1047574</v>
      </c>
      <c r="AP23" s="973">
        <f t="shared" si="1"/>
        <v>143363294</v>
      </c>
      <c r="AQ23" s="974">
        <f t="shared" si="1"/>
        <v>0</v>
      </c>
      <c r="AR23" s="974">
        <f t="shared" si="1"/>
        <v>0</v>
      </c>
      <c r="AS23" s="974">
        <f>SUM(AS13:AS22)</f>
        <v>-5.6099999999999994</v>
      </c>
      <c r="AT23" s="974">
        <f t="shared" si="1"/>
        <v>0</v>
      </c>
      <c r="AU23" s="974">
        <f t="shared" si="1"/>
        <v>326.69</v>
      </c>
      <c r="AV23" s="974">
        <f t="shared" si="1"/>
        <v>0</v>
      </c>
      <c r="AW23" s="974">
        <f t="shared" si="1"/>
        <v>-0.75</v>
      </c>
      <c r="AX23" s="974">
        <f t="shared" si="1"/>
        <v>0.20999999999999996</v>
      </c>
      <c r="AY23" s="974">
        <f t="shared" si="1"/>
        <v>-6.3599999999999994</v>
      </c>
      <c r="AZ23" s="974">
        <f t="shared" si="1"/>
        <v>326.89999999999998</v>
      </c>
      <c r="BA23" s="981">
        <f t="shared" si="1"/>
        <v>320.54000000000008</v>
      </c>
      <c r="BB23" s="972">
        <f t="shared" si="1"/>
        <v>6028471139</v>
      </c>
      <c r="BC23" s="973">
        <f t="shared" si="1"/>
        <v>4411777008</v>
      </c>
      <c r="BD23" s="973">
        <f t="shared" si="1"/>
        <v>3834549805</v>
      </c>
      <c r="BE23" s="973">
        <f t="shared" si="1"/>
        <v>577227203</v>
      </c>
      <c r="BF23" s="973">
        <f t="shared" si="1"/>
        <v>23631750</v>
      </c>
      <c r="BG23" s="973">
        <f t="shared" si="1"/>
        <v>15715237</v>
      </c>
      <c r="BH23" s="973">
        <f t="shared" si="1"/>
        <v>7916513</v>
      </c>
      <c r="BI23" s="973">
        <f t="shared" si="1"/>
        <v>1498797090</v>
      </c>
      <c r="BJ23" s="973">
        <f t="shared" si="1"/>
        <v>44117776</v>
      </c>
      <c r="BK23" s="973">
        <f t="shared" si="1"/>
        <v>50147515</v>
      </c>
      <c r="BL23" s="974">
        <f t="shared" si="1"/>
        <v>8168.6659</v>
      </c>
      <c r="BM23" s="974">
        <f t="shared" si="1"/>
        <v>6397.4559000000008</v>
      </c>
      <c r="BN23" s="981">
        <f t="shared" si="1"/>
        <v>1771.21</v>
      </c>
      <c r="BO23" s="983">
        <f t="shared" ref="BO23:BT23" si="2">SUM(BO13:BO22)</f>
        <v>29850633</v>
      </c>
      <c r="BP23" s="975">
        <f t="shared" si="2"/>
        <v>20642400</v>
      </c>
      <c r="BQ23" s="975">
        <f t="shared" si="2"/>
        <v>1513212</v>
      </c>
      <c r="BR23" s="975">
        <f t="shared" si="2"/>
        <v>7488597</v>
      </c>
      <c r="BS23" s="975">
        <f t="shared" si="2"/>
        <v>206424</v>
      </c>
      <c r="BT23" s="976">
        <f t="shared" si="2"/>
        <v>36.6</v>
      </c>
    </row>
    <row r="24" spans="1:72" x14ac:dyDescent="0.2">
      <c r="A24" s="20" t="s">
        <v>257</v>
      </c>
      <c r="B24" s="428">
        <f>C23+F23+I23+J23+K23</f>
        <v>5885107845</v>
      </c>
      <c r="C24" s="428">
        <f>SUM(D23:E23)</f>
        <v>4306295906</v>
      </c>
      <c r="D24" s="428"/>
      <c r="E24" s="428"/>
      <c r="F24" s="428">
        <f>SUM(G23:H23)</f>
        <v>23504552</v>
      </c>
      <c r="G24" s="428"/>
      <c r="H24" s="428"/>
      <c r="I24" s="428"/>
      <c r="J24" s="428"/>
      <c r="K24" s="428"/>
      <c r="L24" s="429">
        <f>SUM(M23:N23)</f>
        <v>7848.1259000000009</v>
      </c>
      <c r="M24" s="429"/>
      <c r="N24" s="429"/>
      <c r="O24" s="428">
        <f>Z23</f>
        <v>0</v>
      </c>
      <c r="P24" s="428">
        <f>AA23</f>
        <v>0</v>
      </c>
      <c r="Q24" s="429"/>
      <c r="R24" s="429"/>
      <c r="S24" s="429"/>
      <c r="T24" s="429"/>
      <c r="U24" s="429"/>
      <c r="V24" s="429"/>
      <c r="W24" s="430"/>
      <c r="X24" s="430"/>
      <c r="Y24" s="430">
        <f>SUM(W23:X23)</f>
        <v>105481102</v>
      </c>
      <c r="Z24" s="430">
        <f>O23</f>
        <v>0</v>
      </c>
      <c r="AA24" s="430">
        <f>P23</f>
        <v>0</v>
      </c>
      <c r="AB24" s="431"/>
      <c r="AC24" s="431"/>
      <c r="AD24" s="431"/>
      <c r="AE24" s="430"/>
      <c r="AF24" s="430"/>
      <c r="AG24" s="430">
        <f>SUM(AE23:AF23)</f>
        <v>127198</v>
      </c>
      <c r="AH24" s="430"/>
      <c r="AI24" s="430"/>
      <c r="AJ24" s="430">
        <f>SUM(AH23:AI23)</f>
        <v>105608300</v>
      </c>
      <c r="AK24" s="432"/>
      <c r="AL24" s="432"/>
      <c r="AM24" s="431"/>
      <c r="AN24" s="431"/>
      <c r="AO24" s="430">
        <f>SUM(AM23:AN23)</f>
        <v>1047574</v>
      </c>
      <c r="AP24" s="430">
        <f>Y23+AG23+AK23+AL23+AO23</f>
        <v>143363294</v>
      </c>
      <c r="AQ24" s="433"/>
      <c r="AR24" s="433"/>
      <c r="AS24" s="433"/>
      <c r="AT24" s="433"/>
      <c r="AU24" s="433"/>
      <c r="AV24" s="433"/>
      <c r="AW24" s="433"/>
      <c r="AX24" s="433"/>
      <c r="AY24" s="508">
        <f>AQ23+AS23+AT23+AV23+AW23</f>
        <v>-6.3599999999999994</v>
      </c>
      <c r="AZ24" s="508">
        <f>AR23+AU23+AX23</f>
        <v>326.89999999999998</v>
      </c>
      <c r="BA24" s="508">
        <f>SUM(AY23:AZ23)</f>
        <v>320.53999999999996</v>
      </c>
      <c r="BB24" s="428">
        <f>BC23+BF23+BI23+BJ23+BK23</f>
        <v>6028471139</v>
      </c>
      <c r="BC24" s="428">
        <f>SUM(BD23:BE23)</f>
        <v>4411777008</v>
      </c>
      <c r="BD24" s="430">
        <f>D23+W23</f>
        <v>3834549805</v>
      </c>
      <c r="BE24" s="430">
        <f>E23+X23</f>
        <v>577227203</v>
      </c>
      <c r="BF24" s="86">
        <f>SUM(BG23:BH23)</f>
        <v>23631750</v>
      </c>
      <c r="BG24" s="430">
        <f>G23+AE23</f>
        <v>15715237</v>
      </c>
      <c r="BH24" s="430">
        <f>H23+AF23</f>
        <v>7916513</v>
      </c>
      <c r="BI24" s="430">
        <f>I23+AK23</f>
        <v>1498797090</v>
      </c>
      <c r="BJ24" s="430">
        <f>J23+AL23</f>
        <v>44117776</v>
      </c>
      <c r="BK24" s="430">
        <f>K23+AO23</f>
        <v>50147515</v>
      </c>
      <c r="BL24" s="429">
        <f>SUM(BM23:BN23)</f>
        <v>8168.6659000000009</v>
      </c>
      <c r="BM24" s="508">
        <f>M23+AY23</f>
        <v>6397.4559000000017</v>
      </c>
      <c r="BN24" s="508">
        <f>N23+AZ23</f>
        <v>1771.21</v>
      </c>
      <c r="BO24" s="235">
        <f>SUM(BP23:BS23)</f>
        <v>29850633</v>
      </c>
      <c r="BP24" s="8"/>
      <c r="BQ24" s="8"/>
      <c r="BR24" s="8"/>
      <c r="BS24" s="8"/>
    </row>
    <row r="25" spans="1:72" ht="13.5" thickBot="1" x14ac:dyDescent="0.25">
      <c r="A25" s="20"/>
      <c r="B25" s="428">
        <f>C26+F26+I26+J26+K26</f>
        <v>5885107845</v>
      </c>
      <c r="C25" s="428">
        <f>SUM(D26:E26)</f>
        <v>4306295906</v>
      </c>
      <c r="D25" s="428"/>
      <c r="E25" s="428"/>
      <c r="F25" s="428">
        <f>SUM(G26:H26)</f>
        <v>23504552</v>
      </c>
      <c r="G25" s="428"/>
      <c r="H25" s="428"/>
      <c r="I25" s="428"/>
      <c r="J25" s="428"/>
      <c r="K25" s="428"/>
      <c r="L25" s="429">
        <f>SUM(M26:N26)</f>
        <v>7848.1259</v>
      </c>
      <c r="M25" s="429"/>
      <c r="N25" s="429"/>
      <c r="O25" s="428">
        <f>Z26</f>
        <v>0</v>
      </c>
      <c r="P25" s="428">
        <f>AA26</f>
        <v>0</v>
      </c>
      <c r="Q25" s="429"/>
      <c r="R25" s="429"/>
      <c r="S25" s="429"/>
      <c r="T25" s="429"/>
      <c r="U25" s="429"/>
      <c r="V25" s="429"/>
      <c r="W25" s="430"/>
      <c r="X25" s="430"/>
      <c r="Y25" s="430">
        <f>SUM(W26:X26)</f>
        <v>105481102</v>
      </c>
      <c r="Z25" s="430"/>
      <c r="AA25" s="430"/>
      <c r="AB25" s="431"/>
      <c r="AC25" s="431"/>
      <c r="AD25" s="431"/>
      <c r="AE25" s="430"/>
      <c r="AF25" s="430"/>
      <c r="AG25" s="430">
        <f>SUM(AE26:AF26)</f>
        <v>127198</v>
      </c>
      <c r="AH25" s="430"/>
      <c r="AI25" s="430"/>
      <c r="AJ25" s="430">
        <f>SUM(AH26:AI26)</f>
        <v>105608300</v>
      </c>
      <c r="AK25" s="432"/>
      <c r="AL25" s="432"/>
      <c r="AM25" s="431"/>
      <c r="AN25" s="431"/>
      <c r="AO25" s="430">
        <f>SUM(AM26:AN26)</f>
        <v>1047574</v>
      </c>
      <c r="AP25" s="430">
        <f>Y26+AG26+AK26+AL26+AO26</f>
        <v>143363294</v>
      </c>
      <c r="AQ25" s="433"/>
      <c r="AR25" s="433"/>
      <c r="AS25" s="433"/>
      <c r="AT25" s="433"/>
      <c r="AU25" s="433"/>
      <c r="AV25" s="433"/>
      <c r="AW25" s="433"/>
      <c r="AX25" s="433"/>
      <c r="AY25" s="508">
        <f>AQ26+AS26+AT26+AV26+AW26</f>
        <v>-6.36</v>
      </c>
      <c r="AZ25" s="508">
        <f>AR26+AU26+AX26</f>
        <v>326.89999999999992</v>
      </c>
      <c r="BA25" s="508">
        <f>SUM(AY26:AZ26)</f>
        <v>320.53999999999996</v>
      </c>
      <c r="BB25" s="428">
        <f>BC26+BF26+BI26+BJ26+BK26</f>
        <v>6028471139</v>
      </c>
      <c r="BC25" s="428">
        <f>SUM(BD26:BE26)</f>
        <v>4411777008</v>
      </c>
      <c r="BD25" s="53"/>
      <c r="BE25" s="53"/>
      <c r="BF25" s="86">
        <f>SUM(BG26:BH26)</f>
        <v>23631750</v>
      </c>
      <c r="BG25" s="53"/>
      <c r="BH25" s="53"/>
      <c r="BI25" s="53"/>
      <c r="BJ25" s="53"/>
      <c r="BK25" s="53"/>
      <c r="BL25" s="429">
        <f>SUM(BM26:BN26)</f>
        <v>8168.6659000000009</v>
      </c>
      <c r="BM25" s="87"/>
      <c r="BN25" s="87"/>
      <c r="BO25" s="235">
        <f>SUM(BP26:BS26)</f>
        <v>29850633</v>
      </c>
      <c r="BP25" s="8"/>
      <c r="BQ25" s="8"/>
      <c r="BR25" s="8"/>
      <c r="BS25" s="8"/>
    </row>
    <row r="26" spans="1:72" ht="13.5" thickBot="1" x14ac:dyDescent="0.25">
      <c r="A26" s="22" t="s">
        <v>0</v>
      </c>
      <c r="B26" s="755">
        <f>SUM(B27:B36)</f>
        <v>5885107845</v>
      </c>
      <c r="C26" s="756">
        <f t="shared" ref="C26:N26" si="3">SUM(C27:C36)</f>
        <v>4306295906</v>
      </c>
      <c r="D26" s="756">
        <f t="shared" si="3"/>
        <v>3837165935</v>
      </c>
      <c r="E26" s="756">
        <f t="shared" si="3"/>
        <v>469129971</v>
      </c>
      <c r="F26" s="756">
        <f t="shared" si="3"/>
        <v>23504552</v>
      </c>
      <c r="G26" s="756">
        <f t="shared" si="3"/>
        <v>15588039</v>
      </c>
      <c r="H26" s="756">
        <f t="shared" si="3"/>
        <v>7916513</v>
      </c>
      <c r="I26" s="756">
        <f t="shared" si="3"/>
        <v>1463144478</v>
      </c>
      <c r="J26" s="756">
        <f t="shared" si="3"/>
        <v>43062968</v>
      </c>
      <c r="K26" s="756">
        <f t="shared" si="3"/>
        <v>49099941</v>
      </c>
      <c r="L26" s="757">
        <f t="shared" si="3"/>
        <v>7848.1259000000009</v>
      </c>
      <c r="M26" s="757">
        <f t="shared" si="3"/>
        <v>6403.8159000000005</v>
      </c>
      <c r="N26" s="762">
        <f t="shared" si="3"/>
        <v>1444.3099999999997</v>
      </c>
      <c r="O26" s="755">
        <f t="shared" ref="O26:BN26" si="4">SUM(O27:O36)</f>
        <v>0</v>
      </c>
      <c r="P26" s="756">
        <f t="shared" si="4"/>
        <v>0</v>
      </c>
      <c r="Q26" s="756">
        <f t="shared" si="4"/>
        <v>-2186903</v>
      </c>
      <c r="R26" s="756">
        <f t="shared" si="4"/>
        <v>0</v>
      </c>
      <c r="S26" s="756">
        <f t="shared" si="4"/>
        <v>0</v>
      </c>
      <c r="T26" s="756">
        <f t="shared" si="4"/>
        <v>107720524</v>
      </c>
      <c r="U26" s="756">
        <f t="shared" si="4"/>
        <v>-429227</v>
      </c>
      <c r="V26" s="756">
        <f t="shared" si="4"/>
        <v>376708</v>
      </c>
      <c r="W26" s="756">
        <f t="shared" si="4"/>
        <v>-2616130</v>
      </c>
      <c r="X26" s="756">
        <f t="shared" si="4"/>
        <v>108097232</v>
      </c>
      <c r="Y26" s="756">
        <f t="shared" si="4"/>
        <v>105481102</v>
      </c>
      <c r="Z26" s="756">
        <f t="shared" si="4"/>
        <v>0</v>
      </c>
      <c r="AA26" s="756">
        <f t="shared" si="4"/>
        <v>0</v>
      </c>
      <c r="AB26" s="756">
        <f t="shared" si="4"/>
        <v>0</v>
      </c>
      <c r="AC26" s="756">
        <f t="shared" si="4"/>
        <v>127198</v>
      </c>
      <c r="AD26" s="756">
        <f t="shared" si="4"/>
        <v>0</v>
      </c>
      <c r="AE26" s="756">
        <f t="shared" si="4"/>
        <v>127198</v>
      </c>
      <c r="AF26" s="756">
        <f t="shared" si="4"/>
        <v>0</v>
      </c>
      <c r="AG26" s="756">
        <f t="shared" si="4"/>
        <v>127198</v>
      </c>
      <c r="AH26" s="756">
        <f t="shared" si="4"/>
        <v>-2488932</v>
      </c>
      <c r="AI26" s="756">
        <f t="shared" si="4"/>
        <v>108097232</v>
      </c>
      <c r="AJ26" s="756">
        <f t="shared" si="4"/>
        <v>105608300</v>
      </c>
      <c r="AK26" s="756">
        <f t="shared" si="4"/>
        <v>35652612</v>
      </c>
      <c r="AL26" s="756">
        <f t="shared" si="4"/>
        <v>1054808</v>
      </c>
      <c r="AM26" s="756">
        <f t="shared" si="4"/>
        <v>94793</v>
      </c>
      <c r="AN26" s="756">
        <f t="shared" si="4"/>
        <v>952781</v>
      </c>
      <c r="AO26" s="756">
        <f t="shared" si="4"/>
        <v>1047574</v>
      </c>
      <c r="AP26" s="756">
        <f t="shared" si="4"/>
        <v>143363294</v>
      </c>
      <c r="AQ26" s="757">
        <f t="shared" si="4"/>
        <v>0</v>
      </c>
      <c r="AR26" s="757">
        <f t="shared" si="4"/>
        <v>0</v>
      </c>
      <c r="AS26" s="757">
        <f t="shared" si="4"/>
        <v>-5.61</v>
      </c>
      <c r="AT26" s="757">
        <f t="shared" si="4"/>
        <v>0</v>
      </c>
      <c r="AU26" s="757">
        <f t="shared" si="4"/>
        <v>326.68999999999994</v>
      </c>
      <c r="AV26" s="757">
        <f t="shared" si="4"/>
        <v>0</v>
      </c>
      <c r="AW26" s="757">
        <f t="shared" si="4"/>
        <v>-0.75</v>
      </c>
      <c r="AX26" s="757">
        <f t="shared" si="4"/>
        <v>0.20999999999999996</v>
      </c>
      <c r="AY26" s="757">
        <f t="shared" si="4"/>
        <v>-6.36</v>
      </c>
      <c r="AZ26" s="757">
        <f t="shared" si="4"/>
        <v>326.89999999999998</v>
      </c>
      <c r="BA26" s="790">
        <f t="shared" si="4"/>
        <v>320.53999999999996</v>
      </c>
      <c r="BB26" s="755">
        <f t="shared" si="4"/>
        <v>6028471139</v>
      </c>
      <c r="BC26" s="756">
        <f t="shared" si="4"/>
        <v>4411777008</v>
      </c>
      <c r="BD26" s="756">
        <f t="shared" si="4"/>
        <v>3834549805</v>
      </c>
      <c r="BE26" s="756">
        <f t="shared" si="4"/>
        <v>577227203</v>
      </c>
      <c r="BF26" s="756">
        <f t="shared" si="4"/>
        <v>23631750</v>
      </c>
      <c r="BG26" s="756">
        <f t="shared" si="4"/>
        <v>15715237</v>
      </c>
      <c r="BH26" s="756">
        <f t="shared" si="4"/>
        <v>7916513</v>
      </c>
      <c r="BI26" s="756">
        <f t="shared" si="4"/>
        <v>1498797090</v>
      </c>
      <c r="BJ26" s="756">
        <f t="shared" si="4"/>
        <v>44117776</v>
      </c>
      <c r="BK26" s="756">
        <f t="shared" si="4"/>
        <v>50147515</v>
      </c>
      <c r="BL26" s="757">
        <f t="shared" si="4"/>
        <v>8168.6659</v>
      </c>
      <c r="BM26" s="757">
        <f t="shared" si="4"/>
        <v>6397.4559000000008</v>
      </c>
      <c r="BN26" s="790">
        <f t="shared" si="4"/>
        <v>1771.2099999999998</v>
      </c>
      <c r="BO26" s="982">
        <f t="shared" ref="BO26:BT26" si="5">SUM(BO27:BO36)</f>
        <v>29850633</v>
      </c>
      <c r="BP26" s="977">
        <f t="shared" si="5"/>
        <v>20642400</v>
      </c>
      <c r="BQ26" s="977">
        <f t="shared" si="5"/>
        <v>1513212</v>
      </c>
      <c r="BR26" s="977">
        <f t="shared" si="5"/>
        <v>7488597</v>
      </c>
      <c r="BS26" s="977">
        <f t="shared" si="5"/>
        <v>206424</v>
      </c>
      <c r="BT26" s="978">
        <f t="shared" si="5"/>
        <v>36.6</v>
      </c>
    </row>
    <row r="27" spans="1:72" x14ac:dyDescent="0.2">
      <c r="A27" s="1">
        <v>3111</v>
      </c>
      <c r="B27" s="668">
        <f>LB!I469+FR!I133+JN!I196+TA!I104+ŽB!I78+ČL!I297+NB!I128+SM!I170+JI!I142+TU!I203</f>
        <v>1270575090</v>
      </c>
      <c r="C27" s="669">
        <f>LB!J469+FR!J133+JN!J196+TA!J104+ŽB!J78+ČL!J297+NB!J128+SM!J170+JI!J142+TU!J203</f>
        <v>935905862</v>
      </c>
      <c r="D27" s="669">
        <f>LB!K469+FR!K133+JN!K196+TA!K104+ŽB!K78+ČL!K297+NB!K128+SM!K170+JI!K142+TU!K203</f>
        <v>867057198</v>
      </c>
      <c r="E27" s="669">
        <f>LB!L469+FR!L133+JN!L196+TA!L104+ŽB!L78+ČL!L297+NB!L128+SM!L170+JI!L142+TU!L203</f>
        <v>68848664</v>
      </c>
      <c r="F27" s="669">
        <f>LB!M469+FR!M133+JN!M196+TA!M104+ŽB!M78+ČL!M297+NB!M128+SM!M170+JI!M142+TU!M203</f>
        <v>3789267</v>
      </c>
      <c r="G27" s="669">
        <f>LB!N469+FR!N133+JN!N196+TA!N104+ŽB!N78+ČL!N297+NB!N128+SM!N170+JI!N142+TU!N203</f>
        <v>2126442</v>
      </c>
      <c r="H27" s="669">
        <f>LB!O469+FR!O133+JN!O196+TA!O104+ŽB!O78+ČL!O297+NB!O128+SM!O170+JI!O142+TU!O203</f>
        <v>1662825</v>
      </c>
      <c r="I27" s="669">
        <f>LB!P469+FR!P133+JN!P196+TA!P104+ŽB!P78+ČL!P297+NB!P128+SM!P170+JI!P142+TU!P203</f>
        <v>317463545</v>
      </c>
      <c r="J27" s="669">
        <f>LB!Q469+FR!Q133+JN!Q196+TA!Q104+ŽB!Q78+ČL!Q297+NB!Q128+SM!Q170+JI!Q142+TU!Q203</f>
        <v>9359061</v>
      </c>
      <c r="K27" s="669">
        <f>LB!R469+FR!R133+JN!R196+TA!R104+ŽB!R78+ČL!R297+NB!R128+SM!R170+JI!R142+TU!R203</f>
        <v>4057355</v>
      </c>
      <c r="L27" s="670">
        <f>LB!S469+FR!S133+JN!S196+TA!S104+ŽB!S78+ČL!S297+NB!S128+SM!S170+JI!S142+TU!S203</f>
        <v>1812.3405000000002</v>
      </c>
      <c r="M27" s="670">
        <f>LB!T469+FR!T133+JN!T196+TA!T104+ŽB!T78+ČL!T297+NB!T128+SM!T170+JI!T142+TU!T203</f>
        <v>1568.2267999999999</v>
      </c>
      <c r="N27" s="791">
        <f>LB!U469+FR!U133+JN!U196+TA!U104+ŽB!U78+ČL!U297+NB!U128+SM!U170+JI!U142+TU!U203</f>
        <v>244.11369999999999</v>
      </c>
      <c r="O27" s="668">
        <f>LB!V469+FR!V133+JN!V196+TA!V104+ŽB!V78+ČL!V297+NB!V128+SM!V170+JI!V142+TU!V203</f>
        <v>0</v>
      </c>
      <c r="P27" s="669">
        <f>LB!W469+FR!W133+JN!W196+TA!W104+ŽB!W78+ČL!W297+NB!W128+SM!W170+JI!W142+TU!W203</f>
        <v>0</v>
      </c>
      <c r="Q27" s="669">
        <f>LB!X469+FR!X133+JN!X196+TA!X104+ŽB!X78+ČL!X297+NB!X128+SM!X170+JI!X142+TU!X203</f>
        <v>-213757</v>
      </c>
      <c r="R27" s="669">
        <f>LB!Y469+FR!Y133+JN!Y196+TA!Y104+ŽB!Y78+ČL!Y297+NB!Y128+SM!Y170+JI!Y142+TU!Y203</f>
        <v>0</v>
      </c>
      <c r="S27" s="669">
        <f>LB!Z469+FR!Z133+JN!Z196+TA!Z104+ŽB!Z78+ČL!Z297+NB!Z128+SM!Z170+JI!Z142+TU!Z203</f>
        <v>0</v>
      </c>
      <c r="T27" s="669">
        <f>LB!AA469+FR!AA133+JN!AA196+TA!AA104+ŽB!AA78+ČL!AA297+NB!AA128+SM!AA170+JI!AA142+TU!AA203</f>
        <v>0</v>
      </c>
      <c r="U27" s="669">
        <f>LB!AB469+FR!AB133+JN!AB196+TA!AB104+ŽB!AB78+ČL!AB297+NB!AB128+SM!AB170+JI!AB142+TU!AB203</f>
        <v>-432216</v>
      </c>
      <c r="V27" s="669">
        <f>LB!AC469+FR!AC133+JN!AC196+TA!AC104+ŽB!AC78+ČL!AC297+NB!AC128+SM!AC170+JI!AC142+TU!AC203</f>
        <v>-41253</v>
      </c>
      <c r="W27" s="669">
        <f>LB!AD469+FR!AD133+JN!AD196+TA!AD104+ŽB!AD78+ČL!AD297+NB!AD128+SM!AD170+JI!AD142+TU!AD203</f>
        <v>-645973</v>
      </c>
      <c r="X27" s="669">
        <f>LB!AE469+FR!AE133+JN!AE196+TA!AE104+ŽB!AE78+ČL!AE297+NB!AE128+SM!AE170+JI!AE142+TU!AE203</f>
        <v>-41253</v>
      </c>
      <c r="Y27" s="669">
        <f>LB!AF469+FR!AF133+JN!AF196+TA!AF104+ŽB!AF78+ČL!AF297+NB!AF128+SM!AF170+JI!AF142+TU!AF203</f>
        <v>-687226</v>
      </c>
      <c r="Z27" s="669">
        <f>LB!AG469+FR!AG133+JN!AG196+TA!AG104+ŽB!AG78+ČL!AG297+NB!AG128+SM!AG170+JI!AG142+TU!AG203</f>
        <v>0</v>
      </c>
      <c r="AA27" s="669">
        <f>LB!AH469+FR!AH133+JN!AH196+TA!AH104+ŽB!AH78+ČL!AH297+NB!AH128+SM!AH170+JI!AH142+TU!AH203</f>
        <v>0</v>
      </c>
      <c r="AB27" s="669">
        <f>LB!AI469+FR!AI133+JN!AI196+TA!AI104+ŽB!AI78+ČL!AI297+NB!AI128+SM!AI170+JI!AI142+TU!AI203</f>
        <v>0</v>
      </c>
      <c r="AC27" s="669">
        <f>LB!AJ469+FR!AJ133+JN!AJ196+TA!AJ104+ŽB!AJ78+ČL!AJ297+NB!AJ128+SM!AJ170+JI!AJ142+TU!AJ203</f>
        <v>127198</v>
      </c>
      <c r="AD27" s="669">
        <f>LB!AK469+FR!AK133+JN!AK196+TA!AK104+ŽB!AK78+ČL!AK297+NB!AK128+SM!AK170+JI!AK142+TU!AK203</f>
        <v>0</v>
      </c>
      <c r="AE27" s="669">
        <f>LB!AL469+FR!AL133+JN!AL196+TA!AL104+ŽB!AL78+ČL!AL297+NB!AL128+SM!AL170+JI!AL142+TU!AL203</f>
        <v>127198</v>
      </c>
      <c r="AF27" s="669">
        <f>LB!AM469+FR!AM133+JN!AM196+TA!AM104+ŽB!AM78+ČL!AM297+NB!AM128+SM!AM170+JI!AM142+TU!AM203</f>
        <v>0</v>
      </c>
      <c r="AG27" s="669">
        <f>LB!AN469+FR!AN133+JN!AN196+TA!AN104+ŽB!AN78+ČL!AN297+NB!AN128+SM!AN170+JI!AN142+TU!AN203</f>
        <v>127198</v>
      </c>
      <c r="AH27" s="669">
        <f>LB!AO469+FR!AO133+JN!AO196+TA!AO104+ŽB!AO78+ČL!AO297+NB!AO128+SM!AO170+JI!AO142+TU!AO203</f>
        <v>-518775</v>
      </c>
      <c r="AI27" s="669">
        <f>LB!AP469+FR!AP133+JN!AP196+TA!AP104+ŽB!AP78+ČL!AP297+NB!AP128+SM!AP170+JI!AP142+TU!AP203</f>
        <v>-41253</v>
      </c>
      <c r="AJ27" s="669">
        <f>LB!AQ469+FR!AQ133+JN!AQ196+TA!AQ104+ŽB!AQ78+ČL!AQ297+NB!AQ128+SM!AQ170+JI!AQ142+TU!AQ203</f>
        <v>-560028</v>
      </c>
      <c r="AK27" s="669">
        <f>LB!AR469+FR!AR133+JN!AR196+TA!AR104+ŽB!AR78+ČL!AR297+NB!AR128+SM!AR170+JI!AR142+TU!AR203</f>
        <v>-232283</v>
      </c>
      <c r="AL27" s="669">
        <f>LB!AS469+FR!AS133+JN!AS196+TA!AS104+ŽB!AS78+ČL!AS297+NB!AS128+SM!AS170+JI!AS142+TU!AS203</f>
        <v>-6873</v>
      </c>
      <c r="AM27" s="669">
        <f>LB!AT469+FR!AT133+JN!AT196+TA!AT104+ŽB!AT78+ČL!AT297+NB!AT128+SM!AT170+JI!AT142+TU!AT203</f>
        <v>4500</v>
      </c>
      <c r="AN27" s="669">
        <f>LB!AU469+FR!AU133+JN!AU196+TA!AU104+ŽB!AU78+ČL!AU297+NB!AU128+SM!AU170+JI!AU142+TU!AU203</f>
        <v>0</v>
      </c>
      <c r="AO27" s="669">
        <f>LB!AV469+FR!AV133+JN!AV196+TA!AV104+ŽB!AV78+ČL!AV297+NB!AV128+SM!AV170+JI!AV142+TU!AV203</f>
        <v>4500</v>
      </c>
      <c r="AP27" s="669">
        <f>LB!AW469+FR!AW133+JN!AW196+TA!AW104+ŽB!AW78+ČL!AW297+NB!AW128+SM!AW170+JI!AW142+TU!AW203</f>
        <v>-794684</v>
      </c>
      <c r="AQ27" s="670">
        <f>LB!AX469+FR!AX133+JN!AX196+TA!AX104+ŽB!AX78+ČL!AX297+NB!AX128+SM!AX170+JI!AX142+TU!AX203</f>
        <v>0</v>
      </c>
      <c r="AR27" s="670">
        <f>LB!AY469+FR!AY133+JN!AY196+TA!AY104+ŽB!AY78+ČL!AY297+NB!AY128+SM!AY170+JI!AY142+TU!AY203</f>
        <v>0</v>
      </c>
      <c r="AS27" s="670">
        <f>LB!AZ469+FR!AZ133+JN!AZ196+TA!AZ104+ŽB!AZ78+ČL!AZ297+NB!AZ128+SM!AZ170+JI!AZ142+TU!AZ203</f>
        <v>-0.56000000000000005</v>
      </c>
      <c r="AT27" s="670">
        <f>LB!BA469+FR!BA133+JN!BA196+TA!BA104+ŽB!BA78+ČL!BA297+NB!BA128+SM!BA170+JI!BA142+TU!BA203</f>
        <v>0</v>
      </c>
      <c r="AU27" s="670">
        <f>LB!BB469+FR!BB133+JN!BB196+TA!BB104+ŽB!BB78+ČL!BB297+NB!BB128+SM!BB170+JI!BB142+TU!BB203</f>
        <v>0</v>
      </c>
      <c r="AV27" s="670">
        <f>LB!BC469+FR!BC133+JN!BC196+TA!BC104+ŽB!BC78+ČL!BC297+NB!BC128+SM!BC170+JI!BC142+TU!BC203</f>
        <v>0</v>
      </c>
      <c r="AW27" s="670">
        <f>LB!BD469+FR!BD133+JN!BD196+TA!BD104+ŽB!BD78+ČL!BD297+NB!BD128+SM!BD170+JI!BD142+TU!BD203</f>
        <v>-0.75</v>
      </c>
      <c r="AX27" s="670">
        <f>LB!BE469+FR!BE133+JN!BE196+TA!BE104+ŽB!BE78+ČL!BE297+NB!BE128+SM!BE170+JI!BE142+TU!BE203</f>
        <v>-0.14000000000000001</v>
      </c>
      <c r="AY27" s="670">
        <f>LB!BF469+FR!BF133+JN!BF196+TA!BF104+ŽB!BF78+ČL!BF297+NB!BF128+SM!BF170+JI!BF142+TU!BF203</f>
        <v>-1.31</v>
      </c>
      <c r="AZ27" s="670">
        <f>LB!BG469+FR!BG133+JN!BG196+TA!BG104+ŽB!BG78+ČL!BG297+NB!BG128+SM!BG170+JI!BG142+TU!BG203</f>
        <v>-0.14000000000000001</v>
      </c>
      <c r="BA27" s="671">
        <f>LB!BH469+FR!BH133+JN!BH196+TA!BH104+ŽB!BH78+ČL!BH297+NB!BH128+SM!BH170+JI!BH142+TU!BH203</f>
        <v>-1.45</v>
      </c>
      <c r="BB27" s="668">
        <f>LB!BI469+FR!BI133+JN!BI196+TA!BI104+ŽB!BI78+ČL!BI297+NB!BI128+SM!BI170+JI!BI142+TU!BI203</f>
        <v>1269780406</v>
      </c>
      <c r="BC27" s="669">
        <f>LB!BJ469+FR!BJ133+JN!BJ196+TA!BJ104+ŽB!BJ78+ČL!BJ297+NB!BJ128+SM!BJ170+JI!BJ142+TU!BJ203</f>
        <v>935218636</v>
      </c>
      <c r="BD27" s="669">
        <f>LB!BK469+FR!BK133+JN!BK196+TA!BK104+ŽB!BK78+ČL!BK297+NB!BK128+SM!BK170+JI!BK142+TU!BK203</f>
        <v>866411225</v>
      </c>
      <c r="BE27" s="669">
        <f>LB!BL469+FR!BL133+JN!BL196+TA!BL104+ŽB!BL78+ČL!BL297+NB!BL128+SM!BL170+JI!BL142+TU!BL203</f>
        <v>68807411</v>
      </c>
      <c r="BF27" s="669">
        <f>LB!BM469+FR!BM133+JN!BM196+TA!BM104+ŽB!BM78+ČL!BM297+NB!BM128+SM!BM170+JI!BM142+TU!BM203</f>
        <v>3916465</v>
      </c>
      <c r="BG27" s="669">
        <f>LB!BN469+FR!BN133+JN!BN196+TA!BN104+ŽB!BN78+ČL!BN297+NB!BN128+SM!BN170+JI!BN142+TU!BN203</f>
        <v>2253640</v>
      </c>
      <c r="BH27" s="669">
        <f>LB!BO469+FR!BO133+JN!BO196+TA!BO104+ŽB!BO78+ČL!BO297+NB!BO128+SM!BO170+JI!BO142+TU!BO203</f>
        <v>1662825</v>
      </c>
      <c r="BI27" s="669">
        <f>LB!BP469+FR!BP133+JN!BP196+TA!BP104+ŽB!BP78+ČL!BP297+NB!BP128+SM!BP170+JI!BP142+TU!BP203</f>
        <v>317231262</v>
      </c>
      <c r="BJ27" s="669">
        <f>LB!BQ469+FR!BQ133+JN!BQ196+TA!BQ104+ŽB!BQ78+ČL!BQ297+NB!BQ128+SM!BQ170+JI!BQ142+TU!BQ203</f>
        <v>9352188</v>
      </c>
      <c r="BK27" s="669">
        <f>LB!BR469+FR!BR133+JN!BR196+TA!BR104+ŽB!BR78+ČL!BR297+NB!BR128+SM!BR170+JI!BR142+TU!BR203</f>
        <v>4061855</v>
      </c>
      <c r="BL27" s="670">
        <f>LB!BS469+FR!BS133+JN!BS196+TA!BS104+ŽB!BS78+ČL!BS297+NB!BS128+SM!BS170+JI!BS142+TU!BS203</f>
        <v>1810.8904999999997</v>
      </c>
      <c r="BM27" s="670">
        <f>LB!BT469+FR!BT133+JN!BT196+TA!BT104+ŽB!BT78+ČL!BT297+NB!BT128+SM!BT170+JI!BT142+TU!BT203</f>
        <v>1566.9168</v>
      </c>
      <c r="BN27" s="671">
        <f>LB!BU469+FR!BU133+JN!BU196+TA!BU104+ŽB!BU78+ČL!BU297+NB!BU128+SM!BU170+JI!BU142+TU!BU203</f>
        <v>243.97369999999998</v>
      </c>
      <c r="BO27" s="789">
        <f>LB!BV469+FR!BV133+JN!BV196+TA!BV104+ŽB!BV78+ČL!BV297+NB!BV128+SM!BV170+JI!BV142+TU!BV203</f>
        <v>0</v>
      </c>
      <c r="BP27" s="669">
        <f>LB!BW469+FR!BW133+JN!BW196+TA!BW104+ŽB!BW78+ČL!BW297+NB!BW128+SM!BW170+JI!BW142+TU!BW203</f>
        <v>0</v>
      </c>
      <c r="BQ27" s="669">
        <f>LB!BX469+FR!BX133+JN!BX196+TA!BX104+ŽB!BX78+ČL!BX297+NB!BX128+SM!BX170+JI!BX142+TU!BX203</f>
        <v>0</v>
      </c>
      <c r="BR27" s="669">
        <f>LB!BY469+FR!BY133+JN!BY196+TA!BY104+ŽB!BY78+ČL!BY297+NB!BY128+SM!BY170+JI!BY142+TU!BY203</f>
        <v>0</v>
      </c>
      <c r="BS27" s="669">
        <f>LB!BZ469+FR!BZ133+JN!BZ196+TA!BZ104+ŽB!BZ78+ČL!BZ297+NB!BZ128+SM!BZ170+JI!BZ142+TU!BZ203</f>
        <v>0</v>
      </c>
      <c r="BT27" s="671">
        <f>LB!CA469+FR!CA133+JN!CA196+TA!CA104+ŽB!CA78+ČL!CA297+NB!CA128+SM!CA170+JI!CA142+TU!CA203</f>
        <v>0</v>
      </c>
    </row>
    <row r="28" spans="1:72" x14ac:dyDescent="0.2">
      <c r="A28" s="2">
        <v>3113</v>
      </c>
      <c r="B28" s="167">
        <f>LB!I470+FR!I134+JN!I197+TA!I105+ŽB!I79+ČL!I298+NB!I129+SM!I171+JI!I143+TU!I204</f>
        <v>3113120552</v>
      </c>
      <c r="C28" s="16">
        <f>LB!J470+FR!J134+JN!J197+TA!J105+ŽB!J79+ČL!J298+NB!J129+SM!J171+JI!J143+TU!J204</f>
        <v>2270741084</v>
      </c>
      <c r="D28" s="16">
        <f>LB!K470+FR!K134+JN!K197+TA!K105+ŽB!K79+ČL!K298+NB!K129+SM!K171+JI!K143+TU!K204</f>
        <v>2125422908</v>
      </c>
      <c r="E28" s="16">
        <f>LB!L470+FR!L134+JN!L197+TA!L105+ŽB!L79+ČL!L298+NB!L129+SM!L171+JI!L143+TU!L204</f>
        <v>145318176</v>
      </c>
      <c r="F28" s="16">
        <f>LB!M470+FR!M134+JN!M197+TA!M105+ŽB!M79+ČL!M298+NB!M129+SM!M171+JI!M143+TU!M204</f>
        <v>10855517</v>
      </c>
      <c r="G28" s="16">
        <f>LB!N470+FR!N134+JN!N197+TA!N105+ŽB!N79+ČL!N298+NB!N129+SM!N171+JI!N143+TU!N204</f>
        <v>8238137</v>
      </c>
      <c r="H28" s="16">
        <f>LB!O470+FR!O134+JN!O197+TA!O105+ŽB!O79+ČL!O298+NB!O129+SM!O171+JI!O143+TU!O204</f>
        <v>2617380</v>
      </c>
      <c r="I28" s="16">
        <f>LB!P470+FR!P134+JN!P197+TA!P105+ŽB!P79+ČL!P298+NB!P129+SM!P171+JI!P143+TU!P204</f>
        <v>771065530</v>
      </c>
      <c r="J28" s="16">
        <f>LB!Q470+FR!Q134+JN!Q197+TA!Q105+ŽB!Q79+ČL!Q298+NB!Q129+SM!Q171+JI!Q143+TU!Q204</f>
        <v>22707417</v>
      </c>
      <c r="K28" s="16">
        <f>LB!R470+FR!R134+JN!R197+TA!R105+ŽB!R79+ČL!R298+NB!R129+SM!R171+JI!R143+TU!R204</f>
        <v>37751004</v>
      </c>
      <c r="L28" s="13">
        <f>LB!S470+FR!S134+JN!S197+TA!S105+ŽB!S79+ČL!S298+NB!S129+SM!S171+JI!S143+TU!S204</f>
        <v>3787.2641999999992</v>
      </c>
      <c r="M28" s="13">
        <f>LB!T470+FR!T134+JN!T197+TA!T105+ŽB!T79+ČL!T298+NB!T129+SM!T171+JI!T143+TU!T204</f>
        <v>3352.6115</v>
      </c>
      <c r="N28" s="169">
        <f>LB!U470+FR!U134+JN!U197+TA!U105+ŽB!U79+ČL!U298+NB!U129+SM!U171+JI!U143+TU!U204</f>
        <v>434.65269999999998</v>
      </c>
      <c r="O28" s="167">
        <f>LB!V470+FR!V134+JN!V197+TA!V105+ŽB!V79+ČL!V298+NB!V129+SM!V171+JI!V143+TU!V204</f>
        <v>0</v>
      </c>
      <c r="P28" s="16">
        <f>LB!W470+FR!W134+JN!W197+TA!W105+ŽB!W79+ČL!W298+NB!W129+SM!W171+JI!W143+TU!W204</f>
        <v>0</v>
      </c>
      <c r="Q28" s="16">
        <f>LB!X470+FR!X134+JN!X197+TA!X105+ŽB!X79+ČL!X298+NB!X129+SM!X171+JI!X143+TU!X204</f>
        <v>-1795963</v>
      </c>
      <c r="R28" s="16">
        <f>LB!Y470+FR!Y134+JN!Y197+TA!Y105+ŽB!Y79+ČL!Y298+NB!Y129+SM!Y171+JI!Y143+TU!Y204</f>
        <v>0</v>
      </c>
      <c r="S28" s="16">
        <f>LB!Z470+FR!Z134+JN!Z197+TA!Z105+ŽB!Z79+ČL!Z298+NB!Z129+SM!Z171+JI!Z143+TU!Z204</f>
        <v>0</v>
      </c>
      <c r="T28" s="16">
        <f>LB!AA470+FR!AA134+JN!AA197+TA!AA105+ŽB!AA79+ČL!AA298+NB!AA129+SM!AA171+JI!AA143+TU!AA204</f>
        <v>0</v>
      </c>
      <c r="U28" s="16">
        <f>LB!AB470+FR!AB134+JN!AB197+TA!AB105+ŽB!AB79+ČL!AB298+NB!AB129+SM!AB171+JI!AB143+TU!AB204</f>
        <v>0</v>
      </c>
      <c r="V28" s="16">
        <f>LB!AC470+FR!AC134+JN!AC197+TA!AC105+ŽB!AC79+ČL!AC298+NB!AC129+SM!AC171+JI!AC143+TU!AC204</f>
        <v>0</v>
      </c>
      <c r="W28" s="16">
        <f>LB!AD470+FR!AD134+JN!AD197+TA!AD105+ŽB!AD79+ČL!AD298+NB!AD129+SM!AD171+JI!AD143+TU!AD204</f>
        <v>-1795963</v>
      </c>
      <c r="X28" s="16">
        <f>LB!AE470+FR!AE134+JN!AE197+TA!AE105+ŽB!AE79+ČL!AE298+NB!AE129+SM!AE171+JI!AE143+TU!AE204</f>
        <v>0</v>
      </c>
      <c r="Y28" s="16">
        <f>LB!AF470+FR!AF134+JN!AF197+TA!AF105+ŽB!AF79+ČL!AF298+NB!AF129+SM!AF171+JI!AF143+TU!AF204</f>
        <v>-1795963</v>
      </c>
      <c r="Z28" s="16">
        <f>LB!AG470+FR!AG134+JN!AG197+TA!AG105+ŽB!AG79+ČL!AG298+NB!AG129+SM!AG171+JI!AG143+TU!AG204</f>
        <v>0</v>
      </c>
      <c r="AA28" s="16">
        <f>LB!AH470+FR!AH134+JN!AH197+TA!AH105+ŽB!AH79+ČL!AH298+NB!AH129+SM!AH171+JI!AH143+TU!AH204</f>
        <v>0</v>
      </c>
      <c r="AB28" s="16">
        <f>LB!AI470+FR!AI134+JN!AI197+TA!AI105+ŽB!AI79+ČL!AI298+NB!AI129+SM!AI171+JI!AI143+TU!AI204</f>
        <v>0</v>
      </c>
      <c r="AC28" s="16">
        <f>LB!AJ470+FR!AJ134+JN!AJ197+TA!AJ105+ŽB!AJ79+ČL!AJ298+NB!AJ129+SM!AJ171+JI!AJ143+TU!AJ204</f>
        <v>0</v>
      </c>
      <c r="AD28" s="16">
        <f>LB!AK470+FR!AK134+JN!AK197+TA!AK105+ŽB!AK79+ČL!AK298+NB!AK129+SM!AK171+JI!AK143+TU!AK204</f>
        <v>0</v>
      </c>
      <c r="AE28" s="16">
        <f>LB!AL470+FR!AL134+JN!AL197+TA!AL105+ŽB!AL79+ČL!AL298+NB!AL129+SM!AL171+JI!AL143+TU!AL204</f>
        <v>0</v>
      </c>
      <c r="AF28" s="16">
        <f>LB!AM470+FR!AM134+JN!AM197+TA!AM105+ŽB!AM79+ČL!AM298+NB!AM129+SM!AM171+JI!AM143+TU!AM204</f>
        <v>0</v>
      </c>
      <c r="AG28" s="16">
        <f>LB!AN470+FR!AN134+JN!AN197+TA!AN105+ŽB!AN79+ČL!AN298+NB!AN129+SM!AN171+JI!AN143+TU!AN204</f>
        <v>0</v>
      </c>
      <c r="AH28" s="16">
        <f>LB!AO470+FR!AO134+JN!AO197+TA!AO105+ŽB!AO79+ČL!AO298+NB!AO129+SM!AO171+JI!AO143+TU!AO204</f>
        <v>-1795963</v>
      </c>
      <c r="AI28" s="16">
        <f>LB!AP470+FR!AP134+JN!AP197+TA!AP105+ŽB!AP79+ČL!AP298+NB!AP129+SM!AP171+JI!AP143+TU!AP204</f>
        <v>0</v>
      </c>
      <c r="AJ28" s="16">
        <f>LB!AQ470+FR!AQ134+JN!AQ197+TA!AQ105+ŽB!AQ79+ČL!AQ298+NB!AQ129+SM!AQ171+JI!AQ143+TU!AQ204</f>
        <v>-1795963</v>
      </c>
      <c r="AK28" s="16">
        <f>LB!AR470+FR!AR134+JN!AR197+TA!AR105+ŽB!AR79+ČL!AR298+NB!AR129+SM!AR171+JI!AR143+TU!AR204</f>
        <v>-607034</v>
      </c>
      <c r="AL28" s="16">
        <f>LB!AS470+FR!AS134+JN!AS197+TA!AS105+ŽB!AS79+ČL!AS298+NB!AS129+SM!AS171+JI!AS143+TU!AS204</f>
        <v>-17961</v>
      </c>
      <c r="AM28" s="16">
        <f>LB!AT470+FR!AT134+JN!AT197+TA!AT105+ŽB!AT79+ČL!AT298+NB!AT129+SM!AT171+JI!AT143+TU!AT204</f>
        <v>86543</v>
      </c>
      <c r="AN28" s="16">
        <f>LB!AU470+FR!AU134+JN!AU197+TA!AU105+ŽB!AU79+ČL!AU298+NB!AU129+SM!AU171+JI!AU143+TU!AU204</f>
        <v>0</v>
      </c>
      <c r="AO28" s="16">
        <f>LB!AV470+FR!AV134+JN!AV197+TA!AV105+ŽB!AV79+ČL!AV298+NB!AV129+SM!AV171+JI!AV143+TU!AV204</f>
        <v>86543</v>
      </c>
      <c r="AP28" s="16">
        <f>LB!AW470+FR!AW134+JN!AW197+TA!AW105+ŽB!AW79+ČL!AW298+NB!AW129+SM!AW171+JI!AW143+TU!AW204</f>
        <v>-2334415</v>
      </c>
      <c r="AQ28" s="13">
        <f>LB!AX470+FR!AX134+JN!AX197+TA!AX105+ŽB!AX79+ČL!AX298+NB!AX129+SM!AX171+JI!AX143+TU!AX204</f>
        <v>0</v>
      </c>
      <c r="AR28" s="13">
        <f>LB!AY470+FR!AY134+JN!AY197+TA!AY105+ŽB!AY79+ČL!AY298+NB!AY129+SM!AY171+JI!AY143+TU!AY204</f>
        <v>0</v>
      </c>
      <c r="AS28" s="13">
        <f>LB!AZ470+FR!AZ134+JN!AZ197+TA!AZ105+ŽB!AZ79+ČL!AZ298+NB!AZ129+SM!AZ171+JI!AZ143+TU!AZ204</f>
        <v>-4.58</v>
      </c>
      <c r="AT28" s="13">
        <f>LB!BA470+FR!BA134+JN!BA197+TA!BA105+ŽB!BA79+ČL!BA298+NB!BA129+SM!BA171+JI!BA143+TU!BA204</f>
        <v>0</v>
      </c>
      <c r="AU28" s="13">
        <f>LB!BB470+FR!BB134+JN!BB197+TA!BB105+ŽB!BB79+ČL!BB298+NB!BB129+SM!BB171+JI!BB143+TU!BB204</f>
        <v>0</v>
      </c>
      <c r="AV28" s="13">
        <f>LB!BC470+FR!BC134+JN!BC197+TA!BC105+ŽB!BC79+ČL!BC298+NB!BC129+SM!BC171+JI!BC143+TU!BC204</f>
        <v>0</v>
      </c>
      <c r="AW28" s="13">
        <f>LB!BD470+FR!BD134+JN!BD197+TA!BD105+ŽB!BD79+ČL!BD298+NB!BD129+SM!BD171+JI!BD143+TU!BD204</f>
        <v>0</v>
      </c>
      <c r="AX28" s="13">
        <f>LB!BE470+FR!BE134+JN!BE197+TA!BE105+ŽB!BE79+ČL!BE298+NB!BE129+SM!BE171+JI!BE143+TU!BE204</f>
        <v>0</v>
      </c>
      <c r="AY28" s="13">
        <f>LB!BF470+FR!BF134+JN!BF197+TA!BF105+ŽB!BF79+ČL!BF298+NB!BF129+SM!BF171+JI!BF143+TU!BF204</f>
        <v>-4.58</v>
      </c>
      <c r="AZ28" s="13">
        <f>LB!BG470+FR!BG134+JN!BG197+TA!BG105+ŽB!BG79+ČL!BG298+NB!BG129+SM!BG171+JI!BG143+TU!BG204</f>
        <v>0</v>
      </c>
      <c r="BA28" s="17">
        <f>LB!BH470+FR!BH134+JN!BH197+TA!BH105+ŽB!BH79+ČL!BH298+NB!BH129+SM!BH171+JI!BH143+TU!BH204</f>
        <v>-4.58</v>
      </c>
      <c r="BB28" s="167">
        <f>LB!BI470+FR!BI134+JN!BI197+TA!BI105+ŽB!BI79+ČL!BI298+NB!BI129+SM!BI171+JI!BI143+TU!BI204</f>
        <v>3110786137</v>
      </c>
      <c r="BC28" s="16">
        <f>LB!BJ470+FR!BJ134+JN!BJ197+TA!BJ105+ŽB!BJ79+ČL!BJ298+NB!BJ129+SM!BJ171+JI!BJ143+TU!BJ204</f>
        <v>2268945121</v>
      </c>
      <c r="BD28" s="16">
        <f>LB!BK470+FR!BK134+JN!BK197+TA!BK105+ŽB!BK79+ČL!BK298+NB!BK129+SM!BK171+JI!BK143+TU!BK204</f>
        <v>2123626945</v>
      </c>
      <c r="BE28" s="16">
        <f>LB!BL470+FR!BL134+JN!BL197+TA!BL105+ŽB!BL79+ČL!BL298+NB!BL129+SM!BL171+JI!BL143+TU!BL204</f>
        <v>145318176</v>
      </c>
      <c r="BF28" s="16">
        <f>LB!BM470+FR!BM134+JN!BM197+TA!BM105+ŽB!BM79+ČL!BM298+NB!BM129+SM!BM171+JI!BM143+TU!BM204</f>
        <v>10855517</v>
      </c>
      <c r="BG28" s="16">
        <f>LB!BN470+FR!BN134+JN!BN197+TA!BN105+ŽB!BN79+ČL!BN298+NB!BN129+SM!BN171+JI!BN143+TU!BN204</f>
        <v>8238137</v>
      </c>
      <c r="BH28" s="16">
        <f>LB!BO470+FR!BO134+JN!BO197+TA!BO105+ŽB!BO79+ČL!BO298+NB!BO129+SM!BO171+JI!BO143+TU!BO204</f>
        <v>2617380</v>
      </c>
      <c r="BI28" s="16">
        <f>LB!BP470+FR!BP134+JN!BP197+TA!BP105+ŽB!BP79+ČL!BP298+NB!BP129+SM!BP171+JI!BP143+TU!BP204</f>
        <v>770458496</v>
      </c>
      <c r="BJ28" s="16">
        <f>LB!BQ470+FR!BQ134+JN!BQ197+TA!BQ105+ŽB!BQ79+ČL!BQ298+NB!BQ129+SM!BQ171+JI!BQ143+TU!BQ204</f>
        <v>22689456</v>
      </c>
      <c r="BK28" s="16">
        <f>LB!BR470+FR!BR134+JN!BR197+TA!BR105+ŽB!BR79+ČL!BR298+NB!BR129+SM!BR171+JI!BR143+TU!BR204</f>
        <v>37837547</v>
      </c>
      <c r="BL28" s="13">
        <f>LB!BS470+FR!BS134+JN!BS197+TA!BS105+ŽB!BS79+ČL!BS298+NB!BS129+SM!BS171+JI!BS143+TU!BS204</f>
        <v>3782.6841999999992</v>
      </c>
      <c r="BM28" s="13">
        <f>LB!BT470+FR!BT134+JN!BT197+TA!BT105+ŽB!BT79+ČL!BT298+NB!BT129+SM!BT171+JI!BT143+TU!BT204</f>
        <v>3348.0314999999996</v>
      </c>
      <c r="BN28" s="17">
        <f>LB!BU470+FR!BU134+JN!BU197+TA!BU105+ŽB!BU79+ČL!BU298+NB!BU129+SM!BU171+JI!BU143+TU!BU204</f>
        <v>434.65269999999998</v>
      </c>
      <c r="BO28" s="168">
        <f>LB!BV470+FR!BV134+JN!BV197+TA!BV105+ŽB!BV79+ČL!BV298+NB!BV129+SM!BV171+JI!BV143+TU!BV204</f>
        <v>28939437</v>
      </c>
      <c r="BP28" s="16">
        <f>LB!BW470+FR!BW134+JN!BW197+TA!BW105+ŽB!BW79+ČL!BW298+NB!BW129+SM!BW171+JI!BW143+TU!BW204</f>
        <v>20078400</v>
      </c>
      <c r="BQ28" s="16">
        <f>LB!BX470+FR!BX134+JN!BX197+TA!BX105+ŽB!BX79+ČL!BX298+NB!BX129+SM!BX171+JI!BX143+TU!BX204</f>
        <v>1400412</v>
      </c>
      <c r="BR28" s="16">
        <f>LB!BY470+FR!BY134+JN!BY197+TA!BY105+ŽB!BY79+ČL!BY298+NB!BY129+SM!BY171+JI!BY143+TU!BY204</f>
        <v>7259841</v>
      </c>
      <c r="BS28" s="16">
        <f>LB!BZ470+FR!BZ134+JN!BZ197+TA!BZ105+ŽB!BZ79+ČL!BZ298+NB!BZ129+SM!BZ171+JI!BZ143+TU!BZ204</f>
        <v>200784</v>
      </c>
      <c r="BT28" s="17">
        <f>LB!CA470+FR!CA134+JN!CA197+TA!CA105+ŽB!CA79+ČL!CA298+NB!CA129+SM!CA171+JI!CA143+TU!CA204</f>
        <v>35.6</v>
      </c>
    </row>
    <row r="29" spans="1:72" x14ac:dyDescent="0.2">
      <c r="A29" s="2">
        <v>3114</v>
      </c>
      <c r="B29" s="167">
        <f>LB!I471+FR!I135+JN!I198+TA!I106+ŽB!I80+ČL!I299+NB!I130+SM!I172+JI!I144+TU!I205</f>
        <v>187051322</v>
      </c>
      <c r="C29" s="16">
        <f>LB!J471+FR!J135+JN!J198+TA!J106+ŽB!J80+ČL!J299+NB!J130+SM!J172+JI!J144+TU!J205</f>
        <v>137311764</v>
      </c>
      <c r="D29" s="16">
        <f>LB!K471+FR!K135+JN!K198+TA!K106+ŽB!K80+ČL!K299+NB!K130+SM!K172+JI!K144+TU!K205</f>
        <v>128549073</v>
      </c>
      <c r="E29" s="16">
        <f>LB!L471+FR!L135+JN!L198+TA!L106+ŽB!L80+ČL!L299+NB!L130+SM!L172+JI!L144+TU!L205</f>
        <v>8762691</v>
      </c>
      <c r="F29" s="16">
        <f>LB!M471+FR!M135+JN!M198+TA!M106+ŽB!M80+ČL!M299+NB!M130+SM!M172+JI!M144+TU!M205</f>
        <v>679128</v>
      </c>
      <c r="G29" s="16">
        <f>LB!N471+FR!N135+JN!N198+TA!N106+ŽB!N80+ČL!N299+NB!N130+SM!N172+JI!N144+TU!N205</f>
        <v>285920</v>
      </c>
      <c r="H29" s="16">
        <f>LB!O471+FR!O135+JN!O198+TA!O106+ŽB!O80+ČL!O299+NB!O130+SM!O172+JI!O144+TU!O205</f>
        <v>393208</v>
      </c>
      <c r="I29" s="16">
        <f>LB!P471+FR!P135+JN!P198+TA!P106+ŽB!P80+ČL!P299+NB!P130+SM!P172+JI!P144+TU!P205</f>
        <v>46640920</v>
      </c>
      <c r="J29" s="16">
        <f>LB!Q471+FR!Q135+JN!Q198+TA!Q106+ŽB!Q80+ČL!Q299+NB!Q130+SM!Q172+JI!Q144+TU!Q205</f>
        <v>1373117</v>
      </c>
      <c r="K29" s="16">
        <f>LB!R471+FR!R135+JN!R198+TA!R106+ŽB!R80+ČL!R299+NB!R130+SM!R172+JI!R144+TU!R205</f>
        <v>1046393</v>
      </c>
      <c r="L29" s="13">
        <f>LB!S471+FR!S135+JN!S198+TA!S106+ŽB!S80+ČL!S299+NB!S130+SM!S172+JI!S144+TU!S205</f>
        <v>233.62180000000001</v>
      </c>
      <c r="M29" s="13">
        <f>LB!T471+FR!T135+JN!T198+TA!T106+ŽB!T80+ČL!T299+NB!T130+SM!T172+JI!T144+TU!T205</f>
        <v>207.71640000000002</v>
      </c>
      <c r="N29" s="169">
        <f>LB!U471+FR!U135+JN!U198+TA!U106+ŽB!U80+ČL!U299+NB!U130+SM!U172+JI!U144+TU!U205</f>
        <v>25.9054</v>
      </c>
      <c r="O29" s="167">
        <f>LB!V471+FR!V135+JN!V198+TA!V106+ŽB!V80+ČL!V299+NB!V130+SM!V172+JI!V144+TU!V205</f>
        <v>0</v>
      </c>
      <c r="P29" s="16">
        <f>LB!W471+FR!W135+JN!W198+TA!W106+ŽB!W80+ČL!W299+NB!W130+SM!W172+JI!W144+TU!W205</f>
        <v>0</v>
      </c>
      <c r="Q29" s="16">
        <f>LB!X471+FR!X135+JN!X198+TA!X106+ŽB!X80+ČL!X299+NB!X130+SM!X172+JI!X144+TU!X205</f>
        <v>12379</v>
      </c>
      <c r="R29" s="16">
        <f>LB!Y471+FR!Y135+JN!Y198+TA!Y106+ŽB!Y80+ČL!Y299+NB!Y130+SM!Y172+JI!Y144+TU!Y205</f>
        <v>0</v>
      </c>
      <c r="S29" s="16">
        <f>LB!Z471+FR!Z135+JN!Z198+TA!Z106+ŽB!Z80+ČL!Z299+NB!Z130+SM!Z172+JI!Z144+TU!Z205</f>
        <v>0</v>
      </c>
      <c r="T29" s="16">
        <f>LB!AA471+FR!AA135+JN!AA198+TA!AA106+ŽB!AA80+ČL!AA299+NB!AA130+SM!AA172+JI!AA144+TU!AA205</f>
        <v>0</v>
      </c>
      <c r="U29" s="16">
        <f>LB!AB471+FR!AB135+JN!AB198+TA!AB106+ŽB!AB80+ČL!AB299+NB!AB130+SM!AB172+JI!AB144+TU!AB205</f>
        <v>0</v>
      </c>
      <c r="V29" s="16">
        <f>LB!AC471+FR!AC135+JN!AC198+TA!AC106+ŽB!AC80+ČL!AC299+NB!AC130+SM!AC172+JI!AC144+TU!AC205</f>
        <v>0</v>
      </c>
      <c r="W29" s="16">
        <f>LB!AD471+FR!AD135+JN!AD198+TA!AD106+ŽB!AD80+ČL!AD299+NB!AD130+SM!AD172+JI!AD144+TU!AD205</f>
        <v>12379</v>
      </c>
      <c r="X29" s="16">
        <f>LB!AE471+FR!AE135+JN!AE198+TA!AE106+ŽB!AE80+ČL!AE299+NB!AE130+SM!AE172+JI!AE144+TU!AE205</f>
        <v>0</v>
      </c>
      <c r="Y29" s="16">
        <f>LB!AF471+FR!AF135+JN!AF198+TA!AF106+ŽB!AF80+ČL!AF299+NB!AF130+SM!AF172+JI!AF144+TU!AF205</f>
        <v>12379</v>
      </c>
      <c r="Z29" s="16">
        <f>LB!AG471+FR!AG135+JN!AG198+TA!AG106+ŽB!AG80+ČL!AG299+NB!AG130+SM!AG172+JI!AG144+TU!AG205</f>
        <v>0</v>
      </c>
      <c r="AA29" s="16">
        <f>LB!AH471+FR!AH135+JN!AH198+TA!AH106+ŽB!AH80+ČL!AH299+NB!AH130+SM!AH172+JI!AH144+TU!AH205</f>
        <v>0</v>
      </c>
      <c r="AB29" s="16">
        <f>LB!AI471+FR!AI135+JN!AI198+TA!AI106+ŽB!AI80+ČL!AI299+NB!AI130+SM!AI172+JI!AI144+TU!AI205</f>
        <v>0</v>
      </c>
      <c r="AC29" s="16">
        <f>LB!AJ471+FR!AJ135+JN!AJ198+TA!AJ106+ŽB!AJ80+ČL!AJ299+NB!AJ130+SM!AJ172+JI!AJ144+TU!AJ205</f>
        <v>0</v>
      </c>
      <c r="AD29" s="16">
        <f>LB!AK471+FR!AK135+JN!AK198+TA!AK106+ŽB!AK80+ČL!AK299+NB!AK130+SM!AK172+JI!AK144+TU!AK205</f>
        <v>0</v>
      </c>
      <c r="AE29" s="16">
        <f>LB!AL471+FR!AL135+JN!AL198+TA!AL106+ŽB!AL80+ČL!AL299+NB!AL130+SM!AL172+JI!AL144+TU!AL205</f>
        <v>0</v>
      </c>
      <c r="AF29" s="16">
        <f>LB!AM471+FR!AM135+JN!AM198+TA!AM106+ŽB!AM80+ČL!AM299+NB!AM130+SM!AM172+JI!AM144+TU!AM205</f>
        <v>0</v>
      </c>
      <c r="AG29" s="16">
        <f>LB!AN471+FR!AN135+JN!AN198+TA!AN106+ŽB!AN80+ČL!AN299+NB!AN130+SM!AN172+JI!AN144+TU!AN205</f>
        <v>0</v>
      </c>
      <c r="AH29" s="16">
        <f>LB!AO471+FR!AO135+JN!AO198+TA!AO106+ŽB!AO80+ČL!AO299+NB!AO130+SM!AO172+JI!AO144+TU!AO205</f>
        <v>12379</v>
      </c>
      <c r="AI29" s="16">
        <f>LB!AP471+FR!AP135+JN!AP198+TA!AP106+ŽB!AP80+ČL!AP299+NB!AP130+SM!AP172+JI!AP144+TU!AP205</f>
        <v>0</v>
      </c>
      <c r="AJ29" s="16">
        <f>LB!AQ471+FR!AQ135+JN!AQ198+TA!AQ106+ŽB!AQ80+ČL!AQ299+NB!AQ130+SM!AQ172+JI!AQ144+TU!AQ205</f>
        <v>12379</v>
      </c>
      <c r="AK29" s="16">
        <f>LB!AR471+FR!AR135+JN!AR198+TA!AR106+ŽB!AR80+ČL!AR299+NB!AR130+SM!AR172+JI!AR144+TU!AR205</f>
        <v>4184</v>
      </c>
      <c r="AL29" s="16">
        <f>LB!AS471+FR!AS135+JN!AS198+TA!AS106+ŽB!AS80+ČL!AS299+NB!AS130+SM!AS172+JI!AS144+TU!AS205</f>
        <v>124</v>
      </c>
      <c r="AM29" s="16">
        <f>LB!AT471+FR!AT135+JN!AT198+TA!AT106+ŽB!AT80+ČL!AT299+NB!AT130+SM!AT172+JI!AT144+TU!AT205</f>
        <v>0</v>
      </c>
      <c r="AN29" s="16">
        <f>LB!AU471+FR!AU135+JN!AU198+TA!AU106+ŽB!AU80+ČL!AU299+NB!AU130+SM!AU172+JI!AU144+TU!AU205</f>
        <v>0</v>
      </c>
      <c r="AO29" s="16">
        <f>LB!AV471+FR!AV135+JN!AV198+TA!AV106+ŽB!AV80+ČL!AV299+NB!AV130+SM!AV172+JI!AV144+TU!AV205</f>
        <v>0</v>
      </c>
      <c r="AP29" s="16">
        <f>LB!AW471+FR!AW135+JN!AW198+TA!AW106+ŽB!AW80+ČL!AW299+NB!AW130+SM!AW172+JI!AW144+TU!AW205</f>
        <v>16687</v>
      </c>
      <c r="AQ29" s="13">
        <f>LB!AX471+FR!AX135+JN!AX198+TA!AX106+ŽB!AX80+ČL!AX299+NB!AX130+SM!AX172+JI!AX144+TU!AX205</f>
        <v>0</v>
      </c>
      <c r="AR29" s="13">
        <f>LB!AY471+FR!AY135+JN!AY198+TA!AY106+ŽB!AY80+ČL!AY299+NB!AY130+SM!AY172+JI!AY144+TU!AY205</f>
        <v>0</v>
      </c>
      <c r="AS29" s="13">
        <f>LB!AZ471+FR!AZ135+JN!AZ198+TA!AZ106+ŽB!AZ80+ČL!AZ299+NB!AZ130+SM!AZ172+JI!AZ144+TU!AZ205</f>
        <v>0.03</v>
      </c>
      <c r="AT29" s="13">
        <f>LB!BA471+FR!BA135+JN!BA198+TA!BA106+ŽB!BA80+ČL!BA299+NB!BA130+SM!BA172+JI!BA144+TU!BA205</f>
        <v>0</v>
      </c>
      <c r="AU29" s="13">
        <f>LB!BB471+FR!BB135+JN!BB198+TA!BB106+ŽB!BB80+ČL!BB299+NB!BB130+SM!BB172+JI!BB144+TU!BB205</f>
        <v>0</v>
      </c>
      <c r="AV29" s="13">
        <f>LB!BC471+FR!BC135+JN!BC198+TA!BC106+ŽB!BC80+ČL!BC299+NB!BC130+SM!BC172+JI!BC144+TU!BC205</f>
        <v>0</v>
      </c>
      <c r="AW29" s="13">
        <f>LB!BD471+FR!BD135+JN!BD198+TA!BD106+ŽB!BD80+ČL!BD299+NB!BD130+SM!BD172+JI!BD144+TU!BD205</f>
        <v>0</v>
      </c>
      <c r="AX29" s="13">
        <f>LB!BE471+FR!BE135+JN!BE198+TA!BE106+ŽB!BE80+ČL!BE299+NB!BE130+SM!BE172+JI!BE144+TU!BE205</f>
        <v>0</v>
      </c>
      <c r="AY29" s="13">
        <f>LB!BF471+FR!BF135+JN!BF198+TA!BF106+ŽB!BF80+ČL!BF299+NB!BF130+SM!BF172+JI!BF144+TU!BF205</f>
        <v>0.03</v>
      </c>
      <c r="AZ29" s="13">
        <f>LB!BG471+FR!BG135+JN!BG198+TA!BG106+ŽB!BG80+ČL!BG299+NB!BG130+SM!BG172+JI!BG144+TU!BG205</f>
        <v>0</v>
      </c>
      <c r="BA29" s="17">
        <f>LB!BH471+FR!BH135+JN!BH198+TA!BH106+ŽB!BH80+ČL!BH299+NB!BH130+SM!BH172+JI!BH144+TU!BH205</f>
        <v>0.03</v>
      </c>
      <c r="BB29" s="167">
        <f>LB!BI471+FR!BI135+JN!BI198+TA!BI106+ŽB!BI80+ČL!BI299+NB!BI130+SM!BI172+JI!BI144+TU!BI205</f>
        <v>187068009</v>
      </c>
      <c r="BC29" s="16">
        <f>LB!BJ471+FR!BJ135+JN!BJ198+TA!BJ106+ŽB!BJ80+ČL!BJ299+NB!BJ130+SM!BJ172+JI!BJ144+TU!BJ205</f>
        <v>137324143</v>
      </c>
      <c r="BD29" s="16">
        <f>LB!BK471+FR!BK135+JN!BK198+TA!BK106+ŽB!BK80+ČL!BK299+NB!BK130+SM!BK172+JI!BK144+TU!BK205</f>
        <v>128561452</v>
      </c>
      <c r="BE29" s="16">
        <f>LB!BL471+FR!BL135+JN!BL198+TA!BL106+ŽB!BL80+ČL!BL299+NB!BL130+SM!BL172+JI!BL144+TU!BL205</f>
        <v>8762691</v>
      </c>
      <c r="BF29" s="16">
        <f>LB!BM471+FR!BM135+JN!BM198+TA!BM106+ŽB!BM80+ČL!BM299+NB!BM130+SM!BM172+JI!BM144+TU!BM205</f>
        <v>679128</v>
      </c>
      <c r="BG29" s="16">
        <f>LB!BN471+FR!BN135+JN!BN198+TA!BN106+ŽB!BN80+ČL!BN299+NB!BN130+SM!BN172+JI!BN144+TU!BN205</f>
        <v>285920</v>
      </c>
      <c r="BH29" s="16">
        <f>LB!BO471+FR!BO135+JN!BO198+TA!BO106+ŽB!BO80+ČL!BO299+NB!BO130+SM!BO172+JI!BO144+TU!BO205</f>
        <v>393208</v>
      </c>
      <c r="BI29" s="16">
        <f>LB!BP471+FR!BP135+JN!BP198+TA!BP106+ŽB!BP80+ČL!BP299+NB!BP130+SM!BP172+JI!BP144+TU!BP205</f>
        <v>46645104</v>
      </c>
      <c r="BJ29" s="16">
        <f>LB!BQ471+FR!BQ135+JN!BQ198+TA!BQ106+ŽB!BQ80+ČL!BQ299+NB!BQ130+SM!BQ172+JI!BQ144+TU!BQ205</f>
        <v>1373241</v>
      </c>
      <c r="BK29" s="16">
        <f>LB!BR471+FR!BR135+JN!BR198+TA!BR106+ŽB!BR80+ČL!BR299+NB!BR130+SM!BR172+JI!BR144+TU!BR205</f>
        <v>1046393</v>
      </c>
      <c r="BL29" s="13">
        <f>LB!BS471+FR!BS135+JN!BS198+TA!BS106+ŽB!BS80+ČL!BS299+NB!BS130+SM!BS172+JI!BS144+TU!BS205</f>
        <v>233.65179999999998</v>
      </c>
      <c r="BM29" s="13">
        <f>LB!BT471+FR!BT135+JN!BT198+TA!BT106+ŽB!BT80+ČL!BT299+NB!BT130+SM!BT172+JI!BT144+TU!BT205</f>
        <v>207.74639999999999</v>
      </c>
      <c r="BN29" s="17">
        <f>LB!BU471+FR!BU135+JN!BU198+TA!BU106+ŽB!BU80+ČL!BU299+NB!BU130+SM!BU172+JI!BU144+TU!BU205</f>
        <v>25.9054</v>
      </c>
      <c r="BO29" s="168">
        <f>LB!BV471+FR!BV135+JN!BV198+TA!BV106+ŽB!BV80+ČL!BV299+NB!BV130+SM!BV172+JI!BV144+TU!BV205</f>
        <v>0</v>
      </c>
      <c r="BP29" s="16">
        <f>LB!BW471+FR!BW135+JN!BW198+TA!BW106+ŽB!BW80+ČL!BW299+NB!BW130+SM!BW172+JI!BW144+TU!BW205</f>
        <v>0</v>
      </c>
      <c r="BQ29" s="16">
        <f>LB!BX471+FR!BX135+JN!BX198+TA!BX106+ŽB!BX80+ČL!BX299+NB!BX130+SM!BX172+JI!BX144+TU!BX205</f>
        <v>0</v>
      </c>
      <c r="BR29" s="16">
        <f>LB!BY471+FR!BY135+JN!BY198+TA!BY106+ŽB!BY80+ČL!BY299+NB!BY130+SM!BY172+JI!BY144+TU!BY205</f>
        <v>0</v>
      </c>
      <c r="BS29" s="16">
        <f>LB!BZ471+FR!BZ135+JN!BZ198+TA!BZ106+ŽB!BZ80+ČL!BZ299+NB!BZ130+SM!BZ172+JI!BZ144+TU!BZ205</f>
        <v>0</v>
      </c>
      <c r="BT29" s="17">
        <f>LB!CA471+FR!CA135+JN!CA198+TA!CA106+ŽB!CA80+ČL!CA299+NB!CA130+SM!CA172+JI!CA144+TU!CA205</f>
        <v>0</v>
      </c>
    </row>
    <row r="30" spans="1:72" x14ac:dyDescent="0.2">
      <c r="A30" s="2">
        <v>3117</v>
      </c>
      <c r="B30" s="167">
        <f>LB!I472+FR!I136+JN!I199+TA!I107+ŽB!I81+ČL!I300+NB!I131+SM!I173+JI!I145+TU!I206</f>
        <v>311927304</v>
      </c>
      <c r="C30" s="16">
        <f>LB!J472+FR!J136+JN!J199+TA!J107+ŽB!J81+ČL!J300+NB!J131+SM!J173+JI!J145+TU!J206</f>
        <v>226631458</v>
      </c>
      <c r="D30" s="16">
        <f>LB!K472+FR!K136+JN!K199+TA!K107+ŽB!K81+ČL!K300+NB!K131+SM!K173+JI!K145+TU!K206</f>
        <v>203976719</v>
      </c>
      <c r="E30" s="16">
        <f>LB!L472+FR!L136+JN!L199+TA!L107+ŽB!L81+ČL!L300+NB!L131+SM!L173+JI!L145+TU!L206</f>
        <v>22654739</v>
      </c>
      <c r="F30" s="16">
        <f>LB!M472+FR!M136+JN!M199+TA!M107+ŽB!M81+ČL!M300+NB!M131+SM!M173+JI!M145+TU!M206</f>
        <v>1974151</v>
      </c>
      <c r="G30" s="16">
        <f>LB!N472+FR!N136+JN!N199+TA!N107+ŽB!N81+ČL!N300+NB!N131+SM!N173+JI!N145+TU!N206</f>
        <v>1224951</v>
      </c>
      <c r="H30" s="16">
        <f>LB!O472+FR!O136+JN!O199+TA!O107+ŽB!O81+ČL!O300+NB!O131+SM!O173+JI!O145+TU!O206</f>
        <v>749200</v>
      </c>
      <c r="I30" s="16">
        <f>LB!P472+FR!P136+JN!P199+TA!P107+ŽB!P81+ČL!P300+NB!P131+SM!P173+JI!P145+TU!P206</f>
        <v>77268698</v>
      </c>
      <c r="J30" s="16">
        <f>LB!Q472+FR!Q136+JN!Q199+TA!Q107+ŽB!Q81+ČL!Q300+NB!Q131+SM!Q173+JI!Q145+TU!Q206</f>
        <v>2266318</v>
      </c>
      <c r="K30" s="16">
        <f>LB!R472+FR!R136+JN!R199+TA!R107+ŽB!R81+ČL!R300+NB!R131+SM!R173+JI!R145+TU!R206</f>
        <v>3786679</v>
      </c>
      <c r="L30" s="13">
        <f>LB!S472+FR!S136+JN!S199+TA!S107+ŽB!S81+ČL!S300+NB!S131+SM!S173+JI!S145+TU!S206</f>
        <v>423.49430000000001</v>
      </c>
      <c r="M30" s="13">
        <f>LB!T472+FR!T136+JN!T199+TA!T107+ŽB!T81+ČL!T300+NB!T131+SM!T173+JI!T145+TU!T206</f>
        <v>361.08200000000005</v>
      </c>
      <c r="N30" s="169">
        <f>LB!U472+FR!U136+JN!U199+TA!U107+ŽB!U81+ČL!U300+NB!U131+SM!U173+JI!U145+TU!U206</f>
        <v>62.412300000000002</v>
      </c>
      <c r="O30" s="167">
        <f>LB!V472+FR!V136+JN!V199+TA!V107+ŽB!V81+ČL!V300+NB!V131+SM!V173+JI!V145+TU!V206</f>
        <v>0</v>
      </c>
      <c r="P30" s="16">
        <f>LB!W472+FR!W136+JN!W199+TA!W107+ŽB!W81+ČL!W300+NB!W131+SM!W173+JI!W145+TU!W206</f>
        <v>0</v>
      </c>
      <c r="Q30" s="16">
        <f>LB!X472+FR!X136+JN!X199+TA!X107+ŽB!X81+ČL!X300+NB!X131+SM!X173+JI!X145+TU!X206</f>
        <v>-189562</v>
      </c>
      <c r="R30" s="16">
        <f>LB!Y472+FR!Y136+JN!Y199+TA!Y107+ŽB!Y81+ČL!Y300+NB!Y131+SM!Y173+JI!Y145+TU!Y206</f>
        <v>0</v>
      </c>
      <c r="S30" s="16">
        <f>LB!Z472+FR!Z136+JN!Z199+TA!Z107+ŽB!Z81+ČL!Z300+NB!Z131+SM!Z173+JI!Z145+TU!Z206</f>
        <v>0</v>
      </c>
      <c r="T30" s="16">
        <f>LB!AA472+FR!AA136+JN!AA199+TA!AA107+ŽB!AA81+ČL!AA300+NB!AA131+SM!AA173+JI!AA145+TU!AA206</f>
        <v>0</v>
      </c>
      <c r="U30" s="16">
        <f>LB!AB472+FR!AB136+JN!AB199+TA!AB107+ŽB!AB81+ČL!AB300+NB!AB131+SM!AB173+JI!AB145+TU!AB206</f>
        <v>0</v>
      </c>
      <c r="V30" s="16">
        <f>LB!AC472+FR!AC136+JN!AC199+TA!AC107+ŽB!AC81+ČL!AC300+NB!AC131+SM!AC173+JI!AC145+TU!AC206</f>
        <v>0</v>
      </c>
      <c r="W30" s="16">
        <f>LB!AD472+FR!AD136+JN!AD199+TA!AD107+ŽB!AD81+ČL!AD300+NB!AD131+SM!AD173+JI!AD145+TU!AD206</f>
        <v>-189562</v>
      </c>
      <c r="X30" s="16">
        <f>LB!AE472+FR!AE136+JN!AE199+TA!AE107+ŽB!AE81+ČL!AE300+NB!AE131+SM!AE173+JI!AE145+TU!AE206</f>
        <v>0</v>
      </c>
      <c r="Y30" s="16">
        <f>LB!AF472+FR!AF136+JN!AF199+TA!AF107+ŽB!AF81+ČL!AF300+NB!AF131+SM!AF173+JI!AF145+TU!AF206</f>
        <v>-189562</v>
      </c>
      <c r="Z30" s="16">
        <f>LB!AG472+FR!AG136+JN!AG199+TA!AG107+ŽB!AG81+ČL!AG300+NB!AG131+SM!AG173+JI!AG145+TU!AG206</f>
        <v>0</v>
      </c>
      <c r="AA30" s="16">
        <f>LB!AH472+FR!AH136+JN!AH199+TA!AH107+ŽB!AH81+ČL!AH300+NB!AH131+SM!AH173+JI!AH145+TU!AH206</f>
        <v>0</v>
      </c>
      <c r="AB30" s="16">
        <f>LB!AI472+FR!AI136+JN!AI199+TA!AI107+ŽB!AI81+ČL!AI300+NB!AI131+SM!AI173+JI!AI145+TU!AI206</f>
        <v>0</v>
      </c>
      <c r="AC30" s="16">
        <f>LB!AJ472+FR!AJ136+JN!AJ199+TA!AJ107+ŽB!AJ81+ČL!AJ300+NB!AJ131+SM!AJ173+JI!AJ145+TU!AJ206</f>
        <v>0</v>
      </c>
      <c r="AD30" s="16">
        <f>LB!AK472+FR!AK136+JN!AK199+TA!AK107+ŽB!AK81+ČL!AK300+NB!AK131+SM!AK173+JI!AK145+TU!AK206</f>
        <v>0</v>
      </c>
      <c r="AE30" s="16">
        <f>LB!AL472+FR!AL136+JN!AL199+TA!AL107+ŽB!AL81+ČL!AL300+NB!AL131+SM!AL173+JI!AL145+TU!AL206</f>
        <v>0</v>
      </c>
      <c r="AF30" s="16">
        <f>LB!AM472+FR!AM136+JN!AM199+TA!AM107+ŽB!AM81+ČL!AM300+NB!AM131+SM!AM173+JI!AM145+TU!AM206</f>
        <v>0</v>
      </c>
      <c r="AG30" s="16">
        <f>LB!AN472+FR!AN136+JN!AN199+TA!AN107+ŽB!AN81+ČL!AN300+NB!AN131+SM!AN173+JI!AN145+TU!AN206</f>
        <v>0</v>
      </c>
      <c r="AH30" s="16">
        <f>LB!AO472+FR!AO136+JN!AO199+TA!AO107+ŽB!AO81+ČL!AO300+NB!AO131+SM!AO173+JI!AO145+TU!AO206</f>
        <v>-189562</v>
      </c>
      <c r="AI30" s="16">
        <f>LB!AP472+FR!AP136+JN!AP199+TA!AP107+ŽB!AP81+ČL!AP300+NB!AP131+SM!AP173+JI!AP145+TU!AP206</f>
        <v>0</v>
      </c>
      <c r="AJ30" s="16">
        <f>LB!AQ472+FR!AQ136+JN!AQ199+TA!AQ107+ŽB!AQ81+ČL!AQ300+NB!AQ131+SM!AQ173+JI!AQ145+TU!AQ206</f>
        <v>-189562</v>
      </c>
      <c r="AK30" s="16">
        <f>LB!AR472+FR!AR136+JN!AR199+TA!AR107+ŽB!AR81+ČL!AR300+NB!AR131+SM!AR173+JI!AR145+TU!AR206</f>
        <v>-64072</v>
      </c>
      <c r="AL30" s="16">
        <f>LB!AS472+FR!AS136+JN!AS199+TA!AS107+ŽB!AS81+ČL!AS300+NB!AS131+SM!AS173+JI!AS145+TU!AS206</f>
        <v>-1896</v>
      </c>
      <c r="AM30" s="16">
        <f>LB!AT472+FR!AT136+JN!AT199+TA!AT107+ŽB!AT81+ČL!AT300+NB!AT131+SM!AT173+JI!AT145+TU!AT206</f>
        <v>3750</v>
      </c>
      <c r="AN30" s="16">
        <f>LB!AU472+FR!AU136+JN!AU199+TA!AU107+ŽB!AU81+ČL!AU300+NB!AU131+SM!AU173+JI!AU145+TU!AU206</f>
        <v>0</v>
      </c>
      <c r="AO30" s="16">
        <f>LB!AV472+FR!AV136+JN!AV199+TA!AV107+ŽB!AV81+ČL!AV300+NB!AV131+SM!AV173+JI!AV145+TU!AV206</f>
        <v>3750</v>
      </c>
      <c r="AP30" s="16">
        <f>LB!AW472+FR!AW136+JN!AW199+TA!AW107+ŽB!AW81+ČL!AW300+NB!AW131+SM!AW173+JI!AW145+TU!AW206</f>
        <v>-251780</v>
      </c>
      <c r="AQ30" s="13">
        <f>LB!AX472+FR!AX136+JN!AX199+TA!AX107+ŽB!AX81+ČL!AX300+NB!AX131+SM!AX173+JI!AX145+TU!AX206</f>
        <v>0</v>
      </c>
      <c r="AR30" s="13">
        <f>LB!AY472+FR!AY136+JN!AY199+TA!AY107+ŽB!AY81+ČL!AY300+NB!AY131+SM!AY173+JI!AY145+TU!AY206</f>
        <v>0</v>
      </c>
      <c r="AS30" s="13">
        <f>LB!AZ472+FR!AZ136+JN!AZ199+TA!AZ107+ŽB!AZ81+ČL!AZ300+NB!AZ131+SM!AZ173+JI!AZ145+TU!AZ206</f>
        <v>-0.5</v>
      </c>
      <c r="AT30" s="13">
        <f>LB!BA472+FR!BA136+JN!BA199+TA!BA107+ŽB!BA81+ČL!BA300+NB!BA131+SM!BA173+JI!BA145+TU!BA206</f>
        <v>0</v>
      </c>
      <c r="AU30" s="13">
        <f>LB!BB472+FR!BB136+JN!BB199+TA!BB107+ŽB!BB81+ČL!BB300+NB!BB131+SM!BB173+JI!BB145+TU!BB206</f>
        <v>0</v>
      </c>
      <c r="AV30" s="13">
        <f>LB!BC472+FR!BC136+JN!BC199+TA!BC107+ŽB!BC81+ČL!BC300+NB!BC131+SM!BC173+JI!BC145+TU!BC206</f>
        <v>0</v>
      </c>
      <c r="AW30" s="13">
        <f>LB!BD472+FR!BD136+JN!BD199+TA!BD107+ŽB!BD81+ČL!BD300+NB!BD131+SM!BD173+JI!BD145+TU!BD206</f>
        <v>0</v>
      </c>
      <c r="AX30" s="13">
        <f>LB!BE472+FR!BE136+JN!BE199+TA!BE107+ŽB!BE81+ČL!BE300+NB!BE131+SM!BE173+JI!BE145+TU!BE206</f>
        <v>0</v>
      </c>
      <c r="AY30" s="13">
        <f>LB!BF472+FR!BF136+JN!BF199+TA!BF107+ŽB!BF81+ČL!BF300+NB!BF131+SM!BF173+JI!BF145+TU!BF206</f>
        <v>-0.5</v>
      </c>
      <c r="AZ30" s="13">
        <f>LB!BG472+FR!BG136+JN!BG199+TA!BG107+ŽB!BG81+ČL!BG300+NB!BG131+SM!BG173+JI!BG145+TU!BG206</f>
        <v>0</v>
      </c>
      <c r="BA30" s="17">
        <f>LB!BH472+FR!BH136+JN!BH199+TA!BH107+ŽB!BH81+ČL!BH300+NB!BH131+SM!BH173+JI!BH145+TU!BH206</f>
        <v>-0.5</v>
      </c>
      <c r="BB30" s="167">
        <f>LB!BI472+FR!BI136+JN!BI199+TA!BI107+ŽB!BI81+ČL!BI300+NB!BI131+SM!BI173+JI!BI145+TU!BI206</f>
        <v>311675524</v>
      </c>
      <c r="BC30" s="16">
        <f>LB!BJ472+FR!BJ136+JN!BJ199+TA!BJ107+ŽB!BJ81+ČL!BJ300+NB!BJ131+SM!BJ173+JI!BJ145+TU!BJ206</f>
        <v>226441896</v>
      </c>
      <c r="BD30" s="16">
        <f>LB!BK472+FR!BK136+JN!BK199+TA!BK107+ŽB!BK81+ČL!BK300+NB!BK131+SM!BK173+JI!BK145+TU!BK206</f>
        <v>203787157</v>
      </c>
      <c r="BE30" s="16">
        <f>LB!BL472+FR!BL136+JN!BL199+TA!BL107+ŽB!BL81+ČL!BL300+NB!BL131+SM!BL173+JI!BL145+TU!BL206</f>
        <v>22654739</v>
      </c>
      <c r="BF30" s="16">
        <f>LB!BM472+FR!BM136+JN!BM199+TA!BM107+ŽB!BM81+ČL!BM300+NB!BM131+SM!BM173+JI!BM145+TU!BM206</f>
        <v>1974151</v>
      </c>
      <c r="BG30" s="16">
        <f>LB!BN472+FR!BN136+JN!BN199+TA!BN107+ŽB!BN81+ČL!BN300+NB!BN131+SM!BN173+JI!BN145+TU!BN206</f>
        <v>1224951</v>
      </c>
      <c r="BH30" s="16">
        <f>LB!BO472+FR!BO136+JN!BO199+TA!BO107+ŽB!BO81+ČL!BO300+NB!BO131+SM!BO173+JI!BO145+TU!BO206</f>
        <v>749200</v>
      </c>
      <c r="BI30" s="16">
        <f>LB!BP472+FR!BP136+JN!BP199+TA!BP107+ŽB!BP81+ČL!BP300+NB!BP131+SM!BP173+JI!BP145+TU!BP206</f>
        <v>77204626</v>
      </c>
      <c r="BJ30" s="16">
        <f>LB!BQ472+FR!BQ136+JN!BQ199+TA!BQ107+ŽB!BQ81+ČL!BQ300+NB!BQ131+SM!BQ173+JI!BQ145+TU!BQ206</f>
        <v>2264422</v>
      </c>
      <c r="BK30" s="16">
        <f>LB!BR472+FR!BR136+JN!BR199+TA!BR107+ŽB!BR81+ČL!BR300+NB!BR131+SM!BR173+JI!BR145+TU!BR206</f>
        <v>3790429</v>
      </c>
      <c r="BL30" s="13">
        <f>LB!BS472+FR!BS136+JN!BS199+TA!BS107+ŽB!BS81+ČL!BS300+NB!BS131+SM!BS173+JI!BS145+TU!BS206</f>
        <v>422.99430000000001</v>
      </c>
      <c r="BM30" s="13">
        <f>LB!BT472+FR!BT136+JN!BT199+TA!BT107+ŽB!BT81+ČL!BT300+NB!BT131+SM!BT173+JI!BT145+TU!BT206</f>
        <v>360.58200000000005</v>
      </c>
      <c r="BN30" s="17">
        <f>LB!BU472+FR!BU136+JN!BU199+TA!BU107+ŽB!BU81+ČL!BU300+NB!BU131+SM!BU173+JI!BU145+TU!BU206</f>
        <v>62.412300000000002</v>
      </c>
      <c r="BO30" s="168">
        <f>LB!BV472+FR!BV136+JN!BV199+TA!BV107+ŽB!BV81+ČL!BV300+NB!BV131+SM!BV173+JI!BV145+TU!BV206</f>
        <v>911196</v>
      </c>
      <c r="BP30" s="16">
        <f>LB!BW472+FR!BW136+JN!BW199+TA!BW107+ŽB!BW81+ČL!BW300+NB!BW131+SM!BW173+JI!BW145+TU!BW206</f>
        <v>564000</v>
      </c>
      <c r="BQ30" s="16">
        <f>LB!BX472+FR!BX136+JN!BX199+TA!BX107+ŽB!BX81+ČL!BX300+NB!BX131+SM!BX173+JI!BX145+TU!BX206</f>
        <v>112800</v>
      </c>
      <c r="BR30" s="16">
        <f>LB!BY472+FR!BY136+JN!BY199+TA!BY107+ŽB!BY81+ČL!BY300+NB!BY131+SM!BY173+JI!BY145+TU!BY206</f>
        <v>228756</v>
      </c>
      <c r="BS30" s="16">
        <f>LB!BZ472+FR!BZ136+JN!BZ199+TA!BZ107+ŽB!BZ81+ČL!BZ300+NB!BZ131+SM!BZ173+JI!BZ145+TU!BZ206</f>
        <v>5640</v>
      </c>
      <c r="BT30" s="17">
        <f>LB!CA472+FR!CA136+JN!CA199+TA!CA107+ŽB!CA81+ČL!CA300+NB!CA131+SM!CA173+JI!CA145+TU!CA206</f>
        <v>1</v>
      </c>
    </row>
    <row r="31" spans="1:72" x14ac:dyDescent="0.2">
      <c r="A31" s="2">
        <v>3122</v>
      </c>
      <c r="B31" s="167">
        <f>LB!I473+FR!I137+JN!I200+TA!I108+ŽB!I82+ČL!I301+NB!I132+SM!I174+JI!I146+TU!I207</f>
        <v>10399274</v>
      </c>
      <c r="C31" s="16">
        <f>LB!J473+FR!J137+JN!J200+TA!J108+ŽB!J82+ČL!J301+NB!J132+SM!J174+JI!J146+TU!J207</f>
        <v>7546920</v>
      </c>
      <c r="D31" s="16">
        <f>LB!K473+FR!K137+JN!K200+TA!K108+ŽB!K82+ČL!K301+NB!K132+SM!K174+JI!K146+TU!K207</f>
        <v>7314644</v>
      </c>
      <c r="E31" s="16">
        <f>LB!L473+FR!L137+JN!L200+TA!L108+ŽB!L82+ČL!L301+NB!L132+SM!L174+JI!L146+TU!L207</f>
        <v>232276</v>
      </c>
      <c r="F31" s="16">
        <f>LB!M473+FR!M137+JN!M200+TA!M108+ŽB!M82+ČL!M301+NB!M132+SM!M174+JI!M146+TU!M207</f>
        <v>128360</v>
      </c>
      <c r="G31" s="16">
        <f>LB!N473+FR!N137+JN!N200+TA!N108+ŽB!N82+ČL!N301+NB!N132+SM!N174+JI!N146+TU!N207</f>
        <v>128360</v>
      </c>
      <c r="H31" s="16">
        <f>LB!O473+FR!O137+JN!O200+TA!O108+ŽB!O82+ČL!O301+NB!O132+SM!O174+JI!O146+TU!O207</f>
        <v>0</v>
      </c>
      <c r="I31" s="16">
        <f>LB!P473+FR!P137+JN!P200+TA!P108+ŽB!P82+ČL!P301+NB!P132+SM!P174+JI!P146+TU!P207</f>
        <v>2594245</v>
      </c>
      <c r="J31" s="16">
        <f>LB!Q473+FR!Q137+JN!Q200+TA!Q108+ŽB!Q82+ČL!Q301+NB!Q132+SM!Q174+JI!Q146+TU!Q207</f>
        <v>75469</v>
      </c>
      <c r="K31" s="16">
        <f>LB!R473+FR!R137+JN!R200+TA!R108+ŽB!R82+ČL!R301+NB!R132+SM!R174+JI!R146+TU!R207</f>
        <v>54280</v>
      </c>
      <c r="L31" s="13">
        <f>LB!S473+FR!S137+JN!S200+TA!S108+ŽB!S82+ČL!S301+NB!S132+SM!S174+JI!S146+TU!S207</f>
        <v>10.7186</v>
      </c>
      <c r="M31" s="13">
        <f>LB!T473+FR!T137+JN!T200+TA!T108+ŽB!T82+ČL!T301+NB!T132+SM!T174+JI!T146+TU!T207</f>
        <v>10.025400000000001</v>
      </c>
      <c r="N31" s="169">
        <f>LB!U473+FR!U137+JN!U200+TA!U108+ŽB!U82+ČL!U301+NB!U132+SM!U174+JI!U146+TU!U207</f>
        <v>0.69320000000000004</v>
      </c>
      <c r="O31" s="167">
        <f>LB!V473+FR!V137+JN!V200+TA!V108+ŽB!V82+ČL!V301+NB!V132+SM!V174+JI!V146+TU!V207</f>
        <v>0</v>
      </c>
      <c r="P31" s="16">
        <f>LB!W473+FR!W137+JN!W200+TA!W108+ŽB!W82+ČL!W301+NB!W132+SM!W174+JI!W146+TU!W207</f>
        <v>0</v>
      </c>
      <c r="Q31" s="16">
        <f>LB!X473+FR!X137+JN!X200+TA!X108+ŽB!X82+ČL!X301+NB!X132+SM!X174+JI!X146+TU!X207</f>
        <v>0</v>
      </c>
      <c r="R31" s="16">
        <f>LB!Y473+FR!Y137+JN!Y200+TA!Y108+ŽB!Y82+ČL!Y301+NB!Y132+SM!Y174+JI!Y146+TU!Y207</f>
        <v>0</v>
      </c>
      <c r="S31" s="16">
        <f>LB!Z473+FR!Z137+JN!Z200+TA!Z108+ŽB!Z82+ČL!Z301+NB!Z132+SM!Z174+JI!Z146+TU!Z207</f>
        <v>0</v>
      </c>
      <c r="T31" s="16">
        <f>LB!AA473+FR!AA137+JN!AA200+TA!AA108+ŽB!AA82+ČL!AA301+NB!AA132+SM!AA174+JI!AA146+TU!AA207</f>
        <v>0</v>
      </c>
      <c r="U31" s="16">
        <f>LB!AB473+FR!AB137+JN!AB200+TA!AB108+ŽB!AB82+ČL!AB301+NB!AB132+SM!AB174+JI!AB146+TU!AB207</f>
        <v>0</v>
      </c>
      <c r="V31" s="16">
        <f>LB!AC473+FR!AC137+JN!AC200+TA!AC108+ŽB!AC82+ČL!AC301+NB!AC132+SM!AC174+JI!AC146+TU!AC207</f>
        <v>0</v>
      </c>
      <c r="W31" s="16">
        <f>LB!AD473+FR!AD137+JN!AD200+TA!AD108+ŽB!AD82+ČL!AD301+NB!AD132+SM!AD174+JI!AD146+TU!AD207</f>
        <v>0</v>
      </c>
      <c r="X31" s="16">
        <f>LB!AE473+FR!AE137+JN!AE200+TA!AE108+ŽB!AE82+ČL!AE301+NB!AE132+SM!AE174+JI!AE146+TU!AE207</f>
        <v>0</v>
      </c>
      <c r="Y31" s="16">
        <f>LB!AF473+FR!AF137+JN!AF200+TA!AF108+ŽB!AF82+ČL!AF301+NB!AF132+SM!AF174+JI!AF146+TU!AF207</f>
        <v>0</v>
      </c>
      <c r="Z31" s="16">
        <f>LB!AG473+FR!AG137+JN!AG200+TA!AG108+ŽB!AG82+ČL!AG301+NB!AG132+SM!AG174+JI!AG146+TU!AG207</f>
        <v>0</v>
      </c>
      <c r="AA31" s="16">
        <f>LB!AH473+FR!AH137+JN!AH200+TA!AH108+ŽB!AH82+ČL!AH301+NB!AH132+SM!AH174+JI!AH146+TU!AH207</f>
        <v>0</v>
      </c>
      <c r="AB31" s="16">
        <f>LB!AI473+FR!AI137+JN!AI200+TA!AI108+ŽB!AI82+ČL!AI301+NB!AI132+SM!AI174+JI!AI146+TU!AI207</f>
        <v>0</v>
      </c>
      <c r="AC31" s="16">
        <f>LB!AJ473+FR!AJ137+JN!AJ200+TA!AJ108+ŽB!AJ82+ČL!AJ301+NB!AJ132+SM!AJ174+JI!AJ146+TU!AJ207</f>
        <v>0</v>
      </c>
      <c r="AD31" s="16">
        <f>LB!AK473+FR!AK137+JN!AK200+TA!AK108+ŽB!AK82+ČL!AK301+NB!AK132+SM!AK174+JI!AK146+TU!AK207</f>
        <v>0</v>
      </c>
      <c r="AE31" s="16">
        <f>LB!AL473+FR!AL137+JN!AL200+TA!AL108+ŽB!AL82+ČL!AL301+NB!AL132+SM!AL174+JI!AL146+TU!AL207</f>
        <v>0</v>
      </c>
      <c r="AF31" s="16">
        <f>LB!AM473+FR!AM137+JN!AM200+TA!AM108+ŽB!AM82+ČL!AM301+NB!AM132+SM!AM174+JI!AM146+TU!AM207</f>
        <v>0</v>
      </c>
      <c r="AG31" s="16">
        <f>LB!AN473+FR!AN137+JN!AN200+TA!AN108+ŽB!AN82+ČL!AN301+NB!AN132+SM!AN174+JI!AN146+TU!AN207</f>
        <v>0</v>
      </c>
      <c r="AH31" s="16">
        <f>LB!AO473+FR!AO137+JN!AO200+TA!AO108+ŽB!AO82+ČL!AO301+NB!AO132+SM!AO174+JI!AO146+TU!AO207</f>
        <v>0</v>
      </c>
      <c r="AI31" s="16">
        <f>LB!AP473+FR!AP137+JN!AP200+TA!AP108+ŽB!AP82+ČL!AP301+NB!AP132+SM!AP174+JI!AP146+TU!AP207</f>
        <v>0</v>
      </c>
      <c r="AJ31" s="16">
        <f>LB!AQ473+FR!AQ137+JN!AQ200+TA!AQ108+ŽB!AQ82+ČL!AQ301+NB!AQ132+SM!AQ174+JI!AQ146+TU!AQ207</f>
        <v>0</v>
      </c>
      <c r="AK31" s="16">
        <f>LB!AR473+FR!AR137+JN!AR200+TA!AR108+ŽB!AR82+ČL!AR301+NB!AR132+SM!AR174+JI!AR146+TU!AR207</f>
        <v>0</v>
      </c>
      <c r="AL31" s="16">
        <f>LB!AS473+FR!AS137+JN!AS200+TA!AS108+ŽB!AS82+ČL!AS301+NB!AS132+SM!AS174+JI!AS146+TU!AS207</f>
        <v>0</v>
      </c>
      <c r="AM31" s="16">
        <f>LB!AT473+FR!AT137+JN!AT200+TA!AT108+ŽB!AT82+ČL!AT301+NB!AT132+SM!AT174+JI!AT146+TU!AT207</f>
        <v>0</v>
      </c>
      <c r="AN31" s="16">
        <f>LB!AU473+FR!AU137+JN!AU200+TA!AU108+ŽB!AU82+ČL!AU301+NB!AU132+SM!AU174+JI!AU146+TU!AU207</f>
        <v>0</v>
      </c>
      <c r="AO31" s="16">
        <f>LB!AV473+FR!AV137+JN!AV200+TA!AV108+ŽB!AV82+ČL!AV301+NB!AV132+SM!AV174+JI!AV146+TU!AV207</f>
        <v>0</v>
      </c>
      <c r="AP31" s="16">
        <f>LB!AW473+FR!AW137+JN!AW200+TA!AW108+ŽB!AW82+ČL!AW301+NB!AW132+SM!AW174+JI!AW146+TU!AW207</f>
        <v>0</v>
      </c>
      <c r="AQ31" s="13">
        <f>LB!AX473+FR!AX137+JN!AX200+TA!AX108+ŽB!AX82+ČL!AX301+NB!AX132+SM!AX174+JI!AX146+TU!AX207</f>
        <v>0</v>
      </c>
      <c r="AR31" s="13">
        <f>LB!AY473+FR!AY137+JN!AY200+TA!AY108+ŽB!AY82+ČL!AY301+NB!AY132+SM!AY174+JI!AY146+TU!AY207</f>
        <v>0</v>
      </c>
      <c r="AS31" s="13">
        <f>LB!AZ473+FR!AZ137+JN!AZ200+TA!AZ108+ŽB!AZ82+ČL!AZ301+NB!AZ132+SM!AZ174+JI!AZ146+TU!AZ207</f>
        <v>0</v>
      </c>
      <c r="AT31" s="13">
        <f>LB!BA473+FR!BA137+JN!BA200+TA!BA108+ŽB!BA82+ČL!BA301+NB!BA132+SM!BA174+JI!BA146+TU!BA207</f>
        <v>0</v>
      </c>
      <c r="AU31" s="13">
        <f>LB!BB473+FR!BB137+JN!BB200+TA!BB108+ŽB!BB82+ČL!BB301+NB!BB132+SM!BB174+JI!BB146+TU!BB207</f>
        <v>0</v>
      </c>
      <c r="AV31" s="13">
        <f>LB!BC473+FR!BC137+JN!BC200+TA!BC108+ŽB!BC82+ČL!BC301+NB!BC132+SM!BC174+JI!BC146+TU!BC207</f>
        <v>0</v>
      </c>
      <c r="AW31" s="13">
        <f>LB!BD473+FR!BD137+JN!BD200+TA!BD108+ŽB!BD82+ČL!BD301+NB!BD132+SM!BD174+JI!BD146+TU!BD207</f>
        <v>0</v>
      </c>
      <c r="AX31" s="13">
        <f>LB!BE473+FR!BE137+JN!BE200+TA!BE108+ŽB!BE82+ČL!BE301+NB!BE132+SM!BE174+JI!BE146+TU!BE207</f>
        <v>0</v>
      </c>
      <c r="AY31" s="13">
        <f>LB!BF473+FR!BF137+JN!BF200+TA!BF108+ŽB!BF82+ČL!BF301+NB!BF132+SM!BF174+JI!BF146+TU!BF207</f>
        <v>0</v>
      </c>
      <c r="AZ31" s="13">
        <f>LB!BG473+FR!BG137+JN!BG200+TA!BG108+ŽB!BG82+ČL!BG301+NB!BG132+SM!BG174+JI!BG146+TU!BG207</f>
        <v>0</v>
      </c>
      <c r="BA31" s="17">
        <f>LB!BH473+FR!BH137+JN!BH200+TA!BH108+ŽB!BH82+ČL!BH301+NB!BH132+SM!BH174+JI!BH146+TU!BH207</f>
        <v>0</v>
      </c>
      <c r="BB31" s="167">
        <f>LB!BI473+FR!BI137+JN!BI200+TA!BI108+ŽB!BI82+ČL!BI301+NB!BI132+SM!BI174+JI!BI146+TU!BI207</f>
        <v>10399274</v>
      </c>
      <c r="BC31" s="16">
        <f>LB!BJ473+FR!BJ137+JN!BJ200+TA!BJ108+ŽB!BJ82+ČL!BJ301+NB!BJ132+SM!BJ174+JI!BJ146+TU!BJ207</f>
        <v>7546920</v>
      </c>
      <c r="BD31" s="16">
        <f>LB!BK473+FR!BK137+JN!BK200+TA!BK108+ŽB!BK82+ČL!BK301+NB!BK132+SM!BK174+JI!BK146+TU!BK207</f>
        <v>7314644</v>
      </c>
      <c r="BE31" s="16">
        <f>LB!BL473+FR!BL137+JN!BL200+TA!BL108+ŽB!BL82+ČL!BL301+NB!BL132+SM!BL174+JI!BL146+TU!BL207</f>
        <v>232276</v>
      </c>
      <c r="BF31" s="16">
        <f>LB!BM473+FR!BM137+JN!BM200+TA!BM108+ŽB!BM82+ČL!BM301+NB!BM132+SM!BM174+JI!BM146+TU!BM207</f>
        <v>128360</v>
      </c>
      <c r="BG31" s="16">
        <f>LB!BN473+FR!BN137+JN!BN200+TA!BN108+ŽB!BN82+ČL!BN301+NB!BN132+SM!BN174+JI!BN146+TU!BN207</f>
        <v>128360</v>
      </c>
      <c r="BH31" s="16">
        <f>LB!BO473+FR!BO137+JN!BO200+TA!BO108+ŽB!BO82+ČL!BO301+NB!BO132+SM!BO174+JI!BO146+TU!BO207</f>
        <v>0</v>
      </c>
      <c r="BI31" s="16">
        <f>LB!BP473+FR!BP137+JN!BP200+TA!BP108+ŽB!BP82+ČL!BP301+NB!BP132+SM!BP174+JI!BP146+TU!BP207</f>
        <v>2594245</v>
      </c>
      <c r="BJ31" s="16">
        <f>LB!BQ473+FR!BQ137+JN!BQ200+TA!BQ108+ŽB!BQ82+ČL!BQ301+NB!BQ132+SM!BQ174+JI!BQ146+TU!BQ207</f>
        <v>75469</v>
      </c>
      <c r="BK31" s="16">
        <f>LB!BR473+FR!BR137+JN!BR200+TA!BR108+ŽB!BR82+ČL!BR301+NB!BR132+SM!BR174+JI!BR146+TU!BR207</f>
        <v>54280</v>
      </c>
      <c r="BL31" s="13">
        <f>LB!BS473+FR!BS137+JN!BS200+TA!BS108+ŽB!BS82+ČL!BS301+NB!BS132+SM!BS174+JI!BS146+TU!BS207</f>
        <v>10.7186</v>
      </c>
      <c r="BM31" s="13">
        <f>LB!BT473+FR!BT137+JN!BT200+TA!BT108+ŽB!BT82+ČL!BT301+NB!BT132+SM!BT174+JI!BT146+TU!BT207</f>
        <v>10.025400000000001</v>
      </c>
      <c r="BN31" s="17">
        <f>LB!BU473+FR!BU137+JN!BU200+TA!BU108+ŽB!BU82+ČL!BU301+NB!BU132+SM!BU174+JI!BU146+TU!BU207</f>
        <v>0.69320000000000004</v>
      </c>
      <c r="BO31" s="168">
        <f>LB!BV473+FR!BV137+JN!BV200+TA!BV108+ŽB!BV82+ČL!BV301+NB!BV132+SM!BV174+JI!BV146+TU!BV207</f>
        <v>0</v>
      </c>
      <c r="BP31" s="16">
        <f>LB!BW473+FR!BW137+JN!BW200+TA!BW108+ŽB!BW82+ČL!BW301+NB!BW132+SM!BW174+JI!BW146+TU!BW207</f>
        <v>0</v>
      </c>
      <c r="BQ31" s="16">
        <f>LB!BX473+FR!BX137+JN!BX200+TA!BX108+ŽB!BX82+ČL!BX301+NB!BX132+SM!BX174+JI!BX146+TU!BX207</f>
        <v>0</v>
      </c>
      <c r="BR31" s="16">
        <f>LB!BY473+FR!BY137+JN!BY200+TA!BY108+ŽB!BY82+ČL!BY301+NB!BY132+SM!BY174+JI!BY146+TU!BY207</f>
        <v>0</v>
      </c>
      <c r="BS31" s="16">
        <f>LB!BZ473+FR!BZ137+JN!BZ200+TA!BZ108+ŽB!BZ82+ČL!BZ301+NB!BZ132+SM!BZ174+JI!BZ146+TU!BZ207</f>
        <v>0</v>
      </c>
      <c r="BT31" s="17">
        <f>LB!CA473+FR!CA137+JN!CA200+TA!CA108+ŽB!CA82+ČL!CA301+NB!CA132+SM!CA174+JI!CA146+TU!CA207</f>
        <v>0</v>
      </c>
    </row>
    <row r="32" spans="1:72" x14ac:dyDescent="0.2">
      <c r="A32" s="2">
        <v>3124</v>
      </c>
      <c r="B32" s="167">
        <f>LB!I474+FR!I138+JN!I201+TA!I109+ŽB!I83+ČL!I302+NB!I133+SM!I175+JI!I147+TU!I208</f>
        <v>4110107</v>
      </c>
      <c r="C32" s="16">
        <f>LB!J474+FR!J138+JN!J201+TA!J109+ŽB!J83+ČL!J302+NB!J133+SM!J175+JI!J147+TU!J208</f>
        <v>3039835</v>
      </c>
      <c r="D32" s="16">
        <f>LB!K474+FR!K138+JN!K201+TA!K109+ŽB!K83+ČL!K302+NB!K133+SM!K175+JI!K147+TU!K208</f>
        <v>2937341</v>
      </c>
      <c r="E32" s="16">
        <f>LB!L474+FR!L138+JN!L201+TA!L109+ŽB!L83+ČL!L302+NB!L133+SM!L175+JI!L147+TU!L208</f>
        <v>102494</v>
      </c>
      <c r="F32" s="16">
        <f>LB!M474+FR!M138+JN!M201+TA!M109+ŽB!M83+ČL!M302+NB!M133+SM!M175+JI!M147+TU!M208</f>
        <v>0</v>
      </c>
      <c r="G32" s="16">
        <f>LB!N474+FR!N138+JN!N201+TA!N109+ŽB!N83+ČL!N302+NB!N133+SM!N175+JI!N147+TU!N208</f>
        <v>0</v>
      </c>
      <c r="H32" s="16">
        <f>LB!O474+FR!O138+JN!O201+TA!O109+ŽB!O83+ČL!O302+NB!O133+SM!O175+JI!O147+TU!O208</f>
        <v>0</v>
      </c>
      <c r="I32" s="16">
        <f>LB!P474+FR!P138+JN!P201+TA!P109+ŽB!P83+ČL!P302+NB!P133+SM!P175+JI!P147+TU!P208</f>
        <v>1027464</v>
      </c>
      <c r="J32" s="16">
        <f>LB!Q474+FR!Q138+JN!Q201+TA!Q109+ŽB!Q83+ČL!Q302+NB!Q133+SM!Q175+JI!Q147+TU!Q208</f>
        <v>30398</v>
      </c>
      <c r="K32" s="16">
        <f>LB!R474+FR!R138+JN!R201+TA!R109+ŽB!R83+ČL!R302+NB!R133+SM!R175+JI!R147+TU!R208</f>
        <v>12410</v>
      </c>
      <c r="L32" s="13">
        <f>LB!S474+FR!S138+JN!S201+TA!S109+ŽB!S83+ČL!S302+NB!S133+SM!S175+JI!S147+TU!S208</f>
        <v>4.6234000000000002</v>
      </c>
      <c r="M32" s="13">
        <f>LB!T474+FR!T138+JN!T201+TA!T109+ŽB!T83+ČL!T302+NB!T133+SM!T175+JI!T147+TU!T208</f>
        <v>4.3174999999999999</v>
      </c>
      <c r="N32" s="169">
        <f>LB!U474+FR!U138+JN!U201+TA!U109+ŽB!U83+ČL!U302+NB!U133+SM!U175+JI!U147+TU!U208</f>
        <v>0.30590000000000001</v>
      </c>
      <c r="O32" s="167">
        <f>LB!V474+FR!V138+JN!V201+TA!V109+ŽB!V83+ČL!V302+NB!V133+SM!V175+JI!V147+TU!V208</f>
        <v>0</v>
      </c>
      <c r="P32" s="16">
        <f>LB!W474+FR!W138+JN!W201+TA!W109+ŽB!W83+ČL!W302+NB!W133+SM!W175+JI!W147+TU!W208</f>
        <v>0</v>
      </c>
      <c r="Q32" s="16">
        <f>LB!X474+FR!X138+JN!X201+TA!X109+ŽB!X83+ČL!X302+NB!X133+SM!X175+JI!X147+TU!X208</f>
        <v>0</v>
      </c>
      <c r="R32" s="16">
        <f>LB!Y474+FR!Y138+JN!Y201+TA!Y109+ŽB!Y83+ČL!Y302+NB!Y133+SM!Y175+JI!Y147+TU!Y208</f>
        <v>0</v>
      </c>
      <c r="S32" s="16">
        <f>LB!Z474+FR!Z138+JN!Z201+TA!Z109+ŽB!Z83+ČL!Z302+NB!Z133+SM!Z175+JI!Z147+TU!Z208</f>
        <v>0</v>
      </c>
      <c r="T32" s="16">
        <f>LB!AA474+FR!AA138+JN!AA201+TA!AA109+ŽB!AA83+ČL!AA302+NB!AA133+SM!AA175+JI!AA147+TU!AA208</f>
        <v>0</v>
      </c>
      <c r="U32" s="16">
        <f>LB!AB474+FR!AB138+JN!AB201+TA!AB109+ŽB!AB83+ČL!AB302+NB!AB133+SM!AB175+JI!AB147+TU!AB208</f>
        <v>0</v>
      </c>
      <c r="V32" s="16">
        <f>LB!AC474+FR!AC138+JN!AC201+TA!AC109+ŽB!AC83+ČL!AC302+NB!AC133+SM!AC175+JI!AC147+TU!AC208</f>
        <v>0</v>
      </c>
      <c r="W32" s="16">
        <f>LB!AD474+FR!AD138+JN!AD201+TA!AD109+ŽB!AD83+ČL!AD302+NB!AD133+SM!AD175+JI!AD147+TU!AD208</f>
        <v>0</v>
      </c>
      <c r="X32" s="16">
        <f>LB!AE474+FR!AE138+JN!AE201+TA!AE109+ŽB!AE83+ČL!AE302+NB!AE133+SM!AE175+JI!AE147+TU!AE208</f>
        <v>0</v>
      </c>
      <c r="Y32" s="16">
        <f>LB!AF474+FR!AF138+JN!AF201+TA!AF109+ŽB!AF83+ČL!AF302+NB!AF133+SM!AF175+JI!AF147+TU!AF208</f>
        <v>0</v>
      </c>
      <c r="Z32" s="16">
        <f>LB!AG474+FR!AG138+JN!AG201+TA!AG109+ŽB!AG83+ČL!AG302+NB!AG133+SM!AG175+JI!AG147+TU!AG208</f>
        <v>0</v>
      </c>
      <c r="AA32" s="16">
        <f>LB!AH474+FR!AH138+JN!AH201+TA!AH109+ŽB!AH83+ČL!AH302+NB!AH133+SM!AH175+JI!AH147+TU!AH208</f>
        <v>0</v>
      </c>
      <c r="AB32" s="16">
        <f>LB!AI474+FR!AI138+JN!AI201+TA!AI109+ŽB!AI83+ČL!AI302+NB!AI133+SM!AI175+JI!AI147+TU!AI208</f>
        <v>0</v>
      </c>
      <c r="AC32" s="16">
        <f>LB!AJ474+FR!AJ138+JN!AJ201+TA!AJ109+ŽB!AJ83+ČL!AJ302+NB!AJ133+SM!AJ175+JI!AJ147+TU!AJ208</f>
        <v>0</v>
      </c>
      <c r="AD32" s="16">
        <f>LB!AK474+FR!AK138+JN!AK201+TA!AK109+ŽB!AK83+ČL!AK302+NB!AK133+SM!AK175+JI!AK147+TU!AK208</f>
        <v>0</v>
      </c>
      <c r="AE32" s="16">
        <f>LB!AL474+FR!AL138+JN!AL201+TA!AL109+ŽB!AL83+ČL!AL302+NB!AL133+SM!AL175+JI!AL147+TU!AL208</f>
        <v>0</v>
      </c>
      <c r="AF32" s="16">
        <f>LB!AM474+FR!AM138+JN!AM201+TA!AM109+ŽB!AM83+ČL!AM302+NB!AM133+SM!AM175+JI!AM147+TU!AM208</f>
        <v>0</v>
      </c>
      <c r="AG32" s="16">
        <f>LB!AN474+FR!AN138+JN!AN201+TA!AN109+ŽB!AN83+ČL!AN302+NB!AN133+SM!AN175+JI!AN147+TU!AN208</f>
        <v>0</v>
      </c>
      <c r="AH32" s="16">
        <f>LB!AO474+FR!AO138+JN!AO201+TA!AO109+ŽB!AO83+ČL!AO302+NB!AO133+SM!AO175+JI!AO147+TU!AO208</f>
        <v>0</v>
      </c>
      <c r="AI32" s="16">
        <f>LB!AP474+FR!AP138+JN!AP201+TA!AP109+ŽB!AP83+ČL!AP302+NB!AP133+SM!AP175+JI!AP147+TU!AP208</f>
        <v>0</v>
      </c>
      <c r="AJ32" s="16">
        <f>LB!AQ474+FR!AQ138+JN!AQ201+TA!AQ109+ŽB!AQ83+ČL!AQ302+NB!AQ133+SM!AQ175+JI!AQ147+TU!AQ208</f>
        <v>0</v>
      </c>
      <c r="AK32" s="16">
        <f>LB!AR474+FR!AR138+JN!AR201+TA!AR109+ŽB!AR83+ČL!AR302+NB!AR133+SM!AR175+JI!AR147+TU!AR208</f>
        <v>0</v>
      </c>
      <c r="AL32" s="16">
        <f>LB!AS474+FR!AS138+JN!AS201+TA!AS109+ŽB!AS83+ČL!AS302+NB!AS133+SM!AS175+JI!AS147+TU!AS208</f>
        <v>0</v>
      </c>
      <c r="AM32" s="16">
        <f>LB!AT474+FR!AT138+JN!AT201+TA!AT109+ŽB!AT83+ČL!AT302+NB!AT133+SM!AT175+JI!AT147+TU!AT208</f>
        <v>0</v>
      </c>
      <c r="AN32" s="16">
        <f>LB!AU474+FR!AU138+JN!AU201+TA!AU109+ŽB!AU83+ČL!AU302+NB!AU133+SM!AU175+JI!AU147+TU!AU208</f>
        <v>0</v>
      </c>
      <c r="AO32" s="16">
        <f>LB!AV474+FR!AV138+JN!AV201+TA!AV109+ŽB!AV83+ČL!AV302+NB!AV133+SM!AV175+JI!AV147+TU!AV208</f>
        <v>0</v>
      </c>
      <c r="AP32" s="16">
        <f>LB!AW474+FR!AW138+JN!AW201+TA!AW109+ŽB!AW83+ČL!AW302+NB!AW133+SM!AW175+JI!AW147+TU!AW208</f>
        <v>0</v>
      </c>
      <c r="AQ32" s="13">
        <f>LB!AX474+FR!AX138+JN!AX201+TA!AX109+ŽB!AX83+ČL!AX302+NB!AX133+SM!AX175+JI!AX147+TU!AX208</f>
        <v>0</v>
      </c>
      <c r="AR32" s="13">
        <f>LB!AY474+FR!AY138+JN!AY201+TA!AY109+ŽB!AY83+ČL!AY302+NB!AY133+SM!AY175+JI!AY147+TU!AY208</f>
        <v>0</v>
      </c>
      <c r="AS32" s="13">
        <f>LB!AZ474+FR!AZ138+JN!AZ201+TA!AZ109+ŽB!AZ83+ČL!AZ302+NB!AZ133+SM!AZ175+JI!AZ147+TU!AZ208</f>
        <v>0</v>
      </c>
      <c r="AT32" s="13">
        <f>LB!BA474+FR!BA138+JN!BA201+TA!BA109+ŽB!BA83+ČL!BA302+NB!BA133+SM!BA175+JI!BA147+TU!BA208</f>
        <v>0</v>
      </c>
      <c r="AU32" s="13">
        <f>LB!BB474+FR!BB138+JN!BB201+TA!BB109+ŽB!BB83+ČL!BB302+NB!BB133+SM!BB175+JI!BB147+TU!BB208</f>
        <v>0</v>
      </c>
      <c r="AV32" s="13">
        <f>LB!BC474+FR!BC138+JN!BC201+TA!BC109+ŽB!BC83+ČL!BC302+NB!BC133+SM!BC175+JI!BC147+TU!BC208</f>
        <v>0</v>
      </c>
      <c r="AW32" s="13">
        <f>LB!BD474+FR!BD138+JN!BD201+TA!BD109+ŽB!BD83+ČL!BD302+NB!BD133+SM!BD175+JI!BD147+TU!BD208</f>
        <v>0</v>
      </c>
      <c r="AX32" s="13">
        <f>LB!BE474+FR!BE138+JN!BE201+TA!BE109+ŽB!BE83+ČL!BE302+NB!BE133+SM!BE175+JI!BE147+TU!BE208</f>
        <v>0</v>
      </c>
      <c r="AY32" s="13">
        <f>LB!BF474+FR!BF138+JN!BF201+TA!BF109+ŽB!BF83+ČL!BF302+NB!BF133+SM!BF175+JI!BF147+TU!BF208</f>
        <v>0</v>
      </c>
      <c r="AZ32" s="13">
        <f>LB!BG474+FR!BG138+JN!BG201+TA!BG109+ŽB!BG83+ČL!BG302+NB!BG133+SM!BG175+JI!BG147+TU!BG208</f>
        <v>0</v>
      </c>
      <c r="BA32" s="17">
        <f>LB!BH474+FR!BH138+JN!BH201+TA!BH109+ŽB!BH83+ČL!BH302+NB!BH133+SM!BH175+JI!BH147+TU!BH208</f>
        <v>0</v>
      </c>
      <c r="BB32" s="167">
        <f>LB!BI474+FR!BI138+JN!BI201+TA!BI109+ŽB!BI83+ČL!BI302+NB!BI133+SM!BI175+JI!BI147+TU!BI208</f>
        <v>4110107</v>
      </c>
      <c r="BC32" s="16">
        <f>LB!BJ474+FR!BJ138+JN!BJ201+TA!BJ109+ŽB!BJ83+ČL!BJ302+NB!BJ133+SM!BJ175+JI!BJ147+TU!BJ208</f>
        <v>3039835</v>
      </c>
      <c r="BD32" s="16">
        <f>LB!BK474+FR!BK138+JN!BK201+TA!BK109+ŽB!BK83+ČL!BK302+NB!BK133+SM!BK175+JI!BK147+TU!BK208</f>
        <v>2937341</v>
      </c>
      <c r="BE32" s="16">
        <f>LB!BL474+FR!BL138+JN!BL201+TA!BL109+ŽB!BL83+ČL!BL302+NB!BL133+SM!BL175+JI!BL147+TU!BL208</f>
        <v>102494</v>
      </c>
      <c r="BF32" s="16">
        <f>LB!BM474+FR!BM138+JN!BM201+TA!BM109+ŽB!BM83+ČL!BM302+NB!BM133+SM!BM175+JI!BM147+TU!BM208</f>
        <v>0</v>
      </c>
      <c r="BG32" s="16">
        <f>LB!BN474+FR!BN138+JN!BN201+TA!BN109+ŽB!BN83+ČL!BN302+NB!BN133+SM!BN175+JI!BN147+TU!BN208</f>
        <v>0</v>
      </c>
      <c r="BH32" s="16">
        <f>LB!BO474+FR!BO138+JN!BO201+TA!BO109+ŽB!BO83+ČL!BO302+NB!BO133+SM!BO175+JI!BO147+TU!BO208</f>
        <v>0</v>
      </c>
      <c r="BI32" s="16">
        <f>LB!BP474+FR!BP138+JN!BP201+TA!BP109+ŽB!BP83+ČL!BP302+NB!BP133+SM!BP175+JI!BP147+TU!BP208</f>
        <v>1027464</v>
      </c>
      <c r="BJ32" s="16">
        <f>LB!BQ474+FR!BQ138+JN!BQ201+TA!BQ109+ŽB!BQ83+ČL!BQ302+NB!BQ133+SM!BQ175+JI!BQ147+TU!BQ208</f>
        <v>30398</v>
      </c>
      <c r="BK32" s="16">
        <f>LB!BR474+FR!BR138+JN!BR201+TA!BR109+ŽB!BR83+ČL!BR302+NB!BR133+SM!BR175+JI!BR147+TU!BR208</f>
        <v>12410</v>
      </c>
      <c r="BL32" s="13">
        <f>LB!BS474+FR!BS138+JN!BS201+TA!BS109+ŽB!BS83+ČL!BS302+NB!BS133+SM!BS175+JI!BS147+TU!BS208</f>
        <v>4.6234000000000002</v>
      </c>
      <c r="BM32" s="13">
        <f>LB!BT474+FR!BT138+JN!BT201+TA!BT109+ŽB!BT83+ČL!BT302+NB!BT133+SM!BT175+JI!BT147+TU!BT208</f>
        <v>4.3174999999999999</v>
      </c>
      <c r="BN32" s="17">
        <f>LB!BU474+FR!BU138+JN!BU201+TA!BU109+ŽB!BU83+ČL!BU302+NB!BU133+SM!BU175+JI!BU147+TU!BU208</f>
        <v>0.30590000000000001</v>
      </c>
      <c r="BO32" s="168">
        <f>LB!BV474+FR!BV138+JN!BV201+TA!BV109+ŽB!BV83+ČL!BV302+NB!BV133+SM!BV175+JI!BV147+TU!BV208</f>
        <v>0</v>
      </c>
      <c r="BP32" s="16">
        <f>LB!BW474+FR!BW138+JN!BW201+TA!BW109+ŽB!BW83+ČL!BW302+NB!BW133+SM!BW175+JI!BW147+TU!BW208</f>
        <v>0</v>
      </c>
      <c r="BQ32" s="16">
        <f>LB!BX474+FR!BX138+JN!BX201+TA!BX109+ŽB!BX83+ČL!BX302+NB!BX133+SM!BX175+JI!BX147+TU!BX208</f>
        <v>0</v>
      </c>
      <c r="BR32" s="16">
        <f>LB!BY474+FR!BY138+JN!BY201+TA!BY109+ŽB!BY83+ČL!BY302+NB!BY133+SM!BY175+JI!BY147+TU!BY208</f>
        <v>0</v>
      </c>
      <c r="BS32" s="16">
        <f>LB!BZ474+FR!BZ138+JN!BZ201+TA!BZ109+ŽB!BZ83+ČL!BZ302+NB!BZ133+SM!BZ175+JI!BZ147+TU!BZ208</f>
        <v>0</v>
      </c>
      <c r="BT32" s="17">
        <f>LB!CA474+FR!CA138+JN!CA201+TA!CA109+ŽB!CA83+ČL!CA302+NB!CA133+SM!CA175+JI!CA147+TU!CA208</f>
        <v>0</v>
      </c>
    </row>
    <row r="33" spans="1:72" x14ac:dyDescent="0.2">
      <c r="A33" s="2">
        <v>3141</v>
      </c>
      <c r="B33" s="167">
        <f>LB!I475+FR!I139+JN!I202+TA!I110+ŽB!I84+ČL!I303+NB!I134+SM!I176+JI!I148+TU!I209</f>
        <v>276264926</v>
      </c>
      <c r="C33" s="16">
        <f>LB!J475+FR!J139+JN!J202+TA!J110+ŽB!J84+ČL!J303+NB!J134+SM!J176+JI!J148+TU!J209</f>
        <v>202049941</v>
      </c>
      <c r="D33" s="16">
        <f>LB!K475+FR!K139+JN!K202+TA!K110+ŽB!K84+ČL!K303+NB!K134+SM!K176+JI!K148+TU!K209</f>
        <v>0</v>
      </c>
      <c r="E33" s="16">
        <f>LB!L475+FR!L139+JN!L202+TA!L110+ŽB!L84+ČL!L303+NB!L134+SM!L176+JI!L148+TU!L209</f>
        <v>202049941</v>
      </c>
      <c r="F33" s="16">
        <f>LB!M475+FR!M139+JN!M202+TA!M110+ŽB!M84+ČL!M303+NB!M134+SM!M176+JI!M148+TU!M209</f>
        <v>1700880</v>
      </c>
      <c r="G33" s="16">
        <f>LB!N475+FR!N139+JN!N202+TA!N110+ŽB!N84+ČL!N303+NB!N134+SM!N176+JI!N148+TU!N209</f>
        <v>0</v>
      </c>
      <c r="H33" s="16">
        <f>LB!O475+FR!O139+JN!O202+TA!O110+ŽB!O84+ČL!O303+NB!O134+SM!O176+JI!O148+TU!O209</f>
        <v>1700880</v>
      </c>
      <c r="I33" s="16">
        <f>LB!P475+FR!P139+JN!P202+TA!P110+ŽB!P84+ČL!P303+NB!P134+SM!P176+JI!P148+TU!P209</f>
        <v>68831647</v>
      </c>
      <c r="J33" s="16">
        <f>LB!Q475+FR!Q139+JN!Q202+TA!Q110+ŽB!Q84+ČL!Q303+NB!Q134+SM!Q176+JI!Q148+TU!Q209</f>
        <v>2020495</v>
      </c>
      <c r="K33" s="16">
        <f>LB!R475+FR!R139+JN!R202+TA!R110+ŽB!R84+ČL!R303+NB!R134+SM!R176+JI!R148+TU!R209</f>
        <v>1661963</v>
      </c>
      <c r="L33" s="13">
        <f>LB!S475+FR!S139+JN!S202+TA!S110+ŽB!S84+ČL!S303+NB!S134+SM!S176+JI!S148+TU!S209</f>
        <v>608.5806</v>
      </c>
      <c r="M33" s="13">
        <f>LB!T475+FR!T139+JN!T202+TA!T110+ŽB!T84+ČL!T303+NB!T134+SM!T176+JI!T148+TU!T209</f>
        <v>0</v>
      </c>
      <c r="N33" s="169">
        <f>LB!U475+FR!U139+JN!U202+TA!U110+ŽB!U84+ČL!U303+NB!U134+SM!U176+JI!U148+TU!U209</f>
        <v>608.5806</v>
      </c>
      <c r="O33" s="167">
        <f>LB!V475+FR!V139+JN!V202+TA!V110+ŽB!V84+ČL!V303+NB!V134+SM!V176+JI!V148+TU!V209</f>
        <v>0</v>
      </c>
      <c r="P33" s="16">
        <f>LB!W475+FR!W139+JN!W202+TA!W110+ŽB!W84+ČL!W303+NB!W134+SM!W176+JI!W148+TU!W209</f>
        <v>0</v>
      </c>
      <c r="Q33" s="16">
        <f>LB!X475+FR!X139+JN!X202+TA!X110+ŽB!X84+ČL!X303+NB!X134+SM!X176+JI!X148+TU!X209</f>
        <v>0</v>
      </c>
      <c r="R33" s="16">
        <f>LB!Y475+FR!Y139+JN!Y202+TA!Y110+ŽB!Y84+ČL!Y303+NB!Y134+SM!Y176+JI!Y148+TU!Y209</f>
        <v>0</v>
      </c>
      <c r="S33" s="16">
        <f>LB!Z475+FR!Z139+JN!Z202+TA!Z110+ŽB!Z84+ČL!Z303+NB!Z134+SM!Z176+JI!Z148+TU!Z209</f>
        <v>0</v>
      </c>
      <c r="T33" s="16">
        <f>LB!AA475+FR!AA139+JN!AA202+TA!AA110+ŽB!AA84+ČL!AA303+NB!AA134+SM!AA176+JI!AA148+TU!AA209</f>
        <v>101229988</v>
      </c>
      <c r="U33" s="16">
        <f>LB!AB475+FR!AB139+JN!AB202+TA!AB110+ŽB!AB84+ČL!AB303+NB!AB134+SM!AB176+JI!AB148+TU!AB209</f>
        <v>2584</v>
      </c>
      <c r="V33" s="16">
        <f>LB!AC475+FR!AC139+JN!AC202+TA!AC110+ŽB!AC84+ČL!AC303+NB!AC134+SM!AC176+JI!AC148+TU!AC209</f>
        <v>417961</v>
      </c>
      <c r="W33" s="16">
        <f>LB!AD475+FR!AD139+JN!AD202+TA!AD110+ŽB!AD84+ČL!AD303+NB!AD134+SM!AD176+JI!AD148+TU!AD209</f>
        <v>2584</v>
      </c>
      <c r="X33" s="16">
        <f>LB!AE475+FR!AE139+JN!AE202+TA!AE110+ŽB!AE84+ČL!AE303+NB!AE134+SM!AE176+JI!AE148+TU!AE209</f>
        <v>101647949</v>
      </c>
      <c r="Y33" s="16">
        <f>LB!AF475+FR!AF139+JN!AF202+TA!AF110+ŽB!AF84+ČL!AF303+NB!AF134+SM!AF176+JI!AF148+TU!AF209</f>
        <v>101650533</v>
      </c>
      <c r="Z33" s="16">
        <f>LB!AG475+FR!AG139+JN!AG202+TA!AG110+ŽB!AG84+ČL!AG303+NB!AG134+SM!AG176+JI!AG148+TU!AG209</f>
        <v>0</v>
      </c>
      <c r="AA33" s="16">
        <f>LB!AH475+FR!AH139+JN!AH202+TA!AH110+ŽB!AH84+ČL!AH303+NB!AH134+SM!AH176+JI!AH148+TU!AH209</f>
        <v>0</v>
      </c>
      <c r="AB33" s="16">
        <f>LB!AI475+FR!AI139+JN!AI202+TA!AI110+ŽB!AI84+ČL!AI303+NB!AI134+SM!AI176+JI!AI148+TU!AI209</f>
        <v>0</v>
      </c>
      <c r="AC33" s="16">
        <f>LB!AJ475+FR!AJ139+JN!AJ202+TA!AJ110+ŽB!AJ84+ČL!AJ303+NB!AJ134+SM!AJ176+JI!AJ148+TU!AJ209</f>
        <v>0</v>
      </c>
      <c r="AD33" s="16">
        <f>LB!AK475+FR!AK139+JN!AK202+TA!AK110+ŽB!AK84+ČL!AK303+NB!AK134+SM!AK176+JI!AK148+TU!AK209</f>
        <v>0</v>
      </c>
      <c r="AE33" s="16">
        <f>LB!AL475+FR!AL139+JN!AL202+TA!AL110+ŽB!AL84+ČL!AL303+NB!AL134+SM!AL176+JI!AL148+TU!AL209</f>
        <v>0</v>
      </c>
      <c r="AF33" s="16">
        <f>LB!AM475+FR!AM139+JN!AM202+TA!AM110+ŽB!AM84+ČL!AM303+NB!AM134+SM!AM176+JI!AM148+TU!AM209</f>
        <v>0</v>
      </c>
      <c r="AG33" s="16">
        <f>LB!AN475+FR!AN139+JN!AN202+TA!AN110+ŽB!AN84+ČL!AN303+NB!AN134+SM!AN176+JI!AN148+TU!AN209</f>
        <v>0</v>
      </c>
      <c r="AH33" s="16">
        <f>LB!AO475+FR!AO139+JN!AO202+TA!AO110+ŽB!AO84+ČL!AO303+NB!AO134+SM!AO176+JI!AO148+TU!AO209</f>
        <v>2584</v>
      </c>
      <c r="AI33" s="16">
        <f>LB!AP475+FR!AP139+JN!AP202+TA!AP110+ŽB!AP84+ČL!AP303+NB!AP134+SM!AP176+JI!AP148+TU!AP209</f>
        <v>101647949</v>
      </c>
      <c r="AJ33" s="16">
        <f>LB!AQ475+FR!AQ139+JN!AQ202+TA!AQ110+ŽB!AQ84+ČL!AQ303+NB!AQ134+SM!AQ176+JI!AQ148+TU!AQ209</f>
        <v>101650533</v>
      </c>
      <c r="AK33" s="16">
        <f>LB!AR475+FR!AR139+JN!AR202+TA!AR110+ŽB!AR84+ČL!AR303+NB!AR134+SM!AR176+JI!AR148+TU!AR209</f>
        <v>34357880</v>
      </c>
      <c r="AL33" s="16">
        <f>LB!AS475+FR!AS139+JN!AS202+TA!AS110+ŽB!AS84+ČL!AS303+NB!AS134+SM!AS176+JI!AS148+TU!AS209</f>
        <v>1016503</v>
      </c>
      <c r="AM33" s="16">
        <f>LB!AT475+FR!AT139+JN!AT202+TA!AT110+ŽB!AT84+ČL!AT303+NB!AT134+SM!AT176+JI!AT148+TU!AT209</f>
        <v>0</v>
      </c>
      <c r="AN33" s="16">
        <f>LB!AU475+FR!AU139+JN!AU202+TA!AU110+ŽB!AU84+ČL!AU303+NB!AU134+SM!AU176+JI!AU148+TU!AU209</f>
        <v>802424</v>
      </c>
      <c r="AO33" s="16">
        <f>LB!AV475+FR!AV139+JN!AV202+TA!AV110+ŽB!AV84+ČL!AV303+NB!AV134+SM!AV176+JI!AV148+TU!AV209</f>
        <v>802424</v>
      </c>
      <c r="AP33" s="16">
        <f>LB!AW475+FR!AW139+JN!AW202+TA!AW110+ŽB!AW84+ČL!AW303+NB!AW134+SM!AW176+JI!AW148+TU!AW209</f>
        <v>137827340</v>
      </c>
      <c r="AQ33" s="13">
        <f>LB!AX475+FR!AX139+JN!AX202+TA!AX110+ŽB!AX84+ČL!AX303+NB!AX134+SM!AX176+JI!AX148+TU!AX209</f>
        <v>0</v>
      </c>
      <c r="AR33" s="13">
        <f>LB!AY475+FR!AY139+JN!AY202+TA!AY110+ŽB!AY84+ČL!AY303+NB!AY134+SM!AY176+JI!AY148+TU!AY209</f>
        <v>0</v>
      </c>
      <c r="AS33" s="13">
        <f>LB!AZ475+FR!AZ139+JN!AZ202+TA!AZ110+ŽB!AZ84+ČL!AZ303+NB!AZ134+SM!AZ176+JI!AZ148+TU!AZ209</f>
        <v>0</v>
      </c>
      <c r="AT33" s="13">
        <f>LB!BA475+FR!BA139+JN!BA202+TA!BA110+ŽB!BA84+ČL!BA303+NB!BA134+SM!BA176+JI!BA148+TU!BA209</f>
        <v>0</v>
      </c>
      <c r="AU33" s="13">
        <f>LB!BB475+FR!BB139+JN!BB202+TA!BB110+ŽB!BB84+ČL!BB303+NB!BB134+SM!BB176+JI!BB148+TU!BB209</f>
        <v>304.31999999999994</v>
      </c>
      <c r="AV33" s="13">
        <f>LB!BC475+FR!BC139+JN!BC202+TA!BC110+ŽB!BC84+ČL!BC303+NB!BC134+SM!BC176+JI!BC148+TU!BC209</f>
        <v>0</v>
      </c>
      <c r="AW33" s="13">
        <f>LB!BD475+FR!BD139+JN!BD202+TA!BD110+ŽB!BD84+ČL!BD303+NB!BD134+SM!BD176+JI!BD148+TU!BD209</f>
        <v>0</v>
      </c>
      <c r="AX33" s="13">
        <f>LB!BE475+FR!BE139+JN!BE202+TA!BE110+ŽB!BE84+ČL!BE303+NB!BE134+SM!BE176+JI!BE148+TU!BE209</f>
        <v>0.35</v>
      </c>
      <c r="AY33" s="13">
        <f>LB!BF475+FR!BF139+JN!BF202+TA!BF110+ŽB!BF84+ČL!BF303+NB!BF134+SM!BF176+JI!BF148+TU!BF209</f>
        <v>0</v>
      </c>
      <c r="AZ33" s="13">
        <f>LB!BG475+FR!BG139+JN!BG202+TA!BG110+ŽB!BG84+ČL!BG303+NB!BG134+SM!BG176+JI!BG148+TU!BG209</f>
        <v>304.66999999999996</v>
      </c>
      <c r="BA33" s="17">
        <f>LB!BH475+FR!BH139+JN!BH202+TA!BH110+ŽB!BH84+ČL!BH303+NB!BH134+SM!BH176+JI!BH148+TU!BH209</f>
        <v>304.66999999999996</v>
      </c>
      <c r="BB33" s="167">
        <f>LB!BI475+FR!BI139+JN!BI202+TA!BI110+ŽB!BI84+ČL!BI303+NB!BI134+SM!BI176+JI!BI148+TU!BI209</f>
        <v>414092266</v>
      </c>
      <c r="BC33" s="16">
        <f>LB!BJ475+FR!BJ139+JN!BJ202+TA!BJ110+ŽB!BJ84+ČL!BJ303+NB!BJ134+SM!BJ176+JI!BJ148+TU!BJ209</f>
        <v>303700474</v>
      </c>
      <c r="BD33" s="16">
        <f>LB!BK475+FR!BK139+JN!BK202+TA!BK110+ŽB!BK84+ČL!BK303+NB!BK134+SM!BK176+JI!BK148+TU!BK209</f>
        <v>2584</v>
      </c>
      <c r="BE33" s="16">
        <f>LB!BL475+FR!BL139+JN!BL202+TA!BL110+ŽB!BL84+ČL!BL303+NB!BL134+SM!BL176+JI!BL148+TU!BL209</f>
        <v>303697890</v>
      </c>
      <c r="BF33" s="16">
        <f>LB!BM475+FR!BM139+JN!BM202+TA!BM110+ŽB!BM84+ČL!BM303+NB!BM134+SM!BM176+JI!BM148+TU!BM209</f>
        <v>1700880</v>
      </c>
      <c r="BG33" s="16">
        <f>LB!BN475+FR!BN139+JN!BN202+TA!BN110+ŽB!BN84+ČL!BN303+NB!BN134+SM!BN176+JI!BN148+TU!BN209</f>
        <v>0</v>
      </c>
      <c r="BH33" s="16">
        <f>LB!BO475+FR!BO139+JN!BO202+TA!BO110+ŽB!BO84+ČL!BO303+NB!BO134+SM!BO176+JI!BO148+TU!BO209</f>
        <v>1700880</v>
      </c>
      <c r="BI33" s="16">
        <f>LB!BP475+FR!BP139+JN!BP202+TA!BP110+ŽB!BP84+ČL!BP303+NB!BP134+SM!BP176+JI!BP148+TU!BP209</f>
        <v>103189527</v>
      </c>
      <c r="BJ33" s="16">
        <f>LB!BQ475+FR!BQ139+JN!BQ202+TA!BQ110+ŽB!BQ84+ČL!BQ303+NB!BQ134+SM!BQ176+JI!BQ148+TU!BQ209</f>
        <v>3036998</v>
      </c>
      <c r="BK33" s="16">
        <f>LB!BR475+FR!BR139+JN!BR202+TA!BR110+ŽB!BR84+ČL!BR303+NB!BR134+SM!BR176+JI!BR148+TU!BR209</f>
        <v>2464387</v>
      </c>
      <c r="BL33" s="13">
        <f>LB!BS475+FR!BS139+JN!BS202+TA!BS110+ŽB!BS84+ČL!BS303+NB!BS134+SM!BS176+JI!BS148+TU!BS209</f>
        <v>913.25060000000008</v>
      </c>
      <c r="BM33" s="13">
        <f>LB!BT475+FR!BT139+JN!BT202+TA!BT110+ŽB!BT84+ČL!BT303+NB!BT134+SM!BT176+JI!BT148+TU!BT209</f>
        <v>0</v>
      </c>
      <c r="BN33" s="17">
        <f>LB!BU475+FR!BU139+JN!BU202+TA!BU110+ŽB!BU84+ČL!BU303+NB!BU134+SM!BU176+JI!BU148+TU!BU209</f>
        <v>913.25060000000008</v>
      </c>
      <c r="BO33" s="168">
        <f>LB!BV475+FR!BV139+JN!BV202+TA!BV110+ŽB!BV84+ČL!BV303+NB!BV134+SM!BV176+JI!BV148+TU!BV209</f>
        <v>0</v>
      </c>
      <c r="BP33" s="16">
        <f>LB!BW475+FR!BW139+JN!BW202+TA!BW110+ŽB!BW84+ČL!BW303+NB!BW134+SM!BW176+JI!BW148+TU!BW209</f>
        <v>0</v>
      </c>
      <c r="BQ33" s="16">
        <f>LB!BX475+FR!BX139+JN!BX202+TA!BX110+ŽB!BX84+ČL!BX303+NB!BX134+SM!BX176+JI!BX148+TU!BX209</f>
        <v>0</v>
      </c>
      <c r="BR33" s="16">
        <f>LB!BY475+FR!BY139+JN!BY202+TA!BY110+ŽB!BY84+ČL!BY303+NB!BY134+SM!BY176+JI!BY148+TU!BY209</f>
        <v>0</v>
      </c>
      <c r="BS33" s="16">
        <f>LB!BZ475+FR!BZ139+JN!BZ202+TA!BZ110+ŽB!BZ84+ČL!BZ303+NB!BZ134+SM!BZ176+JI!BZ148+TU!BZ209</f>
        <v>0</v>
      </c>
      <c r="BT33" s="17">
        <f>LB!CA475+FR!CA139+JN!CA202+TA!CA110+ŽB!CA84+ČL!CA303+NB!CA134+SM!CA176+JI!CA148+TU!CA209</f>
        <v>0</v>
      </c>
    </row>
    <row r="34" spans="1:72" x14ac:dyDescent="0.2">
      <c r="A34" s="2">
        <v>3143</v>
      </c>
      <c r="B34" s="167">
        <f>LB!I476+FR!I140+JN!I203+TA!I111+ŽB!I85+ČL!I304+NB!I135+SM!I177+JI!I149+TU!I210</f>
        <v>327214717</v>
      </c>
      <c r="C34" s="16">
        <f>LB!J476+FR!J140+JN!J203+TA!J111+ŽB!J85+ČL!J304+NB!J135+SM!J177+JI!J149+TU!J210</f>
        <v>241394911</v>
      </c>
      <c r="D34" s="16">
        <f>LB!K476+FR!K140+JN!K203+TA!K111+ŽB!K85+ČL!K304+NB!K135+SM!K177+JI!K149+TU!K210</f>
        <v>236167462</v>
      </c>
      <c r="E34" s="16">
        <f>LB!L476+FR!L140+JN!L203+TA!L111+ŽB!L85+ČL!L304+NB!L135+SM!L177+JI!L149+TU!L210</f>
        <v>5227449</v>
      </c>
      <c r="F34" s="16">
        <f>LB!M476+FR!M140+JN!M203+TA!M111+ŽB!M85+ČL!M304+NB!M135+SM!M177+JI!M149+TU!M210</f>
        <v>1185249</v>
      </c>
      <c r="G34" s="16">
        <f>LB!N476+FR!N140+JN!N203+TA!N111+ŽB!N85+ČL!N304+NB!N135+SM!N177+JI!N149+TU!N210</f>
        <v>1130329</v>
      </c>
      <c r="H34" s="16">
        <f>LB!O476+FR!O140+JN!O203+TA!O111+ŽB!O85+ČL!O304+NB!O135+SM!O177+JI!O149+TU!O210</f>
        <v>54920</v>
      </c>
      <c r="I34" s="16">
        <f>LB!P476+FR!P140+JN!P203+TA!P111+ŽB!P85+ČL!P304+NB!P135+SM!P177+JI!P149+TU!P210</f>
        <v>81967678</v>
      </c>
      <c r="J34" s="16">
        <f>LB!Q476+FR!Q140+JN!Q203+TA!Q111+ŽB!Q85+ČL!Q304+NB!Q135+SM!Q177+JI!Q149+TU!Q210</f>
        <v>2413949</v>
      </c>
      <c r="K34" s="16">
        <f>LB!R476+FR!R140+JN!R203+TA!R111+ŽB!R85+ČL!R304+NB!R135+SM!R177+JI!R149+TU!R210</f>
        <v>252930</v>
      </c>
      <c r="L34" s="13">
        <f>LB!S476+FR!S140+JN!S203+TA!S111+ŽB!S85+ČL!S304+NB!S135+SM!S177+JI!S149+TU!S210</f>
        <v>491.72719999999993</v>
      </c>
      <c r="M34" s="13">
        <f>LB!T476+FR!T140+JN!T203+TA!T111+ŽB!T85+ČL!T304+NB!T135+SM!T177+JI!T149+TU!T210</f>
        <v>471.7856000000001</v>
      </c>
      <c r="N34" s="169">
        <f>LB!U476+FR!U140+JN!U203+TA!U111+ŽB!U85+ČL!U304+NB!U135+SM!U177+JI!U149+TU!U210</f>
        <v>19.941599999999998</v>
      </c>
      <c r="O34" s="167">
        <f>LB!V476+FR!V140+JN!V203+TA!V111+ŽB!V85+ČL!V304+NB!V135+SM!V177+JI!V149+TU!V210</f>
        <v>0</v>
      </c>
      <c r="P34" s="16">
        <f>LB!W476+FR!W140+JN!W203+TA!W111+ŽB!W85+ČL!W304+NB!W135+SM!W177+JI!W149+TU!W210</f>
        <v>0</v>
      </c>
      <c r="Q34" s="16">
        <f>LB!X476+FR!X140+JN!X203+TA!X111+ŽB!X85+ČL!X304+NB!X135+SM!X177+JI!X149+TU!X210</f>
        <v>0</v>
      </c>
      <c r="R34" s="16">
        <f>LB!Y476+FR!Y140+JN!Y203+TA!Y111+ŽB!Y85+ČL!Y304+NB!Y135+SM!Y177+JI!Y149+TU!Y210</f>
        <v>0</v>
      </c>
      <c r="S34" s="16">
        <f>LB!Z476+FR!Z140+JN!Z203+TA!Z111+ŽB!Z85+ČL!Z304+NB!Z135+SM!Z177+JI!Z149+TU!Z210</f>
        <v>0</v>
      </c>
      <c r="T34" s="16">
        <f>LB!AA476+FR!AA140+JN!AA203+TA!AA111+ŽB!AA85+ČL!AA304+NB!AA135+SM!AA177+JI!AA149+TU!AA210</f>
        <v>2631231</v>
      </c>
      <c r="U34" s="16">
        <f>LB!AB476+FR!AB140+JN!AB203+TA!AB111+ŽB!AB85+ČL!AB304+NB!AB135+SM!AB177+JI!AB149+TU!AB210</f>
        <v>405</v>
      </c>
      <c r="V34" s="16">
        <f>LB!AC476+FR!AC140+JN!AC203+TA!AC111+ŽB!AC85+ČL!AC304+NB!AC135+SM!AC177+JI!AC149+TU!AC210</f>
        <v>0</v>
      </c>
      <c r="W34" s="16">
        <f>LB!AD476+FR!AD140+JN!AD203+TA!AD111+ŽB!AD85+ČL!AD304+NB!AD135+SM!AD177+JI!AD149+TU!AD210</f>
        <v>405</v>
      </c>
      <c r="X34" s="16">
        <f>LB!AE476+FR!AE140+JN!AE203+TA!AE111+ŽB!AE85+ČL!AE304+NB!AE135+SM!AE177+JI!AE149+TU!AE210</f>
        <v>2631231</v>
      </c>
      <c r="Y34" s="16">
        <f>LB!AF476+FR!AF140+JN!AF203+TA!AF111+ŽB!AF85+ČL!AF304+NB!AF135+SM!AF177+JI!AF149+TU!AF210</f>
        <v>2631636</v>
      </c>
      <c r="Z34" s="16">
        <f>LB!AG476+FR!AG140+JN!AG203+TA!AG111+ŽB!AG85+ČL!AG304+NB!AG135+SM!AG177+JI!AG149+TU!AG210</f>
        <v>0</v>
      </c>
      <c r="AA34" s="16">
        <f>LB!AH476+FR!AH140+JN!AH203+TA!AH111+ŽB!AH85+ČL!AH304+NB!AH135+SM!AH177+JI!AH149+TU!AH210</f>
        <v>0</v>
      </c>
      <c r="AB34" s="16">
        <f>LB!AI476+FR!AI140+JN!AI203+TA!AI111+ŽB!AI85+ČL!AI304+NB!AI135+SM!AI177+JI!AI149+TU!AI210</f>
        <v>0</v>
      </c>
      <c r="AC34" s="16">
        <f>LB!AJ476+FR!AJ140+JN!AJ203+TA!AJ111+ŽB!AJ85+ČL!AJ304+NB!AJ135+SM!AJ177+JI!AJ149+TU!AJ210</f>
        <v>0</v>
      </c>
      <c r="AD34" s="16">
        <f>LB!AK476+FR!AK140+JN!AK203+TA!AK111+ŽB!AK85+ČL!AK304+NB!AK135+SM!AK177+JI!AK149+TU!AK210</f>
        <v>0</v>
      </c>
      <c r="AE34" s="16">
        <f>LB!AL476+FR!AL140+JN!AL203+TA!AL111+ŽB!AL85+ČL!AL304+NB!AL135+SM!AL177+JI!AL149+TU!AL210</f>
        <v>0</v>
      </c>
      <c r="AF34" s="16">
        <f>LB!AM476+FR!AM140+JN!AM203+TA!AM111+ŽB!AM85+ČL!AM304+NB!AM135+SM!AM177+JI!AM149+TU!AM210</f>
        <v>0</v>
      </c>
      <c r="AG34" s="16">
        <f>LB!AN476+FR!AN140+JN!AN203+TA!AN111+ŽB!AN85+ČL!AN304+NB!AN135+SM!AN177+JI!AN149+TU!AN210</f>
        <v>0</v>
      </c>
      <c r="AH34" s="16">
        <f>LB!AO476+FR!AO140+JN!AO203+TA!AO111+ŽB!AO85+ČL!AO304+NB!AO135+SM!AO177+JI!AO149+TU!AO210</f>
        <v>405</v>
      </c>
      <c r="AI34" s="16">
        <f>LB!AP476+FR!AP140+JN!AP203+TA!AP111+ŽB!AP85+ČL!AP304+NB!AP135+SM!AP177+JI!AP149+TU!AP210</f>
        <v>2631231</v>
      </c>
      <c r="AJ34" s="16">
        <f>LB!AQ476+FR!AQ140+JN!AQ203+TA!AQ111+ŽB!AQ85+ČL!AQ304+NB!AQ135+SM!AQ177+JI!AQ149+TU!AQ210</f>
        <v>2631636</v>
      </c>
      <c r="AK34" s="16">
        <f>LB!AR476+FR!AR140+JN!AR203+TA!AR111+ŽB!AR85+ČL!AR304+NB!AR135+SM!AR177+JI!AR149+TU!AR210</f>
        <v>889491</v>
      </c>
      <c r="AL34" s="16">
        <f>LB!AS476+FR!AS140+JN!AS203+TA!AS111+ŽB!AS85+ČL!AS304+NB!AS135+SM!AS177+JI!AS149+TU!AS210</f>
        <v>26317</v>
      </c>
      <c r="AM34" s="16">
        <f>LB!AT476+FR!AT140+JN!AT203+TA!AT111+ŽB!AT85+ČL!AT304+NB!AT135+SM!AT177+JI!AT149+TU!AT210</f>
        <v>0</v>
      </c>
      <c r="AN34" s="16">
        <f>LB!AU476+FR!AU140+JN!AU203+TA!AU111+ŽB!AU85+ČL!AU304+NB!AU135+SM!AU177+JI!AU149+TU!AU210</f>
        <v>126465</v>
      </c>
      <c r="AO34" s="16">
        <f>LB!AV476+FR!AV140+JN!AV203+TA!AV111+ŽB!AV85+ČL!AV304+NB!AV135+SM!AV177+JI!AV149+TU!AV210</f>
        <v>126465</v>
      </c>
      <c r="AP34" s="16">
        <f>LB!AW476+FR!AW140+JN!AW203+TA!AW111+ŽB!AW85+ČL!AW304+NB!AW135+SM!AW177+JI!AW149+TU!AW210</f>
        <v>3673909</v>
      </c>
      <c r="AQ34" s="13">
        <f>LB!AX476+FR!AX140+JN!AX203+TA!AX111+ŽB!AX85+ČL!AX304+NB!AX135+SM!AX177+JI!AX149+TU!AX210</f>
        <v>0</v>
      </c>
      <c r="AR34" s="13">
        <f>LB!AY476+FR!AY140+JN!AY203+TA!AY111+ŽB!AY85+ČL!AY304+NB!AY135+SM!AY177+JI!AY149+TU!AY210</f>
        <v>0</v>
      </c>
      <c r="AS34" s="13">
        <f>LB!AZ476+FR!AZ140+JN!AZ203+TA!AZ111+ŽB!AZ85+ČL!AZ304+NB!AZ135+SM!AZ177+JI!AZ149+TU!AZ210</f>
        <v>0</v>
      </c>
      <c r="AT34" s="13">
        <f>LB!BA476+FR!BA140+JN!BA203+TA!BA111+ŽB!BA85+ČL!BA304+NB!BA135+SM!BA177+JI!BA149+TU!BA210</f>
        <v>0</v>
      </c>
      <c r="AU34" s="13">
        <f>LB!BB476+FR!BB140+JN!BB203+TA!BB111+ŽB!BB85+ČL!BB304+NB!BB135+SM!BB177+JI!BB149+TU!BB210</f>
        <v>9.9499999999999993</v>
      </c>
      <c r="AV34" s="13">
        <f>LB!BC476+FR!BC140+JN!BC203+TA!BC111+ŽB!BC85+ČL!BC304+NB!BC135+SM!BC177+JI!BC149+TU!BC210</f>
        <v>0</v>
      </c>
      <c r="AW34" s="13">
        <f>LB!BD476+FR!BD140+JN!BD203+TA!BD111+ŽB!BD85+ČL!BD304+NB!BD135+SM!BD177+JI!BD149+TU!BD210</f>
        <v>0</v>
      </c>
      <c r="AX34" s="13">
        <f>LB!BE476+FR!BE140+JN!BE203+TA!BE111+ŽB!BE85+ČL!BE304+NB!BE135+SM!BE177+JI!BE149+TU!BE210</f>
        <v>0</v>
      </c>
      <c r="AY34" s="13">
        <f>LB!BF476+FR!BF140+JN!BF203+TA!BF111+ŽB!BF85+ČL!BF304+NB!BF135+SM!BF177+JI!BF149+TU!BF210</f>
        <v>0</v>
      </c>
      <c r="AZ34" s="13">
        <f>LB!BG476+FR!BG140+JN!BG203+TA!BG111+ŽB!BG85+ČL!BG304+NB!BG135+SM!BG177+JI!BG149+TU!BG210</f>
        <v>9.9499999999999993</v>
      </c>
      <c r="BA34" s="17">
        <f>LB!BH476+FR!BH140+JN!BH203+TA!BH111+ŽB!BH85+ČL!BH304+NB!BH135+SM!BH177+JI!BH149+TU!BH210</f>
        <v>9.9499999999999993</v>
      </c>
      <c r="BB34" s="167">
        <f>LB!BI476+FR!BI140+JN!BI203+TA!BI111+ŽB!BI85+ČL!BI304+NB!BI135+SM!BI177+JI!BI149+TU!BI210</f>
        <v>330888626</v>
      </c>
      <c r="BC34" s="16">
        <f>LB!BJ476+FR!BJ140+JN!BJ203+TA!BJ111+ŽB!BJ85+ČL!BJ304+NB!BJ135+SM!BJ177+JI!BJ149+TU!BJ210</f>
        <v>244026547</v>
      </c>
      <c r="BD34" s="16">
        <f>LB!BK476+FR!BK140+JN!BK203+TA!BK111+ŽB!BK85+ČL!BK304+NB!BK135+SM!BK177+JI!BK149+TU!BK210</f>
        <v>236167867</v>
      </c>
      <c r="BE34" s="16">
        <f>LB!BL476+FR!BL140+JN!BL203+TA!BL111+ŽB!BL85+ČL!BL304+NB!BL135+SM!BL177+JI!BL149+TU!BL210</f>
        <v>7858680</v>
      </c>
      <c r="BF34" s="16">
        <f>LB!BM476+FR!BM140+JN!BM203+TA!BM111+ŽB!BM85+ČL!BM304+NB!BM135+SM!BM177+JI!BM149+TU!BM210</f>
        <v>1185249</v>
      </c>
      <c r="BG34" s="16">
        <f>LB!BN476+FR!BN140+JN!BN203+TA!BN111+ŽB!BN85+ČL!BN304+NB!BN135+SM!BN177+JI!BN149+TU!BN210</f>
        <v>1130329</v>
      </c>
      <c r="BH34" s="16">
        <f>LB!BO476+FR!BO140+JN!BO203+TA!BO111+ŽB!BO85+ČL!BO304+NB!BO135+SM!BO177+JI!BO149+TU!BO210</f>
        <v>54920</v>
      </c>
      <c r="BI34" s="16">
        <f>LB!BP476+FR!BP140+JN!BP203+TA!BP111+ŽB!BP85+ČL!BP304+NB!BP135+SM!BP177+JI!BP149+TU!BP210</f>
        <v>82857169</v>
      </c>
      <c r="BJ34" s="16">
        <f>LB!BQ476+FR!BQ140+JN!BQ203+TA!BQ111+ŽB!BQ85+ČL!BQ304+NB!BQ135+SM!BQ177+JI!BQ149+TU!BQ210</f>
        <v>2440266</v>
      </c>
      <c r="BK34" s="16">
        <f>LB!BR476+FR!BR140+JN!BR203+TA!BR111+ŽB!BR85+ČL!BR304+NB!BR135+SM!BR177+JI!BR149+TU!BR210</f>
        <v>379395</v>
      </c>
      <c r="BL34" s="13">
        <f>LB!BS476+FR!BS140+JN!BS203+TA!BS111+ŽB!BS85+ČL!BS304+NB!BS135+SM!BS177+JI!BS149+TU!BS210</f>
        <v>501.67720000000008</v>
      </c>
      <c r="BM34" s="13">
        <f>LB!BT476+FR!BT140+JN!BT203+TA!BT111+ŽB!BT85+ČL!BT304+NB!BT135+SM!BT177+JI!BT149+TU!BT210</f>
        <v>471.7856000000001</v>
      </c>
      <c r="BN34" s="17">
        <f>LB!BU476+FR!BU140+JN!BU203+TA!BU111+ŽB!BU85+ČL!BU304+NB!BU135+SM!BU177+JI!BU149+TU!BU210</f>
        <v>29.8916</v>
      </c>
      <c r="BO34" s="168">
        <f>LB!BV476+FR!BV140+JN!BV203+TA!BV111+ŽB!BV85+ČL!BV304+NB!BV135+SM!BV177+JI!BV149+TU!BV210</f>
        <v>0</v>
      </c>
      <c r="BP34" s="16">
        <f>LB!BW476+FR!BW140+JN!BW203+TA!BW111+ŽB!BW85+ČL!BW304+NB!BW135+SM!BW177+JI!BW149+TU!BW210</f>
        <v>0</v>
      </c>
      <c r="BQ34" s="16">
        <f>LB!BX476+FR!BX140+JN!BX203+TA!BX111+ŽB!BX85+ČL!BX304+NB!BX135+SM!BX177+JI!BX149+TU!BX210</f>
        <v>0</v>
      </c>
      <c r="BR34" s="16">
        <f>LB!BY476+FR!BY140+JN!BY203+TA!BY111+ŽB!BY85+ČL!BY304+NB!BY135+SM!BY177+JI!BY149+TU!BY210</f>
        <v>0</v>
      </c>
      <c r="BS34" s="16">
        <f>LB!BZ476+FR!BZ140+JN!BZ203+TA!BZ111+ŽB!BZ85+ČL!BZ304+NB!BZ135+SM!BZ177+JI!BZ149+TU!BZ210</f>
        <v>0</v>
      </c>
      <c r="BT34" s="17">
        <f>LB!CA476+FR!CA140+JN!CA203+TA!CA111+ŽB!CA85+ČL!CA304+NB!CA135+SM!CA177+JI!CA149+TU!CA210</f>
        <v>0</v>
      </c>
    </row>
    <row r="35" spans="1:72" x14ac:dyDescent="0.2">
      <c r="A35" s="2">
        <v>3231</v>
      </c>
      <c r="B35" s="167">
        <f>LB!I477+FR!I141+JN!I204+TA!I112+ŽB!I86+ČL!I305+NB!I136+SM!I178+JI!I150+TU!I211</f>
        <v>326637180</v>
      </c>
      <c r="C35" s="16">
        <f>LB!J477+FR!J141+JN!J204+TA!J112+ŽB!J86+ČL!J305+NB!J136+SM!J178+JI!J150+TU!J211</f>
        <v>241365717</v>
      </c>
      <c r="D35" s="16">
        <f>LB!K477+FR!K141+JN!K204+TA!K112+ŽB!K86+ČL!K305+NB!K136+SM!K178+JI!K150+TU!K211</f>
        <v>232611865</v>
      </c>
      <c r="E35" s="16">
        <f>LB!L477+FR!L141+JN!L204+TA!L112+ŽB!L86+ČL!L305+NB!L136+SM!L178+JI!L150+TU!L211</f>
        <v>8753852</v>
      </c>
      <c r="F35" s="16">
        <f>LB!M477+FR!M141+JN!M204+TA!M112+ŽB!M86+ČL!M305+NB!M136+SM!M178+JI!M150+TU!M211</f>
        <v>642000</v>
      </c>
      <c r="G35" s="16">
        <f>LB!N477+FR!N141+JN!N204+TA!N112+ŽB!N86+ČL!N305+NB!N136+SM!N178+JI!N150+TU!N211</f>
        <v>442900</v>
      </c>
      <c r="H35" s="16">
        <f>LB!O477+FR!O141+JN!O204+TA!O112+ŽB!O86+ČL!O305+NB!O136+SM!O178+JI!O150+TU!O211</f>
        <v>199100</v>
      </c>
      <c r="I35" s="16">
        <f>LB!P477+FR!P141+JN!P204+TA!P112+ŽB!P86+ČL!P305+NB!P136+SM!P178+JI!P150+TU!P211</f>
        <v>81798607</v>
      </c>
      <c r="J35" s="16">
        <f>LB!Q477+FR!Q141+JN!Q204+TA!Q112+ŽB!Q86+ČL!Q305+NB!Q136+SM!Q178+JI!Q150+TU!Q211</f>
        <v>2413659</v>
      </c>
      <c r="K35" s="16">
        <f>LB!R477+FR!R141+JN!R204+TA!R112+ŽB!R86+ČL!R305+NB!R136+SM!R178+JI!R150+TU!R211</f>
        <v>417197</v>
      </c>
      <c r="L35" s="13">
        <f>LB!S477+FR!S141+JN!S204+TA!S112+ŽB!S86+ČL!S305+NB!S136+SM!S178+JI!S150+TU!S211</f>
        <v>392.77529999999996</v>
      </c>
      <c r="M35" s="13">
        <f>LB!T477+FR!T141+JN!T204+TA!T112+ŽB!T86+ČL!T305+NB!T136+SM!T178+JI!T150+TU!T211</f>
        <v>368.1807</v>
      </c>
      <c r="N35" s="169">
        <f>LB!U477+FR!U141+JN!U204+TA!U112+ŽB!U86+ČL!U305+NB!U136+SM!U178+JI!U150+TU!U211</f>
        <v>24.594600000000003</v>
      </c>
      <c r="O35" s="167">
        <f>LB!V477+FR!V141+JN!V204+TA!V112+ŽB!V86+ČL!V305+NB!V136+SM!V178+JI!V150+TU!V211</f>
        <v>0</v>
      </c>
      <c r="P35" s="16">
        <f>LB!W477+FR!W141+JN!W204+TA!W112+ŽB!W86+ČL!W305+NB!W136+SM!W178+JI!W150+TU!W211</f>
        <v>0</v>
      </c>
      <c r="Q35" s="16">
        <f>LB!X477+FR!X141+JN!X204+TA!X112+ŽB!X86+ČL!X305+NB!X136+SM!X178+JI!X150+TU!X211</f>
        <v>0</v>
      </c>
      <c r="R35" s="16">
        <f>LB!Y477+FR!Y141+JN!Y204+TA!Y112+ŽB!Y86+ČL!Y305+NB!Y136+SM!Y178+JI!Y150+TU!Y211</f>
        <v>0</v>
      </c>
      <c r="S35" s="16">
        <f>LB!Z477+FR!Z141+JN!Z204+TA!Z112+ŽB!Z86+ČL!Z305+NB!Z136+SM!Z178+JI!Z150+TU!Z211</f>
        <v>0</v>
      </c>
      <c r="T35" s="16">
        <f>LB!AA477+FR!AA141+JN!AA204+TA!AA112+ŽB!AA86+ČL!AA305+NB!AA136+SM!AA178+JI!AA150+TU!AA211</f>
        <v>0</v>
      </c>
      <c r="U35" s="16">
        <f>LB!AB477+FR!AB141+JN!AB204+TA!AB112+ŽB!AB86+ČL!AB305+NB!AB136+SM!AB178+JI!AB150+TU!AB211</f>
        <v>0</v>
      </c>
      <c r="V35" s="16">
        <f>LB!AC477+FR!AC141+JN!AC204+TA!AC112+ŽB!AC86+ČL!AC305+NB!AC136+SM!AC178+JI!AC150+TU!AC211</f>
        <v>0</v>
      </c>
      <c r="W35" s="16">
        <f>LB!AD477+FR!AD141+JN!AD204+TA!AD112+ŽB!AD86+ČL!AD305+NB!AD136+SM!AD178+JI!AD150+TU!AD211</f>
        <v>0</v>
      </c>
      <c r="X35" s="16">
        <f>LB!AE477+FR!AE141+JN!AE204+TA!AE112+ŽB!AE86+ČL!AE305+NB!AE136+SM!AE178+JI!AE150+TU!AE211</f>
        <v>0</v>
      </c>
      <c r="Y35" s="16">
        <f>LB!AF477+FR!AF141+JN!AF204+TA!AF112+ŽB!AF86+ČL!AF305+NB!AF136+SM!AF178+JI!AF150+TU!AF211</f>
        <v>0</v>
      </c>
      <c r="Z35" s="16">
        <f>LB!AG477+FR!AG141+JN!AG204+TA!AG112+ŽB!AG86+ČL!AG305+NB!AG136+SM!AG178+JI!AG150+TU!AG211</f>
        <v>0</v>
      </c>
      <c r="AA35" s="16">
        <f>LB!AH477+FR!AH141+JN!AH204+TA!AH112+ŽB!AH86+ČL!AH305+NB!AH136+SM!AH178+JI!AH150+TU!AH211</f>
        <v>0</v>
      </c>
      <c r="AB35" s="16">
        <f>LB!AI477+FR!AI141+JN!AI204+TA!AI112+ŽB!AI86+ČL!AI305+NB!AI136+SM!AI178+JI!AI150+TU!AI211</f>
        <v>0</v>
      </c>
      <c r="AC35" s="16">
        <f>LB!AJ477+FR!AJ141+JN!AJ204+TA!AJ112+ŽB!AJ86+ČL!AJ305+NB!AJ136+SM!AJ178+JI!AJ150+TU!AJ211</f>
        <v>0</v>
      </c>
      <c r="AD35" s="16">
        <f>LB!AK477+FR!AK141+JN!AK204+TA!AK112+ŽB!AK86+ČL!AK305+NB!AK136+SM!AK178+JI!AK150+TU!AK211</f>
        <v>0</v>
      </c>
      <c r="AE35" s="16">
        <f>LB!AL477+FR!AL141+JN!AL204+TA!AL112+ŽB!AL86+ČL!AL305+NB!AL136+SM!AL178+JI!AL150+TU!AL211</f>
        <v>0</v>
      </c>
      <c r="AF35" s="16">
        <f>LB!AM477+FR!AM141+JN!AM204+TA!AM112+ŽB!AM86+ČL!AM305+NB!AM136+SM!AM178+JI!AM150+TU!AM211</f>
        <v>0</v>
      </c>
      <c r="AG35" s="16">
        <f>LB!AN477+FR!AN141+JN!AN204+TA!AN112+ŽB!AN86+ČL!AN305+NB!AN136+SM!AN178+JI!AN150+TU!AN211</f>
        <v>0</v>
      </c>
      <c r="AH35" s="16">
        <f>LB!AO477+FR!AO141+JN!AO204+TA!AO112+ŽB!AO86+ČL!AO305+NB!AO136+SM!AO178+JI!AO150+TU!AO211</f>
        <v>0</v>
      </c>
      <c r="AI35" s="16">
        <f>LB!AP477+FR!AP141+JN!AP204+TA!AP112+ŽB!AP86+ČL!AP305+NB!AP136+SM!AP178+JI!AP150+TU!AP211</f>
        <v>0</v>
      </c>
      <c r="AJ35" s="16">
        <f>LB!AQ477+FR!AQ141+JN!AQ204+TA!AQ112+ŽB!AQ86+ČL!AQ305+NB!AQ136+SM!AQ178+JI!AQ150+TU!AQ211</f>
        <v>0</v>
      </c>
      <c r="AK35" s="16">
        <f>LB!AR477+FR!AR141+JN!AR204+TA!AR112+ŽB!AR86+ČL!AR305+NB!AR136+SM!AR178+JI!AR150+TU!AR211</f>
        <v>0</v>
      </c>
      <c r="AL35" s="16">
        <f>LB!AS477+FR!AS141+JN!AS204+TA!AS112+ŽB!AS86+ČL!AS305+NB!AS136+SM!AS178+JI!AS150+TU!AS211</f>
        <v>0</v>
      </c>
      <c r="AM35" s="16">
        <f>LB!AT477+FR!AT141+JN!AT204+TA!AT112+ŽB!AT86+ČL!AT305+NB!AT136+SM!AT178+JI!AT150+TU!AT211</f>
        <v>0</v>
      </c>
      <c r="AN35" s="16">
        <f>LB!AU477+FR!AU141+JN!AU204+TA!AU112+ŽB!AU86+ČL!AU305+NB!AU136+SM!AU178+JI!AU150+TU!AU211</f>
        <v>0</v>
      </c>
      <c r="AO35" s="16">
        <f>LB!AV477+FR!AV141+JN!AV204+TA!AV112+ŽB!AV86+ČL!AV305+NB!AV136+SM!AV178+JI!AV150+TU!AV211</f>
        <v>0</v>
      </c>
      <c r="AP35" s="16">
        <f>LB!AW477+FR!AW141+JN!AW204+TA!AW112+ŽB!AW86+ČL!AW305+NB!AW136+SM!AW178+JI!AW150+TU!AW211</f>
        <v>0</v>
      </c>
      <c r="AQ35" s="13">
        <f>LB!AX477+FR!AX141+JN!AX204+TA!AX112+ŽB!AX86+ČL!AX305+NB!AX136+SM!AX178+JI!AX150+TU!AX211</f>
        <v>0</v>
      </c>
      <c r="AR35" s="13">
        <f>LB!AY477+FR!AY141+JN!AY204+TA!AY112+ŽB!AY86+ČL!AY305+NB!AY136+SM!AY178+JI!AY150+TU!AY211</f>
        <v>0</v>
      </c>
      <c r="AS35" s="13">
        <f>LB!AZ477+FR!AZ141+JN!AZ204+TA!AZ112+ŽB!AZ86+ČL!AZ305+NB!AZ136+SM!AZ178+JI!AZ150+TU!AZ211</f>
        <v>0</v>
      </c>
      <c r="AT35" s="13">
        <f>LB!BA477+FR!BA141+JN!BA204+TA!BA112+ŽB!BA86+ČL!BA305+NB!BA136+SM!BA178+JI!BA150+TU!BA211</f>
        <v>0</v>
      </c>
      <c r="AU35" s="13">
        <f>LB!BB477+FR!BB141+JN!BB204+TA!BB112+ŽB!BB86+ČL!BB305+NB!BB136+SM!BB178+JI!BB150+TU!BB211</f>
        <v>0</v>
      </c>
      <c r="AV35" s="13">
        <f>LB!BC477+FR!BC141+JN!BC204+TA!BC112+ŽB!BC86+ČL!BC305+NB!BC136+SM!BC178+JI!BC150+TU!BC211</f>
        <v>0</v>
      </c>
      <c r="AW35" s="13">
        <f>LB!BD477+FR!BD141+JN!BD204+TA!BD112+ŽB!BD86+ČL!BD305+NB!BD136+SM!BD178+JI!BD150+TU!BD211</f>
        <v>0</v>
      </c>
      <c r="AX35" s="13">
        <f>LB!BE477+FR!BE141+JN!BE204+TA!BE112+ŽB!BE86+ČL!BE305+NB!BE136+SM!BE178+JI!BE150+TU!BE211</f>
        <v>0</v>
      </c>
      <c r="AY35" s="13">
        <f>LB!BF477+FR!BF141+JN!BF204+TA!BF112+ŽB!BF86+ČL!BF305+NB!BF136+SM!BF178+JI!BF150+TU!BF211</f>
        <v>0</v>
      </c>
      <c r="AZ35" s="13">
        <f>LB!BG477+FR!BG141+JN!BG204+TA!BG112+ŽB!BG86+ČL!BG305+NB!BG136+SM!BG178+JI!BG150+TU!BG211</f>
        <v>0</v>
      </c>
      <c r="BA35" s="17">
        <f>LB!BH477+FR!BH141+JN!BH204+TA!BH112+ŽB!BH86+ČL!BH305+NB!BH136+SM!BH178+JI!BH150+TU!BH211</f>
        <v>0</v>
      </c>
      <c r="BB35" s="167">
        <f>LB!BI477+FR!BI141+JN!BI204+TA!BI112+ŽB!BI86+ČL!BI305+NB!BI136+SM!BI178+JI!BI150+TU!BI211</f>
        <v>326637180</v>
      </c>
      <c r="BC35" s="16">
        <f>LB!BJ477+FR!BJ141+JN!BJ204+TA!BJ112+ŽB!BJ86+ČL!BJ305+NB!BJ136+SM!BJ178+JI!BJ150+TU!BJ211</f>
        <v>241365717</v>
      </c>
      <c r="BD35" s="16">
        <f>LB!BK477+FR!BK141+JN!BK204+TA!BK112+ŽB!BK86+ČL!BK305+NB!BK136+SM!BK178+JI!BK150+TU!BK211</f>
        <v>232611865</v>
      </c>
      <c r="BE35" s="16">
        <f>LB!BL477+FR!BL141+JN!BL204+TA!BL112+ŽB!BL86+ČL!BL305+NB!BL136+SM!BL178+JI!BL150+TU!BL211</f>
        <v>8753852</v>
      </c>
      <c r="BF35" s="16">
        <f>LB!BM477+FR!BM141+JN!BM204+TA!BM112+ŽB!BM86+ČL!BM305+NB!BM136+SM!BM178+JI!BM150+TU!BM211</f>
        <v>642000</v>
      </c>
      <c r="BG35" s="16">
        <f>LB!BN477+FR!BN141+JN!BN204+TA!BN112+ŽB!BN86+ČL!BN305+NB!BN136+SM!BN178+JI!BN150+TU!BN211</f>
        <v>442900</v>
      </c>
      <c r="BH35" s="16">
        <f>LB!BO477+FR!BO141+JN!BO204+TA!BO112+ŽB!BO86+ČL!BO305+NB!BO136+SM!BO178+JI!BO150+TU!BO211</f>
        <v>199100</v>
      </c>
      <c r="BI35" s="16">
        <f>LB!BP477+FR!BP141+JN!BP204+TA!BP112+ŽB!BP86+ČL!BP305+NB!BP136+SM!BP178+JI!BP150+TU!BP211</f>
        <v>81798607</v>
      </c>
      <c r="BJ35" s="16">
        <f>LB!BQ477+FR!BQ141+JN!BQ204+TA!BQ112+ŽB!BQ86+ČL!BQ305+NB!BQ136+SM!BQ178+JI!BQ150+TU!BQ211</f>
        <v>2413659</v>
      </c>
      <c r="BK35" s="16">
        <f>LB!BR477+FR!BR141+JN!BR204+TA!BR112+ŽB!BR86+ČL!BR305+NB!BR136+SM!BR178+JI!BR150+TU!BR211</f>
        <v>417197</v>
      </c>
      <c r="BL35" s="13">
        <f>LB!BS477+FR!BS141+JN!BS204+TA!BS112+ŽB!BS86+ČL!BS305+NB!BS136+SM!BS178+JI!BS150+TU!BS211</f>
        <v>392.77529999999996</v>
      </c>
      <c r="BM35" s="13">
        <f>LB!BT477+FR!BT141+JN!BT204+TA!BT112+ŽB!BT86+ČL!BT305+NB!BT136+SM!BT178+JI!BT150+TU!BT211</f>
        <v>368.1807</v>
      </c>
      <c r="BN35" s="17">
        <f>LB!BU477+FR!BU141+JN!BU204+TA!BU112+ŽB!BU86+ČL!BU305+NB!BU136+SM!BU178+JI!BU150+TU!BU211</f>
        <v>24.594600000000003</v>
      </c>
      <c r="BO35" s="168">
        <f>LB!BV477+FR!BV141+JN!BV204+TA!BV112+ŽB!BV86+ČL!BV305+NB!BV136+SM!BV178+JI!BV150+TU!BV211</f>
        <v>0</v>
      </c>
      <c r="BP35" s="16">
        <f>LB!BW477+FR!BW141+JN!BW204+TA!BW112+ŽB!BW86+ČL!BW305+NB!BW136+SM!BW178+JI!BW150+TU!BW211</f>
        <v>0</v>
      </c>
      <c r="BQ35" s="16">
        <f>LB!BX477+FR!BX141+JN!BX204+TA!BX112+ŽB!BX86+ČL!BX305+NB!BX136+SM!BX178+JI!BX150+TU!BX211</f>
        <v>0</v>
      </c>
      <c r="BR35" s="16">
        <f>LB!BY477+FR!BY141+JN!BY204+TA!BY112+ŽB!BY86+ČL!BY305+NB!BY136+SM!BY178+JI!BY150+TU!BY211</f>
        <v>0</v>
      </c>
      <c r="BS35" s="16">
        <f>LB!BZ477+FR!BZ141+JN!BZ204+TA!BZ112+ŽB!BZ86+ČL!BZ305+NB!BZ136+SM!BZ178+JI!BZ150+TU!BZ211</f>
        <v>0</v>
      </c>
      <c r="BT35" s="17">
        <f>LB!CA477+FR!CA141+JN!CA204+TA!CA112+ŽB!CA86+ČL!CA305+NB!CA136+SM!CA178+JI!CA150+TU!CA211</f>
        <v>0</v>
      </c>
    </row>
    <row r="36" spans="1:72" ht="13.5" thickBot="1" x14ac:dyDescent="0.25">
      <c r="A36" s="151">
        <v>3233</v>
      </c>
      <c r="B36" s="170">
        <f>LB!I478+FR!I142+JN!I205+TA!I113+ŽB!I87+ČL!I306+NB!I137+SM!I179+JI!I151+TU!I212</f>
        <v>57807373</v>
      </c>
      <c r="C36" s="171">
        <f>LB!J478+FR!J142+JN!J205+TA!J113+ŽB!J87+ČL!J306+NB!J137+SM!J179+JI!J151+TU!J212</f>
        <v>40308414</v>
      </c>
      <c r="D36" s="171">
        <f>LB!K478+FR!K142+JN!K205+TA!K113+ŽB!K87+ČL!K306+NB!K137+SM!K179+JI!K151+TU!K212</f>
        <v>33128725</v>
      </c>
      <c r="E36" s="171">
        <f>LB!L478+FR!L142+JN!L205+TA!L113+ŽB!L87+ČL!L306+NB!L137+SM!L179+JI!L151+TU!L212</f>
        <v>7179689</v>
      </c>
      <c r="F36" s="171">
        <f>LB!M478+FR!M142+JN!M205+TA!M113+ŽB!M87+ČL!M306+NB!M137+SM!M179+JI!M151+TU!M212</f>
        <v>2550000</v>
      </c>
      <c r="G36" s="171">
        <f>LB!N478+FR!N142+JN!N205+TA!N113+ŽB!N87+ČL!N306+NB!N137+SM!N179+JI!N151+TU!N212</f>
        <v>2011000</v>
      </c>
      <c r="H36" s="171">
        <f>LB!O478+FR!O142+JN!O205+TA!O113+ŽB!O87+ČL!O306+NB!O137+SM!O179+JI!O151+TU!O212</f>
        <v>539000</v>
      </c>
      <c r="I36" s="171">
        <f>LB!P478+FR!P142+JN!P205+TA!P113+ŽB!P87+ČL!P306+NB!P137+SM!P179+JI!P151+TU!P212</f>
        <v>14486144</v>
      </c>
      <c r="J36" s="171">
        <f>LB!Q478+FR!Q142+JN!Q205+TA!Q113+ŽB!Q87+ČL!Q306+NB!Q137+SM!Q179+JI!Q151+TU!Q212</f>
        <v>403085</v>
      </c>
      <c r="K36" s="171">
        <f>LB!R478+FR!R142+JN!R205+TA!R113+ŽB!R87+ČL!R306+NB!R137+SM!R179+JI!R151+TU!R212</f>
        <v>59730</v>
      </c>
      <c r="L36" s="172">
        <f>LB!S478+FR!S142+JN!S205+TA!S113+ŽB!S87+ČL!S306+NB!S137+SM!S179+JI!S151+TU!S212</f>
        <v>82.97999999999999</v>
      </c>
      <c r="M36" s="172">
        <f>LB!T478+FR!T142+JN!T205+TA!T113+ŽB!T87+ČL!T306+NB!T137+SM!T179+JI!T151+TU!T212</f>
        <v>59.87</v>
      </c>
      <c r="N36" s="175">
        <f>LB!U478+FR!U142+JN!U205+TA!U113+ŽB!U87+ČL!U306+NB!U137+SM!U179+JI!U151+TU!U212</f>
        <v>23.11</v>
      </c>
      <c r="O36" s="170">
        <f>LB!V478+FR!V142+JN!V205+TA!V113+ŽB!V87+ČL!V306+NB!V137+SM!V179+JI!V151+TU!V212</f>
        <v>0</v>
      </c>
      <c r="P36" s="171">
        <f>LB!W478+FR!W142+JN!W205+TA!W113+ŽB!W87+ČL!W306+NB!W137+SM!W179+JI!W151+TU!W212</f>
        <v>0</v>
      </c>
      <c r="Q36" s="171">
        <f>LB!X478+FR!X142+JN!X205+TA!X113+ŽB!X87+ČL!X306+NB!X137+SM!X179+JI!X151+TU!X212</f>
        <v>0</v>
      </c>
      <c r="R36" s="171">
        <f>LB!Y478+FR!Y142+JN!Y205+TA!Y113+ŽB!Y87+ČL!Y306+NB!Y137+SM!Y179+JI!Y151+TU!Y212</f>
        <v>0</v>
      </c>
      <c r="S36" s="171">
        <f>LB!Z478+FR!Z142+JN!Z205+TA!Z113+ŽB!Z87+ČL!Z306+NB!Z137+SM!Z179+JI!Z151+TU!Z212</f>
        <v>0</v>
      </c>
      <c r="T36" s="171">
        <f>LB!AA478+FR!AA142+JN!AA205+TA!AA113+ŽB!AA87+ČL!AA306+NB!AA137+SM!AA179+JI!AA151+TU!AA212</f>
        <v>3859305</v>
      </c>
      <c r="U36" s="171">
        <f>LB!AB478+FR!AB142+JN!AB205+TA!AB113+ŽB!AB87+ČL!AB306+NB!AB137+SM!AB179+JI!AB151+TU!AB212</f>
        <v>0</v>
      </c>
      <c r="V36" s="171">
        <f>LB!AC478+FR!AC142+JN!AC205+TA!AC113+ŽB!AC87+ČL!AC306+NB!AC137+SM!AC179+JI!AC151+TU!AC212</f>
        <v>0</v>
      </c>
      <c r="W36" s="171">
        <f>LB!AD478+FR!AD142+JN!AD205+TA!AD113+ŽB!AD87+ČL!AD306+NB!AD137+SM!AD179+JI!AD151+TU!AD212</f>
        <v>0</v>
      </c>
      <c r="X36" s="171">
        <f>LB!AE478+FR!AE142+JN!AE205+TA!AE113+ŽB!AE87+ČL!AE306+NB!AE137+SM!AE179+JI!AE151+TU!AE212</f>
        <v>3859305</v>
      </c>
      <c r="Y36" s="171">
        <f>LB!AF478+FR!AF142+JN!AF205+TA!AF113+ŽB!AF87+ČL!AF306+NB!AF137+SM!AF179+JI!AF151+TU!AF212</f>
        <v>3859305</v>
      </c>
      <c r="Z36" s="171">
        <f>LB!AG478+FR!AG142+JN!AG205+TA!AG113+ŽB!AG87+ČL!AG306+NB!AG137+SM!AG179+JI!AG151+TU!AG212</f>
        <v>0</v>
      </c>
      <c r="AA36" s="171">
        <f>LB!AH478+FR!AH142+JN!AH205+TA!AH113+ŽB!AH87+ČL!AH306+NB!AH137+SM!AH179+JI!AH151+TU!AH212</f>
        <v>0</v>
      </c>
      <c r="AB36" s="171">
        <f>LB!AI478+FR!AI142+JN!AI205+TA!AI113+ŽB!AI87+ČL!AI306+NB!AI137+SM!AI179+JI!AI151+TU!AI212</f>
        <v>0</v>
      </c>
      <c r="AC36" s="171">
        <f>LB!AJ478+FR!AJ142+JN!AJ205+TA!AJ113+ŽB!AJ87+ČL!AJ306+NB!AJ137+SM!AJ179+JI!AJ151+TU!AJ212</f>
        <v>0</v>
      </c>
      <c r="AD36" s="171">
        <f>LB!AK478+FR!AK142+JN!AK205+TA!AK113+ŽB!AK87+ČL!AK306+NB!AK137+SM!AK179+JI!AK151+TU!AK212</f>
        <v>0</v>
      </c>
      <c r="AE36" s="171">
        <f>LB!AL478+FR!AL142+JN!AL205+TA!AL113+ŽB!AL87+ČL!AL306+NB!AL137+SM!AL179+JI!AL151+TU!AL212</f>
        <v>0</v>
      </c>
      <c r="AF36" s="171">
        <f>LB!AM478+FR!AM142+JN!AM205+TA!AM113+ŽB!AM87+ČL!AM306+NB!AM137+SM!AM179+JI!AM151+TU!AM212</f>
        <v>0</v>
      </c>
      <c r="AG36" s="171">
        <f>LB!AN478+FR!AN142+JN!AN205+TA!AN113+ŽB!AN87+ČL!AN306+NB!AN137+SM!AN179+JI!AN151+TU!AN212</f>
        <v>0</v>
      </c>
      <c r="AH36" s="171">
        <f>LB!AO478+FR!AO142+JN!AO205+TA!AO113+ŽB!AO87+ČL!AO306+NB!AO137+SM!AO179+JI!AO151+TU!AO212</f>
        <v>0</v>
      </c>
      <c r="AI36" s="171">
        <f>LB!AP478+FR!AP142+JN!AP205+TA!AP113+ŽB!AP87+ČL!AP306+NB!AP137+SM!AP179+JI!AP151+TU!AP212</f>
        <v>3859305</v>
      </c>
      <c r="AJ36" s="171">
        <f>LB!AQ478+FR!AQ142+JN!AQ205+TA!AQ113+ŽB!AQ87+ČL!AQ306+NB!AQ137+SM!AQ179+JI!AQ151+TU!AQ212</f>
        <v>3859305</v>
      </c>
      <c r="AK36" s="171">
        <f>LB!AR478+FR!AR142+JN!AR205+TA!AR113+ŽB!AR87+ČL!AR306+NB!AR137+SM!AR179+JI!AR151+TU!AR212</f>
        <v>1304446</v>
      </c>
      <c r="AL36" s="171">
        <f>LB!AS478+FR!AS142+JN!AS205+TA!AS113+ŽB!AS87+ČL!AS306+NB!AS137+SM!AS179+JI!AS151+TU!AS212</f>
        <v>38594</v>
      </c>
      <c r="AM36" s="171">
        <f>LB!AT478+FR!AT142+JN!AT205+TA!AT113+ŽB!AT87+ČL!AT306+NB!AT137+SM!AT179+JI!AT151+TU!AT212</f>
        <v>0</v>
      </c>
      <c r="AN36" s="171">
        <f>LB!AU478+FR!AU142+JN!AU205+TA!AU113+ŽB!AU87+ČL!AU306+NB!AU137+SM!AU179+JI!AU151+TU!AU212</f>
        <v>23892</v>
      </c>
      <c r="AO36" s="171">
        <f>LB!AV478+FR!AV142+JN!AV205+TA!AV113+ŽB!AV87+ČL!AV306+NB!AV137+SM!AV179+JI!AV151+TU!AV212</f>
        <v>23892</v>
      </c>
      <c r="AP36" s="171">
        <f>LB!AW478+FR!AW142+JN!AW205+TA!AW113+ŽB!AW87+ČL!AW306+NB!AW137+SM!AW179+JI!AW151+TU!AW212</f>
        <v>5226237</v>
      </c>
      <c r="AQ36" s="172">
        <f>LB!AX478+FR!AX142+JN!AX205+TA!AX113+ŽB!AX87+ČL!AX306+NB!AX137+SM!AX179+JI!AX151+TU!AX212</f>
        <v>0</v>
      </c>
      <c r="AR36" s="172">
        <f>LB!AY478+FR!AY142+JN!AY205+TA!AY113+ŽB!AY87+ČL!AY306+NB!AY137+SM!AY179+JI!AY151+TU!AY212</f>
        <v>0</v>
      </c>
      <c r="AS36" s="172">
        <f>LB!AZ478+FR!AZ142+JN!AZ205+TA!AZ113+ŽB!AZ87+ČL!AZ306+NB!AZ137+SM!AZ179+JI!AZ151+TU!AZ212</f>
        <v>0</v>
      </c>
      <c r="AT36" s="172">
        <f>LB!BA478+FR!BA142+JN!BA205+TA!BA113+ŽB!BA87+ČL!BA306+NB!BA137+SM!BA179+JI!BA151+TU!BA212</f>
        <v>0</v>
      </c>
      <c r="AU36" s="172">
        <f>LB!BB478+FR!BB142+JN!BB205+TA!BB113+ŽB!BB87+ČL!BB306+NB!BB137+SM!BB179+JI!BB151+TU!BB212</f>
        <v>12.419999999999998</v>
      </c>
      <c r="AV36" s="172">
        <f>LB!BC478+FR!BC142+JN!BC205+TA!BC113+ŽB!BC87+ČL!BC306+NB!BC137+SM!BC179+JI!BC151+TU!BC212</f>
        <v>0</v>
      </c>
      <c r="AW36" s="172">
        <f>LB!BD478+FR!BD142+JN!BD205+TA!BD113+ŽB!BD87+ČL!BD306+NB!BD137+SM!BD179+JI!BD151+TU!BD212</f>
        <v>0</v>
      </c>
      <c r="AX36" s="172">
        <f>LB!BE478+FR!BE142+JN!BE205+TA!BE113+ŽB!BE87+ČL!BE306+NB!BE137+SM!BE179+JI!BE151+TU!BE212</f>
        <v>0</v>
      </c>
      <c r="AY36" s="172">
        <f>LB!BF478+FR!BF142+JN!BF205+TA!BF113+ŽB!BF87+ČL!BF306+NB!BF137+SM!BF179+JI!BF151+TU!BF212</f>
        <v>0</v>
      </c>
      <c r="AZ36" s="172">
        <f>LB!BG478+FR!BG142+JN!BG205+TA!BG113+ŽB!BG87+ČL!BG306+NB!BG137+SM!BG179+JI!BG151+TU!BG212</f>
        <v>12.419999999999998</v>
      </c>
      <c r="BA36" s="173">
        <f>LB!BH478+FR!BH142+JN!BH205+TA!BH113+ŽB!BH87+ČL!BH306+NB!BH137+SM!BH179+JI!BH151+TU!BH212</f>
        <v>12.419999999999998</v>
      </c>
      <c r="BB36" s="170">
        <f>LB!BI478+FR!BI142+JN!BI205+TA!BI113+ŽB!BI87+ČL!BI306+NB!BI137+SM!BI179+JI!BI151+TU!BI212</f>
        <v>63033610</v>
      </c>
      <c r="BC36" s="171">
        <f>LB!BJ478+FR!BJ142+JN!BJ205+TA!BJ113+ŽB!BJ87+ČL!BJ306+NB!BJ137+SM!BJ179+JI!BJ151+TU!BJ212</f>
        <v>44167719</v>
      </c>
      <c r="BD36" s="171">
        <f>LB!BK478+FR!BK142+JN!BK205+TA!BK113+ŽB!BK87+ČL!BK306+NB!BK137+SM!BK179+JI!BK151+TU!BK212</f>
        <v>33128725</v>
      </c>
      <c r="BE36" s="171">
        <f>LB!BL478+FR!BL142+JN!BL205+TA!BL113+ŽB!BL87+ČL!BL306+NB!BL137+SM!BL179+JI!BL151+TU!BL212</f>
        <v>11038994</v>
      </c>
      <c r="BF36" s="171">
        <f>LB!BM478+FR!BM142+JN!BM205+TA!BM113+ŽB!BM87+ČL!BM306+NB!BM137+SM!BM179+JI!BM151+TU!BM212</f>
        <v>2550000</v>
      </c>
      <c r="BG36" s="171">
        <f>LB!BN478+FR!BN142+JN!BN205+TA!BN113+ŽB!BN87+ČL!BN306+NB!BN137+SM!BN179+JI!BN151+TU!BN212</f>
        <v>2011000</v>
      </c>
      <c r="BH36" s="171">
        <f>LB!BO478+FR!BO142+JN!BO205+TA!BO113+ŽB!BO87+ČL!BO306+NB!BO137+SM!BO179+JI!BO151+TU!BO212</f>
        <v>539000</v>
      </c>
      <c r="BI36" s="171">
        <f>LB!BP478+FR!BP142+JN!BP205+TA!BP113+ŽB!BP87+ČL!BP306+NB!BP137+SM!BP179+JI!BP151+TU!BP212</f>
        <v>15790590</v>
      </c>
      <c r="BJ36" s="171">
        <f>LB!BQ478+FR!BQ142+JN!BQ205+TA!BQ113+ŽB!BQ87+ČL!BQ306+NB!BQ137+SM!BQ179+JI!BQ151+TU!BQ212</f>
        <v>441679</v>
      </c>
      <c r="BK36" s="171">
        <f>LB!BR478+FR!BR142+JN!BR205+TA!BR113+ŽB!BR87+ČL!BR306+NB!BR137+SM!BR179+JI!BR151+TU!BR212</f>
        <v>83622</v>
      </c>
      <c r="BL36" s="172">
        <f>LB!BS478+FR!BS142+JN!BS205+TA!BS113+ŽB!BS87+ČL!BS306+NB!BS137+SM!BS179+JI!BS151+TU!BS212</f>
        <v>95.4</v>
      </c>
      <c r="BM36" s="172">
        <f>LB!BT478+FR!BT142+JN!BT205+TA!BT113+ŽB!BT87+ČL!BT306+NB!BT137+SM!BT179+JI!BT151+TU!BT212</f>
        <v>59.87</v>
      </c>
      <c r="BN36" s="173">
        <f>LB!BU478+FR!BU142+JN!BU205+TA!BU113+ŽB!BU87+ČL!BU306+NB!BU137+SM!BU179+JI!BU151+TU!BU212</f>
        <v>35.530000000000008</v>
      </c>
      <c r="BO36" s="174">
        <f>LB!BV478+FR!BV142+JN!BV205+TA!BV113+ŽB!BV87+ČL!BV306+NB!BV137+SM!BV179+JI!BV151+TU!BV212</f>
        <v>0</v>
      </c>
      <c r="BP36" s="171">
        <f>LB!BW478+FR!BW142+JN!BW205+TA!BW113+ŽB!BW87+ČL!BW306+NB!BW137+SM!BW179+JI!BW151+TU!BW212</f>
        <v>0</v>
      </c>
      <c r="BQ36" s="171">
        <f>LB!BX478+FR!BX142+JN!BX205+TA!BX113+ŽB!BX87+ČL!BX306+NB!BX137+SM!BX179+JI!BX151+TU!BX212</f>
        <v>0</v>
      </c>
      <c r="BR36" s="171">
        <f>LB!BY478+FR!BY142+JN!BY205+TA!BY113+ŽB!BY87+ČL!BY306+NB!BY137+SM!BY179+JI!BY151+TU!BY212</f>
        <v>0</v>
      </c>
      <c r="BS36" s="171">
        <f>LB!BZ478+FR!BZ142+JN!BZ205+TA!BZ113+ŽB!BZ87+ČL!BZ306+NB!BZ137+SM!BZ179+JI!BZ151+TU!BZ212</f>
        <v>0</v>
      </c>
      <c r="BT36" s="173">
        <f>LB!CA478+FR!CA142+JN!CA205+TA!CA113+ŽB!CA87+ČL!CA306+NB!CA137+SM!CA179+JI!CA151+TU!CA212</f>
        <v>0</v>
      </c>
    </row>
    <row r="37" spans="1:72" x14ac:dyDescent="0.2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</sheetData>
  <mergeCells count="54"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L9:L11"/>
    <mergeCell ref="M9:N10"/>
    <mergeCell ref="O10:P10"/>
    <mergeCell ref="Q10:Q11"/>
    <mergeCell ref="R10:R11"/>
    <mergeCell ref="S10:T10"/>
    <mergeCell ref="AY9:BA10"/>
    <mergeCell ref="U10:V10"/>
    <mergeCell ref="W10:X10"/>
    <mergeCell ref="AG10:AG11"/>
    <mergeCell ref="Y10:Y11"/>
    <mergeCell ref="Z10:AA10"/>
    <mergeCell ref="AB10:AB11"/>
    <mergeCell ref="AC10:AD10"/>
    <mergeCell ref="AE10:AF10"/>
    <mergeCell ref="O7:BA7"/>
    <mergeCell ref="BB7:BN8"/>
    <mergeCell ref="O8:Y9"/>
    <mergeCell ref="Z8:AG9"/>
    <mergeCell ref="AH8:AJ10"/>
    <mergeCell ref="AK8:AK11"/>
    <mergeCell ref="AL8:AL11"/>
    <mergeCell ref="AM8:AO10"/>
    <mergeCell ref="AP8:AP11"/>
    <mergeCell ref="AQ8:BA8"/>
    <mergeCell ref="AQ9:AR10"/>
    <mergeCell ref="AS9:AS10"/>
    <mergeCell ref="AT9:AU9"/>
    <mergeCell ref="AV9:AV10"/>
    <mergeCell ref="BB9:BB11"/>
    <mergeCell ref="AW9:AX10"/>
    <mergeCell ref="BO7:BT8"/>
    <mergeCell ref="BO9:BT10"/>
    <mergeCell ref="BL9:BL11"/>
    <mergeCell ref="BM9:BN10"/>
    <mergeCell ref="BC10:BC11"/>
    <mergeCell ref="BD10:BE10"/>
    <mergeCell ref="BF10:BF11"/>
    <mergeCell ref="BG10:BH10"/>
    <mergeCell ref="BJ10:BJ11"/>
    <mergeCell ref="BK10:BK11"/>
    <mergeCell ref="BI10:BI11"/>
    <mergeCell ref="BC9:BK9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D482"/>
  <sheetViews>
    <sheetView zoomScaleNormal="100" workbookViewId="0">
      <pane xSplit="8" ySplit="11" topLeftCell="BD442" activePane="bottomRight" state="frozen"/>
      <selection activeCell="X4" sqref="X4:X5"/>
      <selection pane="topRight" activeCell="X4" sqref="X4:X5"/>
      <selection pane="bottomLeft" activeCell="X4" sqref="X4:X5"/>
      <selection pane="bottomRight" activeCell="BI6" sqref="BI6:BU7"/>
    </sheetView>
  </sheetViews>
  <sheetFormatPr defaultColWidth="9.140625" defaultRowHeight="11.25" x14ac:dyDescent="0.2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29.7109375" style="52" customWidth="1"/>
    <col min="6" max="6" width="4.42578125" style="52" customWidth="1"/>
    <col min="7" max="7" width="10" style="52" customWidth="1"/>
    <col min="8" max="8" width="9.42578125" style="52" customWidth="1"/>
    <col min="9" max="15" width="10.85546875" style="53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5" width="10.85546875" style="53" customWidth="1"/>
    <col min="26" max="26" width="10.5703125" style="53" customWidth="1"/>
    <col min="27" max="46" width="10.85546875" style="53" customWidth="1"/>
    <col min="47" max="47" width="11.85546875" style="53" customWidth="1"/>
    <col min="48" max="49" width="10.85546875" style="53" customWidth="1"/>
    <col min="50" max="60" width="9.28515625" style="87" customWidth="1"/>
    <col min="61" max="70" width="10.85546875" style="53" customWidth="1"/>
    <col min="71" max="73" width="9.28515625" style="87" customWidth="1"/>
    <col min="74" max="78" width="9.7109375" style="53" customWidth="1"/>
    <col min="79" max="79" width="9.7109375" style="87" customWidth="1"/>
    <col min="80" max="16384" width="9.140625" style="56"/>
  </cols>
  <sheetData>
    <row r="1" spans="1:79" ht="12.75" x14ac:dyDescent="0.2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BI1" s="87"/>
      <c r="BJ1" s="87"/>
      <c r="BK1" s="87"/>
      <c r="BL1" s="87"/>
      <c r="BM1" s="87"/>
      <c r="BN1" s="87"/>
      <c r="BO1" s="87"/>
      <c r="BP1" s="87"/>
      <c r="BQ1" s="87"/>
      <c r="BR1" s="87"/>
    </row>
    <row r="2" spans="1:79" ht="12.75" x14ac:dyDescent="0.2">
      <c r="A2" s="50" t="s">
        <v>3</v>
      </c>
      <c r="B2" s="50"/>
      <c r="C2" s="42"/>
      <c r="D2" s="50"/>
      <c r="E2" s="50"/>
    </row>
    <row r="3" spans="1:79" ht="12" x14ac:dyDescent="0.2">
      <c r="A3" s="1045" t="s">
        <v>4</v>
      </c>
      <c r="B3" s="1045"/>
      <c r="C3" s="1045"/>
      <c r="D3" s="1045"/>
      <c r="E3" s="1045"/>
      <c r="Y3" s="507"/>
      <c r="Z3" s="507"/>
      <c r="AA3" s="507"/>
    </row>
    <row r="4" spans="1:79" ht="12" x14ac:dyDescent="0.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0"/>
      <c r="X4" s="903" t="s">
        <v>855</v>
      </c>
      <c r="Y4" s="506"/>
      <c r="Z4" s="506"/>
      <c r="AA4" s="506"/>
    </row>
    <row r="5" spans="1:79" ht="16.5" thickBot="1" x14ac:dyDescent="0.3">
      <c r="A5" s="181" t="s">
        <v>883</v>
      </c>
      <c r="F5" s="252"/>
      <c r="G5" s="252"/>
      <c r="I5" s="52"/>
      <c r="J5" s="52"/>
      <c r="K5" s="52"/>
      <c r="L5" s="52"/>
      <c r="M5" s="52"/>
      <c r="N5" s="52"/>
      <c r="O5" s="52"/>
      <c r="P5" s="52"/>
      <c r="Q5" s="52"/>
      <c r="R5" s="52"/>
      <c r="S5" s="180"/>
      <c r="X5" s="903" t="s">
        <v>856</v>
      </c>
      <c r="Z5" s="506"/>
      <c r="AA5" s="506"/>
    </row>
    <row r="6" spans="1:79" ht="12.75" customHeight="1" x14ac:dyDescent="0.2">
      <c r="A6" s="528" t="s">
        <v>800</v>
      </c>
      <c r="B6" s="529"/>
      <c r="C6" s="530"/>
      <c r="D6" s="530"/>
      <c r="E6" s="529"/>
      <c r="F6" s="529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thickBot="1" x14ac:dyDescent="0.3">
      <c r="B7" s="6"/>
      <c r="C7"/>
      <c r="D7" s="10"/>
      <c r="E7" s="6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30.75" customHeight="1" x14ac:dyDescent="0.2">
      <c r="A8" s="115"/>
      <c r="B8" s="57"/>
      <c r="C8" s="57"/>
      <c r="D8" s="57"/>
      <c r="E8" s="58"/>
      <c r="F8" s="59"/>
      <c r="G8" s="60"/>
      <c r="H8" s="60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76" t="s">
        <v>851</v>
      </c>
      <c r="BB8" s="107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18" customHeight="1" thickBot="1" x14ac:dyDescent="0.25">
      <c r="A9" s="116" t="s">
        <v>747</v>
      </c>
      <c r="B9"/>
      <c r="C9"/>
      <c r="D9" s="12"/>
      <c r="E9"/>
      <c r="F9" s="59"/>
      <c r="G9" s="60"/>
      <c r="H9" s="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763" t="s">
        <v>805</v>
      </c>
      <c r="BB9" s="763" t="s">
        <v>806</v>
      </c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25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122" customFormat="1" ht="11.25" customHeight="1" thickBot="1" x14ac:dyDescent="0.25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140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815</v>
      </c>
      <c r="AC11" s="141" t="s">
        <v>816</v>
      </c>
      <c r="AD11" s="141" t="s">
        <v>815</v>
      </c>
      <c r="AE11" s="141" t="s">
        <v>816</v>
      </c>
      <c r="AF11" s="141" t="s">
        <v>824</v>
      </c>
      <c r="AG11" s="141" t="s">
        <v>817</v>
      </c>
      <c r="AH11" s="141" t="s">
        <v>818</v>
      </c>
      <c r="AI11" s="141" t="s">
        <v>817</v>
      </c>
      <c r="AJ11" s="141" t="s">
        <v>817</v>
      </c>
      <c r="AK11" s="141" t="s">
        <v>818</v>
      </c>
      <c r="AL11" s="141" t="s">
        <v>817</v>
      </c>
      <c r="AM11" s="141" t="s">
        <v>818</v>
      </c>
      <c r="AN11" s="141" t="s">
        <v>825</v>
      </c>
      <c r="AO11" s="509" t="s">
        <v>819</v>
      </c>
      <c r="AP11" s="509" t="s">
        <v>820</v>
      </c>
      <c r="AQ11" s="141" t="s">
        <v>821</v>
      </c>
      <c r="AR11" s="141" t="s">
        <v>282</v>
      </c>
      <c r="AS11" s="141" t="s">
        <v>283</v>
      </c>
      <c r="AT11" s="141" t="s">
        <v>284</v>
      </c>
      <c r="AU11" s="141" t="s">
        <v>284</v>
      </c>
      <c r="AV11" s="141" t="s">
        <v>284</v>
      </c>
      <c r="AW11" s="141" t="s">
        <v>289</v>
      </c>
      <c r="AX11" s="402" t="s">
        <v>285</v>
      </c>
      <c r="AY11" s="142" t="s">
        <v>286</v>
      </c>
      <c r="AZ11" s="142" t="s">
        <v>285</v>
      </c>
      <c r="BA11" s="142" t="s">
        <v>285</v>
      </c>
      <c r="BB11" s="142" t="s">
        <v>286</v>
      </c>
      <c r="BC11" s="142" t="s">
        <v>285</v>
      </c>
      <c r="BD11" s="142" t="s">
        <v>285</v>
      </c>
      <c r="BE11" s="142" t="s">
        <v>286</v>
      </c>
      <c r="BF11" s="142" t="s">
        <v>285</v>
      </c>
      <c r="BG11" s="142" t="s">
        <v>286</v>
      </c>
      <c r="BH11" s="179" t="s">
        <v>287</v>
      </c>
      <c r="BI11" s="604" t="s">
        <v>262</v>
      </c>
      <c r="BJ11" s="137" t="s">
        <v>263</v>
      </c>
      <c r="BK11" s="137" t="s">
        <v>801</v>
      </c>
      <c r="BL11" s="137" t="s">
        <v>802</v>
      </c>
      <c r="BM11" s="137" t="s">
        <v>269</v>
      </c>
      <c r="BN11" s="137" t="s">
        <v>803</v>
      </c>
      <c r="BO11" s="137" t="s">
        <v>804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532</v>
      </c>
      <c r="BU11" s="188" t="s">
        <v>533</v>
      </c>
      <c r="BV11" s="688" t="s">
        <v>843</v>
      </c>
      <c r="BW11" s="662" t="s">
        <v>837</v>
      </c>
      <c r="BX11" s="662" t="s">
        <v>838</v>
      </c>
      <c r="BY11" s="662" t="s">
        <v>844</v>
      </c>
      <c r="BZ11" s="662" t="s">
        <v>845</v>
      </c>
      <c r="CA11" s="689" t="s">
        <v>839</v>
      </c>
    </row>
    <row r="12" spans="1:79" ht="14.1" customHeight="1" x14ac:dyDescent="0.2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534</v>
      </c>
      <c r="F12" s="123">
        <v>3233</v>
      </c>
      <c r="G12" s="126" t="s">
        <v>297</v>
      </c>
      <c r="H12" s="127" t="s">
        <v>272</v>
      </c>
      <c r="I12" s="406">
        <v>10675621</v>
      </c>
      <c r="J12" s="407">
        <v>7144856</v>
      </c>
      <c r="K12" s="407">
        <v>5625099</v>
      </c>
      <c r="L12" s="407">
        <v>1519757</v>
      </c>
      <c r="M12" s="407">
        <v>770000</v>
      </c>
      <c r="N12" s="407">
        <v>600000</v>
      </c>
      <c r="O12" s="407">
        <v>170000</v>
      </c>
      <c r="P12" s="594">
        <v>2675221</v>
      </c>
      <c r="Q12" s="594">
        <v>71449</v>
      </c>
      <c r="R12" s="407">
        <v>14095</v>
      </c>
      <c r="S12" s="408">
        <v>15.07</v>
      </c>
      <c r="T12" s="409">
        <v>10.18</v>
      </c>
      <c r="U12" s="422">
        <v>4.8900000000000006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844902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844902</v>
      </c>
      <c r="AF12" s="410">
        <f>SUM(AD12:AE12)</f>
        <v>844902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844902</v>
      </c>
      <c r="AQ12" s="410">
        <f>SUM(AO12:AP12)</f>
        <v>844902</v>
      </c>
      <c r="AR12" s="144">
        <f>ROUND((AF12+AG12+AH12+AI12)*33.8%,0)</f>
        <v>285577</v>
      </c>
      <c r="AS12" s="144">
        <f>ROUND(AF12*1%,0)</f>
        <v>8449</v>
      </c>
      <c r="AT12" s="410">
        <v>0</v>
      </c>
      <c r="AU12" s="410">
        <v>5638</v>
      </c>
      <c r="AV12" s="410">
        <f>AT12+AU12</f>
        <v>5638</v>
      </c>
      <c r="AW12" s="410">
        <f>AQ12+AR12+AS12+AV12</f>
        <v>1144566</v>
      </c>
      <c r="AX12" s="411">
        <v>0</v>
      </c>
      <c r="AY12" s="411">
        <v>0</v>
      </c>
      <c r="AZ12" s="411">
        <v>0</v>
      </c>
      <c r="BA12" s="411">
        <v>0</v>
      </c>
      <c r="BB12" s="411">
        <v>2.72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2.72</v>
      </c>
      <c r="BH12" s="413">
        <f>SUM(BF12:BG12)</f>
        <v>2.72</v>
      </c>
      <c r="BI12" s="779">
        <f>I12+AW12</f>
        <v>11820187</v>
      </c>
      <c r="BJ12" s="410">
        <f>J12+AF12</f>
        <v>7989758</v>
      </c>
      <c r="BK12" s="410">
        <f>K12+AD12</f>
        <v>5625099</v>
      </c>
      <c r="BL12" s="410">
        <f>L12+AE12</f>
        <v>2364659</v>
      </c>
      <c r="BM12" s="410">
        <f>M12+AN12</f>
        <v>770000</v>
      </c>
      <c r="BN12" s="410">
        <f>N12+AL12</f>
        <v>600000</v>
      </c>
      <c r="BO12" s="410">
        <f>O12+AM12</f>
        <v>170000</v>
      </c>
      <c r="BP12" s="410">
        <f>P12+AR12</f>
        <v>2960798</v>
      </c>
      <c r="BQ12" s="410">
        <f>Q12+AS12</f>
        <v>79898</v>
      </c>
      <c r="BR12" s="410">
        <f>R12+AV12</f>
        <v>19733</v>
      </c>
      <c r="BS12" s="411">
        <f>S12+BH12</f>
        <v>17.79</v>
      </c>
      <c r="BT12" s="411">
        <f>T12+BF12</f>
        <v>10.18</v>
      </c>
      <c r="BU12" s="413">
        <f>U12+BG12</f>
        <v>7.6100000000000012</v>
      </c>
      <c r="BV12" s="406"/>
      <c r="BW12" s="407"/>
      <c r="BX12" s="407"/>
      <c r="BY12" s="407"/>
      <c r="BZ12" s="407"/>
      <c r="CA12" s="495"/>
    </row>
    <row r="13" spans="1:79" ht="14.1" customHeight="1" x14ac:dyDescent="0.2">
      <c r="A13" s="72">
        <v>1</v>
      </c>
      <c r="B13" s="69">
        <v>2330</v>
      </c>
      <c r="C13" s="70">
        <v>691009571</v>
      </c>
      <c r="D13" s="69">
        <v>71294511</v>
      </c>
      <c r="E13" s="71" t="s">
        <v>535</v>
      </c>
      <c r="F13" s="72"/>
      <c r="G13" s="71"/>
      <c r="H13" s="73"/>
      <c r="I13" s="517">
        <v>10675621</v>
      </c>
      <c r="J13" s="74">
        <v>7144856</v>
      </c>
      <c r="K13" s="74">
        <v>5625099</v>
      </c>
      <c r="L13" s="74">
        <v>1519757</v>
      </c>
      <c r="M13" s="74">
        <v>770000</v>
      </c>
      <c r="N13" s="74">
        <v>600000</v>
      </c>
      <c r="O13" s="74">
        <v>170000</v>
      </c>
      <c r="P13" s="74">
        <v>2675221</v>
      </c>
      <c r="Q13" s="74">
        <v>71449</v>
      </c>
      <c r="R13" s="74">
        <v>14095</v>
      </c>
      <c r="S13" s="75">
        <v>15.07</v>
      </c>
      <c r="T13" s="75">
        <v>10.18</v>
      </c>
      <c r="U13" s="658">
        <v>4.8900000000000006</v>
      </c>
      <c r="V13" s="517">
        <f t="shared" ref="V13:BU13" si="0">SUM(V12)</f>
        <v>0</v>
      </c>
      <c r="W13" s="74">
        <f t="shared" si="0"/>
        <v>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844902</v>
      </c>
      <c r="AB13" s="74">
        <f t="shared" si="0"/>
        <v>0</v>
      </c>
      <c r="AC13" s="74">
        <f t="shared" si="0"/>
        <v>0</v>
      </c>
      <c r="AD13" s="74">
        <f t="shared" si="0"/>
        <v>0</v>
      </c>
      <c r="AE13" s="74">
        <f t="shared" si="0"/>
        <v>844902</v>
      </c>
      <c r="AF13" s="74">
        <f t="shared" si="0"/>
        <v>844902</v>
      </c>
      <c r="AG13" s="74">
        <f t="shared" si="0"/>
        <v>0</v>
      </c>
      <c r="AH13" s="74">
        <f t="shared" si="0"/>
        <v>0</v>
      </c>
      <c r="AI13" s="74">
        <f t="shared" si="0"/>
        <v>0</v>
      </c>
      <c r="AJ13" s="74">
        <f t="shared" si="0"/>
        <v>0</v>
      </c>
      <c r="AK13" s="74">
        <f t="shared" si="0"/>
        <v>0</v>
      </c>
      <c r="AL13" s="74">
        <f t="shared" si="0"/>
        <v>0</v>
      </c>
      <c r="AM13" s="74">
        <f t="shared" si="0"/>
        <v>0</v>
      </c>
      <c r="AN13" s="74">
        <f t="shared" si="0"/>
        <v>0</v>
      </c>
      <c r="AO13" s="74">
        <f t="shared" si="0"/>
        <v>0</v>
      </c>
      <c r="AP13" s="74">
        <f t="shared" si="0"/>
        <v>844902</v>
      </c>
      <c r="AQ13" s="74">
        <f t="shared" si="0"/>
        <v>844902</v>
      </c>
      <c r="AR13" s="74">
        <f t="shared" si="0"/>
        <v>285577</v>
      </c>
      <c r="AS13" s="74">
        <f t="shared" si="0"/>
        <v>8449</v>
      </c>
      <c r="AT13" s="74">
        <f t="shared" si="0"/>
        <v>0</v>
      </c>
      <c r="AU13" s="74">
        <f t="shared" si="0"/>
        <v>5638</v>
      </c>
      <c r="AV13" s="74">
        <f t="shared" si="0"/>
        <v>5638</v>
      </c>
      <c r="AW13" s="74">
        <f t="shared" si="0"/>
        <v>1144566</v>
      </c>
      <c r="AX13" s="75">
        <f t="shared" si="0"/>
        <v>0</v>
      </c>
      <c r="AY13" s="75">
        <f t="shared" si="0"/>
        <v>0</v>
      </c>
      <c r="AZ13" s="75">
        <f t="shared" si="0"/>
        <v>0</v>
      </c>
      <c r="BA13" s="75">
        <f t="shared" si="0"/>
        <v>0</v>
      </c>
      <c r="BB13" s="75">
        <f t="shared" si="0"/>
        <v>2.72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0</v>
      </c>
      <c r="BG13" s="75">
        <f t="shared" si="0"/>
        <v>2.72</v>
      </c>
      <c r="BH13" s="76">
        <f t="shared" si="0"/>
        <v>2.72</v>
      </c>
      <c r="BI13" s="799">
        <f t="shared" si="0"/>
        <v>11820187</v>
      </c>
      <c r="BJ13" s="74">
        <f t="shared" si="0"/>
        <v>7989758</v>
      </c>
      <c r="BK13" s="74">
        <f t="shared" si="0"/>
        <v>5625099</v>
      </c>
      <c r="BL13" s="74">
        <f t="shared" si="0"/>
        <v>2364659</v>
      </c>
      <c r="BM13" s="74">
        <f t="shared" si="0"/>
        <v>770000</v>
      </c>
      <c r="BN13" s="74">
        <f t="shared" si="0"/>
        <v>600000</v>
      </c>
      <c r="BO13" s="74">
        <f t="shared" si="0"/>
        <v>170000</v>
      </c>
      <c r="BP13" s="74">
        <f t="shared" si="0"/>
        <v>2960798</v>
      </c>
      <c r="BQ13" s="74">
        <f t="shared" si="0"/>
        <v>79898</v>
      </c>
      <c r="BR13" s="74">
        <f t="shared" si="0"/>
        <v>19733</v>
      </c>
      <c r="BS13" s="75">
        <f t="shared" si="0"/>
        <v>17.79</v>
      </c>
      <c r="BT13" s="75">
        <f t="shared" si="0"/>
        <v>10.18</v>
      </c>
      <c r="BU13" s="76">
        <f t="shared" si="0"/>
        <v>7.6100000000000012</v>
      </c>
      <c r="BV13" s="809">
        <f t="shared" ref="BV13:CA13" si="1">SUM(BV12)</f>
        <v>0</v>
      </c>
      <c r="BW13" s="684">
        <f t="shared" si="1"/>
        <v>0</v>
      </c>
      <c r="BX13" s="684">
        <f t="shared" si="1"/>
        <v>0</v>
      </c>
      <c r="BY13" s="684">
        <f t="shared" si="1"/>
        <v>0</v>
      </c>
      <c r="BZ13" s="684">
        <f t="shared" si="1"/>
        <v>0</v>
      </c>
      <c r="CA13" s="810">
        <f t="shared" si="1"/>
        <v>0</v>
      </c>
    </row>
    <row r="14" spans="1:79" ht="14.1" customHeight="1" x14ac:dyDescent="0.2">
      <c r="A14" s="66">
        <v>2</v>
      </c>
      <c r="B14" s="63">
        <v>2415</v>
      </c>
      <c r="C14" s="64">
        <v>600079465</v>
      </c>
      <c r="D14" s="63">
        <v>72742186</v>
      </c>
      <c r="E14" s="65" t="s">
        <v>536</v>
      </c>
      <c r="F14" s="66">
        <v>3111</v>
      </c>
      <c r="G14" s="65" t="s">
        <v>290</v>
      </c>
      <c r="H14" s="67" t="s">
        <v>271</v>
      </c>
      <c r="I14" s="420">
        <v>8039345</v>
      </c>
      <c r="J14" s="415">
        <v>5883177</v>
      </c>
      <c r="K14" s="415">
        <v>5409671</v>
      </c>
      <c r="L14" s="415">
        <v>473506</v>
      </c>
      <c r="M14" s="415">
        <v>60000</v>
      </c>
      <c r="N14" s="415">
        <v>60000</v>
      </c>
      <c r="O14" s="415">
        <v>0</v>
      </c>
      <c r="P14" s="599">
        <v>2008794</v>
      </c>
      <c r="Q14" s="599">
        <v>58832</v>
      </c>
      <c r="R14" s="415">
        <v>28542</v>
      </c>
      <c r="S14" s="416">
        <v>10.906699999999999</v>
      </c>
      <c r="T14" s="416">
        <v>9.2532999999999994</v>
      </c>
      <c r="U14" s="423">
        <v>1.6534</v>
      </c>
      <c r="V14" s="424">
        <f t="shared" ref="V14:V76" si="2">AG14*-1</f>
        <v>0</v>
      </c>
      <c r="W14" s="418">
        <f t="shared" ref="W14:W76" si="3">AH14*-1</f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 t="shared" ref="AF14:AF76" si="4"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ref="AL14:AL76" si="5">AG14+AI14+AJ14</f>
        <v>0</v>
      </c>
      <c r="AM14" s="418">
        <f t="shared" ref="AM14:AM76" si="6">AH14+AK14</f>
        <v>0</v>
      </c>
      <c r="AN14" s="418">
        <f t="shared" ref="AN14:AN76" si="7">SUM(AL14:AM14)</f>
        <v>0</v>
      </c>
      <c r="AO14" s="418">
        <f t="shared" ref="AO14:AO76" si="8">AD14+AL14</f>
        <v>0</v>
      </c>
      <c r="AP14" s="418">
        <f t="shared" ref="AP14:AP76" si="9">AE14+AM14</f>
        <v>0</v>
      </c>
      <c r="AQ14" s="418">
        <f t="shared" ref="AQ14:AQ76" si="10">SUM(AO14:AP14)</f>
        <v>0</v>
      </c>
      <c r="AR14" s="68">
        <f t="shared" ref="AR14:AR76" si="11">ROUND((AF14+AG14+AH14+AI14)*33.8%,0)</f>
        <v>0</v>
      </c>
      <c r="AS14" s="68">
        <f t="shared" ref="AS14:AS76" si="12">ROUND(AF14*1%,0)</f>
        <v>0</v>
      </c>
      <c r="AT14" s="418">
        <v>0</v>
      </c>
      <c r="AU14" s="418">
        <v>0</v>
      </c>
      <c r="AV14" s="418">
        <f t="shared" ref="AV14:AV76" si="13">AT14+AU14</f>
        <v>0</v>
      </c>
      <c r="AW14" s="418">
        <f t="shared" ref="AW14:AW76" si="14"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 t="shared" ref="BF14:BF76" si="15">AX14+AZ14+BA14+BC14+BD14</f>
        <v>0</v>
      </c>
      <c r="BG14" s="419">
        <f t="shared" ref="BG14:BG76" si="16">AY14+BB14+BE14</f>
        <v>0</v>
      </c>
      <c r="BH14" s="421">
        <f t="shared" ref="BH14:BH76" si="17">SUM(BF14:BG14)</f>
        <v>0</v>
      </c>
      <c r="BI14" s="780">
        <f>I14+AW14</f>
        <v>8039345</v>
      </c>
      <c r="BJ14" s="418">
        <f>J14+AF14</f>
        <v>5883177</v>
      </c>
      <c r="BK14" s="418">
        <f t="shared" ref="BK14:BL17" si="18">K14+AD14</f>
        <v>5409671</v>
      </c>
      <c r="BL14" s="418">
        <f t="shared" si="18"/>
        <v>473506</v>
      </c>
      <c r="BM14" s="418">
        <f>M14+AN14</f>
        <v>60000</v>
      </c>
      <c r="BN14" s="418">
        <f t="shared" ref="BN14:BO17" si="19">N14+AL14</f>
        <v>60000</v>
      </c>
      <c r="BO14" s="418">
        <f t="shared" si="19"/>
        <v>0</v>
      </c>
      <c r="BP14" s="418">
        <f t="shared" ref="BP14:BQ17" si="20">P14+AR14</f>
        <v>2008794</v>
      </c>
      <c r="BQ14" s="418">
        <f t="shared" si="20"/>
        <v>58832</v>
      </c>
      <c r="BR14" s="418">
        <f>R14+AV14</f>
        <v>28542</v>
      </c>
      <c r="BS14" s="419">
        <f>S14+BH14</f>
        <v>10.906699999999999</v>
      </c>
      <c r="BT14" s="419">
        <f t="shared" ref="BT14:BU17" si="21">T14+BF14</f>
        <v>9.2532999999999994</v>
      </c>
      <c r="BU14" s="421">
        <f t="shared" si="21"/>
        <v>1.6534</v>
      </c>
      <c r="BV14" s="420"/>
      <c r="BW14" s="415"/>
      <c r="BX14" s="415"/>
      <c r="BY14" s="415"/>
      <c r="BZ14" s="415"/>
      <c r="CA14" s="510"/>
    </row>
    <row r="15" spans="1:79" ht="14.1" customHeight="1" x14ac:dyDescent="0.2">
      <c r="A15" s="66">
        <v>2</v>
      </c>
      <c r="B15" s="63">
        <v>2415</v>
      </c>
      <c r="C15" s="64">
        <v>600079465</v>
      </c>
      <c r="D15" s="63">
        <v>72742186</v>
      </c>
      <c r="E15" s="65" t="s">
        <v>536</v>
      </c>
      <c r="F15" s="66">
        <v>3111</v>
      </c>
      <c r="G15" s="43" t="s">
        <v>292</v>
      </c>
      <c r="H15" s="67" t="s">
        <v>271</v>
      </c>
      <c r="I15" s="420">
        <v>484125</v>
      </c>
      <c r="J15" s="415">
        <v>319440</v>
      </c>
      <c r="K15" s="415">
        <v>319440</v>
      </c>
      <c r="L15" s="415">
        <v>0</v>
      </c>
      <c r="M15" s="415">
        <v>40000</v>
      </c>
      <c r="N15" s="415">
        <v>30000</v>
      </c>
      <c r="O15" s="415">
        <v>10000</v>
      </c>
      <c r="P15" s="599">
        <v>121491</v>
      </c>
      <c r="Q15" s="599">
        <v>3194</v>
      </c>
      <c r="R15" s="415">
        <v>0</v>
      </c>
      <c r="S15" s="416">
        <v>0.97</v>
      </c>
      <c r="T15" s="416">
        <v>0.97</v>
      </c>
      <c r="U15" s="423">
        <v>0</v>
      </c>
      <c r="V15" s="424">
        <f t="shared" si="2"/>
        <v>0</v>
      </c>
      <c r="W15" s="418">
        <f t="shared" si="3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 t="shared" si="4"/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 t="shared" si="5"/>
        <v>0</v>
      </c>
      <c r="AM15" s="418">
        <f t="shared" si="6"/>
        <v>0</v>
      </c>
      <c r="AN15" s="418">
        <f t="shared" si="7"/>
        <v>0</v>
      </c>
      <c r="AO15" s="418">
        <f t="shared" si="8"/>
        <v>0</v>
      </c>
      <c r="AP15" s="418">
        <f t="shared" si="9"/>
        <v>0</v>
      </c>
      <c r="AQ15" s="418">
        <f t="shared" si="10"/>
        <v>0</v>
      </c>
      <c r="AR15" s="68">
        <f t="shared" si="11"/>
        <v>0</v>
      </c>
      <c r="AS15" s="68">
        <f t="shared" si="12"/>
        <v>0</v>
      </c>
      <c r="AT15" s="418">
        <v>0</v>
      </c>
      <c r="AU15" s="418">
        <v>0</v>
      </c>
      <c r="AV15" s="418">
        <f t="shared" si="13"/>
        <v>0</v>
      </c>
      <c r="AW15" s="418">
        <f t="shared" si="14"/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 t="shared" si="15"/>
        <v>0</v>
      </c>
      <c r="BG15" s="419">
        <f t="shared" si="16"/>
        <v>0</v>
      </c>
      <c r="BH15" s="421">
        <f t="shared" si="17"/>
        <v>0</v>
      </c>
      <c r="BI15" s="780">
        <f>I15+AW15</f>
        <v>484125</v>
      </c>
      <c r="BJ15" s="418">
        <f>J15+AF15</f>
        <v>319440</v>
      </c>
      <c r="BK15" s="418">
        <f t="shared" si="18"/>
        <v>319440</v>
      </c>
      <c r="BL15" s="418">
        <f t="shared" si="18"/>
        <v>0</v>
      </c>
      <c r="BM15" s="418">
        <f>M15+AN15</f>
        <v>40000</v>
      </c>
      <c r="BN15" s="418">
        <f t="shared" si="19"/>
        <v>30000</v>
      </c>
      <c r="BO15" s="418">
        <f t="shared" si="19"/>
        <v>10000</v>
      </c>
      <c r="BP15" s="418">
        <f t="shared" si="20"/>
        <v>121491</v>
      </c>
      <c r="BQ15" s="418">
        <f t="shared" si="20"/>
        <v>3194</v>
      </c>
      <c r="BR15" s="418">
        <f>R15+AV15</f>
        <v>0</v>
      </c>
      <c r="BS15" s="419">
        <f>S15+BH15</f>
        <v>0.97</v>
      </c>
      <c r="BT15" s="419">
        <f t="shared" si="21"/>
        <v>0.97</v>
      </c>
      <c r="BU15" s="421">
        <f t="shared" si="21"/>
        <v>0</v>
      </c>
      <c r="BV15" s="420"/>
      <c r="BW15" s="415"/>
      <c r="BX15" s="415"/>
      <c r="BY15" s="415"/>
      <c r="BZ15" s="415"/>
      <c r="CA15" s="510"/>
    </row>
    <row r="16" spans="1:79" ht="14.1" customHeight="1" x14ac:dyDescent="0.2">
      <c r="A16" s="66">
        <v>2</v>
      </c>
      <c r="B16" s="63">
        <v>2415</v>
      </c>
      <c r="C16" s="64">
        <v>600079465</v>
      </c>
      <c r="D16" s="63">
        <v>72742186</v>
      </c>
      <c r="E16" s="65" t="s">
        <v>536</v>
      </c>
      <c r="F16" s="66">
        <v>3111</v>
      </c>
      <c r="G16" s="65" t="s">
        <v>291</v>
      </c>
      <c r="H16" s="67" t="s">
        <v>272</v>
      </c>
      <c r="I16" s="420">
        <v>1338521</v>
      </c>
      <c r="J16" s="415">
        <v>992968</v>
      </c>
      <c r="K16" s="415">
        <v>992968</v>
      </c>
      <c r="L16" s="415">
        <v>0</v>
      </c>
      <c r="M16" s="415">
        <v>0</v>
      </c>
      <c r="N16" s="415">
        <v>0</v>
      </c>
      <c r="O16" s="415">
        <v>0</v>
      </c>
      <c r="P16" s="599">
        <v>335623</v>
      </c>
      <c r="Q16" s="599">
        <v>9930</v>
      </c>
      <c r="R16" s="415">
        <v>0</v>
      </c>
      <c r="S16" s="416">
        <v>2.67</v>
      </c>
      <c r="T16" s="417">
        <v>2.67</v>
      </c>
      <c r="U16" s="423">
        <v>0</v>
      </c>
      <c r="V16" s="424">
        <f t="shared" si="2"/>
        <v>0</v>
      </c>
      <c r="W16" s="418">
        <f t="shared" si="3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 t="shared" si="4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5"/>
        <v>0</v>
      </c>
      <c r="AM16" s="418">
        <f t="shared" si="6"/>
        <v>0</v>
      </c>
      <c r="AN16" s="418">
        <f t="shared" si="7"/>
        <v>0</v>
      </c>
      <c r="AO16" s="418">
        <f t="shared" si="8"/>
        <v>0</v>
      </c>
      <c r="AP16" s="418">
        <f t="shared" si="9"/>
        <v>0</v>
      </c>
      <c r="AQ16" s="418">
        <f t="shared" si="10"/>
        <v>0</v>
      </c>
      <c r="AR16" s="68">
        <f t="shared" si="11"/>
        <v>0</v>
      </c>
      <c r="AS16" s="68">
        <f t="shared" si="12"/>
        <v>0</v>
      </c>
      <c r="AT16" s="418">
        <v>0</v>
      </c>
      <c r="AU16" s="418">
        <v>0</v>
      </c>
      <c r="AV16" s="418">
        <f t="shared" si="13"/>
        <v>0</v>
      </c>
      <c r="AW16" s="418">
        <f t="shared" si="14"/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 t="shared" si="15"/>
        <v>0</v>
      </c>
      <c r="BG16" s="419">
        <f t="shared" si="16"/>
        <v>0</v>
      </c>
      <c r="BH16" s="421">
        <f t="shared" si="17"/>
        <v>0</v>
      </c>
      <c r="BI16" s="780">
        <f>I16+AW16</f>
        <v>1338521</v>
      </c>
      <c r="BJ16" s="418">
        <f>J16+AF16</f>
        <v>992968</v>
      </c>
      <c r="BK16" s="418">
        <f t="shared" si="18"/>
        <v>992968</v>
      </c>
      <c r="BL16" s="418">
        <f t="shared" si="18"/>
        <v>0</v>
      </c>
      <c r="BM16" s="418">
        <f>M16+AN16</f>
        <v>0</v>
      </c>
      <c r="BN16" s="418">
        <f t="shared" si="19"/>
        <v>0</v>
      </c>
      <c r="BO16" s="418">
        <f t="shared" si="19"/>
        <v>0</v>
      </c>
      <c r="BP16" s="418">
        <f t="shared" si="20"/>
        <v>335623</v>
      </c>
      <c r="BQ16" s="418">
        <f t="shared" si="20"/>
        <v>9930</v>
      </c>
      <c r="BR16" s="418">
        <f>R16+AV16</f>
        <v>0</v>
      </c>
      <c r="BS16" s="419">
        <f>S16+BH16</f>
        <v>2.67</v>
      </c>
      <c r="BT16" s="419">
        <f t="shared" si="21"/>
        <v>2.67</v>
      </c>
      <c r="BU16" s="421">
        <f t="shared" si="21"/>
        <v>0</v>
      </c>
      <c r="BV16" s="420"/>
      <c r="BW16" s="415"/>
      <c r="BX16" s="415"/>
      <c r="BY16" s="415"/>
      <c r="BZ16" s="415"/>
      <c r="CA16" s="510"/>
    </row>
    <row r="17" spans="1:79" ht="14.1" customHeight="1" x14ac:dyDescent="0.2">
      <c r="A17" s="66">
        <v>2</v>
      </c>
      <c r="B17" s="63">
        <v>2415</v>
      </c>
      <c r="C17" s="64">
        <v>600079465</v>
      </c>
      <c r="D17" s="63">
        <v>72742186</v>
      </c>
      <c r="E17" s="65" t="s">
        <v>536</v>
      </c>
      <c r="F17" s="66">
        <v>3141</v>
      </c>
      <c r="G17" s="65" t="s">
        <v>294</v>
      </c>
      <c r="H17" s="67" t="s">
        <v>272</v>
      </c>
      <c r="I17" s="420">
        <v>625895</v>
      </c>
      <c r="J17" s="415">
        <v>442437</v>
      </c>
      <c r="K17" s="415">
        <v>0</v>
      </c>
      <c r="L17" s="750">
        <v>442437</v>
      </c>
      <c r="M17" s="415">
        <v>20000</v>
      </c>
      <c r="N17" s="204">
        <v>0</v>
      </c>
      <c r="O17" s="204">
        <v>20000</v>
      </c>
      <c r="P17" s="599">
        <v>156304</v>
      </c>
      <c r="Q17" s="599">
        <v>4424</v>
      </c>
      <c r="R17" s="605">
        <v>2730</v>
      </c>
      <c r="S17" s="416">
        <v>1.3567</v>
      </c>
      <c r="T17" s="607">
        <v>0</v>
      </c>
      <c r="U17" s="737">
        <v>1.3567</v>
      </c>
      <c r="V17" s="424">
        <f t="shared" si="2"/>
        <v>0</v>
      </c>
      <c r="W17" s="418">
        <f t="shared" si="3"/>
        <v>0</v>
      </c>
      <c r="X17" s="418">
        <v>0</v>
      </c>
      <c r="Y17" s="418">
        <v>0</v>
      </c>
      <c r="Z17" s="418">
        <v>0</v>
      </c>
      <c r="AA17" s="418">
        <v>231942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231942</v>
      </c>
      <c r="AF17" s="418">
        <f t="shared" si="4"/>
        <v>231942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5"/>
        <v>0</v>
      </c>
      <c r="AM17" s="418">
        <f t="shared" si="6"/>
        <v>0</v>
      </c>
      <c r="AN17" s="418">
        <f t="shared" si="7"/>
        <v>0</v>
      </c>
      <c r="AO17" s="418">
        <f t="shared" si="8"/>
        <v>0</v>
      </c>
      <c r="AP17" s="418">
        <f t="shared" si="9"/>
        <v>231942</v>
      </c>
      <c r="AQ17" s="418">
        <f t="shared" si="10"/>
        <v>231942</v>
      </c>
      <c r="AR17" s="68">
        <f t="shared" si="11"/>
        <v>78396</v>
      </c>
      <c r="AS17" s="68">
        <f t="shared" si="12"/>
        <v>2319</v>
      </c>
      <c r="AT17" s="418">
        <v>0</v>
      </c>
      <c r="AU17" s="418">
        <v>1326</v>
      </c>
      <c r="AV17" s="418">
        <f t="shared" si="13"/>
        <v>1326</v>
      </c>
      <c r="AW17" s="418">
        <f t="shared" si="14"/>
        <v>313983</v>
      </c>
      <c r="AX17" s="419">
        <v>0</v>
      </c>
      <c r="AY17" s="419">
        <v>0</v>
      </c>
      <c r="AZ17" s="419">
        <v>0</v>
      </c>
      <c r="BA17" s="419">
        <v>0</v>
      </c>
      <c r="BB17" s="419">
        <v>0.69</v>
      </c>
      <c r="BC17" s="419">
        <v>0</v>
      </c>
      <c r="BD17" s="419">
        <v>0</v>
      </c>
      <c r="BE17" s="419">
        <v>0</v>
      </c>
      <c r="BF17" s="419">
        <f t="shared" si="15"/>
        <v>0</v>
      </c>
      <c r="BG17" s="419">
        <f t="shared" si="16"/>
        <v>0.69</v>
      </c>
      <c r="BH17" s="421">
        <f t="shared" si="17"/>
        <v>0.69</v>
      </c>
      <c r="BI17" s="780">
        <f>I17+AW17</f>
        <v>939878</v>
      </c>
      <c r="BJ17" s="418">
        <f>J17+AF17</f>
        <v>674379</v>
      </c>
      <c r="BK17" s="418">
        <f t="shared" si="18"/>
        <v>0</v>
      </c>
      <c r="BL17" s="418">
        <f t="shared" si="18"/>
        <v>674379</v>
      </c>
      <c r="BM17" s="418">
        <f>M17+AN17</f>
        <v>20000</v>
      </c>
      <c r="BN17" s="418">
        <f t="shared" si="19"/>
        <v>0</v>
      </c>
      <c r="BO17" s="418">
        <f t="shared" si="19"/>
        <v>20000</v>
      </c>
      <c r="BP17" s="418">
        <f t="shared" si="20"/>
        <v>234700</v>
      </c>
      <c r="BQ17" s="418">
        <f t="shared" si="20"/>
        <v>6743</v>
      </c>
      <c r="BR17" s="418">
        <f>R17+AV17</f>
        <v>4056</v>
      </c>
      <c r="BS17" s="419">
        <f>S17+BH17</f>
        <v>2.0467</v>
      </c>
      <c r="BT17" s="419">
        <f t="shared" si="21"/>
        <v>0</v>
      </c>
      <c r="BU17" s="421">
        <f t="shared" si="21"/>
        <v>2.0467</v>
      </c>
      <c r="BV17" s="420"/>
      <c r="BW17" s="415"/>
      <c r="BX17" s="415"/>
      <c r="BY17" s="415"/>
      <c r="BZ17" s="415"/>
      <c r="CA17" s="510"/>
    </row>
    <row r="18" spans="1:79" ht="14.1" customHeight="1" x14ac:dyDescent="0.2">
      <c r="A18" s="72">
        <v>2</v>
      </c>
      <c r="B18" s="69">
        <v>2415</v>
      </c>
      <c r="C18" s="70">
        <v>600079465</v>
      </c>
      <c r="D18" s="69">
        <v>72742186</v>
      </c>
      <c r="E18" s="71" t="s">
        <v>537</v>
      </c>
      <c r="F18" s="72"/>
      <c r="G18" s="71"/>
      <c r="H18" s="73"/>
      <c r="I18" s="517">
        <v>10487886</v>
      </c>
      <c r="J18" s="74">
        <v>7638022</v>
      </c>
      <c r="K18" s="74">
        <v>6722079</v>
      </c>
      <c r="L18" s="74">
        <v>915943</v>
      </c>
      <c r="M18" s="74">
        <v>120000</v>
      </c>
      <c r="N18" s="74">
        <v>90000</v>
      </c>
      <c r="O18" s="74">
        <v>30000</v>
      </c>
      <c r="P18" s="74">
        <v>2622212</v>
      </c>
      <c r="Q18" s="74">
        <v>76380</v>
      </c>
      <c r="R18" s="74">
        <v>31272</v>
      </c>
      <c r="S18" s="75">
        <v>15.9034</v>
      </c>
      <c r="T18" s="75">
        <v>12.8933</v>
      </c>
      <c r="U18" s="658">
        <v>3.0101</v>
      </c>
      <c r="V18" s="517">
        <f t="shared" ref="V18:BU18" si="22">SUM(V14:V17)</f>
        <v>0</v>
      </c>
      <c r="W18" s="74">
        <f t="shared" si="22"/>
        <v>0</v>
      </c>
      <c r="X18" s="74">
        <f t="shared" si="22"/>
        <v>0</v>
      </c>
      <c r="Y18" s="74">
        <f t="shared" si="22"/>
        <v>0</v>
      </c>
      <c r="Z18" s="74">
        <f t="shared" si="22"/>
        <v>0</v>
      </c>
      <c r="AA18" s="74">
        <f t="shared" si="22"/>
        <v>231942</v>
      </c>
      <c r="AB18" s="74">
        <f t="shared" si="22"/>
        <v>0</v>
      </c>
      <c r="AC18" s="74">
        <f t="shared" si="22"/>
        <v>0</v>
      </c>
      <c r="AD18" s="74">
        <f t="shared" si="22"/>
        <v>0</v>
      </c>
      <c r="AE18" s="74">
        <f t="shared" si="22"/>
        <v>231942</v>
      </c>
      <c r="AF18" s="74">
        <f t="shared" si="22"/>
        <v>231942</v>
      </c>
      <c r="AG18" s="74">
        <f t="shared" si="22"/>
        <v>0</v>
      </c>
      <c r="AH18" s="74">
        <f t="shared" si="22"/>
        <v>0</v>
      </c>
      <c r="AI18" s="74">
        <f t="shared" si="22"/>
        <v>0</v>
      </c>
      <c r="AJ18" s="74">
        <f t="shared" si="22"/>
        <v>0</v>
      </c>
      <c r="AK18" s="74">
        <f t="shared" si="22"/>
        <v>0</v>
      </c>
      <c r="AL18" s="74">
        <f t="shared" si="22"/>
        <v>0</v>
      </c>
      <c r="AM18" s="74">
        <f t="shared" si="22"/>
        <v>0</v>
      </c>
      <c r="AN18" s="74">
        <f t="shared" si="22"/>
        <v>0</v>
      </c>
      <c r="AO18" s="74">
        <f t="shared" si="22"/>
        <v>0</v>
      </c>
      <c r="AP18" s="74">
        <f t="shared" si="22"/>
        <v>231942</v>
      </c>
      <c r="AQ18" s="74">
        <f t="shared" si="22"/>
        <v>231942</v>
      </c>
      <c r="AR18" s="74">
        <f t="shared" si="22"/>
        <v>78396</v>
      </c>
      <c r="AS18" s="74">
        <f t="shared" si="22"/>
        <v>2319</v>
      </c>
      <c r="AT18" s="74">
        <f t="shared" si="22"/>
        <v>0</v>
      </c>
      <c r="AU18" s="74">
        <f t="shared" si="22"/>
        <v>1326</v>
      </c>
      <c r="AV18" s="74">
        <f t="shared" si="22"/>
        <v>1326</v>
      </c>
      <c r="AW18" s="74">
        <f t="shared" si="22"/>
        <v>313983</v>
      </c>
      <c r="AX18" s="75">
        <f t="shared" si="22"/>
        <v>0</v>
      </c>
      <c r="AY18" s="75">
        <f t="shared" si="22"/>
        <v>0</v>
      </c>
      <c r="AZ18" s="75">
        <f t="shared" si="22"/>
        <v>0</v>
      </c>
      <c r="BA18" s="75">
        <f t="shared" si="22"/>
        <v>0</v>
      </c>
      <c r="BB18" s="75">
        <f t="shared" si="22"/>
        <v>0.69</v>
      </c>
      <c r="BC18" s="75">
        <f t="shared" si="22"/>
        <v>0</v>
      </c>
      <c r="BD18" s="75">
        <f t="shared" si="22"/>
        <v>0</v>
      </c>
      <c r="BE18" s="75">
        <f t="shared" si="22"/>
        <v>0</v>
      </c>
      <c r="BF18" s="75">
        <f t="shared" si="22"/>
        <v>0</v>
      </c>
      <c r="BG18" s="75">
        <f t="shared" si="22"/>
        <v>0.69</v>
      </c>
      <c r="BH18" s="76">
        <f t="shared" si="22"/>
        <v>0.69</v>
      </c>
      <c r="BI18" s="799">
        <f t="shared" si="22"/>
        <v>10801869</v>
      </c>
      <c r="BJ18" s="74">
        <f t="shared" si="22"/>
        <v>7869964</v>
      </c>
      <c r="BK18" s="74">
        <f t="shared" si="22"/>
        <v>6722079</v>
      </c>
      <c r="BL18" s="74">
        <f t="shared" si="22"/>
        <v>1147885</v>
      </c>
      <c r="BM18" s="74">
        <f t="shared" si="22"/>
        <v>120000</v>
      </c>
      <c r="BN18" s="74">
        <f t="shared" si="22"/>
        <v>90000</v>
      </c>
      <c r="BO18" s="74">
        <f t="shared" si="22"/>
        <v>30000</v>
      </c>
      <c r="BP18" s="74">
        <f t="shared" si="22"/>
        <v>2700608</v>
      </c>
      <c r="BQ18" s="74">
        <f t="shared" si="22"/>
        <v>78699</v>
      </c>
      <c r="BR18" s="74">
        <f t="shared" si="22"/>
        <v>32598</v>
      </c>
      <c r="BS18" s="75">
        <f t="shared" si="22"/>
        <v>16.593399999999999</v>
      </c>
      <c r="BT18" s="75">
        <f t="shared" si="22"/>
        <v>12.8933</v>
      </c>
      <c r="BU18" s="76">
        <f t="shared" si="22"/>
        <v>3.7000999999999999</v>
      </c>
      <c r="BV18" s="809">
        <f t="shared" ref="BV18:CA18" si="23">SUM(BV14:BV17)</f>
        <v>0</v>
      </c>
      <c r="BW18" s="684">
        <f t="shared" si="23"/>
        <v>0</v>
      </c>
      <c r="BX18" s="684">
        <f t="shared" si="23"/>
        <v>0</v>
      </c>
      <c r="BY18" s="684">
        <f t="shared" si="23"/>
        <v>0</v>
      </c>
      <c r="BZ18" s="684">
        <f t="shared" si="23"/>
        <v>0</v>
      </c>
      <c r="CA18" s="810">
        <f t="shared" si="23"/>
        <v>0</v>
      </c>
    </row>
    <row r="19" spans="1:79" ht="14.1" customHeight="1" x14ac:dyDescent="0.2">
      <c r="A19" s="66">
        <v>3</v>
      </c>
      <c r="B19" s="63">
        <v>2442</v>
      </c>
      <c r="C19" s="64">
        <v>600079066</v>
      </c>
      <c r="D19" s="63">
        <v>72742101</v>
      </c>
      <c r="E19" s="65" t="s">
        <v>538</v>
      </c>
      <c r="F19" s="66">
        <v>3111</v>
      </c>
      <c r="G19" s="65" t="s">
        <v>290</v>
      </c>
      <c r="H19" s="67" t="s">
        <v>271</v>
      </c>
      <c r="I19" s="420">
        <v>8729207</v>
      </c>
      <c r="J19" s="415">
        <v>6451503</v>
      </c>
      <c r="K19" s="415">
        <v>5868684</v>
      </c>
      <c r="L19" s="415">
        <v>582819</v>
      </c>
      <c r="M19" s="415">
        <v>2400</v>
      </c>
      <c r="N19" s="415">
        <v>0</v>
      </c>
      <c r="O19" s="415">
        <v>2400</v>
      </c>
      <c r="P19" s="599">
        <v>2181419</v>
      </c>
      <c r="Q19" s="599">
        <v>64515</v>
      </c>
      <c r="R19" s="415">
        <v>29370</v>
      </c>
      <c r="S19" s="416">
        <v>11.983500000000001</v>
      </c>
      <c r="T19" s="416">
        <v>10</v>
      </c>
      <c r="U19" s="423">
        <v>1.9835</v>
      </c>
      <c r="V19" s="424">
        <f t="shared" si="2"/>
        <v>0</v>
      </c>
      <c r="W19" s="418">
        <f t="shared" si="3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 t="shared" si="4"/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 t="shared" si="5"/>
        <v>0</v>
      </c>
      <c r="AM19" s="418">
        <f t="shared" si="6"/>
        <v>0</v>
      </c>
      <c r="AN19" s="418">
        <f t="shared" si="7"/>
        <v>0</v>
      </c>
      <c r="AO19" s="418">
        <f t="shared" si="8"/>
        <v>0</v>
      </c>
      <c r="AP19" s="418">
        <f t="shared" si="9"/>
        <v>0</v>
      </c>
      <c r="AQ19" s="418">
        <f t="shared" si="10"/>
        <v>0</v>
      </c>
      <c r="AR19" s="68">
        <f t="shared" si="11"/>
        <v>0</v>
      </c>
      <c r="AS19" s="68">
        <f t="shared" si="12"/>
        <v>0</v>
      </c>
      <c r="AT19" s="418">
        <v>0</v>
      </c>
      <c r="AU19" s="418">
        <v>0</v>
      </c>
      <c r="AV19" s="418">
        <f t="shared" si="13"/>
        <v>0</v>
      </c>
      <c r="AW19" s="418">
        <f t="shared" si="14"/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 t="shared" si="15"/>
        <v>0</v>
      </c>
      <c r="BG19" s="419">
        <f t="shared" si="16"/>
        <v>0</v>
      </c>
      <c r="BH19" s="421">
        <f t="shared" si="17"/>
        <v>0</v>
      </c>
      <c r="BI19" s="780">
        <f>I19+AW19</f>
        <v>8729207</v>
      </c>
      <c r="BJ19" s="418">
        <f>J19+AF19</f>
        <v>6451503</v>
      </c>
      <c r="BK19" s="418">
        <f t="shared" ref="BK19:BL21" si="24">K19+AD19</f>
        <v>5868684</v>
      </c>
      <c r="BL19" s="418">
        <f t="shared" si="24"/>
        <v>582819</v>
      </c>
      <c r="BM19" s="418">
        <f>M19+AN19</f>
        <v>2400</v>
      </c>
      <c r="BN19" s="418">
        <f t="shared" ref="BN19:BO21" si="25">N19+AL19</f>
        <v>0</v>
      </c>
      <c r="BO19" s="418">
        <f t="shared" si="25"/>
        <v>2400</v>
      </c>
      <c r="BP19" s="418">
        <f t="shared" ref="BP19:BQ21" si="26">P19+AR19</f>
        <v>2181419</v>
      </c>
      <c r="BQ19" s="418">
        <f t="shared" si="26"/>
        <v>64515</v>
      </c>
      <c r="BR19" s="418">
        <f>R19+AV19</f>
        <v>29370</v>
      </c>
      <c r="BS19" s="419">
        <f>S19+BH19</f>
        <v>11.983500000000001</v>
      </c>
      <c r="BT19" s="419">
        <f t="shared" ref="BT19:BU21" si="27">T19+BF19</f>
        <v>10</v>
      </c>
      <c r="BU19" s="421">
        <f t="shared" si="27"/>
        <v>1.9835</v>
      </c>
      <c r="BV19" s="420"/>
      <c r="BW19" s="415"/>
      <c r="BX19" s="415"/>
      <c r="BY19" s="415"/>
      <c r="BZ19" s="415"/>
      <c r="CA19" s="510"/>
    </row>
    <row r="20" spans="1:79" ht="14.1" customHeight="1" x14ac:dyDescent="0.2">
      <c r="A20" s="66">
        <v>3</v>
      </c>
      <c r="B20" s="63">
        <v>2442</v>
      </c>
      <c r="C20" s="64">
        <v>600079066</v>
      </c>
      <c r="D20" s="63">
        <v>72742101</v>
      </c>
      <c r="E20" s="65" t="s">
        <v>538</v>
      </c>
      <c r="F20" s="66">
        <v>3111</v>
      </c>
      <c r="G20" s="77" t="s">
        <v>291</v>
      </c>
      <c r="H20" s="67" t="s">
        <v>272</v>
      </c>
      <c r="I20" s="420">
        <v>999679</v>
      </c>
      <c r="J20" s="415">
        <v>741602</v>
      </c>
      <c r="K20" s="415">
        <v>741602</v>
      </c>
      <c r="L20" s="415">
        <v>0</v>
      </c>
      <c r="M20" s="415">
        <v>0</v>
      </c>
      <c r="N20" s="415">
        <v>0</v>
      </c>
      <c r="O20" s="415">
        <v>0</v>
      </c>
      <c r="P20" s="599">
        <v>250661</v>
      </c>
      <c r="Q20" s="599">
        <v>7416</v>
      </c>
      <c r="R20" s="415">
        <v>0</v>
      </c>
      <c r="S20" s="416">
        <v>2</v>
      </c>
      <c r="T20" s="417">
        <v>2</v>
      </c>
      <c r="U20" s="423">
        <v>0</v>
      </c>
      <c r="V20" s="424">
        <f t="shared" si="2"/>
        <v>0</v>
      </c>
      <c r="W20" s="418">
        <f t="shared" si="3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 t="shared" si="4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5"/>
        <v>0</v>
      </c>
      <c r="AM20" s="418">
        <f t="shared" si="6"/>
        <v>0</v>
      </c>
      <c r="AN20" s="418">
        <f t="shared" si="7"/>
        <v>0</v>
      </c>
      <c r="AO20" s="418">
        <f t="shared" si="8"/>
        <v>0</v>
      </c>
      <c r="AP20" s="418">
        <f t="shared" si="9"/>
        <v>0</v>
      </c>
      <c r="AQ20" s="418">
        <f t="shared" si="10"/>
        <v>0</v>
      </c>
      <c r="AR20" s="68">
        <f t="shared" si="11"/>
        <v>0</v>
      </c>
      <c r="AS20" s="68">
        <f t="shared" si="12"/>
        <v>0</v>
      </c>
      <c r="AT20" s="418">
        <v>0</v>
      </c>
      <c r="AU20" s="418">
        <v>0</v>
      </c>
      <c r="AV20" s="418">
        <f t="shared" si="13"/>
        <v>0</v>
      </c>
      <c r="AW20" s="418">
        <f t="shared" si="14"/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si="15"/>
        <v>0</v>
      </c>
      <c r="BG20" s="419">
        <f t="shared" si="16"/>
        <v>0</v>
      </c>
      <c r="BH20" s="421">
        <f t="shared" si="17"/>
        <v>0</v>
      </c>
      <c r="BI20" s="780">
        <f>I20+AW20</f>
        <v>999679</v>
      </c>
      <c r="BJ20" s="418">
        <f>J20+AF20</f>
        <v>741602</v>
      </c>
      <c r="BK20" s="418">
        <f t="shared" si="24"/>
        <v>741602</v>
      </c>
      <c r="BL20" s="418">
        <f t="shared" si="24"/>
        <v>0</v>
      </c>
      <c r="BM20" s="418">
        <f>M20+AN20</f>
        <v>0</v>
      </c>
      <c r="BN20" s="418">
        <f t="shared" si="25"/>
        <v>0</v>
      </c>
      <c r="BO20" s="418">
        <f t="shared" si="25"/>
        <v>0</v>
      </c>
      <c r="BP20" s="418">
        <f t="shared" si="26"/>
        <v>250661</v>
      </c>
      <c r="BQ20" s="418">
        <f t="shared" si="26"/>
        <v>7416</v>
      </c>
      <c r="BR20" s="418">
        <f>R20+AV20</f>
        <v>0</v>
      </c>
      <c r="BS20" s="419">
        <f>S20+BH20</f>
        <v>2</v>
      </c>
      <c r="BT20" s="419">
        <f t="shared" si="27"/>
        <v>2</v>
      </c>
      <c r="BU20" s="421">
        <f t="shared" si="27"/>
        <v>0</v>
      </c>
      <c r="BV20" s="420"/>
      <c r="BW20" s="415"/>
      <c r="BX20" s="415"/>
      <c r="BY20" s="415"/>
      <c r="BZ20" s="415"/>
      <c r="CA20" s="510"/>
    </row>
    <row r="21" spans="1:79" ht="14.1" customHeight="1" x14ac:dyDescent="0.2">
      <c r="A21" s="66">
        <v>3</v>
      </c>
      <c r="B21" s="63">
        <v>2442</v>
      </c>
      <c r="C21" s="64">
        <v>600079066</v>
      </c>
      <c r="D21" s="63">
        <v>72742101</v>
      </c>
      <c r="E21" s="65" t="s">
        <v>538</v>
      </c>
      <c r="F21" s="66">
        <v>3141</v>
      </c>
      <c r="G21" s="65" t="s">
        <v>294</v>
      </c>
      <c r="H21" s="67" t="s">
        <v>272</v>
      </c>
      <c r="I21" s="420">
        <v>794990</v>
      </c>
      <c r="J21" s="415">
        <v>586925</v>
      </c>
      <c r="K21" s="415">
        <v>0</v>
      </c>
      <c r="L21" s="750">
        <v>586925</v>
      </c>
      <c r="M21" s="415">
        <v>0</v>
      </c>
      <c r="N21" s="204">
        <v>0</v>
      </c>
      <c r="O21" s="204">
        <v>0</v>
      </c>
      <c r="P21" s="599">
        <v>198381</v>
      </c>
      <c r="Q21" s="599">
        <v>5869</v>
      </c>
      <c r="R21" s="605">
        <v>3815</v>
      </c>
      <c r="S21" s="416">
        <v>1.76</v>
      </c>
      <c r="T21" s="607">
        <v>0</v>
      </c>
      <c r="U21" s="737">
        <v>1.76</v>
      </c>
      <c r="V21" s="424">
        <f t="shared" si="2"/>
        <v>0</v>
      </c>
      <c r="W21" s="418">
        <f t="shared" si="3"/>
        <v>0</v>
      </c>
      <c r="X21" s="418">
        <v>0</v>
      </c>
      <c r="Y21" s="418">
        <v>0</v>
      </c>
      <c r="Z21" s="418">
        <v>0</v>
      </c>
      <c r="AA21" s="418">
        <v>293138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293138</v>
      </c>
      <c r="AF21" s="418">
        <f t="shared" si="4"/>
        <v>293138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5"/>
        <v>0</v>
      </c>
      <c r="AM21" s="418">
        <f t="shared" si="6"/>
        <v>0</v>
      </c>
      <c r="AN21" s="418">
        <f t="shared" si="7"/>
        <v>0</v>
      </c>
      <c r="AO21" s="418">
        <f t="shared" si="8"/>
        <v>0</v>
      </c>
      <c r="AP21" s="418">
        <f t="shared" si="9"/>
        <v>293138</v>
      </c>
      <c r="AQ21" s="418">
        <f t="shared" si="10"/>
        <v>293138</v>
      </c>
      <c r="AR21" s="68">
        <f t="shared" si="11"/>
        <v>99081</v>
      </c>
      <c r="AS21" s="68">
        <f t="shared" si="12"/>
        <v>2931</v>
      </c>
      <c r="AT21" s="418">
        <v>0</v>
      </c>
      <c r="AU21" s="418">
        <v>1853</v>
      </c>
      <c r="AV21" s="418">
        <f t="shared" si="13"/>
        <v>1853</v>
      </c>
      <c r="AW21" s="418">
        <f t="shared" si="14"/>
        <v>397003</v>
      </c>
      <c r="AX21" s="419">
        <v>0</v>
      </c>
      <c r="AY21" s="419">
        <v>0</v>
      </c>
      <c r="AZ21" s="419">
        <v>0</v>
      </c>
      <c r="BA21" s="419">
        <v>0</v>
      </c>
      <c r="BB21" s="419">
        <v>0.88</v>
      </c>
      <c r="BC21" s="419">
        <v>0</v>
      </c>
      <c r="BD21" s="419">
        <v>0</v>
      </c>
      <c r="BE21" s="419">
        <v>0</v>
      </c>
      <c r="BF21" s="419">
        <f t="shared" si="15"/>
        <v>0</v>
      </c>
      <c r="BG21" s="419">
        <f t="shared" si="16"/>
        <v>0.88</v>
      </c>
      <c r="BH21" s="421">
        <f t="shared" si="17"/>
        <v>0.88</v>
      </c>
      <c r="BI21" s="780">
        <f>I21+AW21</f>
        <v>1191993</v>
      </c>
      <c r="BJ21" s="418">
        <f>J21+AF21</f>
        <v>880063</v>
      </c>
      <c r="BK21" s="418">
        <f t="shared" si="24"/>
        <v>0</v>
      </c>
      <c r="BL21" s="418">
        <f t="shared" si="24"/>
        <v>880063</v>
      </c>
      <c r="BM21" s="418">
        <f>M21+AN21</f>
        <v>0</v>
      </c>
      <c r="BN21" s="418">
        <f t="shared" si="25"/>
        <v>0</v>
      </c>
      <c r="BO21" s="418">
        <f t="shared" si="25"/>
        <v>0</v>
      </c>
      <c r="BP21" s="418">
        <f t="shared" si="26"/>
        <v>297462</v>
      </c>
      <c r="BQ21" s="418">
        <f t="shared" si="26"/>
        <v>8800</v>
      </c>
      <c r="BR21" s="418">
        <f>R21+AV21</f>
        <v>5668</v>
      </c>
      <c r="BS21" s="419">
        <f>S21+BH21</f>
        <v>2.64</v>
      </c>
      <c r="BT21" s="419">
        <f t="shared" si="27"/>
        <v>0</v>
      </c>
      <c r="BU21" s="421">
        <f t="shared" si="27"/>
        <v>2.64</v>
      </c>
      <c r="BV21" s="420"/>
      <c r="BW21" s="415"/>
      <c r="BX21" s="415"/>
      <c r="BY21" s="415"/>
      <c r="BZ21" s="415"/>
      <c r="CA21" s="510"/>
    </row>
    <row r="22" spans="1:79" ht="14.1" customHeight="1" x14ac:dyDescent="0.2">
      <c r="A22" s="72">
        <v>3</v>
      </c>
      <c r="B22" s="69">
        <v>2442</v>
      </c>
      <c r="C22" s="70">
        <v>600079066</v>
      </c>
      <c r="D22" s="69">
        <v>72742101</v>
      </c>
      <c r="E22" s="71" t="s">
        <v>539</v>
      </c>
      <c r="F22" s="72"/>
      <c r="G22" s="71"/>
      <c r="H22" s="73"/>
      <c r="I22" s="517">
        <v>10523876</v>
      </c>
      <c r="J22" s="74">
        <v>7780030</v>
      </c>
      <c r="K22" s="74">
        <v>6610286</v>
      </c>
      <c r="L22" s="74">
        <v>1169744</v>
      </c>
      <c r="M22" s="74">
        <v>2400</v>
      </c>
      <c r="N22" s="74">
        <v>0</v>
      </c>
      <c r="O22" s="74">
        <v>2400</v>
      </c>
      <c r="P22" s="74">
        <v>2630461</v>
      </c>
      <c r="Q22" s="74">
        <v>77800</v>
      </c>
      <c r="R22" s="74">
        <v>33185</v>
      </c>
      <c r="S22" s="75">
        <v>15.743500000000001</v>
      </c>
      <c r="T22" s="75">
        <v>12</v>
      </c>
      <c r="U22" s="658">
        <v>3.7435</v>
      </c>
      <c r="V22" s="517">
        <f t="shared" ref="V22:BU22" si="28">SUM(V19:V21)</f>
        <v>0</v>
      </c>
      <c r="W22" s="74">
        <f t="shared" si="28"/>
        <v>0</v>
      </c>
      <c r="X22" s="74">
        <f t="shared" si="28"/>
        <v>0</v>
      </c>
      <c r="Y22" s="74">
        <f t="shared" si="28"/>
        <v>0</v>
      </c>
      <c r="Z22" s="74">
        <f t="shared" si="28"/>
        <v>0</v>
      </c>
      <c r="AA22" s="74">
        <f t="shared" si="28"/>
        <v>293138</v>
      </c>
      <c r="AB22" s="74">
        <f t="shared" si="28"/>
        <v>0</v>
      </c>
      <c r="AC22" s="74">
        <f t="shared" si="28"/>
        <v>0</v>
      </c>
      <c r="AD22" s="74">
        <f t="shared" si="28"/>
        <v>0</v>
      </c>
      <c r="AE22" s="74">
        <f t="shared" si="28"/>
        <v>293138</v>
      </c>
      <c r="AF22" s="74">
        <f t="shared" si="28"/>
        <v>293138</v>
      </c>
      <c r="AG22" s="74">
        <f t="shared" si="28"/>
        <v>0</v>
      </c>
      <c r="AH22" s="74">
        <f t="shared" si="28"/>
        <v>0</v>
      </c>
      <c r="AI22" s="74">
        <f t="shared" si="28"/>
        <v>0</v>
      </c>
      <c r="AJ22" s="74">
        <f t="shared" si="28"/>
        <v>0</v>
      </c>
      <c r="AK22" s="74">
        <f t="shared" si="28"/>
        <v>0</v>
      </c>
      <c r="AL22" s="74">
        <f t="shared" si="28"/>
        <v>0</v>
      </c>
      <c r="AM22" s="74">
        <f t="shared" si="28"/>
        <v>0</v>
      </c>
      <c r="AN22" s="74">
        <f t="shared" si="28"/>
        <v>0</v>
      </c>
      <c r="AO22" s="74">
        <f t="shared" si="28"/>
        <v>0</v>
      </c>
      <c r="AP22" s="74">
        <f t="shared" si="28"/>
        <v>293138</v>
      </c>
      <c r="AQ22" s="74">
        <f t="shared" si="28"/>
        <v>293138</v>
      </c>
      <c r="AR22" s="74">
        <f t="shared" si="28"/>
        <v>99081</v>
      </c>
      <c r="AS22" s="74">
        <f t="shared" si="28"/>
        <v>2931</v>
      </c>
      <c r="AT22" s="74">
        <f t="shared" si="28"/>
        <v>0</v>
      </c>
      <c r="AU22" s="74">
        <f t="shared" si="28"/>
        <v>1853</v>
      </c>
      <c r="AV22" s="74">
        <f t="shared" si="28"/>
        <v>1853</v>
      </c>
      <c r="AW22" s="74">
        <f t="shared" si="28"/>
        <v>397003</v>
      </c>
      <c r="AX22" s="75">
        <f t="shared" si="28"/>
        <v>0</v>
      </c>
      <c r="AY22" s="75">
        <f t="shared" si="28"/>
        <v>0</v>
      </c>
      <c r="AZ22" s="75">
        <f t="shared" si="28"/>
        <v>0</v>
      </c>
      <c r="BA22" s="75">
        <f t="shared" si="28"/>
        <v>0</v>
      </c>
      <c r="BB22" s="75">
        <f t="shared" si="28"/>
        <v>0.88</v>
      </c>
      <c r="BC22" s="75">
        <f t="shared" si="28"/>
        <v>0</v>
      </c>
      <c r="BD22" s="75">
        <f t="shared" si="28"/>
        <v>0</v>
      </c>
      <c r="BE22" s="75">
        <f t="shared" si="28"/>
        <v>0</v>
      </c>
      <c r="BF22" s="75">
        <f t="shared" si="28"/>
        <v>0</v>
      </c>
      <c r="BG22" s="75">
        <f t="shared" si="28"/>
        <v>0.88</v>
      </c>
      <c r="BH22" s="76">
        <f t="shared" si="28"/>
        <v>0.88</v>
      </c>
      <c r="BI22" s="799">
        <f t="shared" si="28"/>
        <v>10920879</v>
      </c>
      <c r="BJ22" s="74">
        <f t="shared" si="28"/>
        <v>8073168</v>
      </c>
      <c r="BK22" s="74">
        <f t="shared" si="28"/>
        <v>6610286</v>
      </c>
      <c r="BL22" s="74">
        <f t="shared" si="28"/>
        <v>1462882</v>
      </c>
      <c r="BM22" s="74">
        <f t="shared" si="28"/>
        <v>2400</v>
      </c>
      <c r="BN22" s="74">
        <f t="shared" si="28"/>
        <v>0</v>
      </c>
      <c r="BO22" s="74">
        <f t="shared" si="28"/>
        <v>2400</v>
      </c>
      <c r="BP22" s="74">
        <f t="shared" si="28"/>
        <v>2729542</v>
      </c>
      <c r="BQ22" s="74">
        <f t="shared" si="28"/>
        <v>80731</v>
      </c>
      <c r="BR22" s="74">
        <f t="shared" si="28"/>
        <v>35038</v>
      </c>
      <c r="BS22" s="75">
        <f t="shared" si="28"/>
        <v>16.6235</v>
      </c>
      <c r="BT22" s="75">
        <f t="shared" si="28"/>
        <v>12</v>
      </c>
      <c r="BU22" s="76">
        <f t="shared" si="28"/>
        <v>4.6234999999999999</v>
      </c>
      <c r="BV22" s="809">
        <f t="shared" ref="BV22:CA22" si="29">SUM(BV19:BV21)</f>
        <v>0</v>
      </c>
      <c r="BW22" s="684">
        <f t="shared" si="29"/>
        <v>0</v>
      </c>
      <c r="BX22" s="684">
        <f t="shared" si="29"/>
        <v>0</v>
      </c>
      <c r="BY22" s="684">
        <f t="shared" si="29"/>
        <v>0</v>
      </c>
      <c r="BZ22" s="684">
        <f t="shared" si="29"/>
        <v>0</v>
      </c>
      <c r="CA22" s="810">
        <f t="shared" si="29"/>
        <v>0</v>
      </c>
    </row>
    <row r="23" spans="1:79" ht="14.1" customHeight="1" x14ac:dyDescent="0.2">
      <c r="A23" s="66">
        <v>4</v>
      </c>
      <c r="B23" s="63">
        <v>2437</v>
      </c>
      <c r="C23" s="64">
        <v>600079074</v>
      </c>
      <c r="D23" s="63">
        <v>72743221</v>
      </c>
      <c r="E23" s="65" t="s">
        <v>540</v>
      </c>
      <c r="F23" s="66">
        <v>3111</v>
      </c>
      <c r="G23" s="65" t="s">
        <v>290</v>
      </c>
      <c r="H23" s="67" t="s">
        <v>271</v>
      </c>
      <c r="I23" s="420">
        <v>14433407</v>
      </c>
      <c r="J23" s="415">
        <v>10668879</v>
      </c>
      <c r="K23" s="415">
        <v>9763012</v>
      </c>
      <c r="L23" s="415">
        <v>905867</v>
      </c>
      <c r="M23" s="415">
        <v>0</v>
      </c>
      <c r="N23" s="415">
        <v>0</v>
      </c>
      <c r="O23" s="415">
        <v>0</v>
      </c>
      <c r="P23" s="599">
        <v>3606081</v>
      </c>
      <c r="Q23" s="599">
        <v>106688</v>
      </c>
      <c r="R23" s="415">
        <v>51759</v>
      </c>
      <c r="S23" s="416">
        <v>19.595299999999998</v>
      </c>
      <c r="T23" s="416">
        <v>16.448399999999999</v>
      </c>
      <c r="U23" s="423">
        <v>3.1469</v>
      </c>
      <c r="V23" s="424">
        <f t="shared" si="2"/>
        <v>0</v>
      </c>
      <c r="W23" s="418">
        <f t="shared" si="3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 t="shared" si="4"/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 t="shared" si="5"/>
        <v>0</v>
      </c>
      <c r="AM23" s="418">
        <f t="shared" si="6"/>
        <v>0</v>
      </c>
      <c r="AN23" s="418">
        <f t="shared" si="7"/>
        <v>0</v>
      </c>
      <c r="AO23" s="418">
        <f t="shared" si="8"/>
        <v>0</v>
      </c>
      <c r="AP23" s="418">
        <f t="shared" si="9"/>
        <v>0</v>
      </c>
      <c r="AQ23" s="418">
        <f t="shared" si="10"/>
        <v>0</v>
      </c>
      <c r="AR23" s="68">
        <f t="shared" si="11"/>
        <v>0</v>
      </c>
      <c r="AS23" s="68">
        <f t="shared" si="12"/>
        <v>0</v>
      </c>
      <c r="AT23" s="418">
        <v>0</v>
      </c>
      <c r="AU23" s="418">
        <v>0</v>
      </c>
      <c r="AV23" s="418">
        <f t="shared" si="13"/>
        <v>0</v>
      </c>
      <c r="AW23" s="418">
        <f t="shared" si="14"/>
        <v>0</v>
      </c>
      <c r="AX23" s="419">
        <v>0</v>
      </c>
      <c r="AY23" s="419">
        <v>0</v>
      </c>
      <c r="AZ23" s="419">
        <v>0</v>
      </c>
      <c r="BA23" s="419">
        <v>0</v>
      </c>
      <c r="BB23" s="419">
        <v>0</v>
      </c>
      <c r="BC23" s="419">
        <v>0</v>
      </c>
      <c r="BD23" s="419">
        <v>0</v>
      </c>
      <c r="BE23" s="419">
        <v>0</v>
      </c>
      <c r="BF23" s="419">
        <f t="shared" si="15"/>
        <v>0</v>
      </c>
      <c r="BG23" s="419">
        <f t="shared" si="16"/>
        <v>0</v>
      </c>
      <c r="BH23" s="421">
        <f t="shared" si="17"/>
        <v>0</v>
      </c>
      <c r="BI23" s="780">
        <f>I23+AW23</f>
        <v>14433407</v>
      </c>
      <c r="BJ23" s="418">
        <f>J23+AF23</f>
        <v>10668879</v>
      </c>
      <c r="BK23" s="418">
        <f t="shared" ref="BK23:BL26" si="30">K23+AD23</f>
        <v>9763012</v>
      </c>
      <c r="BL23" s="418">
        <f t="shared" si="30"/>
        <v>905867</v>
      </c>
      <c r="BM23" s="418">
        <f>M23+AN23</f>
        <v>0</v>
      </c>
      <c r="BN23" s="418">
        <f t="shared" ref="BN23:BO26" si="31">N23+AL23</f>
        <v>0</v>
      </c>
      <c r="BO23" s="418">
        <f t="shared" si="31"/>
        <v>0</v>
      </c>
      <c r="BP23" s="418">
        <f t="shared" ref="BP23:BQ26" si="32">P23+AR23</f>
        <v>3606081</v>
      </c>
      <c r="BQ23" s="418">
        <f t="shared" si="32"/>
        <v>106688</v>
      </c>
      <c r="BR23" s="418">
        <f>R23+AV23</f>
        <v>51759</v>
      </c>
      <c r="BS23" s="419">
        <f>S23+BH23</f>
        <v>19.595299999999998</v>
      </c>
      <c r="BT23" s="419">
        <f t="shared" ref="BT23:BU26" si="33">T23+BF23</f>
        <v>16.448399999999999</v>
      </c>
      <c r="BU23" s="421">
        <f t="shared" si="33"/>
        <v>3.1469</v>
      </c>
      <c r="BV23" s="420"/>
      <c r="BW23" s="415"/>
      <c r="BX23" s="415"/>
      <c r="BY23" s="415"/>
      <c r="BZ23" s="415"/>
      <c r="CA23" s="510"/>
    </row>
    <row r="24" spans="1:79" ht="14.1" customHeight="1" x14ac:dyDescent="0.2">
      <c r="A24" s="66">
        <v>4</v>
      </c>
      <c r="B24" s="63">
        <v>2437</v>
      </c>
      <c r="C24" s="64">
        <v>600079074</v>
      </c>
      <c r="D24" s="63">
        <v>72743221</v>
      </c>
      <c r="E24" s="65" t="s">
        <v>540</v>
      </c>
      <c r="F24" s="66">
        <v>3111</v>
      </c>
      <c r="G24" s="43" t="s">
        <v>292</v>
      </c>
      <c r="H24" s="67" t="s">
        <v>271</v>
      </c>
      <c r="I24" s="420">
        <v>1047882</v>
      </c>
      <c r="J24" s="415">
        <v>777360</v>
      </c>
      <c r="K24" s="415">
        <v>777360</v>
      </c>
      <c r="L24" s="415">
        <v>0</v>
      </c>
      <c r="M24" s="415">
        <v>0</v>
      </c>
      <c r="N24" s="415">
        <v>0</v>
      </c>
      <c r="O24" s="415">
        <v>0</v>
      </c>
      <c r="P24" s="599">
        <v>262748</v>
      </c>
      <c r="Q24" s="599">
        <v>7774</v>
      </c>
      <c r="R24" s="415">
        <v>0</v>
      </c>
      <c r="S24" s="416">
        <v>2</v>
      </c>
      <c r="T24" s="416">
        <v>2</v>
      </c>
      <c r="U24" s="423">
        <v>0</v>
      </c>
      <c r="V24" s="424">
        <f t="shared" si="2"/>
        <v>0</v>
      </c>
      <c r="W24" s="418">
        <f t="shared" si="3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 t="shared" si="4"/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5"/>
        <v>0</v>
      </c>
      <c r="AM24" s="418">
        <f t="shared" si="6"/>
        <v>0</v>
      </c>
      <c r="AN24" s="418">
        <f t="shared" si="7"/>
        <v>0</v>
      </c>
      <c r="AO24" s="418">
        <f t="shared" si="8"/>
        <v>0</v>
      </c>
      <c r="AP24" s="418">
        <f t="shared" si="9"/>
        <v>0</v>
      </c>
      <c r="AQ24" s="418">
        <f t="shared" si="10"/>
        <v>0</v>
      </c>
      <c r="AR24" s="68">
        <f t="shared" si="11"/>
        <v>0</v>
      </c>
      <c r="AS24" s="68">
        <f t="shared" si="12"/>
        <v>0</v>
      </c>
      <c r="AT24" s="418">
        <v>0</v>
      </c>
      <c r="AU24" s="418">
        <v>0</v>
      </c>
      <c r="AV24" s="418">
        <f t="shared" si="13"/>
        <v>0</v>
      </c>
      <c r="AW24" s="418">
        <f t="shared" si="14"/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15"/>
        <v>0</v>
      </c>
      <c r="BG24" s="419">
        <f t="shared" si="16"/>
        <v>0</v>
      </c>
      <c r="BH24" s="421">
        <f t="shared" si="17"/>
        <v>0</v>
      </c>
      <c r="BI24" s="780">
        <f>I24+AW24</f>
        <v>1047882</v>
      </c>
      <c r="BJ24" s="418">
        <f>J24+AF24</f>
        <v>777360</v>
      </c>
      <c r="BK24" s="418">
        <f t="shared" si="30"/>
        <v>777360</v>
      </c>
      <c r="BL24" s="418">
        <f t="shared" si="30"/>
        <v>0</v>
      </c>
      <c r="BM24" s="418">
        <f>M24+AN24</f>
        <v>0</v>
      </c>
      <c r="BN24" s="418">
        <f t="shared" si="31"/>
        <v>0</v>
      </c>
      <c r="BO24" s="418">
        <f t="shared" si="31"/>
        <v>0</v>
      </c>
      <c r="BP24" s="418">
        <f t="shared" si="32"/>
        <v>262748</v>
      </c>
      <c r="BQ24" s="418">
        <f t="shared" si="32"/>
        <v>7774</v>
      </c>
      <c r="BR24" s="418">
        <f>R24+AV24</f>
        <v>0</v>
      </c>
      <c r="BS24" s="419">
        <f>S24+BH24</f>
        <v>2</v>
      </c>
      <c r="BT24" s="419">
        <f t="shared" si="33"/>
        <v>2</v>
      </c>
      <c r="BU24" s="421">
        <f t="shared" si="33"/>
        <v>0</v>
      </c>
      <c r="BV24" s="420"/>
      <c r="BW24" s="415"/>
      <c r="BX24" s="415"/>
      <c r="BY24" s="415"/>
      <c r="BZ24" s="415"/>
      <c r="CA24" s="510"/>
    </row>
    <row r="25" spans="1:79" ht="14.1" customHeight="1" x14ac:dyDescent="0.2">
      <c r="A25" s="66">
        <v>4</v>
      </c>
      <c r="B25" s="63">
        <v>2437</v>
      </c>
      <c r="C25" s="64">
        <v>600079074</v>
      </c>
      <c r="D25" s="63">
        <v>72743221</v>
      </c>
      <c r="E25" s="65" t="s">
        <v>540</v>
      </c>
      <c r="F25" s="66">
        <v>3111</v>
      </c>
      <c r="G25" s="77" t="s">
        <v>291</v>
      </c>
      <c r="H25" s="67" t="s">
        <v>272</v>
      </c>
      <c r="I25" s="420">
        <v>568373</v>
      </c>
      <c r="J25" s="415">
        <v>421642</v>
      </c>
      <c r="K25" s="415">
        <v>421642</v>
      </c>
      <c r="L25" s="415">
        <v>0</v>
      </c>
      <c r="M25" s="415">
        <v>0</v>
      </c>
      <c r="N25" s="415">
        <v>0</v>
      </c>
      <c r="O25" s="415">
        <v>0</v>
      </c>
      <c r="P25" s="599">
        <v>142515</v>
      </c>
      <c r="Q25" s="599">
        <v>4216</v>
      </c>
      <c r="R25" s="415">
        <v>0</v>
      </c>
      <c r="S25" s="416">
        <v>1.1299999999999999</v>
      </c>
      <c r="T25" s="417">
        <v>1.1299999999999999</v>
      </c>
      <c r="U25" s="423">
        <v>0</v>
      </c>
      <c r="V25" s="424">
        <f t="shared" si="2"/>
        <v>0</v>
      </c>
      <c r="W25" s="418">
        <f t="shared" si="3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 t="shared" si="4"/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 t="shared" si="5"/>
        <v>0</v>
      </c>
      <c r="AM25" s="418">
        <f t="shared" si="6"/>
        <v>0</v>
      </c>
      <c r="AN25" s="418">
        <f t="shared" si="7"/>
        <v>0</v>
      </c>
      <c r="AO25" s="418">
        <f t="shared" si="8"/>
        <v>0</v>
      </c>
      <c r="AP25" s="418">
        <f t="shared" si="9"/>
        <v>0</v>
      </c>
      <c r="AQ25" s="418">
        <f t="shared" si="10"/>
        <v>0</v>
      </c>
      <c r="AR25" s="68">
        <f t="shared" si="11"/>
        <v>0</v>
      </c>
      <c r="AS25" s="68">
        <f t="shared" si="12"/>
        <v>0</v>
      </c>
      <c r="AT25" s="418">
        <v>0</v>
      </c>
      <c r="AU25" s="418">
        <v>0</v>
      </c>
      <c r="AV25" s="418">
        <f t="shared" si="13"/>
        <v>0</v>
      </c>
      <c r="AW25" s="418">
        <f t="shared" si="14"/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 t="shared" si="15"/>
        <v>0</v>
      </c>
      <c r="BG25" s="419">
        <f t="shared" si="16"/>
        <v>0</v>
      </c>
      <c r="BH25" s="421">
        <f t="shared" si="17"/>
        <v>0</v>
      </c>
      <c r="BI25" s="780">
        <f>I25+AW25</f>
        <v>568373</v>
      </c>
      <c r="BJ25" s="418">
        <f>J25+AF25</f>
        <v>421642</v>
      </c>
      <c r="BK25" s="418">
        <f t="shared" si="30"/>
        <v>421642</v>
      </c>
      <c r="BL25" s="418">
        <f t="shared" si="30"/>
        <v>0</v>
      </c>
      <c r="BM25" s="418">
        <f>M25+AN25</f>
        <v>0</v>
      </c>
      <c r="BN25" s="418">
        <f t="shared" si="31"/>
        <v>0</v>
      </c>
      <c r="BO25" s="418">
        <f t="shared" si="31"/>
        <v>0</v>
      </c>
      <c r="BP25" s="418">
        <f t="shared" si="32"/>
        <v>142515</v>
      </c>
      <c r="BQ25" s="418">
        <f t="shared" si="32"/>
        <v>4216</v>
      </c>
      <c r="BR25" s="418">
        <f>R25+AV25</f>
        <v>0</v>
      </c>
      <c r="BS25" s="419">
        <f>S25+BH25</f>
        <v>1.1299999999999999</v>
      </c>
      <c r="BT25" s="419">
        <f t="shared" si="33"/>
        <v>1.1299999999999999</v>
      </c>
      <c r="BU25" s="421">
        <f t="shared" si="33"/>
        <v>0</v>
      </c>
      <c r="BV25" s="420"/>
      <c r="BW25" s="415"/>
      <c r="BX25" s="415"/>
      <c r="BY25" s="415"/>
      <c r="BZ25" s="415"/>
      <c r="CA25" s="510"/>
    </row>
    <row r="26" spans="1:79" ht="14.1" customHeight="1" x14ac:dyDescent="0.2">
      <c r="A26" s="66">
        <v>4</v>
      </c>
      <c r="B26" s="63">
        <v>2437</v>
      </c>
      <c r="C26" s="64">
        <v>600079074</v>
      </c>
      <c r="D26" s="63">
        <v>72743221</v>
      </c>
      <c r="E26" s="65" t="s">
        <v>540</v>
      </c>
      <c r="F26" s="66">
        <v>3141</v>
      </c>
      <c r="G26" s="65" t="s">
        <v>294</v>
      </c>
      <c r="H26" s="67" t="s">
        <v>272</v>
      </c>
      <c r="I26" s="420">
        <v>1108469</v>
      </c>
      <c r="J26" s="415">
        <v>818126</v>
      </c>
      <c r="K26" s="415">
        <v>0</v>
      </c>
      <c r="L26" s="750">
        <v>818126</v>
      </c>
      <c r="M26" s="415">
        <v>0</v>
      </c>
      <c r="N26" s="204">
        <v>0</v>
      </c>
      <c r="O26" s="204">
        <v>0</v>
      </c>
      <c r="P26" s="599">
        <v>276527</v>
      </c>
      <c r="Q26" s="599">
        <v>8181</v>
      </c>
      <c r="R26" s="605">
        <v>5635</v>
      </c>
      <c r="S26" s="416">
        <v>2.4533</v>
      </c>
      <c r="T26" s="607">
        <v>0</v>
      </c>
      <c r="U26" s="737">
        <v>2.4533</v>
      </c>
      <c r="V26" s="424">
        <f t="shared" si="2"/>
        <v>0</v>
      </c>
      <c r="W26" s="418">
        <f t="shared" si="3"/>
        <v>0</v>
      </c>
      <c r="X26" s="418">
        <v>0</v>
      </c>
      <c r="Y26" s="418">
        <v>0</v>
      </c>
      <c r="Z26" s="418">
        <v>0</v>
      </c>
      <c r="AA26" s="418">
        <v>410050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410050</v>
      </c>
      <c r="AF26" s="418">
        <f t="shared" si="4"/>
        <v>410050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5"/>
        <v>0</v>
      </c>
      <c r="AM26" s="418">
        <f t="shared" si="6"/>
        <v>0</v>
      </c>
      <c r="AN26" s="418">
        <f t="shared" si="7"/>
        <v>0</v>
      </c>
      <c r="AO26" s="418">
        <f t="shared" si="8"/>
        <v>0</v>
      </c>
      <c r="AP26" s="418">
        <f t="shared" si="9"/>
        <v>410050</v>
      </c>
      <c r="AQ26" s="418">
        <f t="shared" si="10"/>
        <v>410050</v>
      </c>
      <c r="AR26" s="68">
        <f t="shared" si="11"/>
        <v>138597</v>
      </c>
      <c r="AS26" s="68">
        <f t="shared" si="12"/>
        <v>4101</v>
      </c>
      <c r="AT26" s="418">
        <v>0</v>
      </c>
      <c r="AU26" s="418">
        <v>2737</v>
      </c>
      <c r="AV26" s="418">
        <f t="shared" si="13"/>
        <v>2737</v>
      </c>
      <c r="AW26" s="418">
        <f t="shared" si="14"/>
        <v>555485</v>
      </c>
      <c r="AX26" s="419">
        <v>0</v>
      </c>
      <c r="AY26" s="419">
        <v>0</v>
      </c>
      <c r="AZ26" s="419">
        <v>0</v>
      </c>
      <c r="BA26" s="419">
        <v>0</v>
      </c>
      <c r="BB26" s="419">
        <v>1.23</v>
      </c>
      <c r="BC26" s="419">
        <v>0</v>
      </c>
      <c r="BD26" s="419">
        <v>0</v>
      </c>
      <c r="BE26" s="419">
        <v>0</v>
      </c>
      <c r="BF26" s="419">
        <f t="shared" si="15"/>
        <v>0</v>
      </c>
      <c r="BG26" s="419">
        <f t="shared" si="16"/>
        <v>1.23</v>
      </c>
      <c r="BH26" s="421">
        <f t="shared" si="17"/>
        <v>1.23</v>
      </c>
      <c r="BI26" s="780">
        <f>I26+AW26</f>
        <v>1663954</v>
      </c>
      <c r="BJ26" s="418">
        <f>J26+AF26</f>
        <v>1228176</v>
      </c>
      <c r="BK26" s="418">
        <f t="shared" si="30"/>
        <v>0</v>
      </c>
      <c r="BL26" s="418">
        <f t="shared" si="30"/>
        <v>1228176</v>
      </c>
      <c r="BM26" s="418">
        <f>M26+AN26</f>
        <v>0</v>
      </c>
      <c r="BN26" s="418">
        <f t="shared" si="31"/>
        <v>0</v>
      </c>
      <c r="BO26" s="418">
        <f t="shared" si="31"/>
        <v>0</v>
      </c>
      <c r="BP26" s="418">
        <f t="shared" si="32"/>
        <v>415124</v>
      </c>
      <c r="BQ26" s="418">
        <f t="shared" si="32"/>
        <v>12282</v>
      </c>
      <c r="BR26" s="418">
        <f>R26+AV26</f>
        <v>8372</v>
      </c>
      <c r="BS26" s="419">
        <f>S26+BH26</f>
        <v>3.6833</v>
      </c>
      <c r="BT26" s="419">
        <f t="shared" si="33"/>
        <v>0</v>
      </c>
      <c r="BU26" s="421">
        <f t="shared" si="33"/>
        <v>3.6833</v>
      </c>
      <c r="BV26" s="420"/>
      <c r="BW26" s="415"/>
      <c r="BX26" s="415"/>
      <c r="BY26" s="415"/>
      <c r="BZ26" s="415"/>
      <c r="CA26" s="510"/>
    </row>
    <row r="27" spans="1:79" ht="14.1" customHeight="1" x14ac:dyDescent="0.2">
      <c r="A27" s="72">
        <v>4</v>
      </c>
      <c r="B27" s="69">
        <v>2437</v>
      </c>
      <c r="C27" s="70">
        <v>600079074</v>
      </c>
      <c r="D27" s="69">
        <v>72743221</v>
      </c>
      <c r="E27" s="71" t="s">
        <v>541</v>
      </c>
      <c r="F27" s="72"/>
      <c r="G27" s="71"/>
      <c r="H27" s="73"/>
      <c r="I27" s="517">
        <v>17158131</v>
      </c>
      <c r="J27" s="74">
        <v>12686007</v>
      </c>
      <c r="K27" s="74">
        <v>10962014</v>
      </c>
      <c r="L27" s="74">
        <v>1723993</v>
      </c>
      <c r="M27" s="74">
        <v>0</v>
      </c>
      <c r="N27" s="74">
        <v>0</v>
      </c>
      <c r="O27" s="74">
        <v>0</v>
      </c>
      <c r="P27" s="74">
        <v>4287871</v>
      </c>
      <c r="Q27" s="74">
        <v>126859</v>
      </c>
      <c r="R27" s="74">
        <v>57394</v>
      </c>
      <c r="S27" s="75">
        <v>25.178599999999996</v>
      </c>
      <c r="T27" s="75">
        <v>19.578399999999998</v>
      </c>
      <c r="U27" s="658">
        <v>5.6002000000000001</v>
      </c>
      <c r="V27" s="517">
        <f t="shared" ref="V27:BU27" si="34">SUM(V23:V26)</f>
        <v>0</v>
      </c>
      <c r="W27" s="74">
        <f t="shared" si="34"/>
        <v>0</v>
      </c>
      <c r="X27" s="74">
        <f t="shared" si="34"/>
        <v>0</v>
      </c>
      <c r="Y27" s="74">
        <f t="shared" si="34"/>
        <v>0</v>
      </c>
      <c r="Z27" s="74">
        <f t="shared" si="34"/>
        <v>0</v>
      </c>
      <c r="AA27" s="74">
        <f t="shared" si="34"/>
        <v>410050</v>
      </c>
      <c r="AB27" s="74">
        <f t="shared" si="34"/>
        <v>0</v>
      </c>
      <c r="AC27" s="74">
        <f t="shared" si="34"/>
        <v>0</v>
      </c>
      <c r="AD27" s="74">
        <f t="shared" si="34"/>
        <v>0</v>
      </c>
      <c r="AE27" s="74">
        <f t="shared" si="34"/>
        <v>410050</v>
      </c>
      <c r="AF27" s="74">
        <f t="shared" si="34"/>
        <v>410050</v>
      </c>
      <c r="AG27" s="74">
        <f t="shared" si="34"/>
        <v>0</v>
      </c>
      <c r="AH27" s="74">
        <f t="shared" si="34"/>
        <v>0</v>
      </c>
      <c r="AI27" s="74">
        <f t="shared" si="34"/>
        <v>0</v>
      </c>
      <c r="AJ27" s="74">
        <f t="shared" si="34"/>
        <v>0</v>
      </c>
      <c r="AK27" s="74">
        <f t="shared" si="34"/>
        <v>0</v>
      </c>
      <c r="AL27" s="74">
        <f t="shared" si="34"/>
        <v>0</v>
      </c>
      <c r="AM27" s="74">
        <f t="shared" si="34"/>
        <v>0</v>
      </c>
      <c r="AN27" s="74">
        <f t="shared" si="34"/>
        <v>0</v>
      </c>
      <c r="AO27" s="74">
        <f t="shared" si="34"/>
        <v>0</v>
      </c>
      <c r="AP27" s="74">
        <f t="shared" si="34"/>
        <v>410050</v>
      </c>
      <c r="AQ27" s="74">
        <f t="shared" si="34"/>
        <v>410050</v>
      </c>
      <c r="AR27" s="74">
        <f t="shared" si="34"/>
        <v>138597</v>
      </c>
      <c r="AS27" s="74">
        <f t="shared" si="34"/>
        <v>4101</v>
      </c>
      <c r="AT27" s="74">
        <f t="shared" si="34"/>
        <v>0</v>
      </c>
      <c r="AU27" s="74">
        <f t="shared" si="34"/>
        <v>2737</v>
      </c>
      <c r="AV27" s="74">
        <f t="shared" si="34"/>
        <v>2737</v>
      </c>
      <c r="AW27" s="74">
        <f t="shared" si="34"/>
        <v>555485</v>
      </c>
      <c r="AX27" s="75">
        <f t="shared" si="34"/>
        <v>0</v>
      </c>
      <c r="AY27" s="75">
        <f t="shared" si="34"/>
        <v>0</v>
      </c>
      <c r="AZ27" s="75">
        <f t="shared" si="34"/>
        <v>0</v>
      </c>
      <c r="BA27" s="75">
        <f t="shared" si="34"/>
        <v>0</v>
      </c>
      <c r="BB27" s="75">
        <f t="shared" si="34"/>
        <v>1.23</v>
      </c>
      <c r="BC27" s="75">
        <f t="shared" si="34"/>
        <v>0</v>
      </c>
      <c r="BD27" s="75">
        <f t="shared" si="34"/>
        <v>0</v>
      </c>
      <c r="BE27" s="75">
        <f t="shared" si="34"/>
        <v>0</v>
      </c>
      <c r="BF27" s="75">
        <f t="shared" si="34"/>
        <v>0</v>
      </c>
      <c r="BG27" s="75">
        <f t="shared" si="34"/>
        <v>1.23</v>
      </c>
      <c r="BH27" s="76">
        <f t="shared" si="34"/>
        <v>1.23</v>
      </c>
      <c r="BI27" s="799">
        <f t="shared" si="34"/>
        <v>17713616</v>
      </c>
      <c r="BJ27" s="74">
        <f t="shared" si="34"/>
        <v>13096057</v>
      </c>
      <c r="BK27" s="74">
        <f t="shared" si="34"/>
        <v>10962014</v>
      </c>
      <c r="BL27" s="74">
        <f t="shared" si="34"/>
        <v>2134043</v>
      </c>
      <c r="BM27" s="74">
        <f t="shared" si="34"/>
        <v>0</v>
      </c>
      <c r="BN27" s="74">
        <f t="shared" si="34"/>
        <v>0</v>
      </c>
      <c r="BO27" s="74">
        <f t="shared" si="34"/>
        <v>0</v>
      </c>
      <c r="BP27" s="74">
        <f t="shared" si="34"/>
        <v>4426468</v>
      </c>
      <c r="BQ27" s="74">
        <f t="shared" si="34"/>
        <v>130960</v>
      </c>
      <c r="BR27" s="74">
        <f t="shared" si="34"/>
        <v>60131</v>
      </c>
      <c r="BS27" s="75">
        <f t="shared" si="34"/>
        <v>26.408599999999996</v>
      </c>
      <c r="BT27" s="75">
        <f t="shared" si="34"/>
        <v>19.578399999999998</v>
      </c>
      <c r="BU27" s="76">
        <f t="shared" si="34"/>
        <v>6.8301999999999996</v>
      </c>
      <c r="BV27" s="809">
        <f t="shared" ref="BV27:CA27" si="35">SUM(BV23:BV26)</f>
        <v>0</v>
      </c>
      <c r="BW27" s="684">
        <f t="shared" si="35"/>
        <v>0</v>
      </c>
      <c r="BX27" s="684">
        <f t="shared" si="35"/>
        <v>0</v>
      </c>
      <c r="BY27" s="684">
        <f t="shared" si="35"/>
        <v>0</v>
      </c>
      <c r="BZ27" s="684">
        <f t="shared" si="35"/>
        <v>0</v>
      </c>
      <c r="CA27" s="810">
        <f t="shared" si="35"/>
        <v>0</v>
      </c>
    </row>
    <row r="28" spans="1:79" ht="14.1" customHeight="1" x14ac:dyDescent="0.2">
      <c r="A28" s="66">
        <v>5</v>
      </c>
      <c r="B28" s="63">
        <v>2411</v>
      </c>
      <c r="C28" s="64">
        <v>600079554</v>
      </c>
      <c r="D28" s="63">
        <v>72742666</v>
      </c>
      <c r="E28" s="65" t="s">
        <v>542</v>
      </c>
      <c r="F28" s="66">
        <v>3111</v>
      </c>
      <c r="G28" s="65" t="s">
        <v>290</v>
      </c>
      <c r="H28" s="67" t="s">
        <v>271</v>
      </c>
      <c r="I28" s="420">
        <v>7462480</v>
      </c>
      <c r="J28" s="415">
        <v>5518138</v>
      </c>
      <c r="K28" s="415">
        <v>5047936</v>
      </c>
      <c r="L28" s="415">
        <v>470202</v>
      </c>
      <c r="M28" s="415">
        <v>0</v>
      </c>
      <c r="N28" s="415">
        <v>0</v>
      </c>
      <c r="O28" s="415">
        <v>0</v>
      </c>
      <c r="P28" s="599">
        <v>1865131</v>
      </c>
      <c r="Q28" s="599">
        <v>55181</v>
      </c>
      <c r="R28" s="415">
        <v>24030</v>
      </c>
      <c r="S28" s="416">
        <v>10.019399999999999</v>
      </c>
      <c r="T28" s="416">
        <v>8.4192999999999998</v>
      </c>
      <c r="U28" s="423">
        <v>1.6000999999999999</v>
      </c>
      <c r="V28" s="424">
        <f t="shared" si="2"/>
        <v>0</v>
      </c>
      <c r="W28" s="418">
        <f t="shared" si="3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 t="shared" si="4"/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5"/>
        <v>0</v>
      </c>
      <c r="AM28" s="418">
        <f t="shared" si="6"/>
        <v>0</v>
      </c>
      <c r="AN28" s="418">
        <f t="shared" si="7"/>
        <v>0</v>
      </c>
      <c r="AO28" s="418">
        <f t="shared" si="8"/>
        <v>0</v>
      </c>
      <c r="AP28" s="418">
        <f t="shared" si="9"/>
        <v>0</v>
      </c>
      <c r="AQ28" s="418">
        <f t="shared" si="10"/>
        <v>0</v>
      </c>
      <c r="AR28" s="68">
        <f t="shared" si="11"/>
        <v>0</v>
      </c>
      <c r="AS28" s="68">
        <f t="shared" si="12"/>
        <v>0</v>
      </c>
      <c r="AT28" s="418">
        <v>0</v>
      </c>
      <c r="AU28" s="418">
        <v>0</v>
      </c>
      <c r="AV28" s="418">
        <f t="shared" si="13"/>
        <v>0</v>
      </c>
      <c r="AW28" s="418">
        <f t="shared" si="14"/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15"/>
        <v>0</v>
      </c>
      <c r="BG28" s="419">
        <f t="shared" si="16"/>
        <v>0</v>
      </c>
      <c r="BH28" s="421">
        <f t="shared" si="17"/>
        <v>0</v>
      </c>
      <c r="BI28" s="780">
        <f>I28+AW28</f>
        <v>7462480</v>
      </c>
      <c r="BJ28" s="418">
        <f>J28+AF28</f>
        <v>5518138</v>
      </c>
      <c r="BK28" s="418">
        <f t="shared" ref="BK28:BL30" si="36">K28+AD28</f>
        <v>5047936</v>
      </c>
      <c r="BL28" s="418">
        <f t="shared" si="36"/>
        <v>470202</v>
      </c>
      <c r="BM28" s="418">
        <f>M28+AN28</f>
        <v>0</v>
      </c>
      <c r="BN28" s="418">
        <f t="shared" ref="BN28:BO30" si="37">N28+AL28</f>
        <v>0</v>
      </c>
      <c r="BO28" s="418">
        <f t="shared" si="37"/>
        <v>0</v>
      </c>
      <c r="BP28" s="418">
        <f t="shared" ref="BP28:BQ30" si="38">P28+AR28</f>
        <v>1865131</v>
      </c>
      <c r="BQ28" s="418">
        <f t="shared" si="38"/>
        <v>55181</v>
      </c>
      <c r="BR28" s="418">
        <f>R28+AV28</f>
        <v>24030</v>
      </c>
      <c r="BS28" s="419">
        <f>S28+BH28</f>
        <v>10.019399999999999</v>
      </c>
      <c r="BT28" s="419">
        <f t="shared" ref="BT28:BU30" si="39">T28+BF28</f>
        <v>8.4192999999999998</v>
      </c>
      <c r="BU28" s="421">
        <f t="shared" si="39"/>
        <v>1.6000999999999999</v>
      </c>
      <c r="BV28" s="420"/>
      <c r="BW28" s="415"/>
      <c r="BX28" s="415"/>
      <c r="BY28" s="415"/>
      <c r="BZ28" s="415"/>
      <c r="CA28" s="510"/>
    </row>
    <row r="29" spans="1:79" ht="14.1" customHeight="1" x14ac:dyDescent="0.2">
      <c r="A29" s="66">
        <v>5</v>
      </c>
      <c r="B29" s="63">
        <v>2411</v>
      </c>
      <c r="C29" s="64">
        <v>600079554</v>
      </c>
      <c r="D29" s="63">
        <v>72742666</v>
      </c>
      <c r="E29" s="65" t="s">
        <v>542</v>
      </c>
      <c r="F29" s="66">
        <v>3111</v>
      </c>
      <c r="G29" s="65" t="s">
        <v>291</v>
      </c>
      <c r="H29" s="67" t="s">
        <v>272</v>
      </c>
      <c r="I29" s="420">
        <v>249921</v>
      </c>
      <c r="J29" s="415">
        <v>185401</v>
      </c>
      <c r="K29" s="415">
        <v>185401</v>
      </c>
      <c r="L29" s="415">
        <v>0</v>
      </c>
      <c r="M29" s="415">
        <v>0</v>
      </c>
      <c r="N29" s="415">
        <v>0</v>
      </c>
      <c r="O29" s="415">
        <v>0</v>
      </c>
      <c r="P29" s="599">
        <v>62666</v>
      </c>
      <c r="Q29" s="599">
        <v>1854</v>
      </c>
      <c r="R29" s="415">
        <v>0</v>
      </c>
      <c r="S29" s="416">
        <v>0.5</v>
      </c>
      <c r="T29" s="417">
        <v>0.5</v>
      </c>
      <c r="U29" s="423">
        <v>0</v>
      </c>
      <c r="V29" s="424">
        <f t="shared" si="2"/>
        <v>0</v>
      </c>
      <c r="W29" s="418">
        <f t="shared" si="3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 t="shared" si="4"/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5"/>
        <v>0</v>
      </c>
      <c r="AM29" s="418">
        <f t="shared" si="6"/>
        <v>0</v>
      </c>
      <c r="AN29" s="418">
        <f t="shared" si="7"/>
        <v>0</v>
      </c>
      <c r="AO29" s="418">
        <f t="shared" si="8"/>
        <v>0</v>
      </c>
      <c r="AP29" s="418">
        <f t="shared" si="9"/>
        <v>0</v>
      </c>
      <c r="AQ29" s="418">
        <f t="shared" si="10"/>
        <v>0</v>
      </c>
      <c r="AR29" s="68">
        <f t="shared" si="11"/>
        <v>0</v>
      </c>
      <c r="AS29" s="68">
        <f t="shared" si="12"/>
        <v>0</v>
      </c>
      <c r="AT29" s="418">
        <v>3000</v>
      </c>
      <c r="AU29" s="418">
        <v>0</v>
      </c>
      <c r="AV29" s="418">
        <f t="shared" si="13"/>
        <v>3000</v>
      </c>
      <c r="AW29" s="418">
        <f t="shared" si="14"/>
        <v>3000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si="15"/>
        <v>0</v>
      </c>
      <c r="BG29" s="419">
        <f t="shared" si="16"/>
        <v>0</v>
      </c>
      <c r="BH29" s="421">
        <f t="shared" si="17"/>
        <v>0</v>
      </c>
      <c r="BI29" s="780">
        <f>I29+AW29</f>
        <v>252921</v>
      </c>
      <c r="BJ29" s="418">
        <f>J29+AF29</f>
        <v>185401</v>
      </c>
      <c r="BK29" s="418">
        <f t="shared" si="36"/>
        <v>185401</v>
      </c>
      <c r="BL29" s="418">
        <f t="shared" si="36"/>
        <v>0</v>
      </c>
      <c r="BM29" s="418">
        <f>M29+AN29</f>
        <v>0</v>
      </c>
      <c r="BN29" s="418">
        <f t="shared" si="37"/>
        <v>0</v>
      </c>
      <c r="BO29" s="418">
        <f t="shared" si="37"/>
        <v>0</v>
      </c>
      <c r="BP29" s="418">
        <f t="shared" si="38"/>
        <v>62666</v>
      </c>
      <c r="BQ29" s="418">
        <f t="shared" si="38"/>
        <v>1854</v>
      </c>
      <c r="BR29" s="418">
        <f>R29+AV29</f>
        <v>3000</v>
      </c>
      <c r="BS29" s="419">
        <f>S29+BH29</f>
        <v>0.5</v>
      </c>
      <c r="BT29" s="419">
        <f t="shared" si="39"/>
        <v>0.5</v>
      </c>
      <c r="BU29" s="421">
        <f t="shared" si="39"/>
        <v>0</v>
      </c>
      <c r="BV29" s="420"/>
      <c r="BW29" s="415"/>
      <c r="BX29" s="415"/>
      <c r="BY29" s="415"/>
      <c r="BZ29" s="415"/>
      <c r="CA29" s="510"/>
    </row>
    <row r="30" spans="1:79" ht="14.1" customHeight="1" x14ac:dyDescent="0.2">
      <c r="A30" s="66">
        <v>5</v>
      </c>
      <c r="B30" s="63">
        <v>2411</v>
      </c>
      <c r="C30" s="64">
        <v>600079554</v>
      </c>
      <c r="D30" s="63">
        <v>72742666</v>
      </c>
      <c r="E30" s="65" t="s">
        <v>542</v>
      </c>
      <c r="F30" s="66">
        <v>3141</v>
      </c>
      <c r="G30" s="65" t="s">
        <v>294</v>
      </c>
      <c r="H30" s="67" t="s">
        <v>272</v>
      </c>
      <c r="I30" s="420">
        <v>698475</v>
      </c>
      <c r="J30" s="415">
        <v>515794</v>
      </c>
      <c r="K30" s="415">
        <v>0</v>
      </c>
      <c r="L30" s="750">
        <v>515794</v>
      </c>
      <c r="M30" s="415">
        <v>0</v>
      </c>
      <c r="N30" s="204">
        <v>0</v>
      </c>
      <c r="O30" s="204">
        <v>0</v>
      </c>
      <c r="P30" s="599">
        <v>174338</v>
      </c>
      <c r="Q30" s="599">
        <v>5158</v>
      </c>
      <c r="R30" s="605">
        <v>3185</v>
      </c>
      <c r="S30" s="416">
        <v>1.5467</v>
      </c>
      <c r="T30" s="607">
        <v>0</v>
      </c>
      <c r="U30" s="737">
        <v>1.5467</v>
      </c>
      <c r="V30" s="424">
        <f t="shared" si="2"/>
        <v>0</v>
      </c>
      <c r="W30" s="418">
        <f t="shared" si="3"/>
        <v>0</v>
      </c>
      <c r="X30" s="418">
        <v>0</v>
      </c>
      <c r="Y30" s="418">
        <v>0</v>
      </c>
      <c r="Z30" s="418">
        <v>0</v>
      </c>
      <c r="AA30" s="418">
        <v>256526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256526</v>
      </c>
      <c r="AF30" s="418">
        <f t="shared" si="4"/>
        <v>256526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5"/>
        <v>0</v>
      </c>
      <c r="AM30" s="418">
        <f t="shared" si="6"/>
        <v>0</v>
      </c>
      <c r="AN30" s="418">
        <f t="shared" si="7"/>
        <v>0</v>
      </c>
      <c r="AO30" s="418">
        <f t="shared" si="8"/>
        <v>0</v>
      </c>
      <c r="AP30" s="418">
        <f t="shared" si="9"/>
        <v>256526</v>
      </c>
      <c r="AQ30" s="418">
        <f t="shared" si="10"/>
        <v>256526</v>
      </c>
      <c r="AR30" s="68">
        <f t="shared" si="11"/>
        <v>86706</v>
      </c>
      <c r="AS30" s="68">
        <f t="shared" si="12"/>
        <v>2565</v>
      </c>
      <c r="AT30" s="418">
        <v>0</v>
      </c>
      <c r="AU30" s="418">
        <v>1547</v>
      </c>
      <c r="AV30" s="418">
        <f t="shared" si="13"/>
        <v>1547</v>
      </c>
      <c r="AW30" s="418">
        <f t="shared" si="14"/>
        <v>347344</v>
      </c>
      <c r="AX30" s="419">
        <v>0</v>
      </c>
      <c r="AY30" s="419">
        <v>0</v>
      </c>
      <c r="AZ30" s="419">
        <v>0</v>
      </c>
      <c r="BA30" s="419">
        <v>0</v>
      </c>
      <c r="BB30" s="419">
        <v>0.77</v>
      </c>
      <c r="BC30" s="419">
        <v>0</v>
      </c>
      <c r="BD30" s="419">
        <v>0</v>
      </c>
      <c r="BE30" s="419">
        <v>0</v>
      </c>
      <c r="BF30" s="419">
        <f t="shared" si="15"/>
        <v>0</v>
      </c>
      <c r="BG30" s="419">
        <f t="shared" si="16"/>
        <v>0.77</v>
      </c>
      <c r="BH30" s="421">
        <f t="shared" si="17"/>
        <v>0.77</v>
      </c>
      <c r="BI30" s="780">
        <f>I30+AW30</f>
        <v>1045819</v>
      </c>
      <c r="BJ30" s="418">
        <f>J30+AF30</f>
        <v>772320</v>
      </c>
      <c r="BK30" s="418">
        <f t="shared" si="36"/>
        <v>0</v>
      </c>
      <c r="BL30" s="418">
        <f t="shared" si="36"/>
        <v>772320</v>
      </c>
      <c r="BM30" s="418">
        <f>M30+AN30</f>
        <v>0</v>
      </c>
      <c r="BN30" s="418">
        <f t="shared" si="37"/>
        <v>0</v>
      </c>
      <c r="BO30" s="418">
        <f t="shared" si="37"/>
        <v>0</v>
      </c>
      <c r="BP30" s="418">
        <f t="shared" si="38"/>
        <v>261044</v>
      </c>
      <c r="BQ30" s="418">
        <f t="shared" si="38"/>
        <v>7723</v>
      </c>
      <c r="BR30" s="418">
        <f>R30+AV30</f>
        <v>4732</v>
      </c>
      <c r="BS30" s="419">
        <f>S30+BH30</f>
        <v>2.3167</v>
      </c>
      <c r="BT30" s="419">
        <f t="shared" si="39"/>
        <v>0</v>
      </c>
      <c r="BU30" s="421">
        <f t="shared" si="39"/>
        <v>2.3167</v>
      </c>
      <c r="BV30" s="420"/>
      <c r="BW30" s="415"/>
      <c r="BX30" s="415"/>
      <c r="BY30" s="415"/>
      <c r="BZ30" s="415"/>
      <c r="CA30" s="510"/>
    </row>
    <row r="31" spans="1:79" ht="14.1" customHeight="1" x14ac:dyDescent="0.2">
      <c r="A31" s="72">
        <v>5</v>
      </c>
      <c r="B31" s="69">
        <v>2411</v>
      </c>
      <c r="C31" s="70">
        <v>600079554</v>
      </c>
      <c r="D31" s="69">
        <v>72742666</v>
      </c>
      <c r="E31" s="71" t="s">
        <v>543</v>
      </c>
      <c r="F31" s="72"/>
      <c r="G31" s="71"/>
      <c r="H31" s="73"/>
      <c r="I31" s="517">
        <v>8410876</v>
      </c>
      <c r="J31" s="74">
        <v>6219333</v>
      </c>
      <c r="K31" s="74">
        <v>5233337</v>
      </c>
      <c r="L31" s="74">
        <v>985996</v>
      </c>
      <c r="M31" s="74">
        <v>0</v>
      </c>
      <c r="N31" s="74">
        <v>0</v>
      </c>
      <c r="O31" s="74">
        <v>0</v>
      </c>
      <c r="P31" s="74">
        <v>2102135</v>
      </c>
      <c r="Q31" s="74">
        <v>62193</v>
      </c>
      <c r="R31" s="74">
        <v>27215</v>
      </c>
      <c r="S31" s="75">
        <v>12.066099999999999</v>
      </c>
      <c r="T31" s="75">
        <v>8.9192999999999998</v>
      </c>
      <c r="U31" s="658">
        <v>3.1467999999999998</v>
      </c>
      <c r="V31" s="517">
        <f t="shared" ref="V31:BU31" si="40">SUM(V28:V30)</f>
        <v>0</v>
      </c>
      <c r="W31" s="74">
        <f t="shared" si="40"/>
        <v>0</v>
      </c>
      <c r="X31" s="74">
        <f t="shared" si="40"/>
        <v>0</v>
      </c>
      <c r="Y31" s="74">
        <f t="shared" si="40"/>
        <v>0</v>
      </c>
      <c r="Z31" s="74">
        <f t="shared" si="40"/>
        <v>0</v>
      </c>
      <c r="AA31" s="74">
        <f t="shared" si="40"/>
        <v>256526</v>
      </c>
      <c r="AB31" s="74">
        <f t="shared" si="40"/>
        <v>0</v>
      </c>
      <c r="AC31" s="74">
        <f t="shared" si="40"/>
        <v>0</v>
      </c>
      <c r="AD31" s="74">
        <f t="shared" si="40"/>
        <v>0</v>
      </c>
      <c r="AE31" s="74">
        <f t="shared" si="40"/>
        <v>256526</v>
      </c>
      <c r="AF31" s="74">
        <f t="shared" si="40"/>
        <v>256526</v>
      </c>
      <c r="AG31" s="74">
        <f t="shared" si="40"/>
        <v>0</v>
      </c>
      <c r="AH31" s="74">
        <f t="shared" si="40"/>
        <v>0</v>
      </c>
      <c r="AI31" s="74">
        <f t="shared" si="40"/>
        <v>0</v>
      </c>
      <c r="AJ31" s="74">
        <f t="shared" si="40"/>
        <v>0</v>
      </c>
      <c r="AK31" s="74">
        <f t="shared" si="40"/>
        <v>0</v>
      </c>
      <c r="AL31" s="74">
        <f t="shared" si="40"/>
        <v>0</v>
      </c>
      <c r="AM31" s="74">
        <f t="shared" si="40"/>
        <v>0</v>
      </c>
      <c r="AN31" s="74">
        <f t="shared" si="40"/>
        <v>0</v>
      </c>
      <c r="AO31" s="74">
        <f t="shared" si="40"/>
        <v>0</v>
      </c>
      <c r="AP31" s="74">
        <f t="shared" si="40"/>
        <v>256526</v>
      </c>
      <c r="AQ31" s="74">
        <f t="shared" si="40"/>
        <v>256526</v>
      </c>
      <c r="AR31" s="74">
        <f t="shared" si="40"/>
        <v>86706</v>
      </c>
      <c r="AS31" s="74">
        <f t="shared" si="40"/>
        <v>2565</v>
      </c>
      <c r="AT31" s="74">
        <f t="shared" si="40"/>
        <v>3000</v>
      </c>
      <c r="AU31" s="74">
        <f t="shared" si="40"/>
        <v>1547</v>
      </c>
      <c r="AV31" s="74">
        <f t="shared" si="40"/>
        <v>4547</v>
      </c>
      <c r="AW31" s="74">
        <f t="shared" si="40"/>
        <v>350344</v>
      </c>
      <c r="AX31" s="75">
        <f t="shared" si="40"/>
        <v>0</v>
      </c>
      <c r="AY31" s="75">
        <f t="shared" si="40"/>
        <v>0</v>
      </c>
      <c r="AZ31" s="75">
        <f t="shared" si="40"/>
        <v>0</v>
      </c>
      <c r="BA31" s="75">
        <f t="shared" si="40"/>
        <v>0</v>
      </c>
      <c r="BB31" s="75">
        <f t="shared" si="40"/>
        <v>0.77</v>
      </c>
      <c r="BC31" s="75">
        <f t="shared" si="40"/>
        <v>0</v>
      </c>
      <c r="BD31" s="75">
        <f t="shared" si="40"/>
        <v>0</v>
      </c>
      <c r="BE31" s="75">
        <f t="shared" si="40"/>
        <v>0</v>
      </c>
      <c r="BF31" s="75">
        <f t="shared" si="40"/>
        <v>0</v>
      </c>
      <c r="BG31" s="75">
        <f t="shared" si="40"/>
        <v>0.77</v>
      </c>
      <c r="BH31" s="76">
        <f t="shared" si="40"/>
        <v>0.77</v>
      </c>
      <c r="BI31" s="799">
        <f t="shared" si="40"/>
        <v>8761220</v>
      </c>
      <c r="BJ31" s="74">
        <f t="shared" si="40"/>
        <v>6475859</v>
      </c>
      <c r="BK31" s="74">
        <f t="shared" si="40"/>
        <v>5233337</v>
      </c>
      <c r="BL31" s="74">
        <f t="shared" si="40"/>
        <v>1242522</v>
      </c>
      <c r="BM31" s="74">
        <f t="shared" si="40"/>
        <v>0</v>
      </c>
      <c r="BN31" s="74">
        <f t="shared" si="40"/>
        <v>0</v>
      </c>
      <c r="BO31" s="74">
        <f t="shared" si="40"/>
        <v>0</v>
      </c>
      <c r="BP31" s="74">
        <f t="shared" si="40"/>
        <v>2188841</v>
      </c>
      <c r="BQ31" s="74">
        <f t="shared" si="40"/>
        <v>64758</v>
      </c>
      <c r="BR31" s="74">
        <f t="shared" si="40"/>
        <v>31762</v>
      </c>
      <c r="BS31" s="75">
        <f t="shared" si="40"/>
        <v>12.836099999999998</v>
      </c>
      <c r="BT31" s="75">
        <f t="shared" si="40"/>
        <v>8.9192999999999998</v>
      </c>
      <c r="BU31" s="76">
        <f t="shared" si="40"/>
        <v>3.9167999999999998</v>
      </c>
      <c r="BV31" s="809">
        <f t="shared" ref="BV31:CA31" si="41">SUM(BV28:BV30)</f>
        <v>0</v>
      </c>
      <c r="BW31" s="684">
        <f t="shared" si="41"/>
        <v>0</v>
      </c>
      <c r="BX31" s="684">
        <f t="shared" si="41"/>
        <v>0</v>
      </c>
      <c r="BY31" s="684">
        <f t="shared" si="41"/>
        <v>0</v>
      </c>
      <c r="BZ31" s="684">
        <f t="shared" si="41"/>
        <v>0</v>
      </c>
      <c r="CA31" s="810">
        <f t="shared" si="41"/>
        <v>0</v>
      </c>
    </row>
    <row r="32" spans="1:79" ht="14.1" customHeight="1" x14ac:dyDescent="0.2">
      <c r="A32" s="66">
        <v>6</v>
      </c>
      <c r="B32" s="63">
        <v>2407</v>
      </c>
      <c r="C32" s="64">
        <v>600079520</v>
      </c>
      <c r="D32" s="63">
        <v>72741465</v>
      </c>
      <c r="E32" s="65" t="s">
        <v>544</v>
      </c>
      <c r="F32" s="66">
        <v>3111</v>
      </c>
      <c r="G32" s="65" t="s">
        <v>290</v>
      </c>
      <c r="H32" s="67" t="s">
        <v>271</v>
      </c>
      <c r="I32" s="420">
        <v>14746643</v>
      </c>
      <c r="J32" s="415">
        <v>10902758</v>
      </c>
      <c r="K32" s="415">
        <v>10023499</v>
      </c>
      <c r="L32" s="415">
        <v>879259</v>
      </c>
      <c r="M32" s="415">
        <v>0</v>
      </c>
      <c r="N32" s="415">
        <v>0</v>
      </c>
      <c r="O32" s="415">
        <v>0</v>
      </c>
      <c r="P32" s="599">
        <v>3685132</v>
      </c>
      <c r="Q32" s="599">
        <v>109028</v>
      </c>
      <c r="R32" s="415">
        <v>49725</v>
      </c>
      <c r="S32" s="416">
        <v>20.491899999999998</v>
      </c>
      <c r="T32" s="416">
        <v>17.451599999999999</v>
      </c>
      <c r="U32" s="423">
        <v>3.0402999999999998</v>
      </c>
      <c r="V32" s="424">
        <f t="shared" si="2"/>
        <v>0</v>
      </c>
      <c r="W32" s="418">
        <f t="shared" si="3"/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0</v>
      </c>
      <c r="AF32" s="418">
        <f t="shared" si="4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5"/>
        <v>0</v>
      </c>
      <c r="AM32" s="418">
        <f t="shared" si="6"/>
        <v>0</v>
      </c>
      <c r="AN32" s="418">
        <f t="shared" si="7"/>
        <v>0</v>
      </c>
      <c r="AO32" s="418">
        <f t="shared" si="8"/>
        <v>0</v>
      </c>
      <c r="AP32" s="418">
        <f t="shared" si="9"/>
        <v>0</v>
      </c>
      <c r="AQ32" s="418">
        <f t="shared" si="10"/>
        <v>0</v>
      </c>
      <c r="AR32" s="68">
        <f t="shared" si="11"/>
        <v>0</v>
      </c>
      <c r="AS32" s="68">
        <f t="shared" si="12"/>
        <v>0</v>
      </c>
      <c r="AT32" s="418">
        <v>0</v>
      </c>
      <c r="AU32" s="418">
        <v>0</v>
      </c>
      <c r="AV32" s="418">
        <f t="shared" si="13"/>
        <v>0</v>
      </c>
      <c r="AW32" s="418">
        <f t="shared" si="14"/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 t="shared" si="15"/>
        <v>0</v>
      </c>
      <c r="BG32" s="419">
        <f t="shared" si="16"/>
        <v>0</v>
      </c>
      <c r="BH32" s="421">
        <f t="shared" si="17"/>
        <v>0</v>
      </c>
      <c r="BI32" s="780">
        <f>I32+AW32</f>
        <v>14746643</v>
      </c>
      <c r="BJ32" s="418">
        <f>J32+AF32</f>
        <v>10902758</v>
      </c>
      <c r="BK32" s="418">
        <f t="shared" ref="BK32:BL34" si="42">K32+AD32</f>
        <v>10023499</v>
      </c>
      <c r="BL32" s="418">
        <f t="shared" si="42"/>
        <v>879259</v>
      </c>
      <c r="BM32" s="418">
        <f>M32+AN32</f>
        <v>0</v>
      </c>
      <c r="BN32" s="418">
        <f t="shared" ref="BN32:BO34" si="43">N32+AL32</f>
        <v>0</v>
      </c>
      <c r="BO32" s="418">
        <f t="shared" si="43"/>
        <v>0</v>
      </c>
      <c r="BP32" s="418">
        <f t="shared" ref="BP32:BQ34" si="44">P32+AR32</f>
        <v>3685132</v>
      </c>
      <c r="BQ32" s="418">
        <f t="shared" si="44"/>
        <v>109028</v>
      </c>
      <c r="BR32" s="418">
        <f>R32+AV32</f>
        <v>49725</v>
      </c>
      <c r="BS32" s="419">
        <f>S32+BH32</f>
        <v>20.491899999999998</v>
      </c>
      <c r="BT32" s="419">
        <f t="shared" ref="BT32:BU34" si="45">T32+BF32</f>
        <v>17.451599999999999</v>
      </c>
      <c r="BU32" s="421">
        <f t="shared" si="45"/>
        <v>3.0402999999999998</v>
      </c>
      <c r="BV32" s="420"/>
      <c r="BW32" s="415"/>
      <c r="BX32" s="415"/>
      <c r="BY32" s="415"/>
      <c r="BZ32" s="415"/>
      <c r="CA32" s="510"/>
    </row>
    <row r="33" spans="1:79" ht="14.1" customHeight="1" x14ac:dyDescent="0.2">
      <c r="A33" s="66">
        <v>6</v>
      </c>
      <c r="B33" s="63">
        <v>2407</v>
      </c>
      <c r="C33" s="64">
        <v>600079520</v>
      </c>
      <c r="D33" s="63">
        <v>72741465</v>
      </c>
      <c r="E33" s="65" t="s">
        <v>544</v>
      </c>
      <c r="F33" s="66">
        <v>3111</v>
      </c>
      <c r="G33" s="77" t="s">
        <v>291</v>
      </c>
      <c r="H33" s="67" t="s">
        <v>272</v>
      </c>
      <c r="I33" s="420">
        <v>1341237</v>
      </c>
      <c r="J33" s="415">
        <v>994983</v>
      </c>
      <c r="K33" s="415">
        <v>994983</v>
      </c>
      <c r="L33" s="415">
        <v>0</v>
      </c>
      <c r="M33" s="415">
        <v>0</v>
      </c>
      <c r="N33" s="415">
        <v>0</v>
      </c>
      <c r="O33" s="415">
        <v>0</v>
      </c>
      <c r="P33" s="599">
        <v>336305</v>
      </c>
      <c r="Q33" s="599">
        <v>9949</v>
      </c>
      <c r="R33" s="415">
        <v>0</v>
      </c>
      <c r="S33" s="416">
        <v>2.75</v>
      </c>
      <c r="T33" s="417">
        <v>2.75</v>
      </c>
      <c r="U33" s="423">
        <v>0</v>
      </c>
      <c r="V33" s="424">
        <f t="shared" si="2"/>
        <v>0</v>
      </c>
      <c r="W33" s="418">
        <f t="shared" si="3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 t="shared" si="4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5"/>
        <v>0</v>
      </c>
      <c r="AM33" s="418">
        <f t="shared" si="6"/>
        <v>0</v>
      </c>
      <c r="AN33" s="418">
        <f t="shared" si="7"/>
        <v>0</v>
      </c>
      <c r="AO33" s="418">
        <f t="shared" si="8"/>
        <v>0</v>
      </c>
      <c r="AP33" s="418">
        <f t="shared" si="9"/>
        <v>0</v>
      </c>
      <c r="AQ33" s="418">
        <f t="shared" si="10"/>
        <v>0</v>
      </c>
      <c r="AR33" s="68">
        <f t="shared" si="11"/>
        <v>0</v>
      </c>
      <c r="AS33" s="68">
        <f t="shared" si="12"/>
        <v>0</v>
      </c>
      <c r="AT33" s="418">
        <v>0</v>
      </c>
      <c r="AU33" s="418">
        <v>0</v>
      </c>
      <c r="AV33" s="418">
        <f t="shared" si="13"/>
        <v>0</v>
      </c>
      <c r="AW33" s="418">
        <f t="shared" si="14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15"/>
        <v>0</v>
      </c>
      <c r="BG33" s="419">
        <f t="shared" si="16"/>
        <v>0</v>
      </c>
      <c r="BH33" s="421">
        <f t="shared" si="17"/>
        <v>0</v>
      </c>
      <c r="BI33" s="780">
        <f>I33+AW33</f>
        <v>1341237</v>
      </c>
      <c r="BJ33" s="418">
        <f>J33+AF33</f>
        <v>994983</v>
      </c>
      <c r="BK33" s="418">
        <f t="shared" si="42"/>
        <v>994983</v>
      </c>
      <c r="BL33" s="418">
        <f t="shared" si="42"/>
        <v>0</v>
      </c>
      <c r="BM33" s="418">
        <f>M33+AN33</f>
        <v>0</v>
      </c>
      <c r="BN33" s="418">
        <f t="shared" si="43"/>
        <v>0</v>
      </c>
      <c r="BO33" s="418">
        <f t="shared" si="43"/>
        <v>0</v>
      </c>
      <c r="BP33" s="418">
        <f t="shared" si="44"/>
        <v>336305</v>
      </c>
      <c r="BQ33" s="418">
        <f t="shared" si="44"/>
        <v>9949</v>
      </c>
      <c r="BR33" s="418">
        <f>R33+AV33</f>
        <v>0</v>
      </c>
      <c r="BS33" s="419">
        <f>S33+BH33</f>
        <v>2.75</v>
      </c>
      <c r="BT33" s="419">
        <f t="shared" si="45"/>
        <v>2.75</v>
      </c>
      <c r="BU33" s="421">
        <f t="shared" si="45"/>
        <v>0</v>
      </c>
      <c r="BV33" s="420"/>
      <c r="BW33" s="415"/>
      <c r="BX33" s="415"/>
      <c r="BY33" s="415"/>
      <c r="BZ33" s="415"/>
      <c r="CA33" s="510"/>
    </row>
    <row r="34" spans="1:79" ht="14.1" customHeight="1" x14ac:dyDescent="0.2">
      <c r="A34" s="66">
        <v>6</v>
      </c>
      <c r="B34" s="63">
        <v>2407</v>
      </c>
      <c r="C34" s="64">
        <v>600079520</v>
      </c>
      <c r="D34" s="63">
        <v>72741465</v>
      </c>
      <c r="E34" s="65" t="s">
        <v>544</v>
      </c>
      <c r="F34" s="66">
        <v>3141</v>
      </c>
      <c r="G34" s="65" t="s">
        <v>294</v>
      </c>
      <c r="H34" s="67" t="s">
        <v>272</v>
      </c>
      <c r="I34" s="420">
        <v>1201878</v>
      </c>
      <c r="J34" s="415">
        <v>887057</v>
      </c>
      <c r="K34" s="415">
        <v>0</v>
      </c>
      <c r="L34" s="750">
        <v>887057</v>
      </c>
      <c r="M34" s="415">
        <v>0</v>
      </c>
      <c r="N34" s="204">
        <v>0</v>
      </c>
      <c r="O34" s="204">
        <v>0</v>
      </c>
      <c r="P34" s="599">
        <v>299825</v>
      </c>
      <c r="Q34" s="599">
        <v>8871</v>
      </c>
      <c r="R34" s="605">
        <v>6125</v>
      </c>
      <c r="S34" s="416">
        <v>2.66</v>
      </c>
      <c r="T34" s="607">
        <v>0</v>
      </c>
      <c r="U34" s="737">
        <v>2.66</v>
      </c>
      <c r="V34" s="424">
        <f t="shared" si="2"/>
        <v>0</v>
      </c>
      <c r="W34" s="418">
        <f t="shared" si="3"/>
        <v>0</v>
      </c>
      <c r="X34" s="418">
        <v>0</v>
      </c>
      <c r="Y34" s="418">
        <v>0</v>
      </c>
      <c r="Z34" s="418">
        <v>0</v>
      </c>
      <c r="AA34" s="418">
        <v>444533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444533</v>
      </c>
      <c r="AF34" s="418">
        <f t="shared" si="4"/>
        <v>444533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5"/>
        <v>0</v>
      </c>
      <c r="AM34" s="418">
        <f t="shared" si="6"/>
        <v>0</v>
      </c>
      <c r="AN34" s="418">
        <f t="shared" si="7"/>
        <v>0</v>
      </c>
      <c r="AO34" s="418">
        <f t="shared" si="8"/>
        <v>0</v>
      </c>
      <c r="AP34" s="418">
        <f t="shared" si="9"/>
        <v>444533</v>
      </c>
      <c r="AQ34" s="418">
        <f t="shared" si="10"/>
        <v>444533</v>
      </c>
      <c r="AR34" s="68">
        <f t="shared" si="11"/>
        <v>150252</v>
      </c>
      <c r="AS34" s="68">
        <f t="shared" si="12"/>
        <v>4445</v>
      </c>
      <c r="AT34" s="418">
        <v>0</v>
      </c>
      <c r="AU34" s="418">
        <v>2975</v>
      </c>
      <c r="AV34" s="418">
        <f t="shared" si="13"/>
        <v>2975</v>
      </c>
      <c r="AW34" s="418">
        <f t="shared" si="14"/>
        <v>602205</v>
      </c>
      <c r="AX34" s="419">
        <v>0</v>
      </c>
      <c r="AY34" s="419">
        <v>0</v>
      </c>
      <c r="AZ34" s="419">
        <v>0</v>
      </c>
      <c r="BA34" s="419">
        <v>0</v>
      </c>
      <c r="BB34" s="419">
        <v>1.33</v>
      </c>
      <c r="BC34" s="419">
        <v>0</v>
      </c>
      <c r="BD34" s="419">
        <v>0</v>
      </c>
      <c r="BE34" s="419">
        <v>0</v>
      </c>
      <c r="BF34" s="419">
        <f t="shared" si="15"/>
        <v>0</v>
      </c>
      <c r="BG34" s="419">
        <f t="shared" si="16"/>
        <v>1.33</v>
      </c>
      <c r="BH34" s="421">
        <f t="shared" si="17"/>
        <v>1.33</v>
      </c>
      <c r="BI34" s="780">
        <f>I34+AW34</f>
        <v>1804083</v>
      </c>
      <c r="BJ34" s="418">
        <f>J34+AF34</f>
        <v>1331590</v>
      </c>
      <c r="BK34" s="418">
        <f t="shared" si="42"/>
        <v>0</v>
      </c>
      <c r="BL34" s="418">
        <f t="shared" si="42"/>
        <v>1331590</v>
      </c>
      <c r="BM34" s="418">
        <f>M34+AN34</f>
        <v>0</v>
      </c>
      <c r="BN34" s="418">
        <f t="shared" si="43"/>
        <v>0</v>
      </c>
      <c r="BO34" s="418">
        <f t="shared" si="43"/>
        <v>0</v>
      </c>
      <c r="BP34" s="418">
        <f t="shared" si="44"/>
        <v>450077</v>
      </c>
      <c r="BQ34" s="418">
        <f t="shared" si="44"/>
        <v>13316</v>
      </c>
      <c r="BR34" s="418">
        <f>R34+AV34</f>
        <v>9100</v>
      </c>
      <c r="BS34" s="419">
        <f>S34+BH34</f>
        <v>3.99</v>
      </c>
      <c r="BT34" s="419">
        <f t="shared" si="45"/>
        <v>0</v>
      </c>
      <c r="BU34" s="421">
        <f t="shared" si="45"/>
        <v>3.99</v>
      </c>
      <c r="BV34" s="420"/>
      <c r="BW34" s="415"/>
      <c r="BX34" s="415"/>
      <c r="BY34" s="415"/>
      <c r="BZ34" s="415"/>
      <c r="CA34" s="510"/>
    </row>
    <row r="35" spans="1:79" ht="14.1" customHeight="1" x14ac:dyDescent="0.2">
      <c r="A35" s="72">
        <v>6</v>
      </c>
      <c r="B35" s="69">
        <v>2407</v>
      </c>
      <c r="C35" s="70">
        <v>600079520</v>
      </c>
      <c r="D35" s="69">
        <v>72741465</v>
      </c>
      <c r="E35" s="71" t="s">
        <v>545</v>
      </c>
      <c r="F35" s="72"/>
      <c r="G35" s="71"/>
      <c r="H35" s="73"/>
      <c r="I35" s="517">
        <v>17289758</v>
      </c>
      <c r="J35" s="74">
        <v>12784798</v>
      </c>
      <c r="K35" s="74">
        <v>11018482</v>
      </c>
      <c r="L35" s="74">
        <v>1766316</v>
      </c>
      <c r="M35" s="74">
        <v>0</v>
      </c>
      <c r="N35" s="74">
        <v>0</v>
      </c>
      <c r="O35" s="74">
        <v>0</v>
      </c>
      <c r="P35" s="74">
        <v>4321262</v>
      </c>
      <c r="Q35" s="74">
        <v>127848</v>
      </c>
      <c r="R35" s="74">
        <v>55850</v>
      </c>
      <c r="S35" s="75">
        <v>25.901899999999998</v>
      </c>
      <c r="T35" s="75">
        <v>20.201599999999999</v>
      </c>
      <c r="U35" s="658">
        <v>5.7003000000000004</v>
      </c>
      <c r="V35" s="517">
        <f t="shared" ref="V35:BU35" si="46">SUM(V32:V34)</f>
        <v>0</v>
      </c>
      <c r="W35" s="74">
        <f t="shared" si="46"/>
        <v>0</v>
      </c>
      <c r="X35" s="74">
        <f t="shared" si="46"/>
        <v>0</v>
      </c>
      <c r="Y35" s="74">
        <f t="shared" si="46"/>
        <v>0</v>
      </c>
      <c r="Z35" s="74">
        <f t="shared" si="46"/>
        <v>0</v>
      </c>
      <c r="AA35" s="74">
        <f t="shared" si="46"/>
        <v>444533</v>
      </c>
      <c r="AB35" s="74">
        <f t="shared" si="46"/>
        <v>0</v>
      </c>
      <c r="AC35" s="74">
        <f t="shared" si="46"/>
        <v>0</v>
      </c>
      <c r="AD35" s="74">
        <f t="shared" si="46"/>
        <v>0</v>
      </c>
      <c r="AE35" s="74">
        <f t="shared" si="46"/>
        <v>444533</v>
      </c>
      <c r="AF35" s="74">
        <f t="shared" si="46"/>
        <v>444533</v>
      </c>
      <c r="AG35" s="74">
        <f t="shared" si="46"/>
        <v>0</v>
      </c>
      <c r="AH35" s="74">
        <f t="shared" si="46"/>
        <v>0</v>
      </c>
      <c r="AI35" s="74">
        <f t="shared" si="46"/>
        <v>0</v>
      </c>
      <c r="AJ35" s="74">
        <f t="shared" si="46"/>
        <v>0</v>
      </c>
      <c r="AK35" s="74">
        <f t="shared" si="46"/>
        <v>0</v>
      </c>
      <c r="AL35" s="74">
        <f t="shared" si="46"/>
        <v>0</v>
      </c>
      <c r="AM35" s="74">
        <f t="shared" si="46"/>
        <v>0</v>
      </c>
      <c r="AN35" s="74">
        <f t="shared" si="46"/>
        <v>0</v>
      </c>
      <c r="AO35" s="74">
        <f t="shared" si="46"/>
        <v>0</v>
      </c>
      <c r="AP35" s="74">
        <f t="shared" si="46"/>
        <v>444533</v>
      </c>
      <c r="AQ35" s="74">
        <f t="shared" si="46"/>
        <v>444533</v>
      </c>
      <c r="AR35" s="74">
        <f t="shared" si="46"/>
        <v>150252</v>
      </c>
      <c r="AS35" s="74">
        <f t="shared" si="46"/>
        <v>4445</v>
      </c>
      <c r="AT35" s="74">
        <f t="shared" si="46"/>
        <v>0</v>
      </c>
      <c r="AU35" s="74">
        <f t="shared" si="46"/>
        <v>2975</v>
      </c>
      <c r="AV35" s="74">
        <f t="shared" si="46"/>
        <v>2975</v>
      </c>
      <c r="AW35" s="74">
        <f t="shared" si="46"/>
        <v>602205</v>
      </c>
      <c r="AX35" s="75">
        <f t="shared" si="46"/>
        <v>0</v>
      </c>
      <c r="AY35" s="75">
        <f t="shared" si="46"/>
        <v>0</v>
      </c>
      <c r="AZ35" s="75">
        <f t="shared" si="46"/>
        <v>0</v>
      </c>
      <c r="BA35" s="75">
        <f t="shared" si="46"/>
        <v>0</v>
      </c>
      <c r="BB35" s="75">
        <f t="shared" si="46"/>
        <v>1.33</v>
      </c>
      <c r="BC35" s="75">
        <f t="shared" si="46"/>
        <v>0</v>
      </c>
      <c r="BD35" s="75">
        <f t="shared" si="46"/>
        <v>0</v>
      </c>
      <c r="BE35" s="75">
        <f t="shared" si="46"/>
        <v>0</v>
      </c>
      <c r="BF35" s="75">
        <f t="shared" si="46"/>
        <v>0</v>
      </c>
      <c r="BG35" s="75">
        <f t="shared" si="46"/>
        <v>1.33</v>
      </c>
      <c r="BH35" s="76">
        <f t="shared" si="46"/>
        <v>1.33</v>
      </c>
      <c r="BI35" s="799">
        <f t="shared" si="46"/>
        <v>17891963</v>
      </c>
      <c r="BJ35" s="74">
        <f t="shared" si="46"/>
        <v>13229331</v>
      </c>
      <c r="BK35" s="74">
        <f t="shared" si="46"/>
        <v>11018482</v>
      </c>
      <c r="BL35" s="74">
        <f t="shared" si="46"/>
        <v>2210849</v>
      </c>
      <c r="BM35" s="74">
        <f t="shared" si="46"/>
        <v>0</v>
      </c>
      <c r="BN35" s="74">
        <f t="shared" si="46"/>
        <v>0</v>
      </c>
      <c r="BO35" s="74">
        <f t="shared" si="46"/>
        <v>0</v>
      </c>
      <c r="BP35" s="74">
        <f t="shared" si="46"/>
        <v>4471514</v>
      </c>
      <c r="BQ35" s="74">
        <f t="shared" si="46"/>
        <v>132293</v>
      </c>
      <c r="BR35" s="74">
        <f t="shared" si="46"/>
        <v>58825</v>
      </c>
      <c r="BS35" s="75">
        <f t="shared" si="46"/>
        <v>27.231899999999996</v>
      </c>
      <c r="BT35" s="75">
        <f t="shared" si="46"/>
        <v>20.201599999999999</v>
      </c>
      <c r="BU35" s="76">
        <f t="shared" si="46"/>
        <v>7.0303000000000004</v>
      </c>
      <c r="BV35" s="809">
        <f t="shared" ref="BV35:CA35" si="47">SUM(BV32:BV34)</f>
        <v>0</v>
      </c>
      <c r="BW35" s="684">
        <f t="shared" si="47"/>
        <v>0</v>
      </c>
      <c r="BX35" s="684">
        <f t="shared" si="47"/>
        <v>0</v>
      </c>
      <c r="BY35" s="684">
        <f t="shared" si="47"/>
        <v>0</v>
      </c>
      <c r="BZ35" s="684">
        <f t="shared" si="47"/>
        <v>0</v>
      </c>
      <c r="CA35" s="810">
        <f t="shared" si="47"/>
        <v>0</v>
      </c>
    </row>
    <row r="36" spans="1:79" ht="14.1" customHeight="1" x14ac:dyDescent="0.2">
      <c r="A36" s="66">
        <v>7</v>
      </c>
      <c r="B36" s="63">
        <v>2422</v>
      </c>
      <c r="C36" s="64">
        <v>600079082</v>
      </c>
      <c r="D36" s="63">
        <v>72742585</v>
      </c>
      <c r="E36" s="65" t="s">
        <v>546</v>
      </c>
      <c r="F36" s="66">
        <v>3111</v>
      </c>
      <c r="G36" s="65" t="s">
        <v>290</v>
      </c>
      <c r="H36" s="67" t="s">
        <v>271</v>
      </c>
      <c r="I36" s="420">
        <v>9358717</v>
      </c>
      <c r="J36" s="415">
        <v>6862674</v>
      </c>
      <c r="K36" s="415">
        <v>6293455</v>
      </c>
      <c r="L36" s="415">
        <v>569219</v>
      </c>
      <c r="M36" s="415">
        <v>56000</v>
      </c>
      <c r="N36" s="415">
        <v>40000</v>
      </c>
      <c r="O36" s="415">
        <v>16000</v>
      </c>
      <c r="P36" s="599">
        <v>2338512</v>
      </c>
      <c r="Q36" s="599">
        <v>68627</v>
      </c>
      <c r="R36" s="415">
        <v>32904</v>
      </c>
      <c r="S36" s="416">
        <v>12.780000000000001</v>
      </c>
      <c r="T36" s="416">
        <v>10.8065</v>
      </c>
      <c r="U36" s="423">
        <v>1.9735</v>
      </c>
      <c r="V36" s="424">
        <f t="shared" si="2"/>
        <v>0</v>
      </c>
      <c r="W36" s="418">
        <f t="shared" si="3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 t="shared" si="4"/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5"/>
        <v>0</v>
      </c>
      <c r="AM36" s="418">
        <f t="shared" si="6"/>
        <v>0</v>
      </c>
      <c r="AN36" s="418">
        <f t="shared" si="7"/>
        <v>0</v>
      </c>
      <c r="AO36" s="418">
        <f t="shared" si="8"/>
        <v>0</v>
      </c>
      <c r="AP36" s="418">
        <f t="shared" si="9"/>
        <v>0</v>
      </c>
      <c r="AQ36" s="418">
        <f t="shared" si="10"/>
        <v>0</v>
      </c>
      <c r="AR36" s="68">
        <f t="shared" si="11"/>
        <v>0</v>
      </c>
      <c r="AS36" s="68">
        <f t="shared" si="12"/>
        <v>0</v>
      </c>
      <c r="AT36" s="418">
        <v>0</v>
      </c>
      <c r="AU36" s="418">
        <v>0</v>
      </c>
      <c r="AV36" s="418">
        <f t="shared" si="13"/>
        <v>0</v>
      </c>
      <c r="AW36" s="418">
        <f t="shared" si="14"/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si="15"/>
        <v>0</v>
      </c>
      <c r="BG36" s="419">
        <f t="shared" si="16"/>
        <v>0</v>
      </c>
      <c r="BH36" s="421">
        <f t="shared" si="17"/>
        <v>0</v>
      </c>
      <c r="BI36" s="780">
        <f>I36+AW36</f>
        <v>9358717</v>
      </c>
      <c r="BJ36" s="418">
        <f>J36+AF36</f>
        <v>6862674</v>
      </c>
      <c r="BK36" s="418">
        <f t="shared" ref="BK36:BL38" si="48">K36+AD36</f>
        <v>6293455</v>
      </c>
      <c r="BL36" s="418">
        <f t="shared" si="48"/>
        <v>569219</v>
      </c>
      <c r="BM36" s="418">
        <f>M36+AN36</f>
        <v>56000</v>
      </c>
      <c r="BN36" s="418">
        <f t="shared" ref="BN36:BO38" si="49">N36+AL36</f>
        <v>40000</v>
      </c>
      <c r="BO36" s="418">
        <f t="shared" si="49"/>
        <v>16000</v>
      </c>
      <c r="BP36" s="418">
        <f t="shared" ref="BP36:BQ38" si="50">P36+AR36</f>
        <v>2338512</v>
      </c>
      <c r="BQ36" s="418">
        <f t="shared" si="50"/>
        <v>68627</v>
      </c>
      <c r="BR36" s="418">
        <f>R36+AV36</f>
        <v>32904</v>
      </c>
      <c r="BS36" s="419">
        <f>S36+BH36</f>
        <v>12.780000000000001</v>
      </c>
      <c r="BT36" s="419">
        <f t="shared" ref="BT36:BU38" si="51">T36+BF36</f>
        <v>10.8065</v>
      </c>
      <c r="BU36" s="421">
        <f t="shared" si="51"/>
        <v>1.9735</v>
      </c>
      <c r="BV36" s="420"/>
      <c r="BW36" s="415"/>
      <c r="BX36" s="415"/>
      <c r="BY36" s="415"/>
      <c r="BZ36" s="415"/>
      <c r="CA36" s="510"/>
    </row>
    <row r="37" spans="1:79" ht="14.1" customHeight="1" x14ac:dyDescent="0.2">
      <c r="A37" s="66">
        <v>7</v>
      </c>
      <c r="B37" s="63">
        <v>2422</v>
      </c>
      <c r="C37" s="64">
        <v>600079082</v>
      </c>
      <c r="D37" s="63">
        <v>72742585</v>
      </c>
      <c r="E37" s="65" t="s">
        <v>546</v>
      </c>
      <c r="F37" s="66">
        <v>3111</v>
      </c>
      <c r="G37" s="77" t="s">
        <v>291</v>
      </c>
      <c r="H37" s="67" t="s">
        <v>272</v>
      </c>
      <c r="I37" s="420">
        <v>374880</v>
      </c>
      <c r="J37" s="415">
        <v>278101</v>
      </c>
      <c r="K37" s="415">
        <v>278101</v>
      </c>
      <c r="L37" s="415">
        <v>0</v>
      </c>
      <c r="M37" s="415">
        <v>0</v>
      </c>
      <c r="N37" s="415">
        <v>0</v>
      </c>
      <c r="O37" s="415">
        <v>0</v>
      </c>
      <c r="P37" s="599">
        <v>93998</v>
      </c>
      <c r="Q37" s="599">
        <v>2781</v>
      </c>
      <c r="R37" s="415">
        <v>0</v>
      </c>
      <c r="S37" s="416">
        <v>0.75</v>
      </c>
      <c r="T37" s="417">
        <v>0.75</v>
      </c>
      <c r="U37" s="423">
        <v>0</v>
      </c>
      <c r="V37" s="424">
        <f t="shared" si="2"/>
        <v>0</v>
      </c>
      <c r="W37" s="418">
        <f t="shared" si="3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 t="shared" si="4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5"/>
        <v>0</v>
      </c>
      <c r="AM37" s="418">
        <f t="shared" si="6"/>
        <v>0</v>
      </c>
      <c r="AN37" s="418">
        <f t="shared" si="7"/>
        <v>0</v>
      </c>
      <c r="AO37" s="418">
        <f t="shared" si="8"/>
        <v>0</v>
      </c>
      <c r="AP37" s="418">
        <f t="shared" si="9"/>
        <v>0</v>
      </c>
      <c r="AQ37" s="418">
        <f t="shared" si="10"/>
        <v>0</v>
      </c>
      <c r="AR37" s="68">
        <f t="shared" si="11"/>
        <v>0</v>
      </c>
      <c r="AS37" s="68">
        <f t="shared" si="12"/>
        <v>0</v>
      </c>
      <c r="AT37" s="418">
        <v>0</v>
      </c>
      <c r="AU37" s="418">
        <v>0</v>
      </c>
      <c r="AV37" s="418">
        <f t="shared" si="13"/>
        <v>0</v>
      </c>
      <c r="AW37" s="418">
        <f t="shared" si="14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15"/>
        <v>0</v>
      </c>
      <c r="BG37" s="419">
        <f t="shared" si="16"/>
        <v>0</v>
      </c>
      <c r="BH37" s="421">
        <f t="shared" si="17"/>
        <v>0</v>
      </c>
      <c r="BI37" s="780">
        <f>I37+AW37</f>
        <v>374880</v>
      </c>
      <c r="BJ37" s="418">
        <f>J37+AF37</f>
        <v>278101</v>
      </c>
      <c r="BK37" s="418">
        <f t="shared" si="48"/>
        <v>278101</v>
      </c>
      <c r="BL37" s="418">
        <f t="shared" si="48"/>
        <v>0</v>
      </c>
      <c r="BM37" s="418">
        <f>M37+AN37</f>
        <v>0</v>
      </c>
      <c r="BN37" s="418">
        <f t="shared" si="49"/>
        <v>0</v>
      </c>
      <c r="BO37" s="418">
        <f t="shared" si="49"/>
        <v>0</v>
      </c>
      <c r="BP37" s="418">
        <f t="shared" si="50"/>
        <v>93998</v>
      </c>
      <c r="BQ37" s="418">
        <f t="shared" si="50"/>
        <v>2781</v>
      </c>
      <c r="BR37" s="418">
        <f>R37+AV37</f>
        <v>0</v>
      </c>
      <c r="BS37" s="419">
        <f>S37+BH37</f>
        <v>0.75</v>
      </c>
      <c r="BT37" s="419">
        <f t="shared" si="51"/>
        <v>0.75</v>
      </c>
      <c r="BU37" s="421">
        <f t="shared" si="51"/>
        <v>0</v>
      </c>
      <c r="BV37" s="420"/>
      <c r="BW37" s="415"/>
      <c r="BX37" s="415"/>
      <c r="BY37" s="415"/>
      <c r="BZ37" s="415"/>
      <c r="CA37" s="510"/>
    </row>
    <row r="38" spans="1:79" ht="14.1" customHeight="1" x14ac:dyDescent="0.2">
      <c r="A38" s="66">
        <v>7</v>
      </c>
      <c r="B38" s="63">
        <v>2422</v>
      </c>
      <c r="C38" s="64">
        <v>600079082</v>
      </c>
      <c r="D38" s="63">
        <v>72742585</v>
      </c>
      <c r="E38" s="65" t="s">
        <v>546</v>
      </c>
      <c r="F38" s="66">
        <v>3141</v>
      </c>
      <c r="G38" s="65" t="s">
        <v>294</v>
      </c>
      <c r="H38" s="67" t="s">
        <v>272</v>
      </c>
      <c r="I38" s="420">
        <v>810064</v>
      </c>
      <c r="J38" s="415">
        <v>598030</v>
      </c>
      <c r="K38" s="415">
        <v>0</v>
      </c>
      <c r="L38" s="750">
        <v>598030</v>
      </c>
      <c r="M38" s="415">
        <v>0</v>
      </c>
      <c r="N38" s="204">
        <v>0</v>
      </c>
      <c r="O38" s="204">
        <v>0</v>
      </c>
      <c r="P38" s="599">
        <v>202134</v>
      </c>
      <c r="Q38" s="599">
        <v>5980</v>
      </c>
      <c r="R38" s="605">
        <v>3920</v>
      </c>
      <c r="S38" s="416">
        <v>1.7932999999999999</v>
      </c>
      <c r="T38" s="607">
        <v>0</v>
      </c>
      <c r="U38" s="737">
        <v>1.7932999999999999</v>
      </c>
      <c r="V38" s="424">
        <f t="shared" si="2"/>
        <v>0</v>
      </c>
      <c r="W38" s="418">
        <f t="shared" si="3"/>
        <v>0</v>
      </c>
      <c r="X38" s="418">
        <v>0</v>
      </c>
      <c r="Y38" s="418">
        <v>0</v>
      </c>
      <c r="Z38" s="418">
        <v>0</v>
      </c>
      <c r="AA38" s="418">
        <v>300264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300264</v>
      </c>
      <c r="AF38" s="418">
        <f t="shared" si="4"/>
        <v>300264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5"/>
        <v>0</v>
      </c>
      <c r="AM38" s="418">
        <f t="shared" si="6"/>
        <v>0</v>
      </c>
      <c r="AN38" s="418">
        <f t="shared" si="7"/>
        <v>0</v>
      </c>
      <c r="AO38" s="418">
        <f t="shared" si="8"/>
        <v>0</v>
      </c>
      <c r="AP38" s="418">
        <f t="shared" si="9"/>
        <v>300264</v>
      </c>
      <c r="AQ38" s="418">
        <f t="shared" si="10"/>
        <v>300264</v>
      </c>
      <c r="AR38" s="68">
        <f t="shared" si="11"/>
        <v>101489</v>
      </c>
      <c r="AS38" s="68">
        <f t="shared" si="12"/>
        <v>3003</v>
      </c>
      <c r="AT38" s="418">
        <v>0</v>
      </c>
      <c r="AU38" s="418">
        <v>1904</v>
      </c>
      <c r="AV38" s="418">
        <f t="shared" si="13"/>
        <v>1904</v>
      </c>
      <c r="AW38" s="418">
        <f t="shared" si="14"/>
        <v>406660</v>
      </c>
      <c r="AX38" s="419">
        <v>0</v>
      </c>
      <c r="AY38" s="419">
        <v>0</v>
      </c>
      <c r="AZ38" s="419">
        <v>0</v>
      </c>
      <c r="BA38" s="419">
        <v>0</v>
      </c>
      <c r="BB38" s="419">
        <v>0.9</v>
      </c>
      <c r="BC38" s="419">
        <v>0</v>
      </c>
      <c r="BD38" s="419">
        <v>0</v>
      </c>
      <c r="BE38" s="419">
        <v>0</v>
      </c>
      <c r="BF38" s="419">
        <f t="shared" si="15"/>
        <v>0</v>
      </c>
      <c r="BG38" s="419">
        <f t="shared" si="16"/>
        <v>0.9</v>
      </c>
      <c r="BH38" s="421">
        <f t="shared" si="17"/>
        <v>0.9</v>
      </c>
      <c r="BI38" s="780">
        <f>I38+AW38</f>
        <v>1216724</v>
      </c>
      <c r="BJ38" s="418">
        <f>J38+AF38</f>
        <v>898294</v>
      </c>
      <c r="BK38" s="418">
        <f t="shared" si="48"/>
        <v>0</v>
      </c>
      <c r="BL38" s="418">
        <f t="shared" si="48"/>
        <v>898294</v>
      </c>
      <c r="BM38" s="418">
        <f>M38+AN38</f>
        <v>0</v>
      </c>
      <c r="BN38" s="418">
        <f t="shared" si="49"/>
        <v>0</v>
      </c>
      <c r="BO38" s="418">
        <f t="shared" si="49"/>
        <v>0</v>
      </c>
      <c r="BP38" s="418">
        <f t="shared" si="50"/>
        <v>303623</v>
      </c>
      <c r="BQ38" s="418">
        <f t="shared" si="50"/>
        <v>8983</v>
      </c>
      <c r="BR38" s="418">
        <f>R38+AV38</f>
        <v>5824</v>
      </c>
      <c r="BS38" s="419">
        <f>S38+BH38</f>
        <v>2.6932999999999998</v>
      </c>
      <c r="BT38" s="419">
        <f t="shared" si="51"/>
        <v>0</v>
      </c>
      <c r="BU38" s="421">
        <f t="shared" si="51"/>
        <v>2.6932999999999998</v>
      </c>
      <c r="BV38" s="420"/>
      <c r="BW38" s="415"/>
      <c r="BX38" s="415"/>
      <c r="BY38" s="415"/>
      <c r="BZ38" s="415"/>
      <c r="CA38" s="510"/>
    </row>
    <row r="39" spans="1:79" ht="14.1" customHeight="1" x14ac:dyDescent="0.2">
      <c r="A39" s="72">
        <v>7</v>
      </c>
      <c r="B39" s="69">
        <v>2422</v>
      </c>
      <c r="C39" s="70">
        <v>600079082</v>
      </c>
      <c r="D39" s="69">
        <v>72742585</v>
      </c>
      <c r="E39" s="71" t="s">
        <v>547</v>
      </c>
      <c r="F39" s="72"/>
      <c r="G39" s="71"/>
      <c r="H39" s="73"/>
      <c r="I39" s="517">
        <v>10543661</v>
      </c>
      <c r="J39" s="74">
        <v>7738805</v>
      </c>
      <c r="K39" s="74">
        <v>6571556</v>
      </c>
      <c r="L39" s="74">
        <v>1167249</v>
      </c>
      <c r="M39" s="74">
        <v>56000</v>
      </c>
      <c r="N39" s="74">
        <v>40000</v>
      </c>
      <c r="O39" s="74">
        <v>16000</v>
      </c>
      <c r="P39" s="74">
        <v>2634644</v>
      </c>
      <c r="Q39" s="74">
        <v>77388</v>
      </c>
      <c r="R39" s="74">
        <v>36824</v>
      </c>
      <c r="S39" s="75">
        <v>15.323300000000001</v>
      </c>
      <c r="T39" s="75">
        <v>11.5565</v>
      </c>
      <c r="U39" s="658">
        <v>3.7667999999999999</v>
      </c>
      <c r="V39" s="517">
        <f t="shared" ref="V39:BU39" si="52">SUM(V36:V38)</f>
        <v>0</v>
      </c>
      <c r="W39" s="74">
        <f t="shared" si="52"/>
        <v>0</v>
      </c>
      <c r="X39" s="74">
        <f t="shared" si="52"/>
        <v>0</v>
      </c>
      <c r="Y39" s="74">
        <f t="shared" si="52"/>
        <v>0</v>
      </c>
      <c r="Z39" s="74">
        <f t="shared" si="52"/>
        <v>0</v>
      </c>
      <c r="AA39" s="74">
        <f t="shared" si="52"/>
        <v>300264</v>
      </c>
      <c r="AB39" s="74">
        <f t="shared" si="52"/>
        <v>0</v>
      </c>
      <c r="AC39" s="74">
        <f t="shared" si="52"/>
        <v>0</v>
      </c>
      <c r="AD39" s="74">
        <f t="shared" si="52"/>
        <v>0</v>
      </c>
      <c r="AE39" s="74">
        <f t="shared" si="52"/>
        <v>300264</v>
      </c>
      <c r="AF39" s="74">
        <f t="shared" si="52"/>
        <v>300264</v>
      </c>
      <c r="AG39" s="74">
        <f t="shared" si="52"/>
        <v>0</v>
      </c>
      <c r="AH39" s="74">
        <f t="shared" si="52"/>
        <v>0</v>
      </c>
      <c r="AI39" s="74">
        <f t="shared" si="52"/>
        <v>0</v>
      </c>
      <c r="AJ39" s="74">
        <f t="shared" si="52"/>
        <v>0</v>
      </c>
      <c r="AK39" s="74">
        <f t="shared" si="52"/>
        <v>0</v>
      </c>
      <c r="AL39" s="74">
        <f t="shared" si="52"/>
        <v>0</v>
      </c>
      <c r="AM39" s="74">
        <f t="shared" si="52"/>
        <v>0</v>
      </c>
      <c r="AN39" s="74">
        <f t="shared" si="52"/>
        <v>0</v>
      </c>
      <c r="AO39" s="74">
        <f t="shared" si="52"/>
        <v>0</v>
      </c>
      <c r="AP39" s="74">
        <f t="shared" si="52"/>
        <v>300264</v>
      </c>
      <c r="AQ39" s="74">
        <f t="shared" si="52"/>
        <v>300264</v>
      </c>
      <c r="AR39" s="74">
        <f t="shared" si="52"/>
        <v>101489</v>
      </c>
      <c r="AS39" s="74">
        <f t="shared" si="52"/>
        <v>3003</v>
      </c>
      <c r="AT39" s="74">
        <f t="shared" si="52"/>
        <v>0</v>
      </c>
      <c r="AU39" s="74">
        <f t="shared" si="52"/>
        <v>1904</v>
      </c>
      <c r="AV39" s="74">
        <f t="shared" si="52"/>
        <v>1904</v>
      </c>
      <c r="AW39" s="74">
        <f t="shared" si="52"/>
        <v>406660</v>
      </c>
      <c r="AX39" s="75">
        <f t="shared" si="52"/>
        <v>0</v>
      </c>
      <c r="AY39" s="75">
        <f t="shared" si="52"/>
        <v>0</v>
      </c>
      <c r="AZ39" s="75">
        <f t="shared" si="52"/>
        <v>0</v>
      </c>
      <c r="BA39" s="75">
        <f t="shared" si="52"/>
        <v>0</v>
      </c>
      <c r="BB39" s="75">
        <f t="shared" si="52"/>
        <v>0.9</v>
      </c>
      <c r="BC39" s="75">
        <f t="shared" si="52"/>
        <v>0</v>
      </c>
      <c r="BD39" s="75">
        <f t="shared" si="52"/>
        <v>0</v>
      </c>
      <c r="BE39" s="75">
        <f t="shared" si="52"/>
        <v>0</v>
      </c>
      <c r="BF39" s="75">
        <f t="shared" si="52"/>
        <v>0</v>
      </c>
      <c r="BG39" s="75">
        <f t="shared" si="52"/>
        <v>0.9</v>
      </c>
      <c r="BH39" s="76">
        <f t="shared" si="52"/>
        <v>0.9</v>
      </c>
      <c r="BI39" s="799">
        <f t="shared" si="52"/>
        <v>10950321</v>
      </c>
      <c r="BJ39" s="74">
        <f t="shared" si="52"/>
        <v>8039069</v>
      </c>
      <c r="BK39" s="74">
        <f t="shared" si="52"/>
        <v>6571556</v>
      </c>
      <c r="BL39" s="74">
        <f t="shared" si="52"/>
        <v>1467513</v>
      </c>
      <c r="BM39" s="74">
        <f t="shared" si="52"/>
        <v>56000</v>
      </c>
      <c r="BN39" s="74">
        <f t="shared" si="52"/>
        <v>40000</v>
      </c>
      <c r="BO39" s="74">
        <f t="shared" si="52"/>
        <v>16000</v>
      </c>
      <c r="BP39" s="74">
        <f t="shared" si="52"/>
        <v>2736133</v>
      </c>
      <c r="BQ39" s="74">
        <f t="shared" si="52"/>
        <v>80391</v>
      </c>
      <c r="BR39" s="74">
        <f t="shared" si="52"/>
        <v>38728</v>
      </c>
      <c r="BS39" s="75">
        <f t="shared" si="52"/>
        <v>16.223300000000002</v>
      </c>
      <c r="BT39" s="75">
        <f t="shared" si="52"/>
        <v>11.5565</v>
      </c>
      <c r="BU39" s="76">
        <f t="shared" si="52"/>
        <v>4.6668000000000003</v>
      </c>
      <c r="BV39" s="809">
        <f t="shared" ref="BV39:CA39" si="53">SUM(BV36:BV38)</f>
        <v>0</v>
      </c>
      <c r="BW39" s="684">
        <f t="shared" si="53"/>
        <v>0</v>
      </c>
      <c r="BX39" s="684">
        <f t="shared" si="53"/>
        <v>0</v>
      </c>
      <c r="BY39" s="684">
        <f t="shared" si="53"/>
        <v>0</v>
      </c>
      <c r="BZ39" s="684">
        <f t="shared" si="53"/>
        <v>0</v>
      </c>
      <c r="CA39" s="810">
        <f t="shared" si="53"/>
        <v>0</v>
      </c>
    </row>
    <row r="40" spans="1:79" ht="14.1" customHeight="1" x14ac:dyDescent="0.2">
      <c r="A40" s="66">
        <v>8</v>
      </c>
      <c r="B40" s="63">
        <v>2427</v>
      </c>
      <c r="C40" s="64">
        <v>600079091</v>
      </c>
      <c r="D40" s="63">
        <v>72741627</v>
      </c>
      <c r="E40" s="65" t="s">
        <v>548</v>
      </c>
      <c r="F40" s="66">
        <v>3111</v>
      </c>
      <c r="G40" s="65" t="s">
        <v>290</v>
      </c>
      <c r="H40" s="67" t="s">
        <v>271</v>
      </c>
      <c r="I40" s="420">
        <v>5292786</v>
      </c>
      <c r="J40" s="415">
        <v>3915703</v>
      </c>
      <c r="K40" s="415">
        <v>3583034</v>
      </c>
      <c r="L40" s="415">
        <v>332669</v>
      </c>
      <c r="M40" s="415">
        <v>0</v>
      </c>
      <c r="N40" s="415">
        <v>0</v>
      </c>
      <c r="O40" s="415">
        <v>0</v>
      </c>
      <c r="P40" s="599">
        <v>1323508</v>
      </c>
      <c r="Q40" s="599">
        <v>39157</v>
      </c>
      <c r="R40" s="415">
        <v>14418</v>
      </c>
      <c r="S40" s="416">
        <v>7.3617999999999997</v>
      </c>
      <c r="T40" s="416">
        <v>6.2417999999999996</v>
      </c>
      <c r="U40" s="423">
        <v>1.1200000000000001</v>
      </c>
      <c r="V40" s="424">
        <f t="shared" si="2"/>
        <v>0</v>
      </c>
      <c r="W40" s="418">
        <f t="shared" si="3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 t="shared" si="4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"/>
        <v>0</v>
      </c>
      <c r="AM40" s="418">
        <f t="shared" si="6"/>
        <v>0</v>
      </c>
      <c r="AN40" s="418">
        <f t="shared" si="7"/>
        <v>0</v>
      </c>
      <c r="AO40" s="418">
        <f t="shared" si="8"/>
        <v>0</v>
      </c>
      <c r="AP40" s="418">
        <f t="shared" si="9"/>
        <v>0</v>
      </c>
      <c r="AQ40" s="418">
        <f t="shared" si="10"/>
        <v>0</v>
      </c>
      <c r="AR40" s="68">
        <f t="shared" si="11"/>
        <v>0</v>
      </c>
      <c r="AS40" s="68">
        <f t="shared" si="12"/>
        <v>0</v>
      </c>
      <c r="AT40" s="418">
        <v>0</v>
      </c>
      <c r="AU40" s="418">
        <v>0</v>
      </c>
      <c r="AV40" s="418">
        <f t="shared" si="13"/>
        <v>0</v>
      </c>
      <c r="AW40" s="418">
        <f t="shared" si="14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15"/>
        <v>0</v>
      </c>
      <c r="BG40" s="419">
        <f t="shared" si="16"/>
        <v>0</v>
      </c>
      <c r="BH40" s="421">
        <f t="shared" si="17"/>
        <v>0</v>
      </c>
      <c r="BI40" s="780">
        <f>I40+AW40</f>
        <v>5292786</v>
      </c>
      <c r="BJ40" s="418">
        <f>J40+AF40</f>
        <v>3915703</v>
      </c>
      <c r="BK40" s="418">
        <f>K40+AD40</f>
        <v>3583034</v>
      </c>
      <c r="BL40" s="418">
        <f>L40+AE40</f>
        <v>332669</v>
      </c>
      <c r="BM40" s="418">
        <f>M40+AN40</f>
        <v>0</v>
      </c>
      <c r="BN40" s="418">
        <f>N40+AL40</f>
        <v>0</v>
      </c>
      <c r="BO40" s="418">
        <f>O40+AM40</f>
        <v>0</v>
      </c>
      <c r="BP40" s="418">
        <f>P40+AR40</f>
        <v>1323508</v>
      </c>
      <c r="BQ40" s="418">
        <f>Q40+AS40</f>
        <v>39157</v>
      </c>
      <c r="BR40" s="418">
        <f>R40+AV40</f>
        <v>14418</v>
      </c>
      <c r="BS40" s="419">
        <f>S40+BH40</f>
        <v>7.3617999999999997</v>
      </c>
      <c r="BT40" s="419">
        <f>T40+BF40</f>
        <v>6.2417999999999996</v>
      </c>
      <c r="BU40" s="421">
        <f>U40+BG40</f>
        <v>1.1200000000000001</v>
      </c>
      <c r="BV40" s="420"/>
      <c r="BW40" s="415"/>
      <c r="BX40" s="415"/>
      <c r="BY40" s="415"/>
      <c r="BZ40" s="415"/>
      <c r="CA40" s="510"/>
    </row>
    <row r="41" spans="1:79" ht="14.1" customHeight="1" x14ac:dyDescent="0.2">
      <c r="A41" s="66">
        <v>8</v>
      </c>
      <c r="B41" s="63">
        <v>2427</v>
      </c>
      <c r="C41" s="64">
        <v>600079091</v>
      </c>
      <c r="D41" s="63">
        <v>72741627</v>
      </c>
      <c r="E41" s="65" t="s">
        <v>548</v>
      </c>
      <c r="F41" s="66">
        <v>3141</v>
      </c>
      <c r="G41" s="65" t="s">
        <v>294</v>
      </c>
      <c r="H41" s="67" t="s">
        <v>272</v>
      </c>
      <c r="I41" s="420">
        <v>199058</v>
      </c>
      <c r="J41" s="415">
        <v>146731</v>
      </c>
      <c r="K41" s="415">
        <v>0</v>
      </c>
      <c r="L41" s="750">
        <v>146731</v>
      </c>
      <c r="M41" s="415">
        <v>0</v>
      </c>
      <c r="N41" s="204">
        <v>0</v>
      </c>
      <c r="O41" s="204">
        <v>0</v>
      </c>
      <c r="P41" s="599">
        <v>49595</v>
      </c>
      <c r="Q41" s="599">
        <v>1467</v>
      </c>
      <c r="R41" s="605">
        <v>1265</v>
      </c>
      <c r="S41" s="416">
        <v>0.44</v>
      </c>
      <c r="T41" s="607">
        <v>0</v>
      </c>
      <c r="U41" s="737">
        <v>0.44</v>
      </c>
      <c r="V41" s="424">
        <f t="shared" si="2"/>
        <v>0</v>
      </c>
      <c r="W41" s="418">
        <f t="shared" si="3"/>
        <v>0</v>
      </c>
      <c r="X41" s="418">
        <v>0</v>
      </c>
      <c r="Y41" s="418">
        <v>0</v>
      </c>
      <c r="Z41" s="418">
        <v>0</v>
      </c>
      <c r="AA41" s="418">
        <v>72701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72701</v>
      </c>
      <c r="AF41" s="418">
        <f t="shared" si="4"/>
        <v>72701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"/>
        <v>0</v>
      </c>
      <c r="AM41" s="418">
        <f t="shared" si="6"/>
        <v>0</v>
      </c>
      <c r="AN41" s="418">
        <f t="shared" si="7"/>
        <v>0</v>
      </c>
      <c r="AO41" s="418">
        <f t="shared" si="8"/>
        <v>0</v>
      </c>
      <c r="AP41" s="418">
        <f t="shared" si="9"/>
        <v>72701</v>
      </c>
      <c r="AQ41" s="418">
        <f t="shared" si="10"/>
        <v>72701</v>
      </c>
      <c r="AR41" s="68">
        <f t="shared" si="11"/>
        <v>24573</v>
      </c>
      <c r="AS41" s="68">
        <f t="shared" si="12"/>
        <v>727</v>
      </c>
      <c r="AT41" s="418">
        <v>0</v>
      </c>
      <c r="AU41" s="418">
        <v>605</v>
      </c>
      <c r="AV41" s="418">
        <f t="shared" si="13"/>
        <v>605</v>
      </c>
      <c r="AW41" s="418">
        <f t="shared" si="14"/>
        <v>98606</v>
      </c>
      <c r="AX41" s="419">
        <v>0</v>
      </c>
      <c r="AY41" s="419">
        <v>0</v>
      </c>
      <c r="AZ41" s="419">
        <v>0</v>
      </c>
      <c r="BA41" s="419">
        <v>0</v>
      </c>
      <c r="BB41" s="419">
        <v>0.22</v>
      </c>
      <c r="BC41" s="419">
        <v>0</v>
      </c>
      <c r="BD41" s="419">
        <v>0</v>
      </c>
      <c r="BE41" s="419">
        <v>0</v>
      </c>
      <c r="BF41" s="419">
        <f t="shared" si="15"/>
        <v>0</v>
      </c>
      <c r="BG41" s="419">
        <f t="shared" si="16"/>
        <v>0.22</v>
      </c>
      <c r="BH41" s="421">
        <f t="shared" si="17"/>
        <v>0.22</v>
      </c>
      <c r="BI41" s="780">
        <f>I41+AW41</f>
        <v>297664</v>
      </c>
      <c r="BJ41" s="418">
        <f>J41+AF41</f>
        <v>219432</v>
      </c>
      <c r="BK41" s="418">
        <f>K41+AD41</f>
        <v>0</v>
      </c>
      <c r="BL41" s="418">
        <f>L41+AE41</f>
        <v>219432</v>
      </c>
      <c r="BM41" s="418">
        <f>M41+AN41</f>
        <v>0</v>
      </c>
      <c r="BN41" s="418">
        <f>N41+AL41</f>
        <v>0</v>
      </c>
      <c r="BO41" s="418">
        <f>O41+AM41</f>
        <v>0</v>
      </c>
      <c r="BP41" s="418">
        <f>P41+AR41</f>
        <v>74168</v>
      </c>
      <c r="BQ41" s="418">
        <f>Q41+AS41</f>
        <v>2194</v>
      </c>
      <c r="BR41" s="418">
        <f>R41+AV41</f>
        <v>1870</v>
      </c>
      <c r="BS41" s="419">
        <f>S41+BH41</f>
        <v>0.66</v>
      </c>
      <c r="BT41" s="419">
        <f>T41+BF41</f>
        <v>0</v>
      </c>
      <c r="BU41" s="421">
        <f>U41+BG41</f>
        <v>0.66</v>
      </c>
      <c r="BV41" s="420"/>
      <c r="BW41" s="415"/>
      <c r="BX41" s="415"/>
      <c r="BY41" s="415"/>
      <c r="BZ41" s="415"/>
      <c r="CA41" s="510"/>
    </row>
    <row r="42" spans="1:79" ht="14.1" customHeight="1" x14ac:dyDescent="0.2">
      <c r="A42" s="72">
        <v>8</v>
      </c>
      <c r="B42" s="69">
        <v>2427</v>
      </c>
      <c r="C42" s="70">
        <v>600079091</v>
      </c>
      <c r="D42" s="69">
        <v>72741627</v>
      </c>
      <c r="E42" s="71" t="s">
        <v>549</v>
      </c>
      <c r="F42" s="72"/>
      <c r="G42" s="71"/>
      <c r="H42" s="73"/>
      <c r="I42" s="517">
        <v>5491844</v>
      </c>
      <c r="J42" s="74">
        <v>4062434</v>
      </c>
      <c r="K42" s="74">
        <v>3583034</v>
      </c>
      <c r="L42" s="74">
        <v>479400</v>
      </c>
      <c r="M42" s="74">
        <v>0</v>
      </c>
      <c r="N42" s="74">
        <v>0</v>
      </c>
      <c r="O42" s="74">
        <v>0</v>
      </c>
      <c r="P42" s="74">
        <v>1373103</v>
      </c>
      <c r="Q42" s="74">
        <v>40624</v>
      </c>
      <c r="R42" s="74">
        <v>15683</v>
      </c>
      <c r="S42" s="75">
        <v>7.8018000000000001</v>
      </c>
      <c r="T42" s="75">
        <v>6.2417999999999996</v>
      </c>
      <c r="U42" s="658">
        <v>1.56</v>
      </c>
      <c r="V42" s="517">
        <f t="shared" ref="V42:BU42" si="54">SUM(V40:V41)</f>
        <v>0</v>
      </c>
      <c r="W42" s="74">
        <f t="shared" si="54"/>
        <v>0</v>
      </c>
      <c r="X42" s="74">
        <f t="shared" si="54"/>
        <v>0</v>
      </c>
      <c r="Y42" s="74">
        <f t="shared" si="54"/>
        <v>0</v>
      </c>
      <c r="Z42" s="74">
        <f t="shared" si="54"/>
        <v>0</v>
      </c>
      <c r="AA42" s="74">
        <f t="shared" si="54"/>
        <v>72701</v>
      </c>
      <c r="AB42" s="74">
        <f t="shared" si="54"/>
        <v>0</v>
      </c>
      <c r="AC42" s="74">
        <f t="shared" si="54"/>
        <v>0</v>
      </c>
      <c r="AD42" s="74">
        <f t="shared" si="54"/>
        <v>0</v>
      </c>
      <c r="AE42" s="74">
        <f t="shared" si="54"/>
        <v>72701</v>
      </c>
      <c r="AF42" s="74">
        <f t="shared" si="54"/>
        <v>72701</v>
      </c>
      <c r="AG42" s="74">
        <f t="shared" si="54"/>
        <v>0</v>
      </c>
      <c r="AH42" s="74">
        <f t="shared" si="54"/>
        <v>0</v>
      </c>
      <c r="AI42" s="74">
        <f t="shared" si="54"/>
        <v>0</v>
      </c>
      <c r="AJ42" s="74">
        <f t="shared" si="54"/>
        <v>0</v>
      </c>
      <c r="AK42" s="74">
        <f t="shared" si="54"/>
        <v>0</v>
      </c>
      <c r="AL42" s="74">
        <f t="shared" si="54"/>
        <v>0</v>
      </c>
      <c r="AM42" s="74">
        <f t="shared" si="54"/>
        <v>0</v>
      </c>
      <c r="AN42" s="74">
        <f t="shared" si="54"/>
        <v>0</v>
      </c>
      <c r="AO42" s="74">
        <f t="shared" si="54"/>
        <v>0</v>
      </c>
      <c r="AP42" s="74">
        <f t="shared" si="54"/>
        <v>72701</v>
      </c>
      <c r="AQ42" s="74">
        <f t="shared" si="54"/>
        <v>72701</v>
      </c>
      <c r="AR42" s="74">
        <f t="shared" si="54"/>
        <v>24573</v>
      </c>
      <c r="AS42" s="74">
        <f t="shared" si="54"/>
        <v>727</v>
      </c>
      <c r="AT42" s="74">
        <f t="shared" si="54"/>
        <v>0</v>
      </c>
      <c r="AU42" s="74">
        <f t="shared" si="54"/>
        <v>605</v>
      </c>
      <c r="AV42" s="74">
        <f t="shared" si="54"/>
        <v>605</v>
      </c>
      <c r="AW42" s="74">
        <f t="shared" si="54"/>
        <v>98606</v>
      </c>
      <c r="AX42" s="75">
        <f t="shared" si="54"/>
        <v>0</v>
      </c>
      <c r="AY42" s="75">
        <f t="shared" si="54"/>
        <v>0</v>
      </c>
      <c r="AZ42" s="75">
        <f t="shared" si="54"/>
        <v>0</v>
      </c>
      <c r="BA42" s="75">
        <f t="shared" si="54"/>
        <v>0</v>
      </c>
      <c r="BB42" s="75">
        <f t="shared" si="54"/>
        <v>0.22</v>
      </c>
      <c r="BC42" s="75">
        <f t="shared" si="54"/>
        <v>0</v>
      </c>
      <c r="BD42" s="75">
        <f t="shared" si="54"/>
        <v>0</v>
      </c>
      <c r="BE42" s="75">
        <f t="shared" si="54"/>
        <v>0</v>
      </c>
      <c r="BF42" s="75">
        <f t="shared" si="54"/>
        <v>0</v>
      </c>
      <c r="BG42" s="75">
        <f t="shared" si="54"/>
        <v>0.22</v>
      </c>
      <c r="BH42" s="76">
        <f t="shared" si="54"/>
        <v>0.22</v>
      </c>
      <c r="BI42" s="799">
        <f t="shared" si="54"/>
        <v>5590450</v>
      </c>
      <c r="BJ42" s="74">
        <f t="shared" si="54"/>
        <v>4135135</v>
      </c>
      <c r="BK42" s="74">
        <f t="shared" si="54"/>
        <v>3583034</v>
      </c>
      <c r="BL42" s="74">
        <f t="shared" si="54"/>
        <v>552101</v>
      </c>
      <c r="BM42" s="74">
        <f t="shared" si="54"/>
        <v>0</v>
      </c>
      <c r="BN42" s="74">
        <f t="shared" si="54"/>
        <v>0</v>
      </c>
      <c r="BO42" s="74">
        <f t="shared" si="54"/>
        <v>0</v>
      </c>
      <c r="BP42" s="74">
        <f t="shared" si="54"/>
        <v>1397676</v>
      </c>
      <c r="BQ42" s="74">
        <f t="shared" si="54"/>
        <v>41351</v>
      </c>
      <c r="BR42" s="74">
        <f t="shared" si="54"/>
        <v>16288</v>
      </c>
      <c r="BS42" s="75">
        <f t="shared" si="54"/>
        <v>8.0217999999999989</v>
      </c>
      <c r="BT42" s="75">
        <f t="shared" si="54"/>
        <v>6.2417999999999996</v>
      </c>
      <c r="BU42" s="76">
        <f t="shared" si="54"/>
        <v>1.7800000000000002</v>
      </c>
      <c r="BV42" s="809">
        <f t="shared" ref="BV42:CA42" si="55">SUM(BV40:BV41)</f>
        <v>0</v>
      </c>
      <c r="BW42" s="684">
        <f t="shared" si="55"/>
        <v>0</v>
      </c>
      <c r="BX42" s="684">
        <f t="shared" si="55"/>
        <v>0</v>
      </c>
      <c r="BY42" s="684">
        <f t="shared" si="55"/>
        <v>0</v>
      </c>
      <c r="BZ42" s="684">
        <f t="shared" si="55"/>
        <v>0</v>
      </c>
      <c r="CA42" s="810">
        <f t="shared" si="55"/>
        <v>0</v>
      </c>
    </row>
    <row r="43" spans="1:79" ht="14.1" customHeight="1" x14ac:dyDescent="0.2">
      <c r="A43" s="66">
        <v>9</v>
      </c>
      <c r="B43" s="63">
        <v>2327</v>
      </c>
      <c r="C43" s="64">
        <v>691002606</v>
      </c>
      <c r="D43" s="63">
        <v>72076950</v>
      </c>
      <c r="E43" s="65" t="s">
        <v>550</v>
      </c>
      <c r="F43" s="66">
        <v>3111</v>
      </c>
      <c r="G43" s="65" t="s">
        <v>290</v>
      </c>
      <c r="H43" s="67" t="s">
        <v>271</v>
      </c>
      <c r="I43" s="420">
        <v>9615436</v>
      </c>
      <c r="J43" s="415">
        <v>7111523</v>
      </c>
      <c r="K43" s="415">
        <v>6526304</v>
      </c>
      <c r="L43" s="415">
        <v>585219</v>
      </c>
      <c r="M43" s="415">
        <v>0</v>
      </c>
      <c r="N43" s="415">
        <v>0</v>
      </c>
      <c r="O43" s="415">
        <v>0</v>
      </c>
      <c r="P43" s="599">
        <v>2403695</v>
      </c>
      <c r="Q43" s="599">
        <v>71115</v>
      </c>
      <c r="R43" s="415">
        <v>29103</v>
      </c>
      <c r="S43" s="416">
        <v>13.203099999999999</v>
      </c>
      <c r="T43" s="416">
        <v>11.2096</v>
      </c>
      <c r="U43" s="423">
        <v>1.9935</v>
      </c>
      <c r="V43" s="424">
        <f t="shared" si="2"/>
        <v>0</v>
      </c>
      <c r="W43" s="418">
        <f t="shared" si="3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0</v>
      </c>
      <c r="AF43" s="418">
        <f t="shared" si="4"/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si="5"/>
        <v>0</v>
      </c>
      <c r="AM43" s="418">
        <f t="shared" si="6"/>
        <v>0</v>
      </c>
      <c r="AN43" s="418">
        <f t="shared" si="7"/>
        <v>0</v>
      </c>
      <c r="AO43" s="418">
        <f t="shared" si="8"/>
        <v>0</v>
      </c>
      <c r="AP43" s="418">
        <f t="shared" si="9"/>
        <v>0</v>
      </c>
      <c r="AQ43" s="418">
        <f t="shared" si="10"/>
        <v>0</v>
      </c>
      <c r="AR43" s="68">
        <f t="shared" si="11"/>
        <v>0</v>
      </c>
      <c r="AS43" s="68">
        <f t="shared" si="12"/>
        <v>0</v>
      </c>
      <c r="AT43" s="418">
        <v>0</v>
      </c>
      <c r="AU43" s="418">
        <v>0</v>
      </c>
      <c r="AV43" s="418">
        <f t="shared" si="13"/>
        <v>0</v>
      </c>
      <c r="AW43" s="418">
        <f t="shared" si="14"/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si="15"/>
        <v>0</v>
      </c>
      <c r="BG43" s="419">
        <f t="shared" si="16"/>
        <v>0</v>
      </c>
      <c r="BH43" s="421">
        <f t="shared" si="17"/>
        <v>0</v>
      </c>
      <c r="BI43" s="780">
        <f>I43+AW43</f>
        <v>9615436</v>
      </c>
      <c r="BJ43" s="418">
        <f>J43+AF43</f>
        <v>7111523</v>
      </c>
      <c r="BK43" s="418">
        <f t="shared" ref="BK43:BL45" si="56">K43+AD43</f>
        <v>6526304</v>
      </c>
      <c r="BL43" s="418">
        <f t="shared" si="56"/>
        <v>585219</v>
      </c>
      <c r="BM43" s="418">
        <f>M43+AN43</f>
        <v>0</v>
      </c>
      <c r="BN43" s="418">
        <f t="shared" ref="BN43:BO45" si="57">N43+AL43</f>
        <v>0</v>
      </c>
      <c r="BO43" s="418">
        <f t="shared" si="57"/>
        <v>0</v>
      </c>
      <c r="BP43" s="418">
        <f t="shared" ref="BP43:BQ45" si="58">P43+AR43</f>
        <v>2403695</v>
      </c>
      <c r="BQ43" s="418">
        <f t="shared" si="58"/>
        <v>71115</v>
      </c>
      <c r="BR43" s="418">
        <f>R43+AV43</f>
        <v>29103</v>
      </c>
      <c r="BS43" s="419">
        <f>S43+BH43</f>
        <v>13.203099999999999</v>
      </c>
      <c r="BT43" s="419">
        <f t="shared" ref="BT43:BU45" si="59">T43+BF43</f>
        <v>11.2096</v>
      </c>
      <c r="BU43" s="421">
        <f t="shared" si="59"/>
        <v>1.9935</v>
      </c>
      <c r="BV43" s="420"/>
      <c r="BW43" s="415"/>
      <c r="BX43" s="415"/>
      <c r="BY43" s="415"/>
      <c r="BZ43" s="415"/>
      <c r="CA43" s="510"/>
    </row>
    <row r="44" spans="1:79" ht="14.1" customHeight="1" x14ac:dyDescent="0.2">
      <c r="A44" s="66">
        <v>9</v>
      </c>
      <c r="B44" s="63">
        <v>2327</v>
      </c>
      <c r="C44" s="64">
        <v>691002606</v>
      </c>
      <c r="D44" s="63">
        <v>72076950</v>
      </c>
      <c r="E44" s="65" t="s">
        <v>550</v>
      </c>
      <c r="F44" s="66">
        <v>3111</v>
      </c>
      <c r="G44" s="77" t="s">
        <v>291</v>
      </c>
      <c r="H44" s="67" t="s">
        <v>272</v>
      </c>
      <c r="I44" s="420">
        <v>616470</v>
      </c>
      <c r="J44" s="415">
        <v>457322</v>
      </c>
      <c r="K44" s="415">
        <v>457322</v>
      </c>
      <c r="L44" s="415">
        <v>0</v>
      </c>
      <c r="M44" s="415">
        <v>0</v>
      </c>
      <c r="N44" s="415">
        <v>0</v>
      </c>
      <c r="O44" s="415">
        <v>0</v>
      </c>
      <c r="P44" s="599">
        <v>154575</v>
      </c>
      <c r="Q44" s="599">
        <v>4573</v>
      </c>
      <c r="R44" s="415">
        <v>0</v>
      </c>
      <c r="S44" s="416">
        <v>1.5</v>
      </c>
      <c r="T44" s="417">
        <v>1.5</v>
      </c>
      <c r="U44" s="423">
        <v>0</v>
      </c>
      <c r="V44" s="424">
        <f t="shared" si="2"/>
        <v>0</v>
      </c>
      <c r="W44" s="418">
        <f t="shared" si="3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>V44+X44+Y44+Z44+AB44</f>
        <v>0</v>
      </c>
      <c r="AE44" s="418">
        <f>W44+AA44+AC44</f>
        <v>0</v>
      </c>
      <c r="AF44" s="418">
        <f t="shared" si="4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5"/>
        <v>0</v>
      </c>
      <c r="AM44" s="418">
        <f t="shared" si="6"/>
        <v>0</v>
      </c>
      <c r="AN44" s="418">
        <f t="shared" si="7"/>
        <v>0</v>
      </c>
      <c r="AO44" s="418">
        <f t="shared" si="8"/>
        <v>0</v>
      </c>
      <c r="AP44" s="418">
        <f t="shared" si="9"/>
        <v>0</v>
      </c>
      <c r="AQ44" s="418">
        <f t="shared" si="10"/>
        <v>0</v>
      </c>
      <c r="AR44" s="68">
        <f t="shared" si="11"/>
        <v>0</v>
      </c>
      <c r="AS44" s="68">
        <f t="shared" si="12"/>
        <v>0</v>
      </c>
      <c r="AT44" s="418">
        <v>0</v>
      </c>
      <c r="AU44" s="418">
        <v>0</v>
      </c>
      <c r="AV44" s="418">
        <f t="shared" si="13"/>
        <v>0</v>
      </c>
      <c r="AW44" s="418">
        <f t="shared" si="14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15"/>
        <v>0</v>
      </c>
      <c r="BG44" s="419">
        <f t="shared" si="16"/>
        <v>0</v>
      </c>
      <c r="BH44" s="421">
        <f t="shared" si="17"/>
        <v>0</v>
      </c>
      <c r="BI44" s="780">
        <f>I44+AW44</f>
        <v>616470</v>
      </c>
      <c r="BJ44" s="418">
        <f>J44+AF44</f>
        <v>457322</v>
      </c>
      <c r="BK44" s="418">
        <f t="shared" si="56"/>
        <v>457322</v>
      </c>
      <c r="BL44" s="418">
        <f t="shared" si="56"/>
        <v>0</v>
      </c>
      <c r="BM44" s="418">
        <f>M44+AN44</f>
        <v>0</v>
      </c>
      <c r="BN44" s="418">
        <f t="shared" si="57"/>
        <v>0</v>
      </c>
      <c r="BO44" s="418">
        <f t="shared" si="57"/>
        <v>0</v>
      </c>
      <c r="BP44" s="418">
        <f t="shared" si="58"/>
        <v>154575</v>
      </c>
      <c r="BQ44" s="418">
        <f t="shared" si="58"/>
        <v>4573</v>
      </c>
      <c r="BR44" s="418">
        <f>R44+AV44</f>
        <v>0</v>
      </c>
      <c r="BS44" s="419">
        <f>S44+BH44</f>
        <v>1.5</v>
      </c>
      <c r="BT44" s="419">
        <f t="shared" si="59"/>
        <v>1.5</v>
      </c>
      <c r="BU44" s="421">
        <f t="shared" si="59"/>
        <v>0</v>
      </c>
      <c r="BV44" s="420"/>
      <c r="BW44" s="415"/>
      <c r="BX44" s="415"/>
      <c r="BY44" s="415"/>
      <c r="BZ44" s="415"/>
      <c r="CA44" s="510"/>
    </row>
    <row r="45" spans="1:79" ht="14.1" customHeight="1" x14ac:dyDescent="0.2">
      <c r="A45" s="66">
        <v>9</v>
      </c>
      <c r="B45" s="63">
        <v>2327</v>
      </c>
      <c r="C45" s="64">
        <v>691002606</v>
      </c>
      <c r="D45" s="63">
        <v>72076950</v>
      </c>
      <c r="E45" s="65" t="s">
        <v>550</v>
      </c>
      <c r="F45" s="66">
        <v>3141</v>
      </c>
      <c r="G45" s="65" t="s">
        <v>294</v>
      </c>
      <c r="H45" s="67" t="s">
        <v>272</v>
      </c>
      <c r="I45" s="420">
        <v>788977</v>
      </c>
      <c r="J45" s="415">
        <v>582490</v>
      </c>
      <c r="K45" s="415">
        <v>0</v>
      </c>
      <c r="L45" s="750">
        <v>582490</v>
      </c>
      <c r="M45" s="415">
        <v>0</v>
      </c>
      <c r="N45" s="204">
        <v>0</v>
      </c>
      <c r="O45" s="204">
        <v>0</v>
      </c>
      <c r="P45" s="599">
        <v>196882</v>
      </c>
      <c r="Q45" s="599">
        <v>5825</v>
      </c>
      <c r="R45" s="605">
        <v>3780</v>
      </c>
      <c r="S45" s="416">
        <v>1.7466999999999999</v>
      </c>
      <c r="T45" s="607">
        <v>0</v>
      </c>
      <c r="U45" s="737">
        <v>1.7466999999999999</v>
      </c>
      <c r="V45" s="424">
        <f t="shared" si="2"/>
        <v>0</v>
      </c>
      <c r="W45" s="418">
        <f t="shared" si="3"/>
        <v>0</v>
      </c>
      <c r="X45" s="418">
        <v>0</v>
      </c>
      <c r="Y45" s="418">
        <v>0</v>
      </c>
      <c r="Z45" s="418">
        <v>0</v>
      </c>
      <c r="AA45" s="418">
        <v>291523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291523</v>
      </c>
      <c r="AF45" s="418">
        <f t="shared" si="4"/>
        <v>291523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5"/>
        <v>0</v>
      </c>
      <c r="AM45" s="418">
        <f t="shared" si="6"/>
        <v>0</v>
      </c>
      <c r="AN45" s="418">
        <f t="shared" si="7"/>
        <v>0</v>
      </c>
      <c r="AO45" s="418">
        <f t="shared" si="8"/>
        <v>0</v>
      </c>
      <c r="AP45" s="418">
        <f t="shared" si="9"/>
        <v>291523</v>
      </c>
      <c r="AQ45" s="418">
        <f t="shared" si="10"/>
        <v>291523</v>
      </c>
      <c r="AR45" s="68">
        <f t="shared" si="11"/>
        <v>98535</v>
      </c>
      <c r="AS45" s="68">
        <f t="shared" si="12"/>
        <v>2915</v>
      </c>
      <c r="AT45" s="418">
        <v>0</v>
      </c>
      <c r="AU45" s="418">
        <v>1836</v>
      </c>
      <c r="AV45" s="418">
        <f t="shared" si="13"/>
        <v>1836</v>
      </c>
      <c r="AW45" s="418">
        <f t="shared" si="14"/>
        <v>394809</v>
      </c>
      <c r="AX45" s="419">
        <v>0</v>
      </c>
      <c r="AY45" s="419">
        <v>0</v>
      </c>
      <c r="AZ45" s="419">
        <v>0</v>
      </c>
      <c r="BA45" s="419">
        <v>0</v>
      </c>
      <c r="BB45" s="419">
        <v>0.87</v>
      </c>
      <c r="BC45" s="419">
        <v>0</v>
      </c>
      <c r="BD45" s="419">
        <v>0</v>
      </c>
      <c r="BE45" s="419">
        <v>0</v>
      </c>
      <c r="BF45" s="419">
        <f t="shared" si="15"/>
        <v>0</v>
      </c>
      <c r="BG45" s="419">
        <f t="shared" si="16"/>
        <v>0.87</v>
      </c>
      <c r="BH45" s="421">
        <f t="shared" si="17"/>
        <v>0.87</v>
      </c>
      <c r="BI45" s="780">
        <f>I45+AW45</f>
        <v>1183786</v>
      </c>
      <c r="BJ45" s="418">
        <f>J45+AF45</f>
        <v>874013</v>
      </c>
      <c r="BK45" s="418">
        <f t="shared" si="56"/>
        <v>0</v>
      </c>
      <c r="BL45" s="418">
        <f t="shared" si="56"/>
        <v>874013</v>
      </c>
      <c r="BM45" s="418">
        <f>M45+AN45</f>
        <v>0</v>
      </c>
      <c r="BN45" s="418">
        <f t="shared" si="57"/>
        <v>0</v>
      </c>
      <c r="BO45" s="418">
        <f t="shared" si="57"/>
        <v>0</v>
      </c>
      <c r="BP45" s="418">
        <f t="shared" si="58"/>
        <v>295417</v>
      </c>
      <c r="BQ45" s="418">
        <f t="shared" si="58"/>
        <v>8740</v>
      </c>
      <c r="BR45" s="418">
        <f>R45+AV45</f>
        <v>5616</v>
      </c>
      <c r="BS45" s="419">
        <f>S45+BH45</f>
        <v>2.6166999999999998</v>
      </c>
      <c r="BT45" s="419">
        <f t="shared" si="59"/>
        <v>0</v>
      </c>
      <c r="BU45" s="421">
        <f t="shared" si="59"/>
        <v>2.6166999999999998</v>
      </c>
      <c r="BV45" s="420"/>
      <c r="BW45" s="415"/>
      <c r="BX45" s="415"/>
      <c r="BY45" s="415"/>
      <c r="BZ45" s="415"/>
      <c r="CA45" s="510"/>
    </row>
    <row r="46" spans="1:79" ht="14.1" customHeight="1" x14ac:dyDescent="0.2">
      <c r="A46" s="72">
        <v>9</v>
      </c>
      <c r="B46" s="69">
        <v>2327</v>
      </c>
      <c r="C46" s="70">
        <v>691002606</v>
      </c>
      <c r="D46" s="69">
        <v>72076950</v>
      </c>
      <c r="E46" s="71" t="s">
        <v>551</v>
      </c>
      <c r="F46" s="72"/>
      <c r="G46" s="71"/>
      <c r="H46" s="73"/>
      <c r="I46" s="517">
        <v>11020883</v>
      </c>
      <c r="J46" s="74">
        <v>8151335</v>
      </c>
      <c r="K46" s="74">
        <v>6983626</v>
      </c>
      <c r="L46" s="74">
        <v>1167709</v>
      </c>
      <c r="M46" s="74">
        <v>0</v>
      </c>
      <c r="N46" s="74">
        <v>0</v>
      </c>
      <c r="O46" s="74">
        <v>0</v>
      </c>
      <c r="P46" s="74">
        <v>2755152</v>
      </c>
      <c r="Q46" s="74">
        <v>81513</v>
      </c>
      <c r="R46" s="74">
        <v>32883</v>
      </c>
      <c r="S46" s="75">
        <v>16.4498</v>
      </c>
      <c r="T46" s="75">
        <v>12.7096</v>
      </c>
      <c r="U46" s="658">
        <v>3.7401999999999997</v>
      </c>
      <c r="V46" s="517">
        <f t="shared" ref="V46:BU46" si="60">SUM(V43:V45)</f>
        <v>0</v>
      </c>
      <c r="W46" s="74">
        <f t="shared" si="60"/>
        <v>0</v>
      </c>
      <c r="X46" s="74">
        <f t="shared" si="60"/>
        <v>0</v>
      </c>
      <c r="Y46" s="74">
        <f t="shared" si="60"/>
        <v>0</v>
      </c>
      <c r="Z46" s="74">
        <f t="shared" si="60"/>
        <v>0</v>
      </c>
      <c r="AA46" s="74">
        <f t="shared" si="60"/>
        <v>291523</v>
      </c>
      <c r="AB46" s="74">
        <f t="shared" si="60"/>
        <v>0</v>
      </c>
      <c r="AC46" s="74">
        <f t="shared" si="60"/>
        <v>0</v>
      </c>
      <c r="AD46" s="74">
        <f t="shared" si="60"/>
        <v>0</v>
      </c>
      <c r="AE46" s="74">
        <f t="shared" si="60"/>
        <v>291523</v>
      </c>
      <c r="AF46" s="74">
        <f t="shared" si="60"/>
        <v>291523</v>
      </c>
      <c r="AG46" s="74">
        <f t="shared" si="60"/>
        <v>0</v>
      </c>
      <c r="AH46" s="74">
        <f t="shared" si="60"/>
        <v>0</v>
      </c>
      <c r="AI46" s="74">
        <f t="shared" si="60"/>
        <v>0</v>
      </c>
      <c r="AJ46" s="74">
        <f t="shared" si="60"/>
        <v>0</v>
      </c>
      <c r="AK46" s="74">
        <f t="shared" si="60"/>
        <v>0</v>
      </c>
      <c r="AL46" s="74">
        <f t="shared" si="60"/>
        <v>0</v>
      </c>
      <c r="AM46" s="74">
        <f t="shared" si="60"/>
        <v>0</v>
      </c>
      <c r="AN46" s="74">
        <f t="shared" si="60"/>
        <v>0</v>
      </c>
      <c r="AO46" s="74">
        <f t="shared" si="60"/>
        <v>0</v>
      </c>
      <c r="AP46" s="74">
        <f t="shared" si="60"/>
        <v>291523</v>
      </c>
      <c r="AQ46" s="74">
        <f t="shared" si="60"/>
        <v>291523</v>
      </c>
      <c r="AR46" s="74">
        <f t="shared" si="60"/>
        <v>98535</v>
      </c>
      <c r="AS46" s="74">
        <f t="shared" si="60"/>
        <v>2915</v>
      </c>
      <c r="AT46" s="74">
        <f t="shared" si="60"/>
        <v>0</v>
      </c>
      <c r="AU46" s="74">
        <f t="shared" si="60"/>
        <v>1836</v>
      </c>
      <c r="AV46" s="74">
        <f t="shared" si="60"/>
        <v>1836</v>
      </c>
      <c r="AW46" s="74">
        <f t="shared" si="60"/>
        <v>394809</v>
      </c>
      <c r="AX46" s="75">
        <f t="shared" si="60"/>
        <v>0</v>
      </c>
      <c r="AY46" s="75">
        <f t="shared" si="60"/>
        <v>0</v>
      </c>
      <c r="AZ46" s="75">
        <f t="shared" si="60"/>
        <v>0</v>
      </c>
      <c r="BA46" s="75">
        <f t="shared" si="60"/>
        <v>0</v>
      </c>
      <c r="BB46" s="75">
        <f t="shared" si="60"/>
        <v>0.87</v>
      </c>
      <c r="BC46" s="75">
        <f t="shared" si="60"/>
        <v>0</v>
      </c>
      <c r="BD46" s="75">
        <f t="shared" si="60"/>
        <v>0</v>
      </c>
      <c r="BE46" s="75">
        <f t="shared" si="60"/>
        <v>0</v>
      </c>
      <c r="BF46" s="75">
        <f t="shared" si="60"/>
        <v>0</v>
      </c>
      <c r="BG46" s="75">
        <f t="shared" si="60"/>
        <v>0.87</v>
      </c>
      <c r="BH46" s="76">
        <f t="shared" si="60"/>
        <v>0.87</v>
      </c>
      <c r="BI46" s="799">
        <f t="shared" si="60"/>
        <v>11415692</v>
      </c>
      <c r="BJ46" s="74">
        <f t="shared" si="60"/>
        <v>8442858</v>
      </c>
      <c r="BK46" s="74">
        <f t="shared" si="60"/>
        <v>6983626</v>
      </c>
      <c r="BL46" s="74">
        <f t="shared" si="60"/>
        <v>1459232</v>
      </c>
      <c r="BM46" s="74">
        <f t="shared" si="60"/>
        <v>0</v>
      </c>
      <c r="BN46" s="74">
        <f t="shared" si="60"/>
        <v>0</v>
      </c>
      <c r="BO46" s="74">
        <f t="shared" si="60"/>
        <v>0</v>
      </c>
      <c r="BP46" s="74">
        <f t="shared" si="60"/>
        <v>2853687</v>
      </c>
      <c r="BQ46" s="74">
        <f t="shared" si="60"/>
        <v>84428</v>
      </c>
      <c r="BR46" s="74">
        <f t="shared" si="60"/>
        <v>34719</v>
      </c>
      <c r="BS46" s="75">
        <f t="shared" si="60"/>
        <v>17.319800000000001</v>
      </c>
      <c r="BT46" s="75">
        <f t="shared" si="60"/>
        <v>12.7096</v>
      </c>
      <c r="BU46" s="76">
        <f t="shared" si="60"/>
        <v>4.6101999999999999</v>
      </c>
      <c r="BV46" s="809">
        <f t="shared" ref="BV46:CA46" si="61">SUM(BV43:BV45)</f>
        <v>0</v>
      </c>
      <c r="BW46" s="684">
        <f t="shared" si="61"/>
        <v>0</v>
      </c>
      <c r="BX46" s="684">
        <f t="shared" si="61"/>
        <v>0</v>
      </c>
      <c r="BY46" s="684">
        <f t="shared" si="61"/>
        <v>0</v>
      </c>
      <c r="BZ46" s="684">
        <f t="shared" si="61"/>
        <v>0</v>
      </c>
      <c r="CA46" s="810">
        <f t="shared" si="61"/>
        <v>0</v>
      </c>
    </row>
    <row r="47" spans="1:79" ht="14.1" customHeight="1" x14ac:dyDescent="0.2">
      <c r="A47" s="66">
        <v>10</v>
      </c>
      <c r="B47" s="63">
        <v>2321</v>
      </c>
      <c r="C47" s="64">
        <v>600079287</v>
      </c>
      <c r="D47" s="63">
        <v>72742976</v>
      </c>
      <c r="E47" s="65" t="s">
        <v>552</v>
      </c>
      <c r="F47" s="66">
        <v>3111</v>
      </c>
      <c r="G47" s="65" t="s">
        <v>290</v>
      </c>
      <c r="H47" s="67" t="s">
        <v>271</v>
      </c>
      <c r="I47" s="420">
        <v>9116947</v>
      </c>
      <c r="J47" s="415">
        <v>6740932</v>
      </c>
      <c r="K47" s="415">
        <v>6081585</v>
      </c>
      <c r="L47" s="415">
        <v>659347</v>
      </c>
      <c r="M47" s="415">
        <v>0</v>
      </c>
      <c r="N47" s="415">
        <v>0</v>
      </c>
      <c r="O47" s="415">
        <v>0</v>
      </c>
      <c r="P47" s="599">
        <v>2278435</v>
      </c>
      <c r="Q47" s="599">
        <v>67409</v>
      </c>
      <c r="R47" s="415">
        <v>30171</v>
      </c>
      <c r="S47" s="416">
        <v>12.7118</v>
      </c>
      <c r="T47" s="416">
        <v>10.451599999999999</v>
      </c>
      <c r="U47" s="423">
        <v>2.2602000000000002</v>
      </c>
      <c r="V47" s="424">
        <f t="shared" si="2"/>
        <v>0</v>
      </c>
      <c r="W47" s="418">
        <f t="shared" si="3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 t="shared" si="4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5"/>
        <v>0</v>
      </c>
      <c r="AM47" s="418">
        <f t="shared" si="6"/>
        <v>0</v>
      </c>
      <c r="AN47" s="418">
        <f t="shared" si="7"/>
        <v>0</v>
      </c>
      <c r="AO47" s="418">
        <f t="shared" si="8"/>
        <v>0</v>
      </c>
      <c r="AP47" s="418">
        <f t="shared" si="9"/>
        <v>0</v>
      </c>
      <c r="AQ47" s="418">
        <f t="shared" si="10"/>
        <v>0</v>
      </c>
      <c r="AR47" s="68">
        <f t="shared" si="11"/>
        <v>0</v>
      </c>
      <c r="AS47" s="68">
        <f t="shared" si="12"/>
        <v>0</v>
      </c>
      <c r="AT47" s="418">
        <v>0</v>
      </c>
      <c r="AU47" s="418">
        <v>0</v>
      </c>
      <c r="AV47" s="418">
        <f t="shared" si="13"/>
        <v>0</v>
      </c>
      <c r="AW47" s="418">
        <f t="shared" si="14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15"/>
        <v>0</v>
      </c>
      <c r="BG47" s="419">
        <f t="shared" si="16"/>
        <v>0</v>
      </c>
      <c r="BH47" s="421">
        <f t="shared" si="17"/>
        <v>0</v>
      </c>
      <c r="BI47" s="780">
        <f>I47+AW47</f>
        <v>9116947</v>
      </c>
      <c r="BJ47" s="418">
        <f>J47+AF47</f>
        <v>6740932</v>
      </c>
      <c r="BK47" s="418">
        <f>K47+AD47</f>
        <v>6081585</v>
      </c>
      <c r="BL47" s="418">
        <f>L47+AE47</f>
        <v>659347</v>
      </c>
      <c r="BM47" s="418">
        <f>M47+AN47</f>
        <v>0</v>
      </c>
      <c r="BN47" s="418">
        <f>N47+AL47</f>
        <v>0</v>
      </c>
      <c r="BO47" s="418">
        <f>O47+AM47</f>
        <v>0</v>
      </c>
      <c r="BP47" s="418">
        <f>P47+AR47</f>
        <v>2278435</v>
      </c>
      <c r="BQ47" s="418">
        <f>Q47+AS47</f>
        <v>67409</v>
      </c>
      <c r="BR47" s="418">
        <f>R47+AV47</f>
        <v>30171</v>
      </c>
      <c r="BS47" s="419">
        <f>S47+BH47</f>
        <v>12.7118</v>
      </c>
      <c r="BT47" s="419">
        <f>T47+BF47</f>
        <v>10.451599999999999</v>
      </c>
      <c r="BU47" s="421">
        <f>U47+BG47</f>
        <v>2.2602000000000002</v>
      </c>
      <c r="BV47" s="420"/>
      <c r="BW47" s="415"/>
      <c r="BX47" s="415"/>
      <c r="BY47" s="415"/>
      <c r="BZ47" s="415"/>
      <c r="CA47" s="510"/>
    </row>
    <row r="48" spans="1:79" ht="14.1" customHeight="1" x14ac:dyDescent="0.2">
      <c r="A48" s="66">
        <v>10</v>
      </c>
      <c r="B48" s="63">
        <v>2321</v>
      </c>
      <c r="C48" s="64">
        <v>600079287</v>
      </c>
      <c r="D48" s="63">
        <v>72742976</v>
      </c>
      <c r="E48" s="65" t="s">
        <v>552</v>
      </c>
      <c r="F48" s="66">
        <v>3141</v>
      </c>
      <c r="G48" s="65" t="s">
        <v>294</v>
      </c>
      <c r="H48" s="67" t="s">
        <v>272</v>
      </c>
      <c r="I48" s="420">
        <v>1004880</v>
      </c>
      <c r="J48" s="415">
        <v>742526</v>
      </c>
      <c r="K48" s="415">
        <v>0</v>
      </c>
      <c r="L48" s="750">
        <v>742526</v>
      </c>
      <c r="M48" s="415">
        <v>0</v>
      </c>
      <c r="N48" s="415">
        <v>0</v>
      </c>
      <c r="O48" s="415">
        <v>0</v>
      </c>
      <c r="P48" s="599">
        <v>250974</v>
      </c>
      <c r="Q48" s="599">
        <v>7425</v>
      </c>
      <c r="R48" s="415">
        <v>3955</v>
      </c>
      <c r="S48" s="416">
        <v>2.2266000000000004</v>
      </c>
      <c r="T48" s="417">
        <v>0</v>
      </c>
      <c r="U48" s="423">
        <v>2.2266000000000004</v>
      </c>
      <c r="V48" s="424">
        <f t="shared" si="2"/>
        <v>0</v>
      </c>
      <c r="W48" s="418">
        <f t="shared" si="3"/>
        <v>0</v>
      </c>
      <c r="X48" s="418">
        <v>0</v>
      </c>
      <c r="Y48" s="418">
        <v>0</v>
      </c>
      <c r="Z48" s="418">
        <v>0</v>
      </c>
      <c r="AA48" s="418">
        <v>369694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369694</v>
      </c>
      <c r="AF48" s="418">
        <f t="shared" si="4"/>
        <v>369694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5"/>
        <v>0</v>
      </c>
      <c r="AM48" s="418">
        <f t="shared" si="6"/>
        <v>0</v>
      </c>
      <c r="AN48" s="418">
        <f t="shared" si="7"/>
        <v>0</v>
      </c>
      <c r="AO48" s="418">
        <f t="shared" si="8"/>
        <v>0</v>
      </c>
      <c r="AP48" s="418">
        <f t="shared" si="9"/>
        <v>369694</v>
      </c>
      <c r="AQ48" s="418">
        <f t="shared" si="10"/>
        <v>369694</v>
      </c>
      <c r="AR48" s="68">
        <f t="shared" si="11"/>
        <v>124957</v>
      </c>
      <c r="AS48" s="68">
        <f t="shared" si="12"/>
        <v>3697</v>
      </c>
      <c r="AT48" s="418">
        <v>0</v>
      </c>
      <c r="AU48" s="418">
        <v>1921</v>
      </c>
      <c r="AV48" s="418">
        <f t="shared" si="13"/>
        <v>1921</v>
      </c>
      <c r="AW48" s="418">
        <f t="shared" si="14"/>
        <v>500269</v>
      </c>
      <c r="AX48" s="419">
        <v>0</v>
      </c>
      <c r="AY48" s="419">
        <v>0</v>
      </c>
      <c r="AZ48" s="419">
        <v>0</v>
      </c>
      <c r="BA48" s="419">
        <v>0</v>
      </c>
      <c r="BB48" s="419">
        <v>1.1100000000000001</v>
      </c>
      <c r="BC48" s="419">
        <v>0</v>
      </c>
      <c r="BD48" s="419">
        <v>0</v>
      </c>
      <c r="BE48" s="419">
        <v>0</v>
      </c>
      <c r="BF48" s="419">
        <f t="shared" si="15"/>
        <v>0</v>
      </c>
      <c r="BG48" s="419">
        <f t="shared" si="16"/>
        <v>1.1100000000000001</v>
      </c>
      <c r="BH48" s="421">
        <f t="shared" si="17"/>
        <v>1.1100000000000001</v>
      </c>
      <c r="BI48" s="780">
        <f>I48+AW48</f>
        <v>1505149</v>
      </c>
      <c r="BJ48" s="418">
        <f>J48+AF48</f>
        <v>1112220</v>
      </c>
      <c r="BK48" s="418">
        <f>K48+AD48</f>
        <v>0</v>
      </c>
      <c r="BL48" s="418">
        <f>L48+AE48</f>
        <v>1112220</v>
      </c>
      <c r="BM48" s="418">
        <f>M48+AN48</f>
        <v>0</v>
      </c>
      <c r="BN48" s="418">
        <f>N48+AL48</f>
        <v>0</v>
      </c>
      <c r="BO48" s="418">
        <f>O48+AM48</f>
        <v>0</v>
      </c>
      <c r="BP48" s="418">
        <f>P48+AR48</f>
        <v>375931</v>
      </c>
      <c r="BQ48" s="418">
        <f>Q48+AS48</f>
        <v>11122</v>
      </c>
      <c r="BR48" s="418">
        <f>R48+AV48</f>
        <v>5876</v>
      </c>
      <c r="BS48" s="419">
        <f>S48+BH48</f>
        <v>3.3366000000000007</v>
      </c>
      <c r="BT48" s="419">
        <f>T48+BF48</f>
        <v>0</v>
      </c>
      <c r="BU48" s="421">
        <f>U48+BG48</f>
        <v>3.3366000000000007</v>
      </c>
      <c r="BV48" s="420"/>
      <c r="BW48" s="415"/>
      <c r="BX48" s="415"/>
      <c r="BY48" s="415"/>
      <c r="BZ48" s="415"/>
      <c r="CA48" s="510"/>
    </row>
    <row r="49" spans="1:79" ht="14.1" customHeight="1" x14ac:dyDescent="0.2">
      <c r="A49" s="72">
        <v>10</v>
      </c>
      <c r="B49" s="69">
        <v>2321</v>
      </c>
      <c r="C49" s="70">
        <v>600079287</v>
      </c>
      <c r="D49" s="69">
        <v>72742976</v>
      </c>
      <c r="E49" s="71" t="s">
        <v>553</v>
      </c>
      <c r="F49" s="72"/>
      <c r="G49" s="71"/>
      <c r="H49" s="73"/>
      <c r="I49" s="517">
        <v>10121827</v>
      </c>
      <c r="J49" s="74">
        <v>7483458</v>
      </c>
      <c r="K49" s="74">
        <v>6081585</v>
      </c>
      <c r="L49" s="74">
        <v>1401873</v>
      </c>
      <c r="M49" s="74">
        <v>0</v>
      </c>
      <c r="N49" s="74">
        <v>0</v>
      </c>
      <c r="O49" s="74">
        <v>0</v>
      </c>
      <c r="P49" s="74">
        <v>2529409</v>
      </c>
      <c r="Q49" s="74">
        <v>74834</v>
      </c>
      <c r="R49" s="74">
        <v>34126</v>
      </c>
      <c r="S49" s="75">
        <v>14.938400000000001</v>
      </c>
      <c r="T49" s="75">
        <v>10.451599999999999</v>
      </c>
      <c r="U49" s="658">
        <v>4.4868000000000006</v>
      </c>
      <c r="V49" s="517">
        <f t="shared" ref="V49:BU49" si="62">SUM(V47:V48)</f>
        <v>0</v>
      </c>
      <c r="W49" s="74">
        <f t="shared" si="62"/>
        <v>0</v>
      </c>
      <c r="X49" s="74">
        <f t="shared" si="62"/>
        <v>0</v>
      </c>
      <c r="Y49" s="74">
        <f t="shared" si="62"/>
        <v>0</v>
      </c>
      <c r="Z49" s="74">
        <f t="shared" si="62"/>
        <v>0</v>
      </c>
      <c r="AA49" s="74">
        <f t="shared" si="62"/>
        <v>369694</v>
      </c>
      <c r="AB49" s="74">
        <f t="shared" si="62"/>
        <v>0</v>
      </c>
      <c r="AC49" s="74">
        <f t="shared" si="62"/>
        <v>0</v>
      </c>
      <c r="AD49" s="74">
        <f t="shared" si="62"/>
        <v>0</v>
      </c>
      <c r="AE49" s="74">
        <f t="shared" si="62"/>
        <v>369694</v>
      </c>
      <c r="AF49" s="74">
        <f t="shared" si="62"/>
        <v>369694</v>
      </c>
      <c r="AG49" s="74">
        <f t="shared" si="62"/>
        <v>0</v>
      </c>
      <c r="AH49" s="74">
        <f t="shared" si="62"/>
        <v>0</v>
      </c>
      <c r="AI49" s="74">
        <f t="shared" si="62"/>
        <v>0</v>
      </c>
      <c r="AJ49" s="74">
        <f t="shared" si="62"/>
        <v>0</v>
      </c>
      <c r="AK49" s="74">
        <f t="shared" si="62"/>
        <v>0</v>
      </c>
      <c r="AL49" s="74">
        <f t="shared" si="62"/>
        <v>0</v>
      </c>
      <c r="AM49" s="74">
        <f t="shared" si="62"/>
        <v>0</v>
      </c>
      <c r="AN49" s="74">
        <f t="shared" si="62"/>
        <v>0</v>
      </c>
      <c r="AO49" s="74">
        <f t="shared" si="62"/>
        <v>0</v>
      </c>
      <c r="AP49" s="74">
        <f t="shared" si="62"/>
        <v>369694</v>
      </c>
      <c r="AQ49" s="74">
        <f t="shared" si="62"/>
        <v>369694</v>
      </c>
      <c r="AR49" s="74">
        <f t="shared" si="62"/>
        <v>124957</v>
      </c>
      <c r="AS49" s="74">
        <f t="shared" si="62"/>
        <v>3697</v>
      </c>
      <c r="AT49" s="74">
        <f t="shared" si="62"/>
        <v>0</v>
      </c>
      <c r="AU49" s="74">
        <f t="shared" si="62"/>
        <v>1921</v>
      </c>
      <c r="AV49" s="74">
        <f t="shared" si="62"/>
        <v>1921</v>
      </c>
      <c r="AW49" s="74">
        <f t="shared" si="62"/>
        <v>500269</v>
      </c>
      <c r="AX49" s="75">
        <f t="shared" si="62"/>
        <v>0</v>
      </c>
      <c r="AY49" s="75">
        <f t="shared" si="62"/>
        <v>0</v>
      </c>
      <c r="AZ49" s="75">
        <f t="shared" si="62"/>
        <v>0</v>
      </c>
      <c r="BA49" s="75">
        <f t="shared" si="62"/>
        <v>0</v>
      </c>
      <c r="BB49" s="75">
        <f t="shared" si="62"/>
        <v>1.1100000000000001</v>
      </c>
      <c r="BC49" s="75">
        <f t="shared" si="62"/>
        <v>0</v>
      </c>
      <c r="BD49" s="75">
        <f t="shared" si="62"/>
        <v>0</v>
      </c>
      <c r="BE49" s="75">
        <f t="shared" si="62"/>
        <v>0</v>
      </c>
      <c r="BF49" s="75">
        <f t="shared" si="62"/>
        <v>0</v>
      </c>
      <c r="BG49" s="75">
        <f t="shared" si="62"/>
        <v>1.1100000000000001</v>
      </c>
      <c r="BH49" s="76">
        <f t="shared" si="62"/>
        <v>1.1100000000000001</v>
      </c>
      <c r="BI49" s="799">
        <f t="shared" si="62"/>
        <v>10622096</v>
      </c>
      <c r="BJ49" s="74">
        <f t="shared" si="62"/>
        <v>7853152</v>
      </c>
      <c r="BK49" s="74">
        <f t="shared" si="62"/>
        <v>6081585</v>
      </c>
      <c r="BL49" s="74">
        <f t="shared" si="62"/>
        <v>1771567</v>
      </c>
      <c r="BM49" s="74">
        <f t="shared" si="62"/>
        <v>0</v>
      </c>
      <c r="BN49" s="74">
        <f t="shared" si="62"/>
        <v>0</v>
      </c>
      <c r="BO49" s="74">
        <f t="shared" si="62"/>
        <v>0</v>
      </c>
      <c r="BP49" s="74">
        <f t="shared" si="62"/>
        <v>2654366</v>
      </c>
      <c r="BQ49" s="74">
        <f t="shared" si="62"/>
        <v>78531</v>
      </c>
      <c r="BR49" s="74">
        <f t="shared" si="62"/>
        <v>36047</v>
      </c>
      <c r="BS49" s="75">
        <f t="shared" si="62"/>
        <v>16.048400000000001</v>
      </c>
      <c r="BT49" s="75">
        <f t="shared" si="62"/>
        <v>10.451599999999999</v>
      </c>
      <c r="BU49" s="76">
        <f t="shared" si="62"/>
        <v>5.5968000000000009</v>
      </c>
      <c r="BV49" s="809">
        <f t="shared" ref="BV49:CA49" si="63">SUM(BV47:BV48)</f>
        <v>0</v>
      </c>
      <c r="BW49" s="684">
        <f t="shared" si="63"/>
        <v>0</v>
      </c>
      <c r="BX49" s="684">
        <f t="shared" si="63"/>
        <v>0</v>
      </c>
      <c r="BY49" s="684">
        <f t="shared" si="63"/>
        <v>0</v>
      </c>
      <c r="BZ49" s="684">
        <f t="shared" si="63"/>
        <v>0</v>
      </c>
      <c r="CA49" s="810">
        <f t="shared" si="63"/>
        <v>0</v>
      </c>
    </row>
    <row r="50" spans="1:79" ht="14.1" customHeight="1" x14ac:dyDescent="0.2">
      <c r="A50" s="66">
        <v>11</v>
      </c>
      <c r="B50" s="63">
        <v>2423</v>
      </c>
      <c r="C50" s="64">
        <v>600079368</v>
      </c>
      <c r="D50" s="63">
        <v>72742828</v>
      </c>
      <c r="E50" s="65" t="s">
        <v>554</v>
      </c>
      <c r="F50" s="66">
        <v>3111</v>
      </c>
      <c r="G50" s="65" t="s">
        <v>290</v>
      </c>
      <c r="H50" s="67" t="s">
        <v>271</v>
      </c>
      <c r="I50" s="420">
        <v>3772411</v>
      </c>
      <c r="J50" s="415">
        <v>2749314</v>
      </c>
      <c r="K50" s="415">
        <v>2554194</v>
      </c>
      <c r="L50" s="415">
        <v>195120</v>
      </c>
      <c r="M50" s="415">
        <v>40000</v>
      </c>
      <c r="N50" s="415">
        <v>0</v>
      </c>
      <c r="O50" s="415">
        <v>40000</v>
      </c>
      <c r="P50" s="599">
        <v>942788</v>
      </c>
      <c r="Q50" s="599">
        <v>27493</v>
      </c>
      <c r="R50" s="415">
        <v>12816</v>
      </c>
      <c r="S50" s="416">
        <v>4.9558999999999997</v>
      </c>
      <c r="T50" s="416">
        <v>4.2257999999999996</v>
      </c>
      <c r="U50" s="423">
        <v>0.73009999999999997</v>
      </c>
      <c r="V50" s="424">
        <f t="shared" si="2"/>
        <v>0</v>
      </c>
      <c r="W50" s="418">
        <f t="shared" si="3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 t="shared" si="4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5"/>
        <v>0</v>
      </c>
      <c r="AM50" s="418">
        <f t="shared" si="6"/>
        <v>0</v>
      </c>
      <c r="AN50" s="418">
        <f t="shared" si="7"/>
        <v>0</v>
      </c>
      <c r="AO50" s="418">
        <f t="shared" si="8"/>
        <v>0</v>
      </c>
      <c r="AP50" s="418">
        <f t="shared" si="9"/>
        <v>0</v>
      </c>
      <c r="AQ50" s="418">
        <f t="shared" si="10"/>
        <v>0</v>
      </c>
      <c r="AR50" s="68">
        <f t="shared" si="11"/>
        <v>0</v>
      </c>
      <c r="AS50" s="68">
        <f t="shared" si="12"/>
        <v>0</v>
      </c>
      <c r="AT50" s="418">
        <v>0</v>
      </c>
      <c r="AU50" s="418">
        <v>0</v>
      </c>
      <c r="AV50" s="418">
        <f t="shared" si="13"/>
        <v>0</v>
      </c>
      <c r="AW50" s="418">
        <f t="shared" si="14"/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si="15"/>
        <v>0</v>
      </c>
      <c r="BG50" s="419">
        <f t="shared" si="16"/>
        <v>0</v>
      </c>
      <c r="BH50" s="421">
        <f t="shared" si="17"/>
        <v>0</v>
      </c>
      <c r="BI50" s="780">
        <f>I50+AW50</f>
        <v>3772411</v>
      </c>
      <c r="BJ50" s="418">
        <f>J50+AF50</f>
        <v>2749314</v>
      </c>
      <c r="BK50" s="418">
        <f>K50+AD50</f>
        <v>2554194</v>
      </c>
      <c r="BL50" s="418">
        <f>L50+AE50</f>
        <v>195120</v>
      </c>
      <c r="BM50" s="418">
        <f>M50+AN50</f>
        <v>40000</v>
      </c>
      <c r="BN50" s="418">
        <f>N50+AL50</f>
        <v>0</v>
      </c>
      <c r="BO50" s="418">
        <f>O50+AM50</f>
        <v>40000</v>
      </c>
      <c r="BP50" s="418">
        <f>P50+AR50</f>
        <v>942788</v>
      </c>
      <c r="BQ50" s="418">
        <f>Q50+AS50</f>
        <v>27493</v>
      </c>
      <c r="BR50" s="418">
        <f>R50+AV50</f>
        <v>12816</v>
      </c>
      <c r="BS50" s="419">
        <f>S50+BH50</f>
        <v>4.9558999999999997</v>
      </c>
      <c r="BT50" s="419">
        <f>T50+BF50</f>
        <v>4.2257999999999996</v>
      </c>
      <c r="BU50" s="421">
        <f>U50+BG50</f>
        <v>0.73009999999999997</v>
      </c>
      <c r="BV50" s="420"/>
      <c r="BW50" s="415"/>
      <c r="BX50" s="415"/>
      <c r="BY50" s="415"/>
      <c r="BZ50" s="415"/>
      <c r="CA50" s="510"/>
    </row>
    <row r="51" spans="1:79" ht="14.1" customHeight="1" x14ac:dyDescent="0.2">
      <c r="A51" s="66">
        <v>11</v>
      </c>
      <c r="B51" s="63">
        <v>2423</v>
      </c>
      <c r="C51" s="64">
        <v>600079368</v>
      </c>
      <c r="D51" s="63">
        <v>72742828</v>
      </c>
      <c r="E51" s="65" t="s">
        <v>554</v>
      </c>
      <c r="F51" s="66">
        <v>3141</v>
      </c>
      <c r="G51" s="65" t="s">
        <v>294</v>
      </c>
      <c r="H51" s="67" t="s">
        <v>272</v>
      </c>
      <c r="I51" s="420">
        <v>451211</v>
      </c>
      <c r="J51" s="415">
        <v>333480</v>
      </c>
      <c r="K51" s="415">
        <v>0</v>
      </c>
      <c r="L51" s="750">
        <v>333480</v>
      </c>
      <c r="M51" s="415">
        <v>0</v>
      </c>
      <c r="N51" s="204">
        <v>0</v>
      </c>
      <c r="O51" s="204">
        <v>0</v>
      </c>
      <c r="P51" s="599">
        <v>112716</v>
      </c>
      <c r="Q51" s="599">
        <v>3335</v>
      </c>
      <c r="R51" s="605">
        <v>1680</v>
      </c>
      <c r="S51" s="416">
        <v>1</v>
      </c>
      <c r="T51" s="607">
        <v>0</v>
      </c>
      <c r="U51" s="737">
        <v>1</v>
      </c>
      <c r="V51" s="424">
        <f t="shared" si="2"/>
        <v>0</v>
      </c>
      <c r="W51" s="418">
        <f t="shared" si="3"/>
        <v>0</v>
      </c>
      <c r="X51" s="418">
        <v>0</v>
      </c>
      <c r="Y51" s="418">
        <v>0</v>
      </c>
      <c r="Z51" s="418">
        <v>0</v>
      </c>
      <c r="AA51" s="418">
        <v>166576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166576</v>
      </c>
      <c r="AF51" s="418">
        <f t="shared" si="4"/>
        <v>166576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5"/>
        <v>0</v>
      </c>
      <c r="AM51" s="418">
        <f t="shared" si="6"/>
        <v>0</v>
      </c>
      <c r="AN51" s="418">
        <f t="shared" si="7"/>
        <v>0</v>
      </c>
      <c r="AO51" s="418">
        <f t="shared" si="8"/>
        <v>0</v>
      </c>
      <c r="AP51" s="418">
        <f t="shared" si="9"/>
        <v>166576</v>
      </c>
      <c r="AQ51" s="418">
        <f t="shared" si="10"/>
        <v>166576</v>
      </c>
      <c r="AR51" s="68">
        <f t="shared" si="11"/>
        <v>56303</v>
      </c>
      <c r="AS51" s="68">
        <f t="shared" si="12"/>
        <v>1666</v>
      </c>
      <c r="AT51" s="418">
        <v>0</v>
      </c>
      <c r="AU51" s="418">
        <v>816</v>
      </c>
      <c r="AV51" s="418">
        <f t="shared" si="13"/>
        <v>816</v>
      </c>
      <c r="AW51" s="418">
        <f t="shared" si="14"/>
        <v>225361</v>
      </c>
      <c r="AX51" s="419">
        <v>0</v>
      </c>
      <c r="AY51" s="419">
        <v>0</v>
      </c>
      <c r="AZ51" s="419">
        <v>0</v>
      </c>
      <c r="BA51" s="419">
        <v>0</v>
      </c>
      <c r="BB51" s="419">
        <v>0.5</v>
      </c>
      <c r="BC51" s="419">
        <v>0</v>
      </c>
      <c r="BD51" s="419">
        <v>0</v>
      </c>
      <c r="BE51" s="419">
        <v>0</v>
      </c>
      <c r="BF51" s="419">
        <f t="shared" si="15"/>
        <v>0</v>
      </c>
      <c r="BG51" s="419">
        <f t="shared" si="16"/>
        <v>0.5</v>
      </c>
      <c r="BH51" s="421">
        <f t="shared" si="17"/>
        <v>0.5</v>
      </c>
      <c r="BI51" s="780">
        <f>I51+AW51</f>
        <v>676572</v>
      </c>
      <c r="BJ51" s="418">
        <f>J51+AF51</f>
        <v>500056</v>
      </c>
      <c r="BK51" s="418">
        <f>K51+AD51</f>
        <v>0</v>
      </c>
      <c r="BL51" s="418">
        <f>L51+AE51</f>
        <v>500056</v>
      </c>
      <c r="BM51" s="418">
        <f>M51+AN51</f>
        <v>0</v>
      </c>
      <c r="BN51" s="418">
        <f>N51+AL51</f>
        <v>0</v>
      </c>
      <c r="BO51" s="418">
        <f>O51+AM51</f>
        <v>0</v>
      </c>
      <c r="BP51" s="418">
        <f>P51+AR51</f>
        <v>169019</v>
      </c>
      <c r="BQ51" s="418">
        <f>Q51+AS51</f>
        <v>5001</v>
      </c>
      <c r="BR51" s="418">
        <f>R51+AV51</f>
        <v>2496</v>
      </c>
      <c r="BS51" s="419">
        <f>S51+BH51</f>
        <v>1.5</v>
      </c>
      <c r="BT51" s="419">
        <f>T51+BF51</f>
        <v>0</v>
      </c>
      <c r="BU51" s="421">
        <f>U51+BG51</f>
        <v>1.5</v>
      </c>
      <c r="BV51" s="420"/>
      <c r="BW51" s="415"/>
      <c r="BX51" s="415"/>
      <c r="BY51" s="415"/>
      <c r="BZ51" s="415"/>
      <c r="CA51" s="510"/>
    </row>
    <row r="52" spans="1:79" ht="14.1" customHeight="1" x14ac:dyDescent="0.2">
      <c r="A52" s="72">
        <v>11</v>
      </c>
      <c r="B52" s="69">
        <v>2423</v>
      </c>
      <c r="C52" s="70">
        <v>600079368</v>
      </c>
      <c r="D52" s="69">
        <v>72742828</v>
      </c>
      <c r="E52" s="71" t="s">
        <v>555</v>
      </c>
      <c r="F52" s="72"/>
      <c r="G52" s="71"/>
      <c r="H52" s="73"/>
      <c r="I52" s="517">
        <v>4223622</v>
      </c>
      <c r="J52" s="74">
        <v>3082794</v>
      </c>
      <c r="K52" s="74">
        <v>2554194</v>
      </c>
      <c r="L52" s="74">
        <v>528600</v>
      </c>
      <c r="M52" s="74">
        <v>40000</v>
      </c>
      <c r="N52" s="74">
        <v>0</v>
      </c>
      <c r="O52" s="74">
        <v>40000</v>
      </c>
      <c r="P52" s="74">
        <v>1055504</v>
      </c>
      <c r="Q52" s="74">
        <v>30828</v>
      </c>
      <c r="R52" s="74">
        <v>14496</v>
      </c>
      <c r="S52" s="75">
        <v>5.9558999999999997</v>
      </c>
      <c r="T52" s="75">
        <v>4.2257999999999996</v>
      </c>
      <c r="U52" s="658">
        <v>1.7301</v>
      </c>
      <c r="V52" s="517">
        <f t="shared" ref="V52:BU52" si="64">SUM(V50:V51)</f>
        <v>0</v>
      </c>
      <c r="W52" s="74">
        <f t="shared" si="64"/>
        <v>0</v>
      </c>
      <c r="X52" s="74">
        <f t="shared" si="64"/>
        <v>0</v>
      </c>
      <c r="Y52" s="74">
        <f t="shared" si="64"/>
        <v>0</v>
      </c>
      <c r="Z52" s="74">
        <f t="shared" si="64"/>
        <v>0</v>
      </c>
      <c r="AA52" s="74">
        <f t="shared" si="64"/>
        <v>166576</v>
      </c>
      <c r="AB52" s="74">
        <f t="shared" si="64"/>
        <v>0</v>
      </c>
      <c r="AC52" s="74">
        <f t="shared" si="64"/>
        <v>0</v>
      </c>
      <c r="AD52" s="74">
        <f t="shared" si="64"/>
        <v>0</v>
      </c>
      <c r="AE52" s="74">
        <f t="shared" si="64"/>
        <v>166576</v>
      </c>
      <c r="AF52" s="74">
        <f t="shared" si="64"/>
        <v>166576</v>
      </c>
      <c r="AG52" s="74">
        <f t="shared" si="64"/>
        <v>0</v>
      </c>
      <c r="AH52" s="74">
        <f t="shared" si="64"/>
        <v>0</v>
      </c>
      <c r="AI52" s="74">
        <f t="shared" si="64"/>
        <v>0</v>
      </c>
      <c r="AJ52" s="74">
        <f t="shared" si="64"/>
        <v>0</v>
      </c>
      <c r="AK52" s="74">
        <f t="shared" si="64"/>
        <v>0</v>
      </c>
      <c r="AL52" s="74">
        <f t="shared" si="64"/>
        <v>0</v>
      </c>
      <c r="AM52" s="74">
        <f t="shared" si="64"/>
        <v>0</v>
      </c>
      <c r="AN52" s="74">
        <f t="shared" si="64"/>
        <v>0</v>
      </c>
      <c r="AO52" s="74">
        <f t="shared" si="64"/>
        <v>0</v>
      </c>
      <c r="AP52" s="74">
        <f t="shared" si="64"/>
        <v>166576</v>
      </c>
      <c r="AQ52" s="74">
        <f t="shared" si="64"/>
        <v>166576</v>
      </c>
      <c r="AR52" s="74">
        <f t="shared" si="64"/>
        <v>56303</v>
      </c>
      <c r="AS52" s="74">
        <f t="shared" si="64"/>
        <v>1666</v>
      </c>
      <c r="AT52" s="74">
        <f t="shared" si="64"/>
        <v>0</v>
      </c>
      <c r="AU52" s="74">
        <f t="shared" si="64"/>
        <v>816</v>
      </c>
      <c r="AV52" s="74">
        <f t="shared" si="64"/>
        <v>816</v>
      </c>
      <c r="AW52" s="74">
        <f t="shared" si="64"/>
        <v>225361</v>
      </c>
      <c r="AX52" s="75">
        <f t="shared" si="64"/>
        <v>0</v>
      </c>
      <c r="AY52" s="75">
        <f t="shared" si="64"/>
        <v>0</v>
      </c>
      <c r="AZ52" s="75">
        <f t="shared" si="64"/>
        <v>0</v>
      </c>
      <c r="BA52" s="75">
        <f t="shared" si="64"/>
        <v>0</v>
      </c>
      <c r="BB52" s="75">
        <f t="shared" si="64"/>
        <v>0.5</v>
      </c>
      <c r="BC52" s="75">
        <f t="shared" si="64"/>
        <v>0</v>
      </c>
      <c r="BD52" s="75">
        <f t="shared" si="64"/>
        <v>0</v>
      </c>
      <c r="BE52" s="75">
        <f t="shared" si="64"/>
        <v>0</v>
      </c>
      <c r="BF52" s="75">
        <f t="shared" si="64"/>
        <v>0</v>
      </c>
      <c r="BG52" s="75">
        <f t="shared" si="64"/>
        <v>0.5</v>
      </c>
      <c r="BH52" s="76">
        <f t="shared" si="64"/>
        <v>0.5</v>
      </c>
      <c r="BI52" s="799">
        <f t="shared" si="64"/>
        <v>4448983</v>
      </c>
      <c r="BJ52" s="74">
        <f t="shared" si="64"/>
        <v>3249370</v>
      </c>
      <c r="BK52" s="74">
        <f t="shared" si="64"/>
        <v>2554194</v>
      </c>
      <c r="BL52" s="74">
        <f t="shared" si="64"/>
        <v>695176</v>
      </c>
      <c r="BM52" s="74">
        <f t="shared" si="64"/>
        <v>40000</v>
      </c>
      <c r="BN52" s="74">
        <f t="shared" si="64"/>
        <v>0</v>
      </c>
      <c r="BO52" s="74">
        <f t="shared" si="64"/>
        <v>40000</v>
      </c>
      <c r="BP52" s="74">
        <f t="shared" si="64"/>
        <v>1111807</v>
      </c>
      <c r="BQ52" s="74">
        <f t="shared" si="64"/>
        <v>32494</v>
      </c>
      <c r="BR52" s="74">
        <f t="shared" si="64"/>
        <v>15312</v>
      </c>
      <c r="BS52" s="75">
        <f t="shared" si="64"/>
        <v>6.4558999999999997</v>
      </c>
      <c r="BT52" s="75">
        <f t="shared" si="64"/>
        <v>4.2257999999999996</v>
      </c>
      <c r="BU52" s="76">
        <f t="shared" si="64"/>
        <v>2.2301000000000002</v>
      </c>
      <c r="BV52" s="809">
        <f t="shared" ref="BV52:CA52" si="65">SUM(BV50:BV51)</f>
        <v>0</v>
      </c>
      <c r="BW52" s="684">
        <f t="shared" si="65"/>
        <v>0</v>
      </c>
      <c r="BX52" s="684">
        <f t="shared" si="65"/>
        <v>0</v>
      </c>
      <c r="BY52" s="684">
        <f t="shared" si="65"/>
        <v>0</v>
      </c>
      <c r="BZ52" s="684">
        <f t="shared" si="65"/>
        <v>0</v>
      </c>
      <c r="CA52" s="810">
        <f t="shared" si="65"/>
        <v>0</v>
      </c>
    </row>
    <row r="53" spans="1:79" ht="14.1" customHeight="1" x14ac:dyDescent="0.2">
      <c r="A53" s="66">
        <v>12</v>
      </c>
      <c r="B53" s="63">
        <v>2428</v>
      </c>
      <c r="C53" s="64">
        <v>600079112</v>
      </c>
      <c r="D53" s="63">
        <v>72743140</v>
      </c>
      <c r="E53" s="65" t="s">
        <v>556</v>
      </c>
      <c r="F53" s="66">
        <v>3111</v>
      </c>
      <c r="G53" s="65" t="s">
        <v>290</v>
      </c>
      <c r="H53" s="67" t="s">
        <v>271</v>
      </c>
      <c r="I53" s="420">
        <v>7601142</v>
      </c>
      <c r="J53" s="415">
        <v>5620607</v>
      </c>
      <c r="K53" s="415">
        <v>5150405</v>
      </c>
      <c r="L53" s="415">
        <v>470202</v>
      </c>
      <c r="M53" s="415">
        <v>0</v>
      </c>
      <c r="N53" s="415">
        <v>0</v>
      </c>
      <c r="O53" s="415">
        <v>0</v>
      </c>
      <c r="P53" s="599">
        <v>1899765</v>
      </c>
      <c r="Q53" s="599">
        <v>56206</v>
      </c>
      <c r="R53" s="415">
        <v>24564</v>
      </c>
      <c r="S53" s="416">
        <v>10.3743</v>
      </c>
      <c r="T53" s="416">
        <v>8.7742000000000004</v>
      </c>
      <c r="U53" s="423">
        <v>1.6000999999999999</v>
      </c>
      <c r="V53" s="424">
        <f t="shared" si="2"/>
        <v>0</v>
      </c>
      <c r="W53" s="418">
        <f t="shared" si="3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 t="shared" si="4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5"/>
        <v>0</v>
      </c>
      <c r="AM53" s="418">
        <f t="shared" si="6"/>
        <v>0</v>
      </c>
      <c r="AN53" s="418">
        <f t="shared" si="7"/>
        <v>0</v>
      </c>
      <c r="AO53" s="418">
        <f t="shared" si="8"/>
        <v>0</v>
      </c>
      <c r="AP53" s="418">
        <f t="shared" si="9"/>
        <v>0</v>
      </c>
      <c r="AQ53" s="418">
        <f t="shared" si="10"/>
        <v>0</v>
      </c>
      <c r="AR53" s="68">
        <f t="shared" si="11"/>
        <v>0</v>
      </c>
      <c r="AS53" s="68">
        <f t="shared" si="12"/>
        <v>0</v>
      </c>
      <c r="AT53" s="418">
        <v>0</v>
      </c>
      <c r="AU53" s="418">
        <v>0</v>
      </c>
      <c r="AV53" s="418">
        <f t="shared" si="13"/>
        <v>0</v>
      </c>
      <c r="AW53" s="418">
        <f t="shared" si="14"/>
        <v>0</v>
      </c>
      <c r="AX53" s="419">
        <v>0</v>
      </c>
      <c r="AY53" s="419">
        <v>0</v>
      </c>
      <c r="AZ53" s="419">
        <v>0</v>
      </c>
      <c r="BA53" s="419">
        <v>0</v>
      </c>
      <c r="BB53" s="419">
        <v>0</v>
      </c>
      <c r="BC53" s="419">
        <v>0</v>
      </c>
      <c r="BD53" s="419">
        <v>0</v>
      </c>
      <c r="BE53" s="419">
        <v>0</v>
      </c>
      <c r="BF53" s="419">
        <f t="shared" si="15"/>
        <v>0</v>
      </c>
      <c r="BG53" s="419">
        <f t="shared" si="16"/>
        <v>0</v>
      </c>
      <c r="BH53" s="421">
        <f t="shared" si="17"/>
        <v>0</v>
      </c>
      <c r="BI53" s="780">
        <f>I53+AW53</f>
        <v>7601142</v>
      </c>
      <c r="BJ53" s="418">
        <f>J53+AF53</f>
        <v>5620607</v>
      </c>
      <c r="BK53" s="418">
        <f>K53+AD53</f>
        <v>5150405</v>
      </c>
      <c r="BL53" s="418">
        <f>L53+AE53</f>
        <v>470202</v>
      </c>
      <c r="BM53" s="418">
        <f>M53+AN53</f>
        <v>0</v>
      </c>
      <c r="BN53" s="418">
        <f>N53+AL53</f>
        <v>0</v>
      </c>
      <c r="BO53" s="418">
        <f>O53+AM53</f>
        <v>0</v>
      </c>
      <c r="BP53" s="418">
        <f>P53+AR53</f>
        <v>1899765</v>
      </c>
      <c r="BQ53" s="418">
        <f>Q53+AS53</f>
        <v>56206</v>
      </c>
      <c r="BR53" s="418">
        <f>R53+AV53</f>
        <v>24564</v>
      </c>
      <c r="BS53" s="419">
        <f>S53+BH53</f>
        <v>10.3743</v>
      </c>
      <c r="BT53" s="419">
        <f>T53+BF53</f>
        <v>8.7742000000000004</v>
      </c>
      <c r="BU53" s="421">
        <f>U53+BG53</f>
        <v>1.6000999999999999</v>
      </c>
      <c r="BV53" s="420"/>
      <c r="BW53" s="415"/>
      <c r="BX53" s="415"/>
      <c r="BY53" s="415"/>
      <c r="BZ53" s="415"/>
      <c r="CA53" s="510"/>
    </row>
    <row r="54" spans="1:79" ht="14.1" customHeight="1" x14ac:dyDescent="0.2">
      <c r="A54" s="66">
        <v>12</v>
      </c>
      <c r="B54" s="63">
        <v>2428</v>
      </c>
      <c r="C54" s="64">
        <v>600079112</v>
      </c>
      <c r="D54" s="63">
        <v>72743140</v>
      </c>
      <c r="E54" s="65" t="s">
        <v>556</v>
      </c>
      <c r="F54" s="66">
        <v>3141</v>
      </c>
      <c r="G54" s="65" t="s">
        <v>294</v>
      </c>
      <c r="H54" s="67" t="s">
        <v>272</v>
      </c>
      <c r="I54" s="420">
        <v>707535</v>
      </c>
      <c r="J54" s="415">
        <v>522463</v>
      </c>
      <c r="K54" s="415">
        <v>0</v>
      </c>
      <c r="L54" s="750">
        <v>522463</v>
      </c>
      <c r="M54" s="415">
        <v>0</v>
      </c>
      <c r="N54" s="204">
        <v>0</v>
      </c>
      <c r="O54" s="204">
        <v>0</v>
      </c>
      <c r="P54" s="599">
        <v>176592</v>
      </c>
      <c r="Q54" s="599">
        <v>5225</v>
      </c>
      <c r="R54" s="605">
        <v>3255</v>
      </c>
      <c r="S54" s="416">
        <v>1.5667</v>
      </c>
      <c r="T54" s="607">
        <v>0</v>
      </c>
      <c r="U54" s="737">
        <v>1.5667</v>
      </c>
      <c r="V54" s="424">
        <f t="shared" si="2"/>
        <v>0</v>
      </c>
      <c r="W54" s="418">
        <f t="shared" si="3"/>
        <v>0</v>
      </c>
      <c r="X54" s="418">
        <v>0</v>
      </c>
      <c r="Y54" s="418">
        <v>0</v>
      </c>
      <c r="Z54" s="418">
        <v>0</v>
      </c>
      <c r="AA54" s="418">
        <v>261770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261770</v>
      </c>
      <c r="AF54" s="418">
        <f t="shared" si="4"/>
        <v>261770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5"/>
        <v>0</v>
      </c>
      <c r="AM54" s="418">
        <f t="shared" si="6"/>
        <v>0</v>
      </c>
      <c r="AN54" s="418">
        <f t="shared" si="7"/>
        <v>0</v>
      </c>
      <c r="AO54" s="418">
        <f t="shared" si="8"/>
        <v>0</v>
      </c>
      <c r="AP54" s="418">
        <f t="shared" si="9"/>
        <v>261770</v>
      </c>
      <c r="AQ54" s="418">
        <f t="shared" si="10"/>
        <v>261770</v>
      </c>
      <c r="AR54" s="68">
        <f t="shared" si="11"/>
        <v>88478</v>
      </c>
      <c r="AS54" s="68">
        <f t="shared" si="12"/>
        <v>2618</v>
      </c>
      <c r="AT54" s="418">
        <v>0</v>
      </c>
      <c r="AU54" s="418">
        <v>1581</v>
      </c>
      <c r="AV54" s="418">
        <f t="shared" si="13"/>
        <v>1581</v>
      </c>
      <c r="AW54" s="418">
        <f t="shared" si="14"/>
        <v>354447</v>
      </c>
      <c r="AX54" s="419">
        <v>0</v>
      </c>
      <c r="AY54" s="419">
        <v>0</v>
      </c>
      <c r="AZ54" s="419">
        <v>0</v>
      </c>
      <c r="BA54" s="419">
        <v>0</v>
      </c>
      <c r="BB54" s="419">
        <v>0.78</v>
      </c>
      <c r="BC54" s="419">
        <v>0</v>
      </c>
      <c r="BD54" s="419">
        <v>0</v>
      </c>
      <c r="BE54" s="419">
        <v>0</v>
      </c>
      <c r="BF54" s="419">
        <f t="shared" si="15"/>
        <v>0</v>
      </c>
      <c r="BG54" s="419">
        <f t="shared" si="16"/>
        <v>0.78</v>
      </c>
      <c r="BH54" s="421">
        <f t="shared" si="17"/>
        <v>0.78</v>
      </c>
      <c r="BI54" s="780">
        <f>I54+AW54</f>
        <v>1061982</v>
      </c>
      <c r="BJ54" s="418">
        <f>J54+AF54</f>
        <v>784233</v>
      </c>
      <c r="BK54" s="418">
        <f>K54+AD54</f>
        <v>0</v>
      </c>
      <c r="BL54" s="418">
        <f>L54+AE54</f>
        <v>784233</v>
      </c>
      <c r="BM54" s="418">
        <f>M54+AN54</f>
        <v>0</v>
      </c>
      <c r="BN54" s="418">
        <f>N54+AL54</f>
        <v>0</v>
      </c>
      <c r="BO54" s="418">
        <f>O54+AM54</f>
        <v>0</v>
      </c>
      <c r="BP54" s="418">
        <f>P54+AR54</f>
        <v>265070</v>
      </c>
      <c r="BQ54" s="418">
        <f>Q54+AS54</f>
        <v>7843</v>
      </c>
      <c r="BR54" s="418">
        <f>R54+AV54</f>
        <v>4836</v>
      </c>
      <c r="BS54" s="419">
        <f>S54+BH54</f>
        <v>2.3467000000000002</v>
      </c>
      <c r="BT54" s="419">
        <f>T54+BF54</f>
        <v>0</v>
      </c>
      <c r="BU54" s="421">
        <f>U54+BG54</f>
        <v>2.3467000000000002</v>
      </c>
      <c r="BV54" s="420"/>
      <c r="BW54" s="415"/>
      <c r="BX54" s="415"/>
      <c r="BY54" s="415"/>
      <c r="BZ54" s="415"/>
      <c r="CA54" s="510"/>
    </row>
    <row r="55" spans="1:79" ht="14.1" customHeight="1" x14ac:dyDescent="0.2">
      <c r="A55" s="72">
        <v>12</v>
      </c>
      <c r="B55" s="69">
        <v>2428</v>
      </c>
      <c r="C55" s="70">
        <v>600079112</v>
      </c>
      <c r="D55" s="69">
        <v>72743140</v>
      </c>
      <c r="E55" s="71" t="s">
        <v>557</v>
      </c>
      <c r="F55" s="72"/>
      <c r="G55" s="71"/>
      <c r="H55" s="73"/>
      <c r="I55" s="517">
        <v>8308677</v>
      </c>
      <c r="J55" s="74">
        <v>6143070</v>
      </c>
      <c r="K55" s="74">
        <v>5150405</v>
      </c>
      <c r="L55" s="74">
        <v>992665</v>
      </c>
      <c r="M55" s="74">
        <v>0</v>
      </c>
      <c r="N55" s="74">
        <v>0</v>
      </c>
      <c r="O55" s="74">
        <v>0</v>
      </c>
      <c r="P55" s="74">
        <v>2076357</v>
      </c>
      <c r="Q55" s="74">
        <v>61431</v>
      </c>
      <c r="R55" s="74">
        <v>27819</v>
      </c>
      <c r="S55" s="75">
        <v>11.940999999999999</v>
      </c>
      <c r="T55" s="75">
        <v>8.7742000000000004</v>
      </c>
      <c r="U55" s="658">
        <v>3.1667999999999998</v>
      </c>
      <c r="V55" s="517">
        <f t="shared" ref="V55:BU55" si="66">SUM(V53:V54)</f>
        <v>0</v>
      </c>
      <c r="W55" s="74">
        <f t="shared" si="66"/>
        <v>0</v>
      </c>
      <c r="X55" s="74">
        <f t="shared" si="66"/>
        <v>0</v>
      </c>
      <c r="Y55" s="74">
        <f t="shared" si="66"/>
        <v>0</v>
      </c>
      <c r="Z55" s="74">
        <f t="shared" si="66"/>
        <v>0</v>
      </c>
      <c r="AA55" s="74">
        <f t="shared" si="66"/>
        <v>261770</v>
      </c>
      <c r="AB55" s="74">
        <f t="shared" si="66"/>
        <v>0</v>
      </c>
      <c r="AC55" s="74">
        <f t="shared" si="66"/>
        <v>0</v>
      </c>
      <c r="AD55" s="74">
        <f t="shared" si="66"/>
        <v>0</v>
      </c>
      <c r="AE55" s="74">
        <f t="shared" si="66"/>
        <v>261770</v>
      </c>
      <c r="AF55" s="74">
        <f t="shared" si="66"/>
        <v>261770</v>
      </c>
      <c r="AG55" s="74">
        <f t="shared" si="66"/>
        <v>0</v>
      </c>
      <c r="AH55" s="74">
        <f t="shared" si="66"/>
        <v>0</v>
      </c>
      <c r="AI55" s="74">
        <f t="shared" si="66"/>
        <v>0</v>
      </c>
      <c r="AJ55" s="74">
        <f t="shared" si="66"/>
        <v>0</v>
      </c>
      <c r="AK55" s="74">
        <f t="shared" si="66"/>
        <v>0</v>
      </c>
      <c r="AL55" s="74">
        <f t="shared" si="66"/>
        <v>0</v>
      </c>
      <c r="AM55" s="74">
        <f t="shared" si="66"/>
        <v>0</v>
      </c>
      <c r="AN55" s="74">
        <f t="shared" si="66"/>
        <v>0</v>
      </c>
      <c r="AO55" s="74">
        <f t="shared" si="66"/>
        <v>0</v>
      </c>
      <c r="AP55" s="74">
        <f t="shared" si="66"/>
        <v>261770</v>
      </c>
      <c r="AQ55" s="74">
        <f t="shared" si="66"/>
        <v>261770</v>
      </c>
      <c r="AR55" s="74">
        <f t="shared" si="66"/>
        <v>88478</v>
      </c>
      <c r="AS55" s="74">
        <f t="shared" si="66"/>
        <v>2618</v>
      </c>
      <c r="AT55" s="74">
        <f t="shared" si="66"/>
        <v>0</v>
      </c>
      <c r="AU55" s="74">
        <f t="shared" si="66"/>
        <v>1581</v>
      </c>
      <c r="AV55" s="74">
        <f t="shared" si="66"/>
        <v>1581</v>
      </c>
      <c r="AW55" s="74">
        <f t="shared" si="66"/>
        <v>354447</v>
      </c>
      <c r="AX55" s="75">
        <f t="shared" si="66"/>
        <v>0</v>
      </c>
      <c r="AY55" s="75">
        <f t="shared" si="66"/>
        <v>0</v>
      </c>
      <c r="AZ55" s="75">
        <f t="shared" si="66"/>
        <v>0</v>
      </c>
      <c r="BA55" s="75">
        <f t="shared" si="66"/>
        <v>0</v>
      </c>
      <c r="BB55" s="75">
        <f t="shared" si="66"/>
        <v>0.78</v>
      </c>
      <c r="BC55" s="75">
        <f t="shared" si="66"/>
        <v>0</v>
      </c>
      <c r="BD55" s="75">
        <f t="shared" si="66"/>
        <v>0</v>
      </c>
      <c r="BE55" s="75">
        <f t="shared" si="66"/>
        <v>0</v>
      </c>
      <c r="BF55" s="75">
        <f t="shared" si="66"/>
        <v>0</v>
      </c>
      <c r="BG55" s="75">
        <f t="shared" si="66"/>
        <v>0.78</v>
      </c>
      <c r="BH55" s="76">
        <f t="shared" si="66"/>
        <v>0.78</v>
      </c>
      <c r="BI55" s="799">
        <f t="shared" si="66"/>
        <v>8663124</v>
      </c>
      <c r="BJ55" s="74">
        <f t="shared" si="66"/>
        <v>6404840</v>
      </c>
      <c r="BK55" s="74">
        <f t="shared" si="66"/>
        <v>5150405</v>
      </c>
      <c r="BL55" s="74">
        <f t="shared" si="66"/>
        <v>1254435</v>
      </c>
      <c r="BM55" s="74">
        <f t="shared" si="66"/>
        <v>0</v>
      </c>
      <c r="BN55" s="74">
        <f t="shared" si="66"/>
        <v>0</v>
      </c>
      <c r="BO55" s="74">
        <f t="shared" si="66"/>
        <v>0</v>
      </c>
      <c r="BP55" s="74">
        <f t="shared" si="66"/>
        <v>2164835</v>
      </c>
      <c r="BQ55" s="74">
        <f t="shared" si="66"/>
        <v>64049</v>
      </c>
      <c r="BR55" s="74">
        <f t="shared" si="66"/>
        <v>29400</v>
      </c>
      <c r="BS55" s="75">
        <f t="shared" si="66"/>
        <v>12.721</v>
      </c>
      <c r="BT55" s="75">
        <f t="shared" si="66"/>
        <v>8.7742000000000004</v>
      </c>
      <c r="BU55" s="76">
        <f t="shared" si="66"/>
        <v>3.9468000000000001</v>
      </c>
      <c r="BV55" s="809">
        <f t="shared" ref="BV55:CA55" si="67">SUM(BV53:BV54)</f>
        <v>0</v>
      </c>
      <c r="BW55" s="684">
        <f t="shared" si="67"/>
        <v>0</v>
      </c>
      <c r="BX55" s="684">
        <f t="shared" si="67"/>
        <v>0</v>
      </c>
      <c r="BY55" s="684">
        <f t="shared" si="67"/>
        <v>0</v>
      </c>
      <c r="BZ55" s="684">
        <f t="shared" si="67"/>
        <v>0</v>
      </c>
      <c r="CA55" s="810">
        <f t="shared" si="67"/>
        <v>0</v>
      </c>
    </row>
    <row r="56" spans="1:79" ht="14.1" customHeight="1" x14ac:dyDescent="0.2">
      <c r="A56" s="66">
        <v>13</v>
      </c>
      <c r="B56" s="63">
        <v>2413</v>
      </c>
      <c r="C56" s="64">
        <v>600079601</v>
      </c>
      <c r="D56" s="63">
        <v>72742909</v>
      </c>
      <c r="E56" s="65" t="s">
        <v>558</v>
      </c>
      <c r="F56" s="66">
        <v>3111</v>
      </c>
      <c r="G56" s="65" t="s">
        <v>290</v>
      </c>
      <c r="H56" s="67" t="s">
        <v>271</v>
      </c>
      <c r="I56" s="420">
        <v>5335215</v>
      </c>
      <c r="J56" s="415">
        <v>3945396</v>
      </c>
      <c r="K56" s="415">
        <v>3592735</v>
      </c>
      <c r="L56" s="415">
        <v>352661</v>
      </c>
      <c r="M56" s="415">
        <v>0</v>
      </c>
      <c r="N56" s="415">
        <v>0</v>
      </c>
      <c r="O56" s="415">
        <v>0</v>
      </c>
      <c r="P56" s="599">
        <v>1333544</v>
      </c>
      <c r="Q56" s="599">
        <v>39454</v>
      </c>
      <c r="R56" s="415">
        <v>16821</v>
      </c>
      <c r="S56" s="416">
        <v>7.4418999999999995</v>
      </c>
      <c r="T56" s="416">
        <v>6.2417999999999996</v>
      </c>
      <c r="U56" s="423">
        <v>1.2000999999999999</v>
      </c>
      <c r="V56" s="424">
        <f t="shared" si="2"/>
        <v>0</v>
      </c>
      <c r="W56" s="418">
        <f t="shared" si="3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0</v>
      </c>
      <c r="AF56" s="418">
        <f t="shared" si="4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5"/>
        <v>0</v>
      </c>
      <c r="AM56" s="418">
        <f t="shared" si="6"/>
        <v>0</v>
      </c>
      <c r="AN56" s="418">
        <f t="shared" si="7"/>
        <v>0</v>
      </c>
      <c r="AO56" s="418">
        <f t="shared" si="8"/>
        <v>0</v>
      </c>
      <c r="AP56" s="418">
        <f t="shared" si="9"/>
        <v>0</v>
      </c>
      <c r="AQ56" s="418">
        <f t="shared" si="10"/>
        <v>0</v>
      </c>
      <c r="AR56" s="68">
        <f t="shared" si="11"/>
        <v>0</v>
      </c>
      <c r="AS56" s="68">
        <f t="shared" si="12"/>
        <v>0</v>
      </c>
      <c r="AT56" s="418">
        <v>0</v>
      </c>
      <c r="AU56" s="418">
        <v>0</v>
      </c>
      <c r="AV56" s="418">
        <f t="shared" si="13"/>
        <v>0</v>
      </c>
      <c r="AW56" s="418">
        <f t="shared" si="14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5"/>
        <v>0</v>
      </c>
      <c r="BG56" s="419">
        <f t="shared" si="16"/>
        <v>0</v>
      </c>
      <c r="BH56" s="421">
        <f t="shared" si="17"/>
        <v>0</v>
      </c>
      <c r="BI56" s="780">
        <f>I56+AW56</f>
        <v>5335215</v>
      </c>
      <c r="BJ56" s="418">
        <f>J56+AF56</f>
        <v>3945396</v>
      </c>
      <c r="BK56" s="418">
        <f t="shared" ref="BK56:BL58" si="68">K56+AD56</f>
        <v>3592735</v>
      </c>
      <c r="BL56" s="418">
        <f t="shared" si="68"/>
        <v>352661</v>
      </c>
      <c r="BM56" s="418">
        <f>M56+AN56</f>
        <v>0</v>
      </c>
      <c r="BN56" s="418">
        <f t="shared" ref="BN56:BO58" si="69">N56+AL56</f>
        <v>0</v>
      </c>
      <c r="BO56" s="418">
        <f t="shared" si="69"/>
        <v>0</v>
      </c>
      <c r="BP56" s="418">
        <f t="shared" ref="BP56:BQ58" si="70">P56+AR56</f>
        <v>1333544</v>
      </c>
      <c r="BQ56" s="418">
        <f t="shared" si="70"/>
        <v>39454</v>
      </c>
      <c r="BR56" s="418">
        <f>R56+AV56</f>
        <v>16821</v>
      </c>
      <c r="BS56" s="419">
        <f>S56+BH56</f>
        <v>7.4418999999999995</v>
      </c>
      <c r="BT56" s="419">
        <f t="shared" ref="BT56:BU58" si="71">T56+BF56</f>
        <v>6.2417999999999996</v>
      </c>
      <c r="BU56" s="421">
        <f t="shared" si="71"/>
        <v>1.2000999999999999</v>
      </c>
      <c r="BV56" s="420"/>
      <c r="BW56" s="415"/>
      <c r="BX56" s="415"/>
      <c r="BY56" s="415"/>
      <c r="BZ56" s="415"/>
      <c r="CA56" s="510"/>
    </row>
    <row r="57" spans="1:79" ht="14.1" customHeight="1" x14ac:dyDescent="0.2">
      <c r="A57" s="66">
        <v>13</v>
      </c>
      <c r="B57" s="63">
        <v>2413</v>
      </c>
      <c r="C57" s="64">
        <v>600079601</v>
      </c>
      <c r="D57" s="63">
        <v>72742909</v>
      </c>
      <c r="E57" s="65" t="s">
        <v>558</v>
      </c>
      <c r="F57" s="66">
        <v>3111</v>
      </c>
      <c r="G57" s="77" t="s">
        <v>291</v>
      </c>
      <c r="H57" s="67" t="s">
        <v>272</v>
      </c>
      <c r="I57" s="420">
        <v>229094</v>
      </c>
      <c r="J57" s="415">
        <v>169951</v>
      </c>
      <c r="K57" s="415">
        <v>169951</v>
      </c>
      <c r="L57" s="415">
        <v>0</v>
      </c>
      <c r="M57" s="415">
        <v>0</v>
      </c>
      <c r="N57" s="415">
        <v>0</v>
      </c>
      <c r="O57" s="415">
        <v>0</v>
      </c>
      <c r="P57" s="599">
        <v>57443</v>
      </c>
      <c r="Q57" s="599">
        <v>1700</v>
      </c>
      <c r="R57" s="415">
        <v>0</v>
      </c>
      <c r="S57" s="416">
        <v>0.46</v>
      </c>
      <c r="T57" s="417">
        <v>0.46</v>
      </c>
      <c r="U57" s="423">
        <v>0</v>
      </c>
      <c r="V57" s="424">
        <f t="shared" si="2"/>
        <v>0</v>
      </c>
      <c r="W57" s="418">
        <f t="shared" si="3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 t="shared" si="4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5"/>
        <v>0</v>
      </c>
      <c r="AM57" s="418">
        <f t="shared" si="6"/>
        <v>0</v>
      </c>
      <c r="AN57" s="418">
        <f t="shared" si="7"/>
        <v>0</v>
      </c>
      <c r="AO57" s="418">
        <f t="shared" si="8"/>
        <v>0</v>
      </c>
      <c r="AP57" s="418">
        <f t="shared" si="9"/>
        <v>0</v>
      </c>
      <c r="AQ57" s="418">
        <f t="shared" si="10"/>
        <v>0</v>
      </c>
      <c r="AR57" s="68">
        <f t="shared" si="11"/>
        <v>0</v>
      </c>
      <c r="AS57" s="68">
        <f t="shared" si="12"/>
        <v>0</v>
      </c>
      <c r="AT57" s="418">
        <v>0</v>
      </c>
      <c r="AU57" s="418">
        <v>0</v>
      </c>
      <c r="AV57" s="418">
        <f t="shared" si="13"/>
        <v>0</v>
      </c>
      <c r="AW57" s="418">
        <f t="shared" si="14"/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si="15"/>
        <v>0</v>
      </c>
      <c r="BG57" s="419">
        <f t="shared" si="16"/>
        <v>0</v>
      </c>
      <c r="BH57" s="421">
        <f t="shared" si="17"/>
        <v>0</v>
      </c>
      <c r="BI57" s="780">
        <f>I57+AW57</f>
        <v>229094</v>
      </c>
      <c r="BJ57" s="418">
        <f>J57+AF57</f>
        <v>169951</v>
      </c>
      <c r="BK57" s="418">
        <f t="shared" si="68"/>
        <v>169951</v>
      </c>
      <c r="BL57" s="418">
        <f t="shared" si="68"/>
        <v>0</v>
      </c>
      <c r="BM57" s="418">
        <f>M57+AN57</f>
        <v>0</v>
      </c>
      <c r="BN57" s="418">
        <f t="shared" si="69"/>
        <v>0</v>
      </c>
      <c r="BO57" s="418">
        <f t="shared" si="69"/>
        <v>0</v>
      </c>
      <c r="BP57" s="418">
        <f t="shared" si="70"/>
        <v>57443</v>
      </c>
      <c r="BQ57" s="418">
        <f t="shared" si="70"/>
        <v>1700</v>
      </c>
      <c r="BR57" s="418">
        <f>R57+AV57</f>
        <v>0</v>
      </c>
      <c r="BS57" s="419">
        <f>S57+BH57</f>
        <v>0.46</v>
      </c>
      <c r="BT57" s="419">
        <f t="shared" si="71"/>
        <v>0.46</v>
      </c>
      <c r="BU57" s="421">
        <f t="shared" si="71"/>
        <v>0</v>
      </c>
      <c r="BV57" s="420"/>
      <c r="BW57" s="415"/>
      <c r="BX57" s="415"/>
      <c r="BY57" s="415"/>
      <c r="BZ57" s="415"/>
      <c r="CA57" s="510"/>
    </row>
    <row r="58" spans="1:79" ht="14.1" customHeight="1" x14ac:dyDescent="0.2">
      <c r="A58" s="66">
        <v>13</v>
      </c>
      <c r="B58" s="63">
        <v>2413</v>
      </c>
      <c r="C58" s="64">
        <v>600079601</v>
      </c>
      <c r="D58" s="63">
        <v>72742909</v>
      </c>
      <c r="E58" s="65" t="s">
        <v>558</v>
      </c>
      <c r="F58" s="66">
        <v>3141</v>
      </c>
      <c r="G58" s="65" t="s">
        <v>294</v>
      </c>
      <c r="H58" s="67" t="s">
        <v>272</v>
      </c>
      <c r="I58" s="420">
        <v>547656</v>
      </c>
      <c r="J58" s="415">
        <v>404611</v>
      </c>
      <c r="K58" s="415">
        <v>0</v>
      </c>
      <c r="L58" s="750">
        <v>404611</v>
      </c>
      <c r="M58" s="415">
        <v>0</v>
      </c>
      <c r="N58" s="204">
        <v>0</v>
      </c>
      <c r="O58" s="204">
        <v>0</v>
      </c>
      <c r="P58" s="599">
        <v>136759</v>
      </c>
      <c r="Q58" s="599">
        <v>4046</v>
      </c>
      <c r="R58" s="605">
        <v>2240</v>
      </c>
      <c r="S58" s="416">
        <v>1.2133</v>
      </c>
      <c r="T58" s="607">
        <v>0</v>
      </c>
      <c r="U58" s="737">
        <v>1.2133</v>
      </c>
      <c r="V58" s="424">
        <f t="shared" si="2"/>
        <v>0</v>
      </c>
      <c r="W58" s="418">
        <f t="shared" si="3"/>
        <v>0</v>
      </c>
      <c r="X58" s="418">
        <v>0</v>
      </c>
      <c r="Y58" s="418">
        <v>0</v>
      </c>
      <c r="Z58" s="418">
        <v>0</v>
      </c>
      <c r="AA58" s="418">
        <v>202947</v>
      </c>
      <c r="AB58" s="418">
        <v>0</v>
      </c>
      <c r="AC58" s="418">
        <v>0</v>
      </c>
      <c r="AD58" s="418">
        <f>V58+X58+Y58+Z58+AB58</f>
        <v>0</v>
      </c>
      <c r="AE58" s="418">
        <f>W58+AA58+AC58</f>
        <v>202947</v>
      </c>
      <c r="AF58" s="418">
        <f t="shared" si="4"/>
        <v>202947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5"/>
        <v>0</v>
      </c>
      <c r="AM58" s="418">
        <f t="shared" si="6"/>
        <v>0</v>
      </c>
      <c r="AN58" s="418">
        <f t="shared" si="7"/>
        <v>0</v>
      </c>
      <c r="AO58" s="418">
        <f t="shared" si="8"/>
        <v>0</v>
      </c>
      <c r="AP58" s="418">
        <f t="shared" si="9"/>
        <v>202947</v>
      </c>
      <c r="AQ58" s="418">
        <f t="shared" si="10"/>
        <v>202947</v>
      </c>
      <c r="AR58" s="68">
        <f t="shared" si="11"/>
        <v>68596</v>
      </c>
      <c r="AS58" s="68">
        <f t="shared" si="12"/>
        <v>2029</v>
      </c>
      <c r="AT58" s="418">
        <v>0</v>
      </c>
      <c r="AU58" s="418">
        <v>1088</v>
      </c>
      <c r="AV58" s="418">
        <f t="shared" si="13"/>
        <v>1088</v>
      </c>
      <c r="AW58" s="418">
        <f t="shared" si="14"/>
        <v>274660</v>
      </c>
      <c r="AX58" s="419">
        <v>0</v>
      </c>
      <c r="AY58" s="419">
        <v>0</v>
      </c>
      <c r="AZ58" s="419">
        <v>0</v>
      </c>
      <c r="BA58" s="419">
        <v>0</v>
      </c>
      <c r="BB58" s="419">
        <v>0.61</v>
      </c>
      <c r="BC58" s="419">
        <v>0</v>
      </c>
      <c r="BD58" s="419">
        <v>0</v>
      </c>
      <c r="BE58" s="419">
        <v>0</v>
      </c>
      <c r="BF58" s="419">
        <f t="shared" si="15"/>
        <v>0</v>
      </c>
      <c r="BG58" s="419">
        <f t="shared" si="16"/>
        <v>0.61</v>
      </c>
      <c r="BH58" s="421">
        <f t="shared" si="17"/>
        <v>0.61</v>
      </c>
      <c r="BI58" s="780">
        <f>I58+AW58</f>
        <v>822316</v>
      </c>
      <c r="BJ58" s="418">
        <f>J58+AF58</f>
        <v>607558</v>
      </c>
      <c r="BK58" s="418">
        <f t="shared" si="68"/>
        <v>0</v>
      </c>
      <c r="BL58" s="418">
        <f t="shared" si="68"/>
        <v>607558</v>
      </c>
      <c r="BM58" s="418">
        <f>M58+AN58</f>
        <v>0</v>
      </c>
      <c r="BN58" s="418">
        <f t="shared" si="69"/>
        <v>0</v>
      </c>
      <c r="BO58" s="418">
        <f t="shared" si="69"/>
        <v>0</v>
      </c>
      <c r="BP58" s="418">
        <f t="shared" si="70"/>
        <v>205355</v>
      </c>
      <c r="BQ58" s="418">
        <f t="shared" si="70"/>
        <v>6075</v>
      </c>
      <c r="BR58" s="418">
        <f>R58+AV58</f>
        <v>3328</v>
      </c>
      <c r="BS58" s="419">
        <f>S58+BH58</f>
        <v>1.8233000000000001</v>
      </c>
      <c r="BT58" s="419">
        <f t="shared" si="71"/>
        <v>0</v>
      </c>
      <c r="BU58" s="421">
        <f t="shared" si="71"/>
        <v>1.8233000000000001</v>
      </c>
      <c r="BV58" s="420"/>
      <c r="BW58" s="415"/>
      <c r="BX58" s="415"/>
      <c r="BY58" s="415"/>
      <c r="BZ58" s="415"/>
      <c r="CA58" s="510"/>
    </row>
    <row r="59" spans="1:79" ht="14.1" customHeight="1" x14ac:dyDescent="0.2">
      <c r="A59" s="72">
        <v>13</v>
      </c>
      <c r="B59" s="69">
        <v>2413</v>
      </c>
      <c r="C59" s="70">
        <v>600079601</v>
      </c>
      <c r="D59" s="69">
        <v>72742909</v>
      </c>
      <c r="E59" s="71" t="s">
        <v>559</v>
      </c>
      <c r="F59" s="72"/>
      <c r="G59" s="71"/>
      <c r="H59" s="73"/>
      <c r="I59" s="517">
        <v>6111965</v>
      </c>
      <c r="J59" s="74">
        <v>4519958</v>
      </c>
      <c r="K59" s="74">
        <v>3762686</v>
      </c>
      <c r="L59" s="74">
        <v>757272</v>
      </c>
      <c r="M59" s="74">
        <v>0</v>
      </c>
      <c r="N59" s="74">
        <v>0</v>
      </c>
      <c r="O59" s="74">
        <v>0</v>
      </c>
      <c r="P59" s="74">
        <v>1527746</v>
      </c>
      <c r="Q59" s="74">
        <v>45200</v>
      </c>
      <c r="R59" s="74">
        <v>19061</v>
      </c>
      <c r="S59" s="75">
        <v>9.1151999999999997</v>
      </c>
      <c r="T59" s="75">
        <v>6.7017999999999995</v>
      </c>
      <c r="U59" s="658">
        <v>2.4134000000000002</v>
      </c>
      <c r="V59" s="517">
        <f t="shared" ref="V59:BU59" si="72">SUM(V56:V58)</f>
        <v>0</v>
      </c>
      <c r="W59" s="74">
        <f t="shared" si="72"/>
        <v>0</v>
      </c>
      <c r="X59" s="74">
        <f t="shared" si="72"/>
        <v>0</v>
      </c>
      <c r="Y59" s="74">
        <f t="shared" si="72"/>
        <v>0</v>
      </c>
      <c r="Z59" s="74">
        <f t="shared" si="72"/>
        <v>0</v>
      </c>
      <c r="AA59" s="74">
        <f t="shared" si="72"/>
        <v>202947</v>
      </c>
      <c r="AB59" s="74">
        <f t="shared" si="72"/>
        <v>0</v>
      </c>
      <c r="AC59" s="74">
        <f t="shared" si="72"/>
        <v>0</v>
      </c>
      <c r="AD59" s="74">
        <f t="shared" si="72"/>
        <v>0</v>
      </c>
      <c r="AE59" s="74">
        <f t="shared" si="72"/>
        <v>202947</v>
      </c>
      <c r="AF59" s="74">
        <f t="shared" si="72"/>
        <v>202947</v>
      </c>
      <c r="AG59" s="74">
        <f t="shared" si="72"/>
        <v>0</v>
      </c>
      <c r="AH59" s="74">
        <f t="shared" si="72"/>
        <v>0</v>
      </c>
      <c r="AI59" s="74">
        <f t="shared" si="72"/>
        <v>0</v>
      </c>
      <c r="AJ59" s="74">
        <f t="shared" si="72"/>
        <v>0</v>
      </c>
      <c r="AK59" s="74">
        <f t="shared" si="72"/>
        <v>0</v>
      </c>
      <c r="AL59" s="74">
        <f t="shared" si="72"/>
        <v>0</v>
      </c>
      <c r="AM59" s="74">
        <f t="shared" si="72"/>
        <v>0</v>
      </c>
      <c r="AN59" s="74">
        <f t="shared" si="72"/>
        <v>0</v>
      </c>
      <c r="AO59" s="74">
        <f t="shared" si="72"/>
        <v>0</v>
      </c>
      <c r="AP59" s="74">
        <f t="shared" si="72"/>
        <v>202947</v>
      </c>
      <c r="AQ59" s="74">
        <f t="shared" si="72"/>
        <v>202947</v>
      </c>
      <c r="AR59" s="74">
        <f t="shared" si="72"/>
        <v>68596</v>
      </c>
      <c r="AS59" s="74">
        <f t="shared" si="72"/>
        <v>2029</v>
      </c>
      <c r="AT59" s="74">
        <f t="shared" si="72"/>
        <v>0</v>
      </c>
      <c r="AU59" s="74">
        <f t="shared" si="72"/>
        <v>1088</v>
      </c>
      <c r="AV59" s="74">
        <f t="shared" si="72"/>
        <v>1088</v>
      </c>
      <c r="AW59" s="74">
        <f t="shared" si="72"/>
        <v>274660</v>
      </c>
      <c r="AX59" s="75">
        <f t="shared" si="72"/>
        <v>0</v>
      </c>
      <c r="AY59" s="75">
        <f t="shared" si="72"/>
        <v>0</v>
      </c>
      <c r="AZ59" s="75">
        <f t="shared" si="72"/>
        <v>0</v>
      </c>
      <c r="BA59" s="75">
        <f t="shared" si="72"/>
        <v>0</v>
      </c>
      <c r="BB59" s="75">
        <f t="shared" si="72"/>
        <v>0.61</v>
      </c>
      <c r="BC59" s="75">
        <f t="shared" si="72"/>
        <v>0</v>
      </c>
      <c r="BD59" s="75">
        <f t="shared" si="72"/>
        <v>0</v>
      </c>
      <c r="BE59" s="75">
        <f t="shared" si="72"/>
        <v>0</v>
      </c>
      <c r="BF59" s="75">
        <f t="shared" si="72"/>
        <v>0</v>
      </c>
      <c r="BG59" s="75">
        <f t="shared" si="72"/>
        <v>0.61</v>
      </c>
      <c r="BH59" s="76">
        <f t="shared" si="72"/>
        <v>0.61</v>
      </c>
      <c r="BI59" s="799">
        <f t="shared" si="72"/>
        <v>6386625</v>
      </c>
      <c r="BJ59" s="74">
        <f t="shared" si="72"/>
        <v>4722905</v>
      </c>
      <c r="BK59" s="74">
        <f t="shared" si="72"/>
        <v>3762686</v>
      </c>
      <c r="BL59" s="74">
        <f t="shared" si="72"/>
        <v>960219</v>
      </c>
      <c r="BM59" s="74">
        <f t="shared" si="72"/>
        <v>0</v>
      </c>
      <c r="BN59" s="74">
        <f t="shared" si="72"/>
        <v>0</v>
      </c>
      <c r="BO59" s="74">
        <f t="shared" si="72"/>
        <v>0</v>
      </c>
      <c r="BP59" s="74">
        <f t="shared" si="72"/>
        <v>1596342</v>
      </c>
      <c r="BQ59" s="74">
        <f t="shared" si="72"/>
        <v>47229</v>
      </c>
      <c r="BR59" s="74">
        <f t="shared" si="72"/>
        <v>20149</v>
      </c>
      <c r="BS59" s="75">
        <f t="shared" si="72"/>
        <v>9.7251999999999992</v>
      </c>
      <c r="BT59" s="75">
        <f t="shared" si="72"/>
        <v>6.7017999999999995</v>
      </c>
      <c r="BU59" s="76">
        <f t="shared" si="72"/>
        <v>3.0234000000000001</v>
      </c>
      <c r="BV59" s="809">
        <f t="shared" ref="BV59:CA59" si="73">SUM(BV56:BV58)</f>
        <v>0</v>
      </c>
      <c r="BW59" s="684">
        <f t="shared" si="73"/>
        <v>0</v>
      </c>
      <c r="BX59" s="684">
        <f t="shared" si="73"/>
        <v>0</v>
      </c>
      <c r="BY59" s="684">
        <f t="shared" si="73"/>
        <v>0</v>
      </c>
      <c r="BZ59" s="684">
        <f t="shared" si="73"/>
        <v>0</v>
      </c>
      <c r="CA59" s="810">
        <f t="shared" si="73"/>
        <v>0</v>
      </c>
    </row>
    <row r="60" spans="1:79" ht="14.1" customHeight="1" x14ac:dyDescent="0.2">
      <c r="A60" s="66">
        <v>14</v>
      </c>
      <c r="B60" s="63">
        <v>2410</v>
      </c>
      <c r="C60" s="64">
        <v>600079121</v>
      </c>
      <c r="D60" s="63">
        <v>72742348</v>
      </c>
      <c r="E60" s="65" t="s">
        <v>560</v>
      </c>
      <c r="F60" s="66">
        <v>3111</v>
      </c>
      <c r="G60" s="65" t="s">
        <v>290</v>
      </c>
      <c r="H60" s="67" t="s">
        <v>271</v>
      </c>
      <c r="I60" s="420">
        <v>7349255</v>
      </c>
      <c r="J60" s="415">
        <v>5397854</v>
      </c>
      <c r="K60" s="415">
        <v>4914348</v>
      </c>
      <c r="L60" s="415">
        <v>483506</v>
      </c>
      <c r="M60" s="415">
        <v>32800</v>
      </c>
      <c r="N60" s="415">
        <v>32800</v>
      </c>
      <c r="O60" s="415">
        <v>0</v>
      </c>
      <c r="P60" s="599">
        <v>1835561</v>
      </c>
      <c r="Q60" s="599">
        <v>53979</v>
      </c>
      <c r="R60" s="415">
        <v>29061</v>
      </c>
      <c r="S60" s="416">
        <v>10.174000000000001</v>
      </c>
      <c r="T60" s="416">
        <v>8.5206000000000017</v>
      </c>
      <c r="U60" s="423">
        <v>1.6534</v>
      </c>
      <c r="V60" s="424">
        <f t="shared" si="2"/>
        <v>0</v>
      </c>
      <c r="W60" s="418">
        <f t="shared" si="3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 t="shared" si="4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5"/>
        <v>0</v>
      </c>
      <c r="AM60" s="418">
        <f t="shared" si="6"/>
        <v>0</v>
      </c>
      <c r="AN60" s="418">
        <f t="shared" si="7"/>
        <v>0</v>
      </c>
      <c r="AO60" s="418">
        <f t="shared" si="8"/>
        <v>0</v>
      </c>
      <c r="AP60" s="418">
        <f t="shared" si="9"/>
        <v>0</v>
      </c>
      <c r="AQ60" s="418">
        <f t="shared" si="10"/>
        <v>0</v>
      </c>
      <c r="AR60" s="68">
        <f t="shared" si="11"/>
        <v>0</v>
      </c>
      <c r="AS60" s="68">
        <f t="shared" si="12"/>
        <v>0</v>
      </c>
      <c r="AT60" s="418">
        <v>0</v>
      </c>
      <c r="AU60" s="418">
        <v>0</v>
      </c>
      <c r="AV60" s="418">
        <f t="shared" si="13"/>
        <v>0</v>
      </c>
      <c r="AW60" s="418">
        <f t="shared" si="14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15"/>
        <v>0</v>
      </c>
      <c r="BG60" s="419">
        <f t="shared" si="16"/>
        <v>0</v>
      </c>
      <c r="BH60" s="421">
        <f t="shared" si="17"/>
        <v>0</v>
      </c>
      <c r="BI60" s="780">
        <f>I60+AW60</f>
        <v>7349255</v>
      </c>
      <c r="BJ60" s="418">
        <f>J60+AF60</f>
        <v>5397854</v>
      </c>
      <c r="BK60" s="418">
        <f t="shared" ref="BK60:BL62" si="74">K60+AD60</f>
        <v>4914348</v>
      </c>
      <c r="BL60" s="418">
        <f t="shared" si="74"/>
        <v>483506</v>
      </c>
      <c r="BM60" s="418">
        <f>M60+AN60</f>
        <v>32800</v>
      </c>
      <c r="BN60" s="418">
        <f t="shared" ref="BN60:BO62" si="75">N60+AL60</f>
        <v>32800</v>
      </c>
      <c r="BO60" s="418">
        <f t="shared" si="75"/>
        <v>0</v>
      </c>
      <c r="BP60" s="418">
        <f t="shared" ref="BP60:BQ62" si="76">P60+AR60</f>
        <v>1835561</v>
      </c>
      <c r="BQ60" s="418">
        <f t="shared" si="76"/>
        <v>53979</v>
      </c>
      <c r="BR60" s="418">
        <f>R60+AV60</f>
        <v>29061</v>
      </c>
      <c r="BS60" s="419">
        <f>S60+BH60</f>
        <v>10.174000000000001</v>
      </c>
      <c r="BT60" s="419">
        <f t="shared" ref="BT60:BU62" si="77">T60+BF60</f>
        <v>8.5206000000000017</v>
      </c>
      <c r="BU60" s="421">
        <f t="shared" si="77"/>
        <v>1.6534</v>
      </c>
      <c r="BV60" s="420"/>
      <c r="BW60" s="415"/>
      <c r="BX60" s="415"/>
      <c r="BY60" s="415"/>
      <c r="BZ60" s="415"/>
      <c r="CA60" s="510"/>
    </row>
    <row r="61" spans="1:79" ht="14.1" customHeight="1" x14ac:dyDescent="0.2">
      <c r="A61" s="66">
        <v>14</v>
      </c>
      <c r="B61" s="63">
        <v>2410</v>
      </c>
      <c r="C61" s="64">
        <v>600079121</v>
      </c>
      <c r="D61" s="63">
        <v>72742348</v>
      </c>
      <c r="E61" s="65" t="s">
        <v>560</v>
      </c>
      <c r="F61" s="66">
        <v>3111</v>
      </c>
      <c r="G61" s="43" t="s">
        <v>292</v>
      </c>
      <c r="H61" s="67" t="s">
        <v>271</v>
      </c>
      <c r="I61" s="420">
        <v>432870</v>
      </c>
      <c r="J61" s="415">
        <v>321120</v>
      </c>
      <c r="K61" s="415">
        <v>321120</v>
      </c>
      <c r="L61" s="415">
        <v>0</v>
      </c>
      <c r="M61" s="415">
        <v>0</v>
      </c>
      <c r="N61" s="415">
        <v>0</v>
      </c>
      <c r="O61" s="415">
        <v>0</v>
      </c>
      <c r="P61" s="599">
        <v>108539</v>
      </c>
      <c r="Q61" s="599">
        <v>3211</v>
      </c>
      <c r="R61" s="415">
        <v>0</v>
      </c>
      <c r="S61" s="416">
        <v>1</v>
      </c>
      <c r="T61" s="416">
        <v>1</v>
      </c>
      <c r="U61" s="423">
        <v>0</v>
      </c>
      <c r="V61" s="424">
        <f t="shared" si="2"/>
        <v>0</v>
      </c>
      <c r="W61" s="418">
        <f t="shared" si="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0</v>
      </c>
      <c r="AF61" s="418">
        <f t="shared" si="4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5"/>
        <v>0</v>
      </c>
      <c r="AM61" s="418">
        <f t="shared" si="6"/>
        <v>0</v>
      </c>
      <c r="AN61" s="418">
        <f t="shared" si="7"/>
        <v>0</v>
      </c>
      <c r="AO61" s="418">
        <f t="shared" si="8"/>
        <v>0</v>
      </c>
      <c r="AP61" s="418">
        <f t="shared" si="9"/>
        <v>0</v>
      </c>
      <c r="AQ61" s="418">
        <f t="shared" si="10"/>
        <v>0</v>
      </c>
      <c r="AR61" s="68">
        <f t="shared" si="11"/>
        <v>0</v>
      </c>
      <c r="AS61" s="68">
        <f t="shared" si="12"/>
        <v>0</v>
      </c>
      <c r="AT61" s="418">
        <v>0</v>
      </c>
      <c r="AU61" s="418">
        <v>0</v>
      </c>
      <c r="AV61" s="418">
        <f t="shared" si="13"/>
        <v>0</v>
      </c>
      <c r="AW61" s="418">
        <f t="shared" si="14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5"/>
        <v>0</v>
      </c>
      <c r="BG61" s="419">
        <f t="shared" si="16"/>
        <v>0</v>
      </c>
      <c r="BH61" s="421">
        <f t="shared" si="17"/>
        <v>0</v>
      </c>
      <c r="BI61" s="780">
        <f>I61+AW61</f>
        <v>432870</v>
      </c>
      <c r="BJ61" s="418">
        <f>J61+AF61</f>
        <v>321120</v>
      </c>
      <c r="BK61" s="418">
        <f t="shared" si="74"/>
        <v>321120</v>
      </c>
      <c r="BL61" s="418">
        <f t="shared" si="74"/>
        <v>0</v>
      </c>
      <c r="BM61" s="418">
        <f>M61+AN61</f>
        <v>0</v>
      </c>
      <c r="BN61" s="418">
        <f t="shared" si="75"/>
        <v>0</v>
      </c>
      <c r="BO61" s="418">
        <f t="shared" si="75"/>
        <v>0</v>
      </c>
      <c r="BP61" s="418">
        <f t="shared" si="76"/>
        <v>108539</v>
      </c>
      <c r="BQ61" s="418">
        <f t="shared" si="76"/>
        <v>3211</v>
      </c>
      <c r="BR61" s="418">
        <f>R61+AV61</f>
        <v>0</v>
      </c>
      <c r="BS61" s="419">
        <f>S61+BH61</f>
        <v>1</v>
      </c>
      <c r="BT61" s="419">
        <f t="shared" si="77"/>
        <v>1</v>
      </c>
      <c r="BU61" s="421">
        <f t="shared" si="77"/>
        <v>0</v>
      </c>
      <c r="BV61" s="420"/>
      <c r="BW61" s="415"/>
      <c r="BX61" s="415"/>
      <c r="BY61" s="415"/>
      <c r="BZ61" s="415"/>
      <c r="CA61" s="510"/>
    </row>
    <row r="62" spans="1:79" ht="14.1" customHeight="1" x14ac:dyDescent="0.2">
      <c r="A62" s="66">
        <v>14</v>
      </c>
      <c r="B62" s="63">
        <v>2410</v>
      </c>
      <c r="C62" s="64">
        <v>600079121</v>
      </c>
      <c r="D62" s="63">
        <v>72742348</v>
      </c>
      <c r="E62" s="65" t="s">
        <v>560</v>
      </c>
      <c r="F62" s="66">
        <v>3141</v>
      </c>
      <c r="G62" s="65" t="s">
        <v>294</v>
      </c>
      <c r="H62" s="67" t="s">
        <v>272</v>
      </c>
      <c r="I62" s="420">
        <v>626095</v>
      </c>
      <c r="J62" s="415">
        <v>462437</v>
      </c>
      <c r="K62" s="415">
        <v>0</v>
      </c>
      <c r="L62" s="750">
        <v>462437</v>
      </c>
      <c r="M62" s="415">
        <v>0</v>
      </c>
      <c r="N62" s="204">
        <v>0</v>
      </c>
      <c r="O62" s="204">
        <v>0</v>
      </c>
      <c r="P62" s="599">
        <v>156304</v>
      </c>
      <c r="Q62" s="599">
        <v>4624</v>
      </c>
      <c r="R62" s="605">
        <v>2730</v>
      </c>
      <c r="S62" s="416">
        <v>1.3867</v>
      </c>
      <c r="T62" s="607">
        <v>0</v>
      </c>
      <c r="U62" s="737">
        <v>1.3867</v>
      </c>
      <c r="V62" s="424">
        <f t="shared" si="2"/>
        <v>0</v>
      </c>
      <c r="W62" s="418">
        <f t="shared" si="3"/>
        <v>0</v>
      </c>
      <c r="X62" s="418">
        <v>0</v>
      </c>
      <c r="Y62" s="418">
        <v>0</v>
      </c>
      <c r="Z62" s="418">
        <v>0</v>
      </c>
      <c r="AA62" s="418">
        <v>231942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231942</v>
      </c>
      <c r="AF62" s="418">
        <f t="shared" si="4"/>
        <v>231942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5"/>
        <v>0</v>
      </c>
      <c r="AM62" s="418">
        <f t="shared" si="6"/>
        <v>0</v>
      </c>
      <c r="AN62" s="418">
        <f t="shared" si="7"/>
        <v>0</v>
      </c>
      <c r="AO62" s="418">
        <f t="shared" si="8"/>
        <v>0</v>
      </c>
      <c r="AP62" s="418">
        <f t="shared" si="9"/>
        <v>231942</v>
      </c>
      <c r="AQ62" s="418">
        <f t="shared" si="10"/>
        <v>231942</v>
      </c>
      <c r="AR62" s="68">
        <f t="shared" si="11"/>
        <v>78396</v>
      </c>
      <c r="AS62" s="68">
        <f t="shared" si="12"/>
        <v>2319</v>
      </c>
      <c r="AT62" s="418">
        <v>0</v>
      </c>
      <c r="AU62" s="418">
        <v>1326</v>
      </c>
      <c r="AV62" s="418">
        <f t="shared" si="13"/>
        <v>1326</v>
      </c>
      <c r="AW62" s="418">
        <f t="shared" si="14"/>
        <v>313983</v>
      </c>
      <c r="AX62" s="419">
        <v>0</v>
      </c>
      <c r="AY62" s="419">
        <v>0</v>
      </c>
      <c r="AZ62" s="419">
        <v>0</v>
      </c>
      <c r="BA62" s="419">
        <v>0</v>
      </c>
      <c r="BB62" s="419">
        <v>0.69</v>
      </c>
      <c r="BC62" s="419">
        <v>0</v>
      </c>
      <c r="BD62" s="419">
        <v>0</v>
      </c>
      <c r="BE62" s="419">
        <v>0</v>
      </c>
      <c r="BF62" s="419">
        <f t="shared" si="15"/>
        <v>0</v>
      </c>
      <c r="BG62" s="419">
        <f t="shared" si="16"/>
        <v>0.69</v>
      </c>
      <c r="BH62" s="421">
        <f t="shared" si="17"/>
        <v>0.69</v>
      </c>
      <c r="BI62" s="780">
        <f>I62+AW62</f>
        <v>940078</v>
      </c>
      <c r="BJ62" s="418">
        <f>J62+AF62</f>
        <v>694379</v>
      </c>
      <c r="BK62" s="418">
        <f t="shared" si="74"/>
        <v>0</v>
      </c>
      <c r="BL62" s="418">
        <f t="shared" si="74"/>
        <v>694379</v>
      </c>
      <c r="BM62" s="418">
        <f>M62+AN62</f>
        <v>0</v>
      </c>
      <c r="BN62" s="418">
        <f t="shared" si="75"/>
        <v>0</v>
      </c>
      <c r="BO62" s="418">
        <f t="shared" si="75"/>
        <v>0</v>
      </c>
      <c r="BP62" s="418">
        <f t="shared" si="76"/>
        <v>234700</v>
      </c>
      <c r="BQ62" s="418">
        <f t="shared" si="76"/>
        <v>6943</v>
      </c>
      <c r="BR62" s="418">
        <f>R62+AV62</f>
        <v>4056</v>
      </c>
      <c r="BS62" s="419">
        <f>S62+BH62</f>
        <v>2.0766999999999998</v>
      </c>
      <c r="BT62" s="419">
        <f t="shared" si="77"/>
        <v>0</v>
      </c>
      <c r="BU62" s="421">
        <f t="shared" si="77"/>
        <v>2.0766999999999998</v>
      </c>
      <c r="BV62" s="420"/>
      <c r="BW62" s="415"/>
      <c r="BX62" s="415"/>
      <c r="BY62" s="415"/>
      <c r="BZ62" s="415"/>
      <c r="CA62" s="510"/>
    </row>
    <row r="63" spans="1:79" ht="14.1" customHeight="1" x14ac:dyDescent="0.2">
      <c r="A63" s="72">
        <v>14</v>
      </c>
      <c r="B63" s="69">
        <v>2410</v>
      </c>
      <c r="C63" s="70">
        <v>600079121</v>
      </c>
      <c r="D63" s="69">
        <v>72742348</v>
      </c>
      <c r="E63" s="71" t="s">
        <v>561</v>
      </c>
      <c r="F63" s="72"/>
      <c r="G63" s="71"/>
      <c r="H63" s="73"/>
      <c r="I63" s="517">
        <v>8408220</v>
      </c>
      <c r="J63" s="74">
        <v>6181411</v>
      </c>
      <c r="K63" s="74">
        <v>5235468</v>
      </c>
      <c r="L63" s="74">
        <v>945943</v>
      </c>
      <c r="M63" s="74">
        <v>32800</v>
      </c>
      <c r="N63" s="74">
        <v>32800</v>
      </c>
      <c r="O63" s="74">
        <v>0</v>
      </c>
      <c r="P63" s="74">
        <v>2100404</v>
      </c>
      <c r="Q63" s="74">
        <v>61814</v>
      </c>
      <c r="R63" s="74">
        <v>31791</v>
      </c>
      <c r="S63" s="75">
        <v>12.560700000000001</v>
      </c>
      <c r="T63" s="75">
        <v>9.5206000000000017</v>
      </c>
      <c r="U63" s="658">
        <v>3.0400999999999998</v>
      </c>
      <c r="V63" s="517">
        <f t="shared" ref="V63:BU63" si="78">SUM(V60:V62)</f>
        <v>0</v>
      </c>
      <c r="W63" s="74">
        <f t="shared" si="78"/>
        <v>0</v>
      </c>
      <c r="X63" s="74">
        <f t="shared" si="78"/>
        <v>0</v>
      </c>
      <c r="Y63" s="74">
        <f t="shared" si="78"/>
        <v>0</v>
      </c>
      <c r="Z63" s="74">
        <f t="shared" si="78"/>
        <v>0</v>
      </c>
      <c r="AA63" s="74">
        <f t="shared" si="78"/>
        <v>231942</v>
      </c>
      <c r="AB63" s="74">
        <f t="shared" si="78"/>
        <v>0</v>
      </c>
      <c r="AC63" s="74">
        <f t="shared" si="78"/>
        <v>0</v>
      </c>
      <c r="AD63" s="74">
        <f t="shared" si="78"/>
        <v>0</v>
      </c>
      <c r="AE63" s="74">
        <f t="shared" si="78"/>
        <v>231942</v>
      </c>
      <c r="AF63" s="74">
        <f t="shared" si="78"/>
        <v>231942</v>
      </c>
      <c r="AG63" s="74">
        <f t="shared" si="78"/>
        <v>0</v>
      </c>
      <c r="AH63" s="74">
        <f t="shared" si="78"/>
        <v>0</v>
      </c>
      <c r="AI63" s="74">
        <f t="shared" si="78"/>
        <v>0</v>
      </c>
      <c r="AJ63" s="74">
        <f t="shared" si="78"/>
        <v>0</v>
      </c>
      <c r="AK63" s="74">
        <f t="shared" si="78"/>
        <v>0</v>
      </c>
      <c r="AL63" s="74">
        <f t="shared" si="78"/>
        <v>0</v>
      </c>
      <c r="AM63" s="74">
        <f t="shared" si="78"/>
        <v>0</v>
      </c>
      <c r="AN63" s="74">
        <f t="shared" si="78"/>
        <v>0</v>
      </c>
      <c r="AO63" s="74">
        <f t="shared" si="78"/>
        <v>0</v>
      </c>
      <c r="AP63" s="74">
        <f t="shared" si="78"/>
        <v>231942</v>
      </c>
      <c r="AQ63" s="74">
        <f t="shared" si="78"/>
        <v>231942</v>
      </c>
      <c r="AR63" s="74">
        <f t="shared" si="78"/>
        <v>78396</v>
      </c>
      <c r="AS63" s="74">
        <f t="shared" si="78"/>
        <v>2319</v>
      </c>
      <c r="AT63" s="74">
        <f t="shared" si="78"/>
        <v>0</v>
      </c>
      <c r="AU63" s="74">
        <f t="shared" si="78"/>
        <v>1326</v>
      </c>
      <c r="AV63" s="74">
        <f t="shared" si="78"/>
        <v>1326</v>
      </c>
      <c r="AW63" s="74">
        <f t="shared" si="78"/>
        <v>313983</v>
      </c>
      <c r="AX63" s="75">
        <f t="shared" si="78"/>
        <v>0</v>
      </c>
      <c r="AY63" s="75">
        <f t="shared" si="78"/>
        <v>0</v>
      </c>
      <c r="AZ63" s="75">
        <f t="shared" si="78"/>
        <v>0</v>
      </c>
      <c r="BA63" s="75">
        <f t="shared" si="78"/>
        <v>0</v>
      </c>
      <c r="BB63" s="75">
        <f t="shared" si="78"/>
        <v>0.69</v>
      </c>
      <c r="BC63" s="75">
        <f t="shared" si="78"/>
        <v>0</v>
      </c>
      <c r="BD63" s="75">
        <f t="shared" si="78"/>
        <v>0</v>
      </c>
      <c r="BE63" s="75">
        <f t="shared" si="78"/>
        <v>0</v>
      </c>
      <c r="BF63" s="75">
        <f t="shared" si="78"/>
        <v>0</v>
      </c>
      <c r="BG63" s="75">
        <f t="shared" si="78"/>
        <v>0.69</v>
      </c>
      <c r="BH63" s="76">
        <f t="shared" si="78"/>
        <v>0.69</v>
      </c>
      <c r="BI63" s="799">
        <f t="shared" si="78"/>
        <v>8722203</v>
      </c>
      <c r="BJ63" s="74">
        <f t="shared" si="78"/>
        <v>6413353</v>
      </c>
      <c r="BK63" s="74">
        <f t="shared" si="78"/>
        <v>5235468</v>
      </c>
      <c r="BL63" s="74">
        <f t="shared" si="78"/>
        <v>1177885</v>
      </c>
      <c r="BM63" s="74">
        <f t="shared" si="78"/>
        <v>32800</v>
      </c>
      <c r="BN63" s="74">
        <f t="shared" si="78"/>
        <v>32800</v>
      </c>
      <c r="BO63" s="74">
        <f t="shared" si="78"/>
        <v>0</v>
      </c>
      <c r="BP63" s="74">
        <f t="shared" si="78"/>
        <v>2178800</v>
      </c>
      <c r="BQ63" s="74">
        <f t="shared" si="78"/>
        <v>64133</v>
      </c>
      <c r="BR63" s="74">
        <f t="shared" si="78"/>
        <v>33117</v>
      </c>
      <c r="BS63" s="75">
        <f t="shared" si="78"/>
        <v>13.250700000000002</v>
      </c>
      <c r="BT63" s="75">
        <f t="shared" si="78"/>
        <v>9.5206000000000017</v>
      </c>
      <c r="BU63" s="76">
        <f t="shared" si="78"/>
        <v>3.7300999999999997</v>
      </c>
      <c r="BV63" s="809">
        <f t="shared" ref="BV63:CA63" si="79">SUM(BV60:BV62)</f>
        <v>0</v>
      </c>
      <c r="BW63" s="684">
        <f t="shared" si="79"/>
        <v>0</v>
      </c>
      <c r="BX63" s="684">
        <f t="shared" si="79"/>
        <v>0</v>
      </c>
      <c r="BY63" s="684">
        <f t="shared" si="79"/>
        <v>0</v>
      </c>
      <c r="BZ63" s="684">
        <f t="shared" si="79"/>
        <v>0</v>
      </c>
      <c r="CA63" s="810">
        <f t="shared" si="79"/>
        <v>0</v>
      </c>
    </row>
    <row r="64" spans="1:79" ht="14.1" customHeight="1" x14ac:dyDescent="0.2">
      <c r="A64" s="66">
        <v>15</v>
      </c>
      <c r="B64" s="63">
        <v>2436</v>
      </c>
      <c r="C64" s="64">
        <v>600079538</v>
      </c>
      <c r="D64" s="63">
        <v>72741546</v>
      </c>
      <c r="E64" s="65" t="s">
        <v>562</v>
      </c>
      <c r="F64" s="66">
        <v>3111</v>
      </c>
      <c r="G64" s="65" t="s">
        <v>290</v>
      </c>
      <c r="H64" s="67" t="s">
        <v>271</v>
      </c>
      <c r="I64" s="420">
        <v>8792764</v>
      </c>
      <c r="J64" s="415">
        <v>6348488</v>
      </c>
      <c r="K64" s="415">
        <v>5878269</v>
      </c>
      <c r="L64" s="415">
        <v>470219</v>
      </c>
      <c r="M64" s="415">
        <v>150000</v>
      </c>
      <c r="N64" s="415">
        <v>35000</v>
      </c>
      <c r="O64" s="415">
        <v>115000</v>
      </c>
      <c r="P64" s="599">
        <v>2196489</v>
      </c>
      <c r="Q64" s="599">
        <v>63485</v>
      </c>
      <c r="R64" s="415">
        <v>34302</v>
      </c>
      <c r="S64" s="416">
        <v>12.233500000000001</v>
      </c>
      <c r="T64" s="416">
        <v>10.610000000000001</v>
      </c>
      <c r="U64" s="423">
        <v>1.6234999999999999</v>
      </c>
      <c r="V64" s="424">
        <f t="shared" si="2"/>
        <v>0</v>
      </c>
      <c r="W64" s="418">
        <f t="shared" si="3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 t="shared" si="4"/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5"/>
        <v>0</v>
      </c>
      <c r="AM64" s="418">
        <f t="shared" si="6"/>
        <v>0</v>
      </c>
      <c r="AN64" s="418">
        <f t="shared" si="7"/>
        <v>0</v>
      </c>
      <c r="AO64" s="418">
        <f t="shared" si="8"/>
        <v>0</v>
      </c>
      <c r="AP64" s="418">
        <f t="shared" si="9"/>
        <v>0</v>
      </c>
      <c r="AQ64" s="418">
        <f t="shared" si="10"/>
        <v>0</v>
      </c>
      <c r="AR64" s="68">
        <f t="shared" si="11"/>
        <v>0</v>
      </c>
      <c r="AS64" s="68">
        <f t="shared" si="12"/>
        <v>0</v>
      </c>
      <c r="AT64" s="418">
        <v>0</v>
      </c>
      <c r="AU64" s="418">
        <v>0</v>
      </c>
      <c r="AV64" s="418">
        <f t="shared" si="13"/>
        <v>0</v>
      </c>
      <c r="AW64" s="418">
        <f t="shared" si="14"/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si="15"/>
        <v>0</v>
      </c>
      <c r="BG64" s="419">
        <f t="shared" si="16"/>
        <v>0</v>
      </c>
      <c r="BH64" s="421">
        <f t="shared" si="17"/>
        <v>0</v>
      </c>
      <c r="BI64" s="780">
        <f>I64+AW64</f>
        <v>8792764</v>
      </c>
      <c r="BJ64" s="418">
        <f>J64+AF64</f>
        <v>6348488</v>
      </c>
      <c r="BK64" s="418">
        <f t="shared" ref="BK64:BL66" si="80">K64+AD64</f>
        <v>5878269</v>
      </c>
      <c r="BL64" s="418">
        <f t="shared" si="80"/>
        <v>470219</v>
      </c>
      <c r="BM64" s="418">
        <f>M64+AN64</f>
        <v>150000</v>
      </c>
      <c r="BN64" s="418">
        <f t="shared" ref="BN64:BO66" si="81">N64+AL64</f>
        <v>35000</v>
      </c>
      <c r="BO64" s="418">
        <f t="shared" si="81"/>
        <v>115000</v>
      </c>
      <c r="BP64" s="418">
        <f t="shared" ref="BP64:BQ66" si="82">P64+AR64</f>
        <v>2196489</v>
      </c>
      <c r="BQ64" s="418">
        <f t="shared" si="82"/>
        <v>63485</v>
      </c>
      <c r="BR64" s="418">
        <f>R64+AV64</f>
        <v>34302</v>
      </c>
      <c r="BS64" s="419">
        <f>S64+BH64</f>
        <v>12.233500000000001</v>
      </c>
      <c r="BT64" s="419">
        <f t="shared" ref="BT64:BU66" si="83">T64+BF64</f>
        <v>10.610000000000001</v>
      </c>
      <c r="BU64" s="421">
        <f t="shared" si="83"/>
        <v>1.6234999999999999</v>
      </c>
      <c r="BV64" s="420"/>
      <c r="BW64" s="415"/>
      <c r="BX64" s="415"/>
      <c r="BY64" s="415"/>
      <c r="BZ64" s="415"/>
      <c r="CA64" s="510"/>
    </row>
    <row r="65" spans="1:79" ht="14.1" customHeight="1" x14ac:dyDescent="0.2">
      <c r="A65" s="66">
        <v>15</v>
      </c>
      <c r="B65" s="63">
        <v>2436</v>
      </c>
      <c r="C65" s="64">
        <v>600079538</v>
      </c>
      <c r="D65" s="63">
        <v>72741546</v>
      </c>
      <c r="E65" s="65" t="s">
        <v>562</v>
      </c>
      <c r="F65" s="66">
        <v>3111</v>
      </c>
      <c r="G65" s="77" t="s">
        <v>291</v>
      </c>
      <c r="H65" s="67" t="s">
        <v>272</v>
      </c>
      <c r="I65" s="420">
        <v>1941096</v>
      </c>
      <c r="J65" s="415">
        <v>1439982</v>
      </c>
      <c r="K65" s="415">
        <v>1439982</v>
      </c>
      <c r="L65" s="415">
        <v>0</v>
      </c>
      <c r="M65" s="415">
        <v>0</v>
      </c>
      <c r="N65" s="415">
        <v>0</v>
      </c>
      <c r="O65" s="415">
        <v>0</v>
      </c>
      <c r="P65" s="599">
        <v>486714</v>
      </c>
      <c r="Q65" s="599">
        <v>14400</v>
      </c>
      <c r="R65" s="415">
        <v>0</v>
      </c>
      <c r="S65" s="416">
        <v>4.1399999999999997</v>
      </c>
      <c r="T65" s="417">
        <v>4.1399999999999997</v>
      </c>
      <c r="U65" s="423">
        <v>0</v>
      </c>
      <c r="V65" s="424">
        <f t="shared" si="2"/>
        <v>0</v>
      </c>
      <c r="W65" s="418">
        <f t="shared" si="3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 t="shared" si="4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5"/>
        <v>0</v>
      </c>
      <c r="AM65" s="418">
        <f t="shared" si="6"/>
        <v>0</v>
      </c>
      <c r="AN65" s="418">
        <f t="shared" si="7"/>
        <v>0</v>
      </c>
      <c r="AO65" s="418">
        <f t="shared" si="8"/>
        <v>0</v>
      </c>
      <c r="AP65" s="418">
        <f t="shared" si="9"/>
        <v>0</v>
      </c>
      <c r="AQ65" s="418">
        <f t="shared" si="10"/>
        <v>0</v>
      </c>
      <c r="AR65" s="68">
        <f t="shared" si="11"/>
        <v>0</v>
      </c>
      <c r="AS65" s="68">
        <f t="shared" si="12"/>
        <v>0</v>
      </c>
      <c r="AT65" s="418">
        <v>0</v>
      </c>
      <c r="AU65" s="418">
        <v>0</v>
      </c>
      <c r="AV65" s="418">
        <f t="shared" si="13"/>
        <v>0</v>
      </c>
      <c r="AW65" s="418">
        <f t="shared" si="14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5"/>
        <v>0</v>
      </c>
      <c r="BG65" s="419">
        <f t="shared" si="16"/>
        <v>0</v>
      </c>
      <c r="BH65" s="421">
        <f t="shared" si="17"/>
        <v>0</v>
      </c>
      <c r="BI65" s="780">
        <f>I65+AW65</f>
        <v>1941096</v>
      </c>
      <c r="BJ65" s="418">
        <f>J65+AF65</f>
        <v>1439982</v>
      </c>
      <c r="BK65" s="418">
        <f t="shared" si="80"/>
        <v>1439982</v>
      </c>
      <c r="BL65" s="418">
        <f t="shared" si="80"/>
        <v>0</v>
      </c>
      <c r="BM65" s="418">
        <f>M65+AN65</f>
        <v>0</v>
      </c>
      <c r="BN65" s="418">
        <f t="shared" si="81"/>
        <v>0</v>
      </c>
      <c r="BO65" s="418">
        <f t="shared" si="81"/>
        <v>0</v>
      </c>
      <c r="BP65" s="418">
        <f t="shared" si="82"/>
        <v>486714</v>
      </c>
      <c r="BQ65" s="418">
        <f t="shared" si="82"/>
        <v>14400</v>
      </c>
      <c r="BR65" s="418">
        <f>R65+AV65</f>
        <v>0</v>
      </c>
      <c r="BS65" s="419">
        <f>S65+BH65</f>
        <v>4.1399999999999997</v>
      </c>
      <c r="BT65" s="419">
        <f t="shared" si="83"/>
        <v>4.1399999999999997</v>
      </c>
      <c r="BU65" s="421">
        <f t="shared" si="83"/>
        <v>0</v>
      </c>
      <c r="BV65" s="420"/>
      <c r="BW65" s="415"/>
      <c r="BX65" s="415"/>
      <c r="BY65" s="415"/>
      <c r="BZ65" s="415"/>
      <c r="CA65" s="510"/>
    </row>
    <row r="66" spans="1:79" ht="14.1" customHeight="1" x14ac:dyDescent="0.2">
      <c r="A66" s="66">
        <v>15</v>
      </c>
      <c r="B66" s="63">
        <v>2436</v>
      </c>
      <c r="C66" s="64">
        <v>600079538</v>
      </c>
      <c r="D66" s="63">
        <v>72741546</v>
      </c>
      <c r="E66" s="65" t="s">
        <v>562</v>
      </c>
      <c r="F66" s="66">
        <v>3141</v>
      </c>
      <c r="G66" s="65" t="s">
        <v>294</v>
      </c>
      <c r="H66" s="67" t="s">
        <v>272</v>
      </c>
      <c r="I66" s="420">
        <v>776904</v>
      </c>
      <c r="J66" s="415">
        <v>573586</v>
      </c>
      <c r="K66" s="415">
        <v>0</v>
      </c>
      <c r="L66" s="750">
        <v>573586</v>
      </c>
      <c r="M66" s="415">
        <v>0</v>
      </c>
      <c r="N66" s="204">
        <v>0</v>
      </c>
      <c r="O66" s="204">
        <v>0</v>
      </c>
      <c r="P66" s="599">
        <v>193872</v>
      </c>
      <c r="Q66" s="599">
        <v>5736</v>
      </c>
      <c r="R66" s="605">
        <v>3710</v>
      </c>
      <c r="S66" s="416">
        <v>1.72</v>
      </c>
      <c r="T66" s="607">
        <v>0</v>
      </c>
      <c r="U66" s="737">
        <v>1.72</v>
      </c>
      <c r="V66" s="424">
        <f t="shared" si="2"/>
        <v>0</v>
      </c>
      <c r="W66" s="418">
        <f t="shared" si="3"/>
        <v>0</v>
      </c>
      <c r="X66" s="418">
        <v>0</v>
      </c>
      <c r="Y66" s="418">
        <v>0</v>
      </c>
      <c r="Z66" s="418">
        <v>0</v>
      </c>
      <c r="AA66" s="418">
        <v>288359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288359</v>
      </c>
      <c r="AF66" s="418">
        <f t="shared" si="4"/>
        <v>288359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5"/>
        <v>0</v>
      </c>
      <c r="AM66" s="418">
        <f t="shared" si="6"/>
        <v>0</v>
      </c>
      <c r="AN66" s="418">
        <f t="shared" si="7"/>
        <v>0</v>
      </c>
      <c r="AO66" s="418">
        <f t="shared" si="8"/>
        <v>0</v>
      </c>
      <c r="AP66" s="418">
        <f t="shared" si="9"/>
        <v>288359</v>
      </c>
      <c r="AQ66" s="418">
        <f t="shared" si="10"/>
        <v>288359</v>
      </c>
      <c r="AR66" s="68">
        <f t="shared" si="11"/>
        <v>97465</v>
      </c>
      <c r="AS66" s="68">
        <f t="shared" si="12"/>
        <v>2884</v>
      </c>
      <c r="AT66" s="418">
        <v>0</v>
      </c>
      <c r="AU66" s="418">
        <v>1802</v>
      </c>
      <c r="AV66" s="418">
        <f t="shared" si="13"/>
        <v>1802</v>
      </c>
      <c r="AW66" s="418">
        <f t="shared" si="14"/>
        <v>390510</v>
      </c>
      <c r="AX66" s="419">
        <v>0</v>
      </c>
      <c r="AY66" s="419">
        <v>0</v>
      </c>
      <c r="AZ66" s="419">
        <v>0</v>
      </c>
      <c r="BA66" s="419">
        <v>0</v>
      </c>
      <c r="BB66" s="419">
        <v>0.86</v>
      </c>
      <c r="BC66" s="419">
        <v>0</v>
      </c>
      <c r="BD66" s="419">
        <v>0</v>
      </c>
      <c r="BE66" s="419">
        <v>0</v>
      </c>
      <c r="BF66" s="419">
        <f t="shared" si="15"/>
        <v>0</v>
      </c>
      <c r="BG66" s="419">
        <f t="shared" si="16"/>
        <v>0.86</v>
      </c>
      <c r="BH66" s="421">
        <f t="shared" si="17"/>
        <v>0.86</v>
      </c>
      <c r="BI66" s="780">
        <f>I66+AW66</f>
        <v>1167414</v>
      </c>
      <c r="BJ66" s="418">
        <f>J66+AF66</f>
        <v>861945</v>
      </c>
      <c r="BK66" s="418">
        <f t="shared" si="80"/>
        <v>0</v>
      </c>
      <c r="BL66" s="418">
        <f t="shared" si="80"/>
        <v>861945</v>
      </c>
      <c r="BM66" s="418">
        <f>M66+AN66</f>
        <v>0</v>
      </c>
      <c r="BN66" s="418">
        <f t="shared" si="81"/>
        <v>0</v>
      </c>
      <c r="BO66" s="418">
        <f t="shared" si="81"/>
        <v>0</v>
      </c>
      <c r="BP66" s="418">
        <f t="shared" si="82"/>
        <v>291337</v>
      </c>
      <c r="BQ66" s="418">
        <f t="shared" si="82"/>
        <v>8620</v>
      </c>
      <c r="BR66" s="418">
        <f>R66+AV66</f>
        <v>5512</v>
      </c>
      <c r="BS66" s="419">
        <f>S66+BH66</f>
        <v>2.58</v>
      </c>
      <c r="BT66" s="419">
        <f t="shared" si="83"/>
        <v>0</v>
      </c>
      <c r="BU66" s="421">
        <f t="shared" si="83"/>
        <v>2.58</v>
      </c>
      <c r="BV66" s="420"/>
      <c r="BW66" s="415"/>
      <c r="BX66" s="415"/>
      <c r="BY66" s="415"/>
      <c r="BZ66" s="415"/>
      <c r="CA66" s="510"/>
    </row>
    <row r="67" spans="1:79" ht="14.1" customHeight="1" x14ac:dyDescent="0.2">
      <c r="A67" s="72">
        <v>15</v>
      </c>
      <c r="B67" s="69">
        <v>2436</v>
      </c>
      <c r="C67" s="70">
        <v>600079538</v>
      </c>
      <c r="D67" s="69">
        <v>72741546</v>
      </c>
      <c r="E67" s="71" t="s">
        <v>563</v>
      </c>
      <c r="F67" s="72"/>
      <c r="G67" s="71"/>
      <c r="H67" s="73"/>
      <c r="I67" s="517">
        <v>11510764</v>
      </c>
      <c r="J67" s="74">
        <v>8362056</v>
      </c>
      <c r="K67" s="74">
        <v>7318251</v>
      </c>
      <c r="L67" s="74">
        <v>1043805</v>
      </c>
      <c r="M67" s="74">
        <v>150000</v>
      </c>
      <c r="N67" s="74">
        <v>35000</v>
      </c>
      <c r="O67" s="74">
        <v>115000</v>
      </c>
      <c r="P67" s="74">
        <v>2877075</v>
      </c>
      <c r="Q67" s="74">
        <v>83621</v>
      </c>
      <c r="R67" s="74">
        <v>38012</v>
      </c>
      <c r="S67" s="75">
        <v>18.093499999999999</v>
      </c>
      <c r="T67" s="75">
        <v>14.75</v>
      </c>
      <c r="U67" s="658">
        <v>3.3434999999999997</v>
      </c>
      <c r="V67" s="517">
        <f t="shared" ref="V67:BU67" si="84">SUM(V64:V66)</f>
        <v>0</v>
      </c>
      <c r="W67" s="74">
        <f t="shared" si="84"/>
        <v>0</v>
      </c>
      <c r="X67" s="74">
        <f t="shared" si="84"/>
        <v>0</v>
      </c>
      <c r="Y67" s="74">
        <f t="shared" si="84"/>
        <v>0</v>
      </c>
      <c r="Z67" s="74">
        <f t="shared" si="84"/>
        <v>0</v>
      </c>
      <c r="AA67" s="74">
        <f t="shared" si="84"/>
        <v>288359</v>
      </c>
      <c r="AB67" s="74">
        <f t="shared" si="84"/>
        <v>0</v>
      </c>
      <c r="AC67" s="74">
        <f t="shared" si="84"/>
        <v>0</v>
      </c>
      <c r="AD67" s="74">
        <f t="shared" si="84"/>
        <v>0</v>
      </c>
      <c r="AE67" s="74">
        <f t="shared" si="84"/>
        <v>288359</v>
      </c>
      <c r="AF67" s="74">
        <f t="shared" si="84"/>
        <v>288359</v>
      </c>
      <c r="AG67" s="74">
        <f t="shared" si="84"/>
        <v>0</v>
      </c>
      <c r="AH67" s="74">
        <f t="shared" si="84"/>
        <v>0</v>
      </c>
      <c r="AI67" s="74">
        <f t="shared" si="84"/>
        <v>0</v>
      </c>
      <c r="AJ67" s="74">
        <f t="shared" si="84"/>
        <v>0</v>
      </c>
      <c r="AK67" s="74">
        <f t="shared" si="84"/>
        <v>0</v>
      </c>
      <c r="AL67" s="74">
        <f t="shared" si="84"/>
        <v>0</v>
      </c>
      <c r="AM67" s="74">
        <f t="shared" si="84"/>
        <v>0</v>
      </c>
      <c r="AN67" s="74">
        <f t="shared" si="84"/>
        <v>0</v>
      </c>
      <c r="AO67" s="74">
        <f t="shared" si="84"/>
        <v>0</v>
      </c>
      <c r="AP67" s="74">
        <f t="shared" si="84"/>
        <v>288359</v>
      </c>
      <c r="AQ67" s="74">
        <f t="shared" si="84"/>
        <v>288359</v>
      </c>
      <c r="AR67" s="74">
        <f t="shared" si="84"/>
        <v>97465</v>
      </c>
      <c r="AS67" s="74">
        <f t="shared" si="84"/>
        <v>2884</v>
      </c>
      <c r="AT67" s="74">
        <f t="shared" si="84"/>
        <v>0</v>
      </c>
      <c r="AU67" s="74">
        <f t="shared" si="84"/>
        <v>1802</v>
      </c>
      <c r="AV67" s="74">
        <f t="shared" si="84"/>
        <v>1802</v>
      </c>
      <c r="AW67" s="74">
        <f t="shared" si="84"/>
        <v>390510</v>
      </c>
      <c r="AX67" s="75">
        <f t="shared" si="84"/>
        <v>0</v>
      </c>
      <c r="AY67" s="75">
        <f t="shared" si="84"/>
        <v>0</v>
      </c>
      <c r="AZ67" s="75">
        <f t="shared" si="84"/>
        <v>0</v>
      </c>
      <c r="BA67" s="75">
        <f t="shared" si="84"/>
        <v>0</v>
      </c>
      <c r="BB67" s="75">
        <f t="shared" si="84"/>
        <v>0.86</v>
      </c>
      <c r="BC67" s="75">
        <f t="shared" si="84"/>
        <v>0</v>
      </c>
      <c r="BD67" s="75">
        <f t="shared" si="84"/>
        <v>0</v>
      </c>
      <c r="BE67" s="75">
        <f t="shared" si="84"/>
        <v>0</v>
      </c>
      <c r="BF67" s="75">
        <f t="shared" si="84"/>
        <v>0</v>
      </c>
      <c r="BG67" s="75">
        <f t="shared" si="84"/>
        <v>0.86</v>
      </c>
      <c r="BH67" s="76">
        <f t="shared" si="84"/>
        <v>0.86</v>
      </c>
      <c r="BI67" s="799">
        <f t="shared" si="84"/>
        <v>11901274</v>
      </c>
      <c r="BJ67" s="74">
        <f t="shared" si="84"/>
        <v>8650415</v>
      </c>
      <c r="BK67" s="74">
        <f t="shared" si="84"/>
        <v>7318251</v>
      </c>
      <c r="BL67" s="74">
        <f t="shared" si="84"/>
        <v>1332164</v>
      </c>
      <c r="BM67" s="74">
        <f t="shared" si="84"/>
        <v>150000</v>
      </c>
      <c r="BN67" s="74">
        <f t="shared" si="84"/>
        <v>35000</v>
      </c>
      <c r="BO67" s="74">
        <f t="shared" si="84"/>
        <v>115000</v>
      </c>
      <c r="BP67" s="74">
        <f t="shared" si="84"/>
        <v>2974540</v>
      </c>
      <c r="BQ67" s="74">
        <f t="shared" si="84"/>
        <v>86505</v>
      </c>
      <c r="BR67" s="74">
        <f t="shared" si="84"/>
        <v>39814</v>
      </c>
      <c r="BS67" s="75">
        <f t="shared" si="84"/>
        <v>18.953499999999998</v>
      </c>
      <c r="BT67" s="75">
        <f t="shared" si="84"/>
        <v>14.75</v>
      </c>
      <c r="BU67" s="76">
        <f t="shared" si="84"/>
        <v>4.2035</v>
      </c>
      <c r="BV67" s="809">
        <f t="shared" ref="BV67:CA67" si="85">SUM(BV64:BV66)</f>
        <v>0</v>
      </c>
      <c r="BW67" s="684">
        <f t="shared" si="85"/>
        <v>0</v>
      </c>
      <c r="BX67" s="684">
        <f t="shared" si="85"/>
        <v>0</v>
      </c>
      <c r="BY67" s="684">
        <f t="shared" si="85"/>
        <v>0</v>
      </c>
      <c r="BZ67" s="684">
        <f t="shared" si="85"/>
        <v>0</v>
      </c>
      <c r="CA67" s="810">
        <f t="shared" si="85"/>
        <v>0</v>
      </c>
    </row>
    <row r="68" spans="1:79" ht="14.1" customHeight="1" x14ac:dyDescent="0.2">
      <c r="A68" s="66">
        <v>16</v>
      </c>
      <c r="B68" s="63">
        <v>2424</v>
      </c>
      <c r="C68" s="64">
        <v>600079147</v>
      </c>
      <c r="D68" s="63">
        <v>72741945</v>
      </c>
      <c r="E68" s="65" t="s">
        <v>564</v>
      </c>
      <c r="F68" s="66">
        <v>3111</v>
      </c>
      <c r="G68" s="65" t="s">
        <v>290</v>
      </c>
      <c r="H68" s="67" t="s">
        <v>271</v>
      </c>
      <c r="I68" s="420">
        <v>3541092</v>
      </c>
      <c r="J68" s="415">
        <v>2618010</v>
      </c>
      <c r="K68" s="415">
        <v>2382890</v>
      </c>
      <c r="L68" s="415">
        <v>235120</v>
      </c>
      <c r="M68" s="415">
        <v>0</v>
      </c>
      <c r="N68" s="415">
        <v>0</v>
      </c>
      <c r="O68" s="415">
        <v>0</v>
      </c>
      <c r="P68" s="599">
        <v>884887</v>
      </c>
      <c r="Q68" s="599">
        <v>26180</v>
      </c>
      <c r="R68" s="415">
        <v>12015</v>
      </c>
      <c r="S68" s="416">
        <v>4.8001000000000005</v>
      </c>
      <c r="T68" s="416">
        <v>4</v>
      </c>
      <c r="U68" s="423">
        <v>0.80010000000000003</v>
      </c>
      <c r="V68" s="424">
        <f t="shared" si="2"/>
        <v>0</v>
      </c>
      <c r="W68" s="418">
        <f t="shared" si="3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 t="shared" si="4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5"/>
        <v>0</v>
      </c>
      <c r="AM68" s="418">
        <f t="shared" si="6"/>
        <v>0</v>
      </c>
      <c r="AN68" s="418">
        <f t="shared" si="7"/>
        <v>0</v>
      </c>
      <c r="AO68" s="418">
        <f t="shared" si="8"/>
        <v>0</v>
      </c>
      <c r="AP68" s="418">
        <f t="shared" si="9"/>
        <v>0</v>
      </c>
      <c r="AQ68" s="418">
        <f t="shared" si="10"/>
        <v>0</v>
      </c>
      <c r="AR68" s="68">
        <f t="shared" si="11"/>
        <v>0</v>
      </c>
      <c r="AS68" s="68">
        <f t="shared" si="12"/>
        <v>0</v>
      </c>
      <c r="AT68" s="418">
        <v>0</v>
      </c>
      <c r="AU68" s="418">
        <v>0</v>
      </c>
      <c r="AV68" s="418">
        <f t="shared" si="13"/>
        <v>0</v>
      </c>
      <c r="AW68" s="418">
        <f t="shared" si="14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5"/>
        <v>0</v>
      </c>
      <c r="BG68" s="419">
        <f t="shared" si="16"/>
        <v>0</v>
      </c>
      <c r="BH68" s="421">
        <f t="shared" si="17"/>
        <v>0</v>
      </c>
      <c r="BI68" s="780">
        <f>I68+AW68</f>
        <v>3541092</v>
      </c>
      <c r="BJ68" s="418">
        <f>J68+AF68</f>
        <v>2618010</v>
      </c>
      <c r="BK68" s="418">
        <f>K68+AD68</f>
        <v>2382890</v>
      </c>
      <c r="BL68" s="418">
        <f>L68+AE68</f>
        <v>235120</v>
      </c>
      <c r="BM68" s="418">
        <f>M68+AN68</f>
        <v>0</v>
      </c>
      <c r="BN68" s="418">
        <f>N68+AL68</f>
        <v>0</v>
      </c>
      <c r="BO68" s="418">
        <f>O68+AM68</f>
        <v>0</v>
      </c>
      <c r="BP68" s="418">
        <f>P68+AR68</f>
        <v>884887</v>
      </c>
      <c r="BQ68" s="418">
        <f>Q68+AS68</f>
        <v>26180</v>
      </c>
      <c r="BR68" s="418">
        <f>R68+AV68</f>
        <v>12015</v>
      </c>
      <c r="BS68" s="419">
        <f>S68+BH68</f>
        <v>4.8001000000000005</v>
      </c>
      <c r="BT68" s="419">
        <f>T68+BF68</f>
        <v>4</v>
      </c>
      <c r="BU68" s="421">
        <f>U68+BG68</f>
        <v>0.80010000000000003</v>
      </c>
      <c r="BV68" s="420"/>
      <c r="BW68" s="415"/>
      <c r="BX68" s="415"/>
      <c r="BY68" s="415"/>
      <c r="BZ68" s="415"/>
      <c r="CA68" s="510"/>
    </row>
    <row r="69" spans="1:79" ht="14.1" customHeight="1" x14ac:dyDescent="0.2">
      <c r="A69" s="66">
        <v>16</v>
      </c>
      <c r="B69" s="63">
        <v>2424</v>
      </c>
      <c r="C69" s="64">
        <v>600079147</v>
      </c>
      <c r="D69" s="63">
        <v>72741945</v>
      </c>
      <c r="E69" s="65" t="s">
        <v>564</v>
      </c>
      <c r="F69" s="66">
        <v>3141</v>
      </c>
      <c r="G69" s="65" t="s">
        <v>294</v>
      </c>
      <c r="H69" s="67" t="s">
        <v>272</v>
      </c>
      <c r="I69" s="420">
        <v>430112</v>
      </c>
      <c r="J69" s="415">
        <v>317906</v>
      </c>
      <c r="K69" s="415">
        <v>0</v>
      </c>
      <c r="L69" s="750">
        <v>317906</v>
      </c>
      <c r="M69" s="415">
        <v>0</v>
      </c>
      <c r="N69" s="204">
        <v>0</v>
      </c>
      <c r="O69" s="204">
        <v>0</v>
      </c>
      <c r="P69" s="599">
        <v>107452</v>
      </c>
      <c r="Q69" s="599">
        <v>3179</v>
      </c>
      <c r="R69" s="605">
        <v>1575</v>
      </c>
      <c r="S69" s="416">
        <v>0.95330000000000004</v>
      </c>
      <c r="T69" s="607">
        <v>0</v>
      </c>
      <c r="U69" s="737">
        <v>0.95330000000000004</v>
      </c>
      <c r="V69" s="424">
        <f t="shared" si="2"/>
        <v>0</v>
      </c>
      <c r="W69" s="418">
        <f t="shared" si="3"/>
        <v>0</v>
      </c>
      <c r="X69" s="418">
        <v>0</v>
      </c>
      <c r="Y69" s="418">
        <v>0</v>
      </c>
      <c r="Z69" s="418">
        <v>0</v>
      </c>
      <c r="AA69" s="418">
        <v>160438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160438</v>
      </c>
      <c r="AF69" s="418">
        <f t="shared" si="4"/>
        <v>160438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5"/>
        <v>0</v>
      </c>
      <c r="AM69" s="418">
        <f t="shared" si="6"/>
        <v>0</v>
      </c>
      <c r="AN69" s="418">
        <f t="shared" si="7"/>
        <v>0</v>
      </c>
      <c r="AO69" s="418">
        <f t="shared" si="8"/>
        <v>0</v>
      </c>
      <c r="AP69" s="418">
        <f t="shared" si="9"/>
        <v>160438</v>
      </c>
      <c r="AQ69" s="418">
        <f t="shared" si="10"/>
        <v>160438</v>
      </c>
      <c r="AR69" s="68">
        <f t="shared" si="11"/>
        <v>54228</v>
      </c>
      <c r="AS69" s="68">
        <f t="shared" si="12"/>
        <v>1604</v>
      </c>
      <c r="AT69" s="418">
        <v>0</v>
      </c>
      <c r="AU69" s="418">
        <v>765</v>
      </c>
      <c r="AV69" s="418">
        <f t="shared" si="13"/>
        <v>765</v>
      </c>
      <c r="AW69" s="418">
        <f t="shared" si="14"/>
        <v>217035</v>
      </c>
      <c r="AX69" s="419">
        <v>0</v>
      </c>
      <c r="AY69" s="419">
        <v>0</v>
      </c>
      <c r="AZ69" s="419">
        <v>0</v>
      </c>
      <c r="BA69" s="419">
        <v>0</v>
      </c>
      <c r="BB69" s="419">
        <v>0.48</v>
      </c>
      <c r="BC69" s="419">
        <v>0</v>
      </c>
      <c r="BD69" s="419">
        <v>0</v>
      </c>
      <c r="BE69" s="419">
        <v>0</v>
      </c>
      <c r="BF69" s="419">
        <f t="shared" si="15"/>
        <v>0</v>
      </c>
      <c r="BG69" s="419">
        <f t="shared" si="16"/>
        <v>0.48</v>
      </c>
      <c r="BH69" s="421">
        <f t="shared" si="17"/>
        <v>0.48</v>
      </c>
      <c r="BI69" s="780">
        <f>I69+AW69</f>
        <v>647147</v>
      </c>
      <c r="BJ69" s="418">
        <f>J69+AF69</f>
        <v>478344</v>
      </c>
      <c r="BK69" s="418">
        <f>K69+AD69</f>
        <v>0</v>
      </c>
      <c r="BL69" s="418">
        <f>L69+AE69</f>
        <v>478344</v>
      </c>
      <c r="BM69" s="418">
        <f>M69+AN69</f>
        <v>0</v>
      </c>
      <c r="BN69" s="418">
        <f>N69+AL69</f>
        <v>0</v>
      </c>
      <c r="BO69" s="418">
        <f>O69+AM69</f>
        <v>0</v>
      </c>
      <c r="BP69" s="418">
        <f>P69+AR69</f>
        <v>161680</v>
      </c>
      <c r="BQ69" s="418">
        <f>Q69+AS69</f>
        <v>4783</v>
      </c>
      <c r="BR69" s="418">
        <f>R69+AV69</f>
        <v>2340</v>
      </c>
      <c r="BS69" s="419">
        <f>S69+BH69</f>
        <v>1.4333</v>
      </c>
      <c r="BT69" s="419">
        <f>T69+BF69</f>
        <v>0</v>
      </c>
      <c r="BU69" s="421">
        <f>U69+BG69</f>
        <v>1.4333</v>
      </c>
      <c r="BV69" s="420"/>
      <c r="BW69" s="415"/>
      <c r="BX69" s="415"/>
      <c r="BY69" s="415"/>
      <c r="BZ69" s="415"/>
      <c r="CA69" s="510"/>
    </row>
    <row r="70" spans="1:79" ht="14.1" customHeight="1" x14ac:dyDescent="0.2">
      <c r="A70" s="72">
        <v>16</v>
      </c>
      <c r="B70" s="69">
        <v>2424</v>
      </c>
      <c r="C70" s="70">
        <v>600079147</v>
      </c>
      <c r="D70" s="69">
        <v>72741945</v>
      </c>
      <c r="E70" s="71" t="s">
        <v>565</v>
      </c>
      <c r="F70" s="72"/>
      <c r="G70" s="71"/>
      <c r="H70" s="73"/>
      <c r="I70" s="517">
        <v>3971204</v>
      </c>
      <c r="J70" s="74">
        <v>2935916</v>
      </c>
      <c r="K70" s="74">
        <v>2382890</v>
      </c>
      <c r="L70" s="74">
        <v>553026</v>
      </c>
      <c r="M70" s="74">
        <v>0</v>
      </c>
      <c r="N70" s="74">
        <v>0</v>
      </c>
      <c r="O70" s="74">
        <v>0</v>
      </c>
      <c r="P70" s="74">
        <v>992339</v>
      </c>
      <c r="Q70" s="74">
        <v>29359</v>
      </c>
      <c r="R70" s="74">
        <v>13590</v>
      </c>
      <c r="S70" s="75">
        <v>5.753400000000001</v>
      </c>
      <c r="T70" s="75">
        <v>4</v>
      </c>
      <c r="U70" s="658">
        <v>1.7534000000000001</v>
      </c>
      <c r="V70" s="517">
        <f t="shared" ref="V70:BU70" si="86">SUM(V68:V69)</f>
        <v>0</v>
      </c>
      <c r="W70" s="74">
        <f t="shared" si="86"/>
        <v>0</v>
      </c>
      <c r="X70" s="74">
        <f t="shared" si="86"/>
        <v>0</v>
      </c>
      <c r="Y70" s="74">
        <f t="shared" si="86"/>
        <v>0</v>
      </c>
      <c r="Z70" s="74">
        <f t="shared" si="86"/>
        <v>0</v>
      </c>
      <c r="AA70" s="74">
        <f t="shared" si="86"/>
        <v>160438</v>
      </c>
      <c r="AB70" s="74">
        <f t="shared" si="86"/>
        <v>0</v>
      </c>
      <c r="AC70" s="74">
        <f t="shared" si="86"/>
        <v>0</v>
      </c>
      <c r="AD70" s="74">
        <f t="shared" si="86"/>
        <v>0</v>
      </c>
      <c r="AE70" s="74">
        <f t="shared" si="86"/>
        <v>160438</v>
      </c>
      <c r="AF70" s="74">
        <f t="shared" si="86"/>
        <v>160438</v>
      </c>
      <c r="AG70" s="74">
        <f t="shared" si="86"/>
        <v>0</v>
      </c>
      <c r="AH70" s="74">
        <f t="shared" si="86"/>
        <v>0</v>
      </c>
      <c r="AI70" s="74">
        <f t="shared" si="86"/>
        <v>0</v>
      </c>
      <c r="AJ70" s="74">
        <f t="shared" si="86"/>
        <v>0</v>
      </c>
      <c r="AK70" s="74">
        <f t="shared" si="86"/>
        <v>0</v>
      </c>
      <c r="AL70" s="74">
        <f t="shared" si="86"/>
        <v>0</v>
      </c>
      <c r="AM70" s="74">
        <f t="shared" si="86"/>
        <v>0</v>
      </c>
      <c r="AN70" s="74">
        <f t="shared" si="86"/>
        <v>0</v>
      </c>
      <c r="AO70" s="74">
        <f t="shared" si="86"/>
        <v>0</v>
      </c>
      <c r="AP70" s="74">
        <f t="shared" si="86"/>
        <v>160438</v>
      </c>
      <c r="AQ70" s="74">
        <f t="shared" si="86"/>
        <v>160438</v>
      </c>
      <c r="AR70" s="74">
        <f t="shared" si="86"/>
        <v>54228</v>
      </c>
      <c r="AS70" s="74">
        <f t="shared" si="86"/>
        <v>1604</v>
      </c>
      <c r="AT70" s="74">
        <f t="shared" si="86"/>
        <v>0</v>
      </c>
      <c r="AU70" s="74">
        <f t="shared" si="86"/>
        <v>765</v>
      </c>
      <c r="AV70" s="74">
        <f t="shared" si="86"/>
        <v>765</v>
      </c>
      <c r="AW70" s="74">
        <f t="shared" si="86"/>
        <v>217035</v>
      </c>
      <c r="AX70" s="75">
        <f t="shared" si="86"/>
        <v>0</v>
      </c>
      <c r="AY70" s="75">
        <f t="shared" si="86"/>
        <v>0</v>
      </c>
      <c r="AZ70" s="75">
        <f t="shared" si="86"/>
        <v>0</v>
      </c>
      <c r="BA70" s="75">
        <f t="shared" si="86"/>
        <v>0</v>
      </c>
      <c r="BB70" s="75">
        <f t="shared" si="86"/>
        <v>0.48</v>
      </c>
      <c r="BC70" s="75">
        <f t="shared" si="86"/>
        <v>0</v>
      </c>
      <c r="BD70" s="75">
        <f t="shared" si="86"/>
        <v>0</v>
      </c>
      <c r="BE70" s="75">
        <f t="shared" si="86"/>
        <v>0</v>
      </c>
      <c r="BF70" s="75">
        <f t="shared" si="86"/>
        <v>0</v>
      </c>
      <c r="BG70" s="75">
        <f t="shared" si="86"/>
        <v>0.48</v>
      </c>
      <c r="BH70" s="76">
        <f t="shared" si="86"/>
        <v>0.48</v>
      </c>
      <c r="BI70" s="799">
        <f t="shared" si="86"/>
        <v>4188239</v>
      </c>
      <c r="BJ70" s="74">
        <f t="shared" si="86"/>
        <v>3096354</v>
      </c>
      <c r="BK70" s="74">
        <f t="shared" si="86"/>
        <v>2382890</v>
      </c>
      <c r="BL70" s="74">
        <f t="shared" si="86"/>
        <v>713464</v>
      </c>
      <c r="BM70" s="74">
        <f t="shared" si="86"/>
        <v>0</v>
      </c>
      <c r="BN70" s="74">
        <f t="shared" si="86"/>
        <v>0</v>
      </c>
      <c r="BO70" s="74">
        <f t="shared" si="86"/>
        <v>0</v>
      </c>
      <c r="BP70" s="74">
        <f t="shared" si="86"/>
        <v>1046567</v>
      </c>
      <c r="BQ70" s="74">
        <f t="shared" si="86"/>
        <v>30963</v>
      </c>
      <c r="BR70" s="74">
        <f t="shared" si="86"/>
        <v>14355</v>
      </c>
      <c r="BS70" s="75">
        <f t="shared" si="86"/>
        <v>6.2334000000000005</v>
      </c>
      <c r="BT70" s="75">
        <f t="shared" si="86"/>
        <v>4</v>
      </c>
      <c r="BU70" s="76">
        <f t="shared" si="86"/>
        <v>2.2334000000000001</v>
      </c>
      <c r="BV70" s="809">
        <f t="shared" ref="BV70:CA70" si="87">SUM(BV68:BV69)</f>
        <v>0</v>
      </c>
      <c r="BW70" s="684">
        <f t="shared" si="87"/>
        <v>0</v>
      </c>
      <c r="BX70" s="684">
        <f t="shared" si="87"/>
        <v>0</v>
      </c>
      <c r="BY70" s="684">
        <f t="shared" si="87"/>
        <v>0</v>
      </c>
      <c r="BZ70" s="684">
        <f t="shared" si="87"/>
        <v>0</v>
      </c>
      <c r="CA70" s="810">
        <f t="shared" si="87"/>
        <v>0</v>
      </c>
    </row>
    <row r="71" spans="1:79" ht="14.1" customHeight="1" x14ac:dyDescent="0.2">
      <c r="A71" s="66">
        <v>17</v>
      </c>
      <c r="B71" s="63">
        <v>2417</v>
      </c>
      <c r="C71" s="64">
        <v>600079562</v>
      </c>
      <c r="D71" s="63">
        <v>72742810</v>
      </c>
      <c r="E71" s="65" t="s">
        <v>566</v>
      </c>
      <c r="F71" s="66">
        <v>3111</v>
      </c>
      <c r="G71" s="65" t="s">
        <v>290</v>
      </c>
      <c r="H71" s="67" t="s">
        <v>271</v>
      </c>
      <c r="I71" s="420">
        <v>18035855</v>
      </c>
      <c r="J71" s="415">
        <v>13315532</v>
      </c>
      <c r="K71" s="415">
        <v>12185716</v>
      </c>
      <c r="L71" s="415">
        <v>1129816</v>
      </c>
      <c r="M71" s="415">
        <v>20000</v>
      </c>
      <c r="N71" s="415">
        <v>0</v>
      </c>
      <c r="O71" s="415">
        <v>20000</v>
      </c>
      <c r="P71" s="599">
        <v>4507410</v>
      </c>
      <c r="Q71" s="599">
        <v>133156</v>
      </c>
      <c r="R71" s="415">
        <v>59757</v>
      </c>
      <c r="S71" s="416">
        <v>24.963699999999999</v>
      </c>
      <c r="T71" s="416">
        <v>21</v>
      </c>
      <c r="U71" s="423">
        <v>3.9636999999999998</v>
      </c>
      <c r="V71" s="424">
        <f t="shared" si="2"/>
        <v>0</v>
      </c>
      <c r="W71" s="418">
        <f t="shared" si="3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>V71+X71+Y71+Z71+AB71</f>
        <v>0</v>
      </c>
      <c r="AE71" s="418">
        <f>W71+AA71+AC71</f>
        <v>0</v>
      </c>
      <c r="AF71" s="418">
        <f t="shared" si="4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5"/>
        <v>0</v>
      </c>
      <c r="AM71" s="418">
        <f t="shared" si="6"/>
        <v>0</v>
      </c>
      <c r="AN71" s="418">
        <f t="shared" si="7"/>
        <v>0</v>
      </c>
      <c r="AO71" s="418">
        <f t="shared" si="8"/>
        <v>0</v>
      </c>
      <c r="AP71" s="418">
        <f t="shared" si="9"/>
        <v>0</v>
      </c>
      <c r="AQ71" s="418">
        <f t="shared" si="10"/>
        <v>0</v>
      </c>
      <c r="AR71" s="68">
        <f t="shared" si="11"/>
        <v>0</v>
      </c>
      <c r="AS71" s="68">
        <f t="shared" si="12"/>
        <v>0</v>
      </c>
      <c r="AT71" s="418">
        <v>0</v>
      </c>
      <c r="AU71" s="418">
        <v>0</v>
      </c>
      <c r="AV71" s="418">
        <f t="shared" si="13"/>
        <v>0</v>
      </c>
      <c r="AW71" s="418">
        <f t="shared" si="14"/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si="15"/>
        <v>0</v>
      </c>
      <c r="BG71" s="419">
        <f t="shared" si="16"/>
        <v>0</v>
      </c>
      <c r="BH71" s="421">
        <f t="shared" si="17"/>
        <v>0</v>
      </c>
      <c r="BI71" s="780">
        <f>I71+AW71</f>
        <v>18035855</v>
      </c>
      <c r="BJ71" s="418">
        <f>J71+AF71</f>
        <v>13315532</v>
      </c>
      <c r="BK71" s="418">
        <f t="shared" ref="BK71:BL74" si="88">K71+AD71</f>
        <v>12185716</v>
      </c>
      <c r="BL71" s="418">
        <f t="shared" si="88"/>
        <v>1129816</v>
      </c>
      <c r="BM71" s="418">
        <f>M71+AN71</f>
        <v>20000</v>
      </c>
      <c r="BN71" s="418">
        <f t="shared" ref="BN71:BO74" si="89">N71+AL71</f>
        <v>0</v>
      </c>
      <c r="BO71" s="418">
        <f t="shared" si="89"/>
        <v>20000</v>
      </c>
      <c r="BP71" s="418">
        <f t="shared" ref="BP71:BQ74" si="90">P71+AR71</f>
        <v>4507410</v>
      </c>
      <c r="BQ71" s="418">
        <f t="shared" si="90"/>
        <v>133156</v>
      </c>
      <c r="BR71" s="418">
        <f>R71+AV71</f>
        <v>59757</v>
      </c>
      <c r="BS71" s="419">
        <f>S71+BH71</f>
        <v>24.963699999999999</v>
      </c>
      <c r="BT71" s="419">
        <f t="shared" ref="BT71:BU74" si="91">T71+BF71</f>
        <v>21</v>
      </c>
      <c r="BU71" s="421">
        <f t="shared" si="91"/>
        <v>3.9636999999999998</v>
      </c>
      <c r="BV71" s="420"/>
      <c r="BW71" s="415"/>
      <c r="BX71" s="415"/>
      <c r="BY71" s="415"/>
      <c r="BZ71" s="415"/>
      <c r="CA71" s="510"/>
    </row>
    <row r="72" spans="1:79" ht="14.1" customHeight="1" x14ac:dyDescent="0.2">
      <c r="A72" s="66">
        <v>17</v>
      </c>
      <c r="B72" s="63">
        <v>2417</v>
      </c>
      <c r="C72" s="64">
        <v>600079562</v>
      </c>
      <c r="D72" s="63">
        <v>72742810</v>
      </c>
      <c r="E72" s="65" t="s">
        <v>566</v>
      </c>
      <c r="F72" s="66">
        <v>3111</v>
      </c>
      <c r="G72" s="43" t="s">
        <v>292</v>
      </c>
      <c r="H72" s="67" t="s">
        <v>271</v>
      </c>
      <c r="I72" s="420">
        <v>1760919</v>
      </c>
      <c r="J72" s="415">
        <v>1306320</v>
      </c>
      <c r="K72" s="415">
        <v>1306320</v>
      </c>
      <c r="L72" s="415">
        <v>0</v>
      </c>
      <c r="M72" s="415">
        <v>0</v>
      </c>
      <c r="N72" s="415">
        <v>0</v>
      </c>
      <c r="O72" s="415">
        <v>0</v>
      </c>
      <c r="P72" s="599">
        <v>441536</v>
      </c>
      <c r="Q72" s="599">
        <v>13063</v>
      </c>
      <c r="R72" s="415">
        <v>0</v>
      </c>
      <c r="S72" s="416">
        <v>4</v>
      </c>
      <c r="T72" s="416">
        <v>4</v>
      </c>
      <c r="U72" s="423">
        <v>0</v>
      </c>
      <c r="V72" s="424">
        <f t="shared" si="2"/>
        <v>0</v>
      </c>
      <c r="W72" s="418">
        <f t="shared" si="3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 t="shared" si="4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5"/>
        <v>0</v>
      </c>
      <c r="AM72" s="418">
        <f t="shared" si="6"/>
        <v>0</v>
      </c>
      <c r="AN72" s="418">
        <f t="shared" si="7"/>
        <v>0</v>
      </c>
      <c r="AO72" s="418">
        <f t="shared" si="8"/>
        <v>0</v>
      </c>
      <c r="AP72" s="418">
        <f t="shared" si="9"/>
        <v>0</v>
      </c>
      <c r="AQ72" s="418">
        <f t="shared" si="10"/>
        <v>0</v>
      </c>
      <c r="AR72" s="68">
        <f t="shared" si="11"/>
        <v>0</v>
      </c>
      <c r="AS72" s="68">
        <f t="shared" si="12"/>
        <v>0</v>
      </c>
      <c r="AT72" s="418">
        <v>0</v>
      </c>
      <c r="AU72" s="418">
        <v>0</v>
      </c>
      <c r="AV72" s="418">
        <f t="shared" si="13"/>
        <v>0</v>
      </c>
      <c r="AW72" s="418">
        <f t="shared" si="14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5"/>
        <v>0</v>
      </c>
      <c r="BG72" s="419">
        <f t="shared" si="16"/>
        <v>0</v>
      </c>
      <c r="BH72" s="421">
        <f t="shared" si="17"/>
        <v>0</v>
      </c>
      <c r="BI72" s="780">
        <f>I72+AW72</f>
        <v>1760919</v>
      </c>
      <c r="BJ72" s="418">
        <f>J72+AF72</f>
        <v>1306320</v>
      </c>
      <c r="BK72" s="418">
        <f t="shared" si="88"/>
        <v>1306320</v>
      </c>
      <c r="BL72" s="418">
        <f t="shared" si="88"/>
        <v>0</v>
      </c>
      <c r="BM72" s="418">
        <f>M72+AN72</f>
        <v>0</v>
      </c>
      <c r="BN72" s="418">
        <f t="shared" si="89"/>
        <v>0</v>
      </c>
      <c r="BO72" s="418">
        <f t="shared" si="89"/>
        <v>0</v>
      </c>
      <c r="BP72" s="418">
        <f t="shared" si="90"/>
        <v>441536</v>
      </c>
      <c r="BQ72" s="418">
        <f t="shared" si="90"/>
        <v>13063</v>
      </c>
      <c r="BR72" s="418">
        <f>R72+AV72</f>
        <v>0</v>
      </c>
      <c r="BS72" s="419">
        <f>S72+BH72</f>
        <v>4</v>
      </c>
      <c r="BT72" s="419">
        <f t="shared" si="91"/>
        <v>4</v>
      </c>
      <c r="BU72" s="421">
        <f t="shared" si="91"/>
        <v>0</v>
      </c>
      <c r="BV72" s="420"/>
      <c r="BW72" s="415"/>
      <c r="BX72" s="415"/>
      <c r="BY72" s="415"/>
      <c r="BZ72" s="415"/>
      <c r="CA72" s="510"/>
    </row>
    <row r="73" spans="1:79" ht="14.1" customHeight="1" x14ac:dyDescent="0.2">
      <c r="A73" s="66">
        <v>17</v>
      </c>
      <c r="B73" s="63">
        <v>2417</v>
      </c>
      <c r="C73" s="64">
        <v>600079562</v>
      </c>
      <c r="D73" s="63">
        <v>72742810</v>
      </c>
      <c r="E73" s="65" t="s">
        <v>566</v>
      </c>
      <c r="F73" s="66">
        <v>3111</v>
      </c>
      <c r="G73" s="43" t="s">
        <v>291</v>
      </c>
      <c r="H73" s="67" t="s">
        <v>272</v>
      </c>
      <c r="I73" s="420">
        <v>616470</v>
      </c>
      <c r="J73" s="415">
        <v>457322</v>
      </c>
      <c r="K73" s="415">
        <v>457322</v>
      </c>
      <c r="L73" s="415">
        <v>0</v>
      </c>
      <c r="M73" s="415">
        <v>0</v>
      </c>
      <c r="N73" s="415">
        <v>0</v>
      </c>
      <c r="O73" s="415">
        <v>0</v>
      </c>
      <c r="P73" s="599">
        <v>154575</v>
      </c>
      <c r="Q73" s="599">
        <v>4573</v>
      </c>
      <c r="R73" s="415">
        <v>0</v>
      </c>
      <c r="S73" s="416">
        <v>1.5</v>
      </c>
      <c r="T73" s="417">
        <v>1.5</v>
      </c>
      <c r="U73" s="423">
        <v>0</v>
      </c>
      <c r="V73" s="424">
        <f t="shared" si="2"/>
        <v>0</v>
      </c>
      <c r="W73" s="418">
        <f t="shared" si="3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 t="shared" si="4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5"/>
        <v>0</v>
      </c>
      <c r="AM73" s="418">
        <f t="shared" si="6"/>
        <v>0</v>
      </c>
      <c r="AN73" s="418">
        <f t="shared" si="7"/>
        <v>0</v>
      </c>
      <c r="AO73" s="418">
        <f t="shared" si="8"/>
        <v>0</v>
      </c>
      <c r="AP73" s="418">
        <f t="shared" si="9"/>
        <v>0</v>
      </c>
      <c r="AQ73" s="418">
        <f t="shared" si="10"/>
        <v>0</v>
      </c>
      <c r="AR73" s="68">
        <f t="shared" si="11"/>
        <v>0</v>
      </c>
      <c r="AS73" s="68">
        <f t="shared" si="12"/>
        <v>0</v>
      </c>
      <c r="AT73" s="418">
        <v>0</v>
      </c>
      <c r="AU73" s="418">
        <v>0</v>
      </c>
      <c r="AV73" s="418">
        <f t="shared" si="13"/>
        <v>0</v>
      </c>
      <c r="AW73" s="418">
        <f t="shared" si="14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15"/>
        <v>0</v>
      </c>
      <c r="BG73" s="419">
        <f t="shared" si="16"/>
        <v>0</v>
      </c>
      <c r="BH73" s="421">
        <f t="shared" si="17"/>
        <v>0</v>
      </c>
      <c r="BI73" s="780">
        <f>I73+AW73</f>
        <v>616470</v>
      </c>
      <c r="BJ73" s="418">
        <f>J73+AF73</f>
        <v>457322</v>
      </c>
      <c r="BK73" s="418">
        <f t="shared" si="88"/>
        <v>457322</v>
      </c>
      <c r="BL73" s="418">
        <f t="shared" si="88"/>
        <v>0</v>
      </c>
      <c r="BM73" s="418">
        <f>M73+AN73</f>
        <v>0</v>
      </c>
      <c r="BN73" s="418">
        <f t="shared" si="89"/>
        <v>0</v>
      </c>
      <c r="BO73" s="418">
        <f t="shared" si="89"/>
        <v>0</v>
      </c>
      <c r="BP73" s="418">
        <f t="shared" si="90"/>
        <v>154575</v>
      </c>
      <c r="BQ73" s="418">
        <f t="shared" si="90"/>
        <v>4573</v>
      </c>
      <c r="BR73" s="418">
        <f>R73+AV73</f>
        <v>0</v>
      </c>
      <c r="BS73" s="419">
        <f>S73+BH73</f>
        <v>1.5</v>
      </c>
      <c r="BT73" s="419">
        <f t="shared" si="91"/>
        <v>1.5</v>
      </c>
      <c r="BU73" s="421">
        <f t="shared" si="91"/>
        <v>0</v>
      </c>
      <c r="BV73" s="420"/>
      <c r="BW73" s="415"/>
      <c r="BX73" s="415"/>
      <c r="BY73" s="415"/>
      <c r="BZ73" s="415"/>
      <c r="CA73" s="510"/>
    </row>
    <row r="74" spans="1:79" ht="14.1" customHeight="1" x14ac:dyDescent="0.2">
      <c r="A74" s="66">
        <v>17</v>
      </c>
      <c r="B74" s="63">
        <v>2417</v>
      </c>
      <c r="C74" s="64">
        <v>600079562</v>
      </c>
      <c r="D74" s="63">
        <v>72742810</v>
      </c>
      <c r="E74" s="65" t="s">
        <v>566</v>
      </c>
      <c r="F74" s="66">
        <v>3141</v>
      </c>
      <c r="G74" s="65" t="s">
        <v>294</v>
      </c>
      <c r="H74" s="67" t="s">
        <v>272</v>
      </c>
      <c r="I74" s="420">
        <v>1258448</v>
      </c>
      <c r="J74" s="415">
        <v>929309</v>
      </c>
      <c r="K74" s="415">
        <v>0</v>
      </c>
      <c r="L74" s="750">
        <v>929309</v>
      </c>
      <c r="M74" s="415">
        <v>0</v>
      </c>
      <c r="N74" s="204">
        <v>0</v>
      </c>
      <c r="O74" s="204">
        <v>0</v>
      </c>
      <c r="P74" s="599">
        <v>314106</v>
      </c>
      <c r="Q74" s="599">
        <v>9293</v>
      </c>
      <c r="R74" s="605">
        <v>5740</v>
      </c>
      <c r="S74" s="416">
        <v>2.7866999999999997</v>
      </c>
      <c r="T74" s="607">
        <v>0</v>
      </c>
      <c r="U74" s="737">
        <v>2.7866999999999997</v>
      </c>
      <c r="V74" s="424">
        <f t="shared" si="2"/>
        <v>0</v>
      </c>
      <c r="W74" s="418">
        <f t="shared" si="3"/>
        <v>0</v>
      </c>
      <c r="X74" s="418">
        <v>0</v>
      </c>
      <c r="Y74" s="418">
        <v>0</v>
      </c>
      <c r="Z74" s="418">
        <v>0</v>
      </c>
      <c r="AA74" s="418">
        <v>464025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464025</v>
      </c>
      <c r="AF74" s="418">
        <f t="shared" si="4"/>
        <v>464025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5"/>
        <v>0</v>
      </c>
      <c r="AM74" s="418">
        <f t="shared" si="6"/>
        <v>0</v>
      </c>
      <c r="AN74" s="418">
        <f t="shared" si="7"/>
        <v>0</v>
      </c>
      <c r="AO74" s="418">
        <f t="shared" si="8"/>
        <v>0</v>
      </c>
      <c r="AP74" s="418">
        <f t="shared" si="9"/>
        <v>464025</v>
      </c>
      <c r="AQ74" s="418">
        <f t="shared" si="10"/>
        <v>464025</v>
      </c>
      <c r="AR74" s="68">
        <f t="shared" si="11"/>
        <v>156840</v>
      </c>
      <c r="AS74" s="68">
        <f t="shared" si="12"/>
        <v>4640</v>
      </c>
      <c r="AT74" s="418">
        <v>0</v>
      </c>
      <c r="AU74" s="418">
        <v>2788</v>
      </c>
      <c r="AV74" s="418">
        <f t="shared" si="13"/>
        <v>2788</v>
      </c>
      <c r="AW74" s="418">
        <f t="shared" si="14"/>
        <v>628293</v>
      </c>
      <c r="AX74" s="419">
        <v>0</v>
      </c>
      <c r="AY74" s="419">
        <v>0</v>
      </c>
      <c r="AZ74" s="419">
        <v>0</v>
      </c>
      <c r="BA74" s="419">
        <v>0</v>
      </c>
      <c r="BB74" s="419">
        <v>1.39</v>
      </c>
      <c r="BC74" s="419">
        <v>0</v>
      </c>
      <c r="BD74" s="419">
        <v>0</v>
      </c>
      <c r="BE74" s="419">
        <v>0</v>
      </c>
      <c r="BF74" s="419">
        <f t="shared" si="15"/>
        <v>0</v>
      </c>
      <c r="BG74" s="419">
        <f t="shared" si="16"/>
        <v>1.39</v>
      </c>
      <c r="BH74" s="421">
        <f t="shared" si="17"/>
        <v>1.39</v>
      </c>
      <c r="BI74" s="780">
        <f>I74+AW74</f>
        <v>1886741</v>
      </c>
      <c r="BJ74" s="418">
        <f>J74+AF74</f>
        <v>1393334</v>
      </c>
      <c r="BK74" s="418">
        <f t="shared" si="88"/>
        <v>0</v>
      </c>
      <c r="BL74" s="418">
        <f t="shared" si="88"/>
        <v>1393334</v>
      </c>
      <c r="BM74" s="418">
        <f>M74+AN74</f>
        <v>0</v>
      </c>
      <c r="BN74" s="418">
        <f t="shared" si="89"/>
        <v>0</v>
      </c>
      <c r="BO74" s="418">
        <f t="shared" si="89"/>
        <v>0</v>
      </c>
      <c r="BP74" s="418">
        <f t="shared" si="90"/>
        <v>470946</v>
      </c>
      <c r="BQ74" s="418">
        <f t="shared" si="90"/>
        <v>13933</v>
      </c>
      <c r="BR74" s="418">
        <f>R74+AV74</f>
        <v>8528</v>
      </c>
      <c r="BS74" s="419">
        <f>S74+BH74</f>
        <v>4.1766999999999994</v>
      </c>
      <c r="BT74" s="419">
        <f t="shared" si="91"/>
        <v>0</v>
      </c>
      <c r="BU74" s="421">
        <f t="shared" si="91"/>
        <v>4.1766999999999994</v>
      </c>
      <c r="BV74" s="420"/>
      <c r="BW74" s="415"/>
      <c r="BX74" s="415"/>
      <c r="BY74" s="415"/>
      <c r="BZ74" s="415"/>
      <c r="CA74" s="510"/>
    </row>
    <row r="75" spans="1:79" ht="14.1" customHeight="1" x14ac:dyDescent="0.2">
      <c r="A75" s="72">
        <v>17</v>
      </c>
      <c r="B75" s="69">
        <v>2417</v>
      </c>
      <c r="C75" s="70">
        <v>600079562</v>
      </c>
      <c r="D75" s="69">
        <v>72742810</v>
      </c>
      <c r="E75" s="71" t="s">
        <v>567</v>
      </c>
      <c r="F75" s="72"/>
      <c r="G75" s="71"/>
      <c r="H75" s="73"/>
      <c r="I75" s="517">
        <v>21671692</v>
      </c>
      <c r="J75" s="74">
        <v>16008483</v>
      </c>
      <c r="K75" s="74">
        <v>13949358</v>
      </c>
      <c r="L75" s="74">
        <v>2059125</v>
      </c>
      <c r="M75" s="74">
        <v>20000</v>
      </c>
      <c r="N75" s="74">
        <v>0</v>
      </c>
      <c r="O75" s="74">
        <v>20000</v>
      </c>
      <c r="P75" s="74">
        <v>5417627</v>
      </c>
      <c r="Q75" s="74">
        <v>160085</v>
      </c>
      <c r="R75" s="74">
        <v>65497</v>
      </c>
      <c r="S75" s="75">
        <v>33.250399999999999</v>
      </c>
      <c r="T75" s="75">
        <v>26.5</v>
      </c>
      <c r="U75" s="658">
        <v>6.7503999999999991</v>
      </c>
      <c r="V75" s="517">
        <f t="shared" ref="V75:BU75" si="92">SUM(V71:V74)</f>
        <v>0</v>
      </c>
      <c r="W75" s="74">
        <f t="shared" si="92"/>
        <v>0</v>
      </c>
      <c r="X75" s="74">
        <f t="shared" si="92"/>
        <v>0</v>
      </c>
      <c r="Y75" s="74">
        <f t="shared" si="92"/>
        <v>0</v>
      </c>
      <c r="Z75" s="74">
        <f t="shared" si="92"/>
        <v>0</v>
      </c>
      <c r="AA75" s="74">
        <f t="shared" si="92"/>
        <v>464025</v>
      </c>
      <c r="AB75" s="74">
        <f t="shared" si="92"/>
        <v>0</v>
      </c>
      <c r="AC75" s="74">
        <f t="shared" si="92"/>
        <v>0</v>
      </c>
      <c r="AD75" s="74">
        <f t="shared" si="92"/>
        <v>0</v>
      </c>
      <c r="AE75" s="74">
        <f t="shared" si="92"/>
        <v>464025</v>
      </c>
      <c r="AF75" s="74">
        <f t="shared" si="92"/>
        <v>464025</v>
      </c>
      <c r="AG75" s="74">
        <f t="shared" si="92"/>
        <v>0</v>
      </c>
      <c r="AH75" s="74">
        <f t="shared" si="92"/>
        <v>0</v>
      </c>
      <c r="AI75" s="74">
        <f t="shared" si="92"/>
        <v>0</v>
      </c>
      <c r="AJ75" s="74">
        <f t="shared" si="92"/>
        <v>0</v>
      </c>
      <c r="AK75" s="74">
        <f t="shared" si="92"/>
        <v>0</v>
      </c>
      <c r="AL75" s="74">
        <f t="shared" si="92"/>
        <v>0</v>
      </c>
      <c r="AM75" s="74">
        <f t="shared" si="92"/>
        <v>0</v>
      </c>
      <c r="AN75" s="74">
        <f t="shared" si="92"/>
        <v>0</v>
      </c>
      <c r="AO75" s="74">
        <f t="shared" si="92"/>
        <v>0</v>
      </c>
      <c r="AP75" s="74">
        <f t="shared" si="92"/>
        <v>464025</v>
      </c>
      <c r="AQ75" s="74">
        <f t="shared" si="92"/>
        <v>464025</v>
      </c>
      <c r="AR75" s="74">
        <f t="shared" si="92"/>
        <v>156840</v>
      </c>
      <c r="AS75" s="74">
        <f t="shared" si="92"/>
        <v>4640</v>
      </c>
      <c r="AT75" s="74">
        <f t="shared" si="92"/>
        <v>0</v>
      </c>
      <c r="AU75" s="74">
        <f t="shared" si="92"/>
        <v>2788</v>
      </c>
      <c r="AV75" s="74">
        <f t="shared" si="92"/>
        <v>2788</v>
      </c>
      <c r="AW75" s="74">
        <f t="shared" si="92"/>
        <v>628293</v>
      </c>
      <c r="AX75" s="75">
        <f t="shared" si="92"/>
        <v>0</v>
      </c>
      <c r="AY75" s="75">
        <f t="shared" si="92"/>
        <v>0</v>
      </c>
      <c r="AZ75" s="75">
        <f t="shared" si="92"/>
        <v>0</v>
      </c>
      <c r="BA75" s="75">
        <f t="shared" si="92"/>
        <v>0</v>
      </c>
      <c r="BB75" s="75">
        <f t="shared" si="92"/>
        <v>1.39</v>
      </c>
      <c r="BC75" s="75">
        <f t="shared" si="92"/>
        <v>0</v>
      </c>
      <c r="BD75" s="75">
        <f t="shared" si="92"/>
        <v>0</v>
      </c>
      <c r="BE75" s="75">
        <f t="shared" si="92"/>
        <v>0</v>
      </c>
      <c r="BF75" s="75">
        <f t="shared" si="92"/>
        <v>0</v>
      </c>
      <c r="BG75" s="75">
        <f t="shared" si="92"/>
        <v>1.39</v>
      </c>
      <c r="BH75" s="76">
        <f t="shared" si="92"/>
        <v>1.39</v>
      </c>
      <c r="BI75" s="799">
        <f t="shared" si="92"/>
        <v>22299985</v>
      </c>
      <c r="BJ75" s="74">
        <f t="shared" si="92"/>
        <v>16472508</v>
      </c>
      <c r="BK75" s="74">
        <f t="shared" si="92"/>
        <v>13949358</v>
      </c>
      <c r="BL75" s="74">
        <f t="shared" si="92"/>
        <v>2523150</v>
      </c>
      <c r="BM75" s="74">
        <f t="shared" si="92"/>
        <v>20000</v>
      </c>
      <c r="BN75" s="74">
        <f t="shared" si="92"/>
        <v>0</v>
      </c>
      <c r="BO75" s="74">
        <f t="shared" si="92"/>
        <v>20000</v>
      </c>
      <c r="BP75" s="74">
        <f t="shared" si="92"/>
        <v>5574467</v>
      </c>
      <c r="BQ75" s="74">
        <f t="shared" si="92"/>
        <v>164725</v>
      </c>
      <c r="BR75" s="74">
        <f t="shared" si="92"/>
        <v>68285</v>
      </c>
      <c r="BS75" s="75">
        <f t="shared" si="92"/>
        <v>34.6404</v>
      </c>
      <c r="BT75" s="75">
        <f t="shared" si="92"/>
        <v>26.5</v>
      </c>
      <c r="BU75" s="76">
        <f t="shared" si="92"/>
        <v>8.1403999999999996</v>
      </c>
      <c r="BV75" s="809">
        <f t="shared" ref="BV75:CA75" si="93">SUM(BV71:BV74)</f>
        <v>0</v>
      </c>
      <c r="BW75" s="684">
        <f t="shared" si="93"/>
        <v>0</v>
      </c>
      <c r="BX75" s="684">
        <f t="shared" si="93"/>
        <v>0</v>
      </c>
      <c r="BY75" s="684">
        <f t="shared" si="93"/>
        <v>0</v>
      </c>
      <c r="BZ75" s="684">
        <f t="shared" si="93"/>
        <v>0</v>
      </c>
      <c r="CA75" s="810">
        <f t="shared" si="93"/>
        <v>0</v>
      </c>
    </row>
    <row r="76" spans="1:79" ht="14.1" customHeight="1" x14ac:dyDescent="0.2">
      <c r="A76" s="66">
        <v>18</v>
      </c>
      <c r="B76" s="63">
        <v>2416</v>
      </c>
      <c r="C76" s="64">
        <v>600079571</v>
      </c>
      <c r="D76" s="63">
        <v>72742895</v>
      </c>
      <c r="E76" s="65" t="s">
        <v>568</v>
      </c>
      <c r="F76" s="66">
        <v>3111</v>
      </c>
      <c r="G76" s="65" t="s">
        <v>290</v>
      </c>
      <c r="H76" s="67" t="s">
        <v>271</v>
      </c>
      <c r="I76" s="420">
        <v>5666795</v>
      </c>
      <c r="J76" s="415">
        <v>4136225</v>
      </c>
      <c r="K76" s="415">
        <v>3808956</v>
      </c>
      <c r="L76" s="415">
        <v>327269</v>
      </c>
      <c r="M76" s="415">
        <v>52000</v>
      </c>
      <c r="N76" s="415">
        <v>0</v>
      </c>
      <c r="O76" s="415">
        <v>52000</v>
      </c>
      <c r="P76" s="599">
        <v>1415620</v>
      </c>
      <c r="Q76" s="599">
        <v>41362</v>
      </c>
      <c r="R76" s="415">
        <v>21588</v>
      </c>
      <c r="S76" s="416">
        <v>7.6911999999999994</v>
      </c>
      <c r="T76" s="416">
        <v>6.5644999999999998</v>
      </c>
      <c r="U76" s="423">
        <v>1.1266999999999998</v>
      </c>
      <c r="V76" s="424">
        <f t="shared" si="2"/>
        <v>0</v>
      </c>
      <c r="W76" s="418">
        <f t="shared" si="3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 t="shared" si="4"/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5"/>
        <v>0</v>
      </c>
      <c r="AM76" s="418">
        <f t="shared" si="6"/>
        <v>0</v>
      </c>
      <c r="AN76" s="418">
        <f t="shared" si="7"/>
        <v>0</v>
      </c>
      <c r="AO76" s="418">
        <f t="shared" si="8"/>
        <v>0</v>
      </c>
      <c r="AP76" s="418">
        <f t="shared" si="9"/>
        <v>0</v>
      </c>
      <c r="AQ76" s="418">
        <f t="shared" si="10"/>
        <v>0</v>
      </c>
      <c r="AR76" s="68">
        <f t="shared" si="11"/>
        <v>0</v>
      </c>
      <c r="AS76" s="68">
        <f t="shared" si="12"/>
        <v>0</v>
      </c>
      <c r="AT76" s="418">
        <v>0</v>
      </c>
      <c r="AU76" s="418">
        <v>0</v>
      </c>
      <c r="AV76" s="418">
        <f t="shared" si="13"/>
        <v>0</v>
      </c>
      <c r="AW76" s="418">
        <f t="shared" si="14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15"/>
        <v>0</v>
      </c>
      <c r="BG76" s="419">
        <f t="shared" si="16"/>
        <v>0</v>
      </c>
      <c r="BH76" s="421">
        <f t="shared" si="17"/>
        <v>0</v>
      </c>
      <c r="BI76" s="780">
        <f>I76+AW76</f>
        <v>5666795</v>
      </c>
      <c r="BJ76" s="418">
        <f>J76+AF76</f>
        <v>4136225</v>
      </c>
      <c r="BK76" s="418">
        <f t="shared" ref="BK76:BL78" si="94">K76+AD76</f>
        <v>3808956</v>
      </c>
      <c r="BL76" s="418">
        <f t="shared" si="94"/>
        <v>327269</v>
      </c>
      <c r="BM76" s="418">
        <f>M76+AN76</f>
        <v>52000</v>
      </c>
      <c r="BN76" s="418">
        <f t="shared" ref="BN76:BO78" si="95">N76+AL76</f>
        <v>0</v>
      </c>
      <c r="BO76" s="418">
        <f t="shared" si="95"/>
        <v>52000</v>
      </c>
      <c r="BP76" s="418">
        <f t="shared" ref="BP76:BQ78" si="96">P76+AR76</f>
        <v>1415620</v>
      </c>
      <c r="BQ76" s="418">
        <f t="shared" si="96"/>
        <v>41362</v>
      </c>
      <c r="BR76" s="418">
        <f>R76+AV76</f>
        <v>21588</v>
      </c>
      <c r="BS76" s="419">
        <f>S76+BH76</f>
        <v>7.6911999999999994</v>
      </c>
      <c r="BT76" s="419">
        <f t="shared" ref="BT76:BU78" si="97">T76+BF76</f>
        <v>6.5644999999999998</v>
      </c>
      <c r="BU76" s="421">
        <f t="shared" si="97"/>
        <v>1.1266999999999998</v>
      </c>
      <c r="BV76" s="420"/>
      <c r="BW76" s="415"/>
      <c r="BX76" s="415"/>
      <c r="BY76" s="415"/>
      <c r="BZ76" s="415"/>
      <c r="CA76" s="510"/>
    </row>
    <row r="77" spans="1:79" ht="14.1" customHeight="1" x14ac:dyDescent="0.2">
      <c r="A77" s="66">
        <v>18</v>
      </c>
      <c r="B77" s="63">
        <v>2416</v>
      </c>
      <c r="C77" s="64">
        <v>600079571</v>
      </c>
      <c r="D77" s="63">
        <v>72742895</v>
      </c>
      <c r="E77" s="65" t="s">
        <v>568</v>
      </c>
      <c r="F77" s="66">
        <v>3111</v>
      </c>
      <c r="G77" s="43" t="s">
        <v>292</v>
      </c>
      <c r="H77" s="67" t="s">
        <v>271</v>
      </c>
      <c r="I77" s="420">
        <v>949208</v>
      </c>
      <c r="J77" s="415">
        <v>704160</v>
      </c>
      <c r="K77" s="415">
        <v>704160</v>
      </c>
      <c r="L77" s="415">
        <v>0</v>
      </c>
      <c r="M77" s="415">
        <v>0</v>
      </c>
      <c r="N77" s="415">
        <v>0</v>
      </c>
      <c r="O77" s="415">
        <v>0</v>
      </c>
      <c r="P77" s="599">
        <v>238006</v>
      </c>
      <c r="Q77" s="599">
        <v>7042</v>
      </c>
      <c r="R77" s="415">
        <v>0</v>
      </c>
      <c r="S77" s="416">
        <v>2</v>
      </c>
      <c r="T77" s="416">
        <v>2</v>
      </c>
      <c r="U77" s="423">
        <v>0</v>
      </c>
      <c r="V77" s="424">
        <f t="shared" ref="V77:V141" si="98">AG77*-1</f>
        <v>0</v>
      </c>
      <c r="W77" s="418">
        <f t="shared" ref="W77:W141" si="99">AH77*-1</f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 t="shared" ref="AF77:AF141" si="100"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ref="AL77:AL141" si="101">AG77+AI77+AJ77</f>
        <v>0</v>
      </c>
      <c r="AM77" s="418">
        <f t="shared" ref="AM77:AM141" si="102">AH77+AK77</f>
        <v>0</v>
      </c>
      <c r="AN77" s="418">
        <f t="shared" ref="AN77:AN141" si="103">SUM(AL77:AM77)</f>
        <v>0</v>
      </c>
      <c r="AO77" s="418">
        <f t="shared" ref="AO77:AO141" si="104">AD77+AL77</f>
        <v>0</v>
      </c>
      <c r="AP77" s="418">
        <f t="shared" ref="AP77:AP141" si="105">AE77+AM77</f>
        <v>0</v>
      </c>
      <c r="AQ77" s="418">
        <f t="shared" ref="AQ77:AQ141" si="106">SUM(AO77:AP77)</f>
        <v>0</v>
      </c>
      <c r="AR77" s="68">
        <f t="shared" ref="AR77:AR141" si="107">ROUND((AF77+AG77+AH77+AI77)*33.8%,0)</f>
        <v>0</v>
      </c>
      <c r="AS77" s="68">
        <f t="shared" ref="AS77:AS141" si="108">ROUND(AF77*1%,0)</f>
        <v>0</v>
      </c>
      <c r="AT77" s="418">
        <v>0</v>
      </c>
      <c r="AU77" s="418">
        <v>0</v>
      </c>
      <c r="AV77" s="418">
        <f t="shared" ref="AV77:AV141" si="109">AT77+AU77</f>
        <v>0</v>
      </c>
      <c r="AW77" s="418">
        <f t="shared" ref="AW77:AW141" si="110"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ref="BF77:BF141" si="111">AX77+AZ77+BA77+BC77+BD77</f>
        <v>0</v>
      </c>
      <c r="BG77" s="419">
        <f t="shared" ref="BG77:BG141" si="112">AY77+BB77+BE77</f>
        <v>0</v>
      </c>
      <c r="BH77" s="421">
        <f t="shared" ref="BH77:BH141" si="113">SUM(BF77:BG77)</f>
        <v>0</v>
      </c>
      <c r="BI77" s="780">
        <f>I77+AW77</f>
        <v>949208</v>
      </c>
      <c r="BJ77" s="418">
        <f>J77+AF77</f>
        <v>704160</v>
      </c>
      <c r="BK77" s="418">
        <f t="shared" si="94"/>
        <v>704160</v>
      </c>
      <c r="BL77" s="418">
        <f t="shared" si="94"/>
        <v>0</v>
      </c>
      <c r="BM77" s="418">
        <f>M77+AN77</f>
        <v>0</v>
      </c>
      <c r="BN77" s="418">
        <f t="shared" si="95"/>
        <v>0</v>
      </c>
      <c r="BO77" s="418">
        <f t="shared" si="95"/>
        <v>0</v>
      </c>
      <c r="BP77" s="418">
        <f t="shared" si="96"/>
        <v>238006</v>
      </c>
      <c r="BQ77" s="418">
        <f t="shared" si="96"/>
        <v>7042</v>
      </c>
      <c r="BR77" s="418">
        <f>R77+AV77</f>
        <v>0</v>
      </c>
      <c r="BS77" s="419">
        <f>S77+BH77</f>
        <v>2</v>
      </c>
      <c r="BT77" s="419">
        <f t="shared" si="97"/>
        <v>2</v>
      </c>
      <c r="BU77" s="421">
        <f t="shared" si="97"/>
        <v>0</v>
      </c>
      <c r="BV77" s="420"/>
      <c r="BW77" s="415"/>
      <c r="BX77" s="415"/>
      <c r="BY77" s="415"/>
      <c r="BZ77" s="415"/>
      <c r="CA77" s="510"/>
    </row>
    <row r="78" spans="1:79" ht="14.1" customHeight="1" x14ac:dyDescent="0.2">
      <c r="A78" s="66">
        <v>18</v>
      </c>
      <c r="B78" s="63">
        <v>2416</v>
      </c>
      <c r="C78" s="64">
        <v>600079571</v>
      </c>
      <c r="D78" s="63">
        <v>72742895</v>
      </c>
      <c r="E78" s="65" t="s">
        <v>568</v>
      </c>
      <c r="F78" s="66">
        <v>3141</v>
      </c>
      <c r="G78" s="65" t="s">
        <v>294</v>
      </c>
      <c r="H78" s="67" t="s">
        <v>272</v>
      </c>
      <c r="I78" s="420">
        <v>444967</v>
      </c>
      <c r="J78" s="415">
        <v>306045</v>
      </c>
      <c r="K78" s="415">
        <v>0</v>
      </c>
      <c r="L78" s="750">
        <v>306045</v>
      </c>
      <c r="M78" s="415">
        <v>23000</v>
      </c>
      <c r="N78" s="204">
        <v>0</v>
      </c>
      <c r="O78" s="204">
        <v>23000</v>
      </c>
      <c r="P78" s="599">
        <v>111217</v>
      </c>
      <c r="Q78" s="599">
        <v>3060</v>
      </c>
      <c r="R78" s="605">
        <v>1645</v>
      </c>
      <c r="S78" s="416">
        <v>0.98670000000000002</v>
      </c>
      <c r="T78" s="607">
        <v>0</v>
      </c>
      <c r="U78" s="737">
        <v>0.98670000000000002</v>
      </c>
      <c r="V78" s="424">
        <f t="shared" si="98"/>
        <v>0</v>
      </c>
      <c r="W78" s="418">
        <f t="shared" si="99"/>
        <v>0</v>
      </c>
      <c r="X78" s="418">
        <v>0</v>
      </c>
      <c r="Y78" s="418">
        <v>0</v>
      </c>
      <c r="Z78" s="418">
        <v>0</v>
      </c>
      <c r="AA78" s="418">
        <v>163841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163841</v>
      </c>
      <c r="AF78" s="418">
        <f t="shared" si="100"/>
        <v>163841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01"/>
        <v>0</v>
      </c>
      <c r="AM78" s="418">
        <f t="shared" si="102"/>
        <v>0</v>
      </c>
      <c r="AN78" s="418">
        <f t="shared" si="103"/>
        <v>0</v>
      </c>
      <c r="AO78" s="418">
        <f t="shared" si="104"/>
        <v>0</v>
      </c>
      <c r="AP78" s="418">
        <f t="shared" si="105"/>
        <v>163841</v>
      </c>
      <c r="AQ78" s="418">
        <f t="shared" si="106"/>
        <v>163841</v>
      </c>
      <c r="AR78" s="68">
        <f t="shared" si="107"/>
        <v>55378</v>
      </c>
      <c r="AS78" s="68">
        <f t="shared" si="108"/>
        <v>1638</v>
      </c>
      <c r="AT78" s="418">
        <v>0</v>
      </c>
      <c r="AU78" s="418">
        <v>799</v>
      </c>
      <c r="AV78" s="418">
        <f t="shared" si="109"/>
        <v>799</v>
      </c>
      <c r="AW78" s="418">
        <f t="shared" si="110"/>
        <v>221656</v>
      </c>
      <c r="AX78" s="419">
        <v>0</v>
      </c>
      <c r="AY78" s="419">
        <v>0</v>
      </c>
      <c r="AZ78" s="419">
        <v>0</v>
      </c>
      <c r="BA78" s="419">
        <v>0</v>
      </c>
      <c r="BB78" s="419">
        <v>0.49</v>
      </c>
      <c r="BC78" s="419">
        <v>0</v>
      </c>
      <c r="BD78" s="419">
        <v>0</v>
      </c>
      <c r="BE78" s="419">
        <v>0</v>
      </c>
      <c r="BF78" s="419">
        <f t="shared" si="111"/>
        <v>0</v>
      </c>
      <c r="BG78" s="419">
        <f t="shared" si="112"/>
        <v>0.49</v>
      </c>
      <c r="BH78" s="421">
        <f t="shared" si="113"/>
        <v>0.49</v>
      </c>
      <c r="BI78" s="780">
        <f>I78+AW78</f>
        <v>666623</v>
      </c>
      <c r="BJ78" s="418">
        <f>J78+AF78</f>
        <v>469886</v>
      </c>
      <c r="BK78" s="418">
        <f t="shared" si="94"/>
        <v>0</v>
      </c>
      <c r="BL78" s="418">
        <f t="shared" si="94"/>
        <v>469886</v>
      </c>
      <c r="BM78" s="418">
        <f>M78+AN78</f>
        <v>23000</v>
      </c>
      <c r="BN78" s="418">
        <f t="shared" si="95"/>
        <v>0</v>
      </c>
      <c r="BO78" s="418">
        <f t="shared" si="95"/>
        <v>23000</v>
      </c>
      <c r="BP78" s="418">
        <f t="shared" si="96"/>
        <v>166595</v>
      </c>
      <c r="BQ78" s="418">
        <f t="shared" si="96"/>
        <v>4698</v>
      </c>
      <c r="BR78" s="418">
        <f>R78+AV78</f>
        <v>2444</v>
      </c>
      <c r="BS78" s="419">
        <f>S78+BH78</f>
        <v>1.4767000000000001</v>
      </c>
      <c r="BT78" s="419">
        <f t="shared" si="97"/>
        <v>0</v>
      </c>
      <c r="BU78" s="421">
        <f t="shared" si="97"/>
        <v>1.4767000000000001</v>
      </c>
      <c r="BV78" s="420"/>
      <c r="BW78" s="415"/>
      <c r="BX78" s="415"/>
      <c r="BY78" s="415"/>
      <c r="BZ78" s="415"/>
      <c r="CA78" s="510"/>
    </row>
    <row r="79" spans="1:79" ht="14.1" customHeight="1" x14ac:dyDescent="0.2">
      <c r="A79" s="72">
        <v>18</v>
      </c>
      <c r="B79" s="69">
        <v>2416</v>
      </c>
      <c r="C79" s="70">
        <v>600079571</v>
      </c>
      <c r="D79" s="69">
        <v>72742895</v>
      </c>
      <c r="E79" s="71" t="s">
        <v>569</v>
      </c>
      <c r="F79" s="72"/>
      <c r="G79" s="71"/>
      <c r="H79" s="73"/>
      <c r="I79" s="517">
        <v>7060970</v>
      </c>
      <c r="J79" s="74">
        <v>5146430</v>
      </c>
      <c r="K79" s="74">
        <v>4513116</v>
      </c>
      <c r="L79" s="74">
        <v>633314</v>
      </c>
      <c r="M79" s="74">
        <v>75000</v>
      </c>
      <c r="N79" s="74">
        <v>0</v>
      </c>
      <c r="O79" s="74">
        <v>75000</v>
      </c>
      <c r="P79" s="74">
        <v>1764843</v>
      </c>
      <c r="Q79" s="74">
        <v>51464</v>
      </c>
      <c r="R79" s="74">
        <v>23233</v>
      </c>
      <c r="S79" s="75">
        <v>10.677899999999999</v>
      </c>
      <c r="T79" s="75">
        <v>8.5644999999999989</v>
      </c>
      <c r="U79" s="658">
        <v>2.1133999999999999</v>
      </c>
      <c r="V79" s="517">
        <f t="shared" ref="V79:BU79" si="114">SUM(V76:V78)</f>
        <v>0</v>
      </c>
      <c r="W79" s="74">
        <f t="shared" si="114"/>
        <v>0</v>
      </c>
      <c r="X79" s="74">
        <f t="shared" si="114"/>
        <v>0</v>
      </c>
      <c r="Y79" s="74">
        <f t="shared" si="114"/>
        <v>0</v>
      </c>
      <c r="Z79" s="74">
        <f t="shared" si="114"/>
        <v>0</v>
      </c>
      <c r="AA79" s="74">
        <f t="shared" si="114"/>
        <v>163841</v>
      </c>
      <c r="AB79" s="74">
        <f t="shared" si="114"/>
        <v>0</v>
      </c>
      <c r="AC79" s="74">
        <f t="shared" si="114"/>
        <v>0</v>
      </c>
      <c r="AD79" s="74">
        <f t="shared" si="114"/>
        <v>0</v>
      </c>
      <c r="AE79" s="74">
        <f t="shared" si="114"/>
        <v>163841</v>
      </c>
      <c r="AF79" s="74">
        <f t="shared" si="114"/>
        <v>163841</v>
      </c>
      <c r="AG79" s="74">
        <f t="shared" si="114"/>
        <v>0</v>
      </c>
      <c r="AH79" s="74">
        <f t="shared" si="114"/>
        <v>0</v>
      </c>
      <c r="AI79" s="74">
        <f t="shared" si="114"/>
        <v>0</v>
      </c>
      <c r="AJ79" s="74">
        <f t="shared" si="114"/>
        <v>0</v>
      </c>
      <c r="AK79" s="74">
        <f t="shared" si="114"/>
        <v>0</v>
      </c>
      <c r="AL79" s="74">
        <f t="shared" si="114"/>
        <v>0</v>
      </c>
      <c r="AM79" s="74">
        <f t="shared" si="114"/>
        <v>0</v>
      </c>
      <c r="AN79" s="74">
        <f t="shared" si="114"/>
        <v>0</v>
      </c>
      <c r="AO79" s="74">
        <f t="shared" si="114"/>
        <v>0</v>
      </c>
      <c r="AP79" s="74">
        <f t="shared" si="114"/>
        <v>163841</v>
      </c>
      <c r="AQ79" s="74">
        <f t="shared" si="114"/>
        <v>163841</v>
      </c>
      <c r="AR79" s="74">
        <f t="shared" si="114"/>
        <v>55378</v>
      </c>
      <c r="AS79" s="74">
        <f t="shared" si="114"/>
        <v>1638</v>
      </c>
      <c r="AT79" s="74">
        <f t="shared" si="114"/>
        <v>0</v>
      </c>
      <c r="AU79" s="74">
        <f t="shared" si="114"/>
        <v>799</v>
      </c>
      <c r="AV79" s="74">
        <f t="shared" si="114"/>
        <v>799</v>
      </c>
      <c r="AW79" s="74">
        <f t="shared" si="114"/>
        <v>221656</v>
      </c>
      <c r="AX79" s="75">
        <f t="shared" si="114"/>
        <v>0</v>
      </c>
      <c r="AY79" s="75">
        <f t="shared" si="114"/>
        <v>0</v>
      </c>
      <c r="AZ79" s="75">
        <f t="shared" si="114"/>
        <v>0</v>
      </c>
      <c r="BA79" s="75">
        <f t="shared" si="114"/>
        <v>0</v>
      </c>
      <c r="BB79" s="75">
        <f t="shared" si="114"/>
        <v>0.49</v>
      </c>
      <c r="BC79" s="75">
        <f t="shared" si="114"/>
        <v>0</v>
      </c>
      <c r="BD79" s="75">
        <f t="shared" si="114"/>
        <v>0</v>
      </c>
      <c r="BE79" s="75">
        <f t="shared" si="114"/>
        <v>0</v>
      </c>
      <c r="BF79" s="75">
        <f t="shared" si="114"/>
        <v>0</v>
      </c>
      <c r="BG79" s="75">
        <f t="shared" si="114"/>
        <v>0.49</v>
      </c>
      <c r="BH79" s="76">
        <f t="shared" si="114"/>
        <v>0.49</v>
      </c>
      <c r="BI79" s="799">
        <f t="shared" si="114"/>
        <v>7282626</v>
      </c>
      <c r="BJ79" s="74">
        <f t="shared" si="114"/>
        <v>5310271</v>
      </c>
      <c r="BK79" s="74">
        <f t="shared" si="114"/>
        <v>4513116</v>
      </c>
      <c r="BL79" s="74">
        <f t="shared" si="114"/>
        <v>797155</v>
      </c>
      <c r="BM79" s="74">
        <f t="shared" si="114"/>
        <v>75000</v>
      </c>
      <c r="BN79" s="74">
        <f t="shared" si="114"/>
        <v>0</v>
      </c>
      <c r="BO79" s="74">
        <f t="shared" si="114"/>
        <v>75000</v>
      </c>
      <c r="BP79" s="74">
        <f t="shared" si="114"/>
        <v>1820221</v>
      </c>
      <c r="BQ79" s="74">
        <f t="shared" si="114"/>
        <v>53102</v>
      </c>
      <c r="BR79" s="74">
        <f t="shared" si="114"/>
        <v>24032</v>
      </c>
      <c r="BS79" s="75">
        <f t="shared" si="114"/>
        <v>11.167899999999999</v>
      </c>
      <c r="BT79" s="75">
        <f t="shared" si="114"/>
        <v>8.5644999999999989</v>
      </c>
      <c r="BU79" s="76">
        <f t="shared" si="114"/>
        <v>2.6033999999999997</v>
      </c>
      <c r="BV79" s="809">
        <f t="shared" ref="BV79:CA79" si="115">SUM(BV76:BV78)</f>
        <v>0</v>
      </c>
      <c r="BW79" s="684">
        <f t="shared" si="115"/>
        <v>0</v>
      </c>
      <c r="BX79" s="684">
        <f t="shared" si="115"/>
        <v>0</v>
      </c>
      <c r="BY79" s="684">
        <f t="shared" si="115"/>
        <v>0</v>
      </c>
      <c r="BZ79" s="684">
        <f t="shared" si="115"/>
        <v>0</v>
      </c>
      <c r="CA79" s="810">
        <f t="shared" si="115"/>
        <v>0</v>
      </c>
    </row>
    <row r="80" spans="1:79" ht="14.1" customHeight="1" x14ac:dyDescent="0.2">
      <c r="A80" s="66">
        <v>19</v>
      </c>
      <c r="B80" s="63">
        <v>2421</v>
      </c>
      <c r="C80" s="64">
        <v>600079163</v>
      </c>
      <c r="D80" s="63">
        <v>72743301</v>
      </c>
      <c r="E80" s="65" t="s">
        <v>570</v>
      </c>
      <c r="F80" s="66">
        <v>3111</v>
      </c>
      <c r="G80" s="65" t="s">
        <v>290</v>
      </c>
      <c r="H80" s="67" t="s">
        <v>271</v>
      </c>
      <c r="I80" s="420">
        <v>11155514</v>
      </c>
      <c r="J80" s="415">
        <v>8245649</v>
      </c>
      <c r="K80" s="415">
        <v>7558185</v>
      </c>
      <c r="L80" s="415">
        <v>687464</v>
      </c>
      <c r="M80" s="415">
        <v>0</v>
      </c>
      <c r="N80" s="415">
        <v>0</v>
      </c>
      <c r="O80" s="415">
        <v>0</v>
      </c>
      <c r="P80" s="599">
        <v>2787029</v>
      </c>
      <c r="Q80" s="599">
        <v>82456</v>
      </c>
      <c r="R80" s="415">
        <v>40380</v>
      </c>
      <c r="S80" s="416">
        <v>15.0954</v>
      </c>
      <c r="T80" s="416">
        <v>12.741899999999999</v>
      </c>
      <c r="U80" s="423">
        <v>2.3534999999999999</v>
      </c>
      <c r="V80" s="424">
        <f t="shared" si="98"/>
        <v>0</v>
      </c>
      <c r="W80" s="418">
        <f t="shared" si="99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 t="shared" si="100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01"/>
        <v>0</v>
      </c>
      <c r="AM80" s="418">
        <f t="shared" si="102"/>
        <v>0</v>
      </c>
      <c r="AN80" s="418">
        <f t="shared" si="103"/>
        <v>0</v>
      </c>
      <c r="AO80" s="418">
        <f t="shared" si="104"/>
        <v>0</v>
      </c>
      <c r="AP80" s="418">
        <f t="shared" si="105"/>
        <v>0</v>
      </c>
      <c r="AQ80" s="418">
        <f t="shared" si="106"/>
        <v>0</v>
      </c>
      <c r="AR80" s="68">
        <f t="shared" si="107"/>
        <v>0</v>
      </c>
      <c r="AS80" s="68">
        <f t="shared" si="108"/>
        <v>0</v>
      </c>
      <c r="AT80" s="418">
        <v>0</v>
      </c>
      <c r="AU80" s="418">
        <v>0</v>
      </c>
      <c r="AV80" s="418">
        <f t="shared" si="109"/>
        <v>0</v>
      </c>
      <c r="AW80" s="418">
        <f t="shared" si="110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111"/>
        <v>0</v>
      </c>
      <c r="BG80" s="419">
        <f t="shared" si="112"/>
        <v>0</v>
      </c>
      <c r="BH80" s="421">
        <f t="shared" si="113"/>
        <v>0</v>
      </c>
      <c r="BI80" s="780">
        <f>I80+AW80</f>
        <v>11155514</v>
      </c>
      <c r="BJ80" s="418">
        <f>J80+AF80</f>
        <v>8245649</v>
      </c>
      <c r="BK80" s="418">
        <f t="shared" ref="BK80:BL82" si="116">K80+AD80</f>
        <v>7558185</v>
      </c>
      <c r="BL80" s="418">
        <f t="shared" si="116"/>
        <v>687464</v>
      </c>
      <c r="BM80" s="418">
        <f>M80+AN80</f>
        <v>0</v>
      </c>
      <c r="BN80" s="418">
        <f t="shared" ref="BN80:BO82" si="117">N80+AL80</f>
        <v>0</v>
      </c>
      <c r="BO80" s="418">
        <f t="shared" si="117"/>
        <v>0</v>
      </c>
      <c r="BP80" s="418">
        <f t="shared" ref="BP80:BQ82" si="118">P80+AR80</f>
        <v>2787029</v>
      </c>
      <c r="BQ80" s="418">
        <f t="shared" si="118"/>
        <v>82456</v>
      </c>
      <c r="BR80" s="418">
        <f>R80+AV80</f>
        <v>40380</v>
      </c>
      <c r="BS80" s="419">
        <f>S80+BH80</f>
        <v>15.0954</v>
      </c>
      <c r="BT80" s="419">
        <f t="shared" ref="BT80:BU82" si="119">T80+BF80</f>
        <v>12.741899999999999</v>
      </c>
      <c r="BU80" s="421">
        <f t="shared" si="119"/>
        <v>2.3534999999999999</v>
      </c>
      <c r="BV80" s="420"/>
      <c r="BW80" s="415"/>
      <c r="BX80" s="415"/>
      <c r="BY80" s="415"/>
      <c r="BZ80" s="415"/>
      <c r="CA80" s="510"/>
    </row>
    <row r="81" spans="1:79" ht="14.1" customHeight="1" x14ac:dyDescent="0.2">
      <c r="A81" s="66">
        <v>19</v>
      </c>
      <c r="B81" s="63">
        <v>2421</v>
      </c>
      <c r="C81" s="64">
        <v>600079163</v>
      </c>
      <c r="D81" s="63">
        <v>72743301</v>
      </c>
      <c r="E81" s="65" t="s">
        <v>570</v>
      </c>
      <c r="F81" s="66">
        <v>3111</v>
      </c>
      <c r="G81" s="43" t="s">
        <v>291</v>
      </c>
      <c r="H81" s="67" t="s">
        <v>272</v>
      </c>
      <c r="I81" s="420">
        <v>296205</v>
      </c>
      <c r="J81" s="415">
        <v>219737</v>
      </c>
      <c r="K81" s="415">
        <v>219737</v>
      </c>
      <c r="L81" s="415">
        <v>0</v>
      </c>
      <c r="M81" s="415">
        <v>0</v>
      </c>
      <c r="N81" s="415">
        <v>0</v>
      </c>
      <c r="O81" s="415">
        <v>0</v>
      </c>
      <c r="P81" s="599">
        <v>74271</v>
      </c>
      <c r="Q81" s="599">
        <v>2197</v>
      </c>
      <c r="R81" s="415">
        <v>0</v>
      </c>
      <c r="S81" s="416">
        <v>0.59</v>
      </c>
      <c r="T81" s="417">
        <v>0.59</v>
      </c>
      <c r="U81" s="423">
        <v>0</v>
      </c>
      <c r="V81" s="424">
        <f t="shared" ref="V81" si="120">AG81*-1</f>
        <v>0</v>
      </c>
      <c r="W81" s="418">
        <f t="shared" ref="W81" si="121">AH81*-1</f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 t="shared" ref="AF81" si="122"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ref="AL81" si="123">AG81+AI81+AJ81</f>
        <v>0</v>
      </c>
      <c r="AM81" s="418">
        <f t="shared" ref="AM81" si="124">AH81+AK81</f>
        <v>0</v>
      </c>
      <c r="AN81" s="418">
        <f t="shared" ref="AN81" si="125">SUM(AL81:AM81)</f>
        <v>0</v>
      </c>
      <c r="AO81" s="418">
        <f t="shared" ref="AO81" si="126">AD81+AL81</f>
        <v>0</v>
      </c>
      <c r="AP81" s="418">
        <f t="shared" ref="AP81" si="127">AE81+AM81</f>
        <v>0</v>
      </c>
      <c r="AQ81" s="418">
        <f t="shared" ref="AQ81" si="128">SUM(AO81:AP81)</f>
        <v>0</v>
      </c>
      <c r="AR81" s="68">
        <f t="shared" ref="AR81" si="129">ROUND((AF81+AG81+AH81+AI81)*33.8%,0)</f>
        <v>0</v>
      </c>
      <c r="AS81" s="68">
        <f t="shared" ref="AS81" si="130">ROUND(AF81*1%,0)</f>
        <v>0</v>
      </c>
      <c r="AT81" s="418">
        <v>0</v>
      </c>
      <c r="AU81" s="418">
        <v>0</v>
      </c>
      <c r="AV81" s="418">
        <f t="shared" ref="AV81" si="131">AT81+AU81</f>
        <v>0</v>
      </c>
      <c r="AW81" s="418">
        <f t="shared" ref="AW81" si="132"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ref="BF81" si="133">AX81+AZ81+BA81+BC81+BD81</f>
        <v>0</v>
      </c>
      <c r="BG81" s="419">
        <f t="shared" ref="BG81" si="134">AY81+BB81+BE81</f>
        <v>0</v>
      </c>
      <c r="BH81" s="421">
        <f t="shared" ref="BH81" si="135">SUM(BF81:BG81)</f>
        <v>0</v>
      </c>
      <c r="BI81" s="780">
        <f>I81+AW81</f>
        <v>296205</v>
      </c>
      <c r="BJ81" s="418">
        <f>J81+AF81</f>
        <v>219737</v>
      </c>
      <c r="BK81" s="418">
        <f t="shared" si="116"/>
        <v>219737</v>
      </c>
      <c r="BL81" s="418">
        <f t="shared" si="116"/>
        <v>0</v>
      </c>
      <c r="BM81" s="418">
        <f>M81+AN81</f>
        <v>0</v>
      </c>
      <c r="BN81" s="418">
        <f t="shared" si="117"/>
        <v>0</v>
      </c>
      <c r="BO81" s="418">
        <f t="shared" si="117"/>
        <v>0</v>
      </c>
      <c r="BP81" s="418">
        <f t="shared" si="118"/>
        <v>74271</v>
      </c>
      <c r="BQ81" s="418">
        <f t="shared" si="118"/>
        <v>2197</v>
      </c>
      <c r="BR81" s="418">
        <f>R81+AV81</f>
        <v>0</v>
      </c>
      <c r="BS81" s="419">
        <f>S81+BH81</f>
        <v>0.59</v>
      </c>
      <c r="BT81" s="419">
        <f t="shared" si="119"/>
        <v>0.59</v>
      </c>
      <c r="BU81" s="421">
        <f t="shared" si="119"/>
        <v>0</v>
      </c>
      <c r="BV81" s="420"/>
      <c r="BW81" s="415"/>
      <c r="BX81" s="415"/>
      <c r="BY81" s="415"/>
      <c r="BZ81" s="415"/>
      <c r="CA81" s="510"/>
    </row>
    <row r="82" spans="1:79" ht="14.1" customHeight="1" x14ac:dyDescent="0.2">
      <c r="A82" s="66">
        <v>19</v>
      </c>
      <c r="B82" s="63">
        <v>2421</v>
      </c>
      <c r="C82" s="64">
        <v>600079163</v>
      </c>
      <c r="D82" s="63">
        <v>72743301</v>
      </c>
      <c r="E82" s="65" t="s">
        <v>570</v>
      </c>
      <c r="F82" s="66">
        <v>3141</v>
      </c>
      <c r="G82" s="65" t="s">
        <v>294</v>
      </c>
      <c r="H82" s="67" t="s">
        <v>272</v>
      </c>
      <c r="I82" s="420">
        <v>972875</v>
      </c>
      <c r="J82" s="415">
        <v>718082</v>
      </c>
      <c r="K82" s="415">
        <v>0</v>
      </c>
      <c r="L82" s="750">
        <v>718082</v>
      </c>
      <c r="M82" s="415">
        <v>0</v>
      </c>
      <c r="N82" s="204">
        <v>0</v>
      </c>
      <c r="O82" s="204">
        <v>0</v>
      </c>
      <c r="P82" s="599">
        <v>242712</v>
      </c>
      <c r="Q82" s="599">
        <v>7181</v>
      </c>
      <c r="R82" s="605">
        <v>4900</v>
      </c>
      <c r="S82" s="416">
        <v>2.1533000000000002</v>
      </c>
      <c r="T82" s="607">
        <v>0</v>
      </c>
      <c r="U82" s="737">
        <v>2.1533000000000002</v>
      </c>
      <c r="V82" s="424">
        <f t="shared" si="98"/>
        <v>0</v>
      </c>
      <c r="W82" s="418">
        <f t="shared" si="99"/>
        <v>0</v>
      </c>
      <c r="X82" s="418">
        <v>0</v>
      </c>
      <c r="Y82" s="418">
        <v>0</v>
      </c>
      <c r="Z82" s="418">
        <v>0</v>
      </c>
      <c r="AA82" s="418">
        <v>359426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359426</v>
      </c>
      <c r="AF82" s="418">
        <f t="shared" si="100"/>
        <v>359426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01"/>
        <v>0</v>
      </c>
      <c r="AM82" s="418">
        <f t="shared" si="102"/>
        <v>0</v>
      </c>
      <c r="AN82" s="418">
        <f t="shared" si="103"/>
        <v>0</v>
      </c>
      <c r="AO82" s="418">
        <f t="shared" si="104"/>
        <v>0</v>
      </c>
      <c r="AP82" s="418">
        <f t="shared" si="105"/>
        <v>359426</v>
      </c>
      <c r="AQ82" s="418">
        <f t="shared" si="106"/>
        <v>359426</v>
      </c>
      <c r="AR82" s="68">
        <f t="shared" si="107"/>
        <v>121486</v>
      </c>
      <c r="AS82" s="68">
        <f t="shared" si="108"/>
        <v>3594</v>
      </c>
      <c r="AT82" s="418">
        <v>0</v>
      </c>
      <c r="AU82" s="418">
        <v>2380</v>
      </c>
      <c r="AV82" s="418">
        <f t="shared" si="109"/>
        <v>2380</v>
      </c>
      <c r="AW82" s="418">
        <f t="shared" si="110"/>
        <v>486886</v>
      </c>
      <c r="AX82" s="419">
        <v>0</v>
      </c>
      <c r="AY82" s="419">
        <v>0</v>
      </c>
      <c r="AZ82" s="419">
        <v>0</v>
      </c>
      <c r="BA82" s="419">
        <v>0</v>
      </c>
      <c r="BB82" s="419">
        <v>1.08</v>
      </c>
      <c r="BC82" s="419">
        <v>0</v>
      </c>
      <c r="BD82" s="419">
        <v>0</v>
      </c>
      <c r="BE82" s="419">
        <v>0</v>
      </c>
      <c r="BF82" s="419">
        <f t="shared" si="111"/>
        <v>0</v>
      </c>
      <c r="BG82" s="419">
        <f t="shared" si="112"/>
        <v>1.08</v>
      </c>
      <c r="BH82" s="421">
        <f t="shared" si="113"/>
        <v>1.08</v>
      </c>
      <c r="BI82" s="780">
        <f>I82+AW82</f>
        <v>1459761</v>
      </c>
      <c r="BJ82" s="418">
        <f>J82+AF82</f>
        <v>1077508</v>
      </c>
      <c r="BK82" s="418">
        <f t="shared" si="116"/>
        <v>0</v>
      </c>
      <c r="BL82" s="418">
        <f t="shared" si="116"/>
        <v>1077508</v>
      </c>
      <c r="BM82" s="418">
        <f>M82+AN82</f>
        <v>0</v>
      </c>
      <c r="BN82" s="418">
        <f t="shared" si="117"/>
        <v>0</v>
      </c>
      <c r="BO82" s="418">
        <f t="shared" si="117"/>
        <v>0</v>
      </c>
      <c r="BP82" s="418">
        <f t="shared" si="118"/>
        <v>364198</v>
      </c>
      <c r="BQ82" s="418">
        <f t="shared" si="118"/>
        <v>10775</v>
      </c>
      <c r="BR82" s="418">
        <f>R82+AV82</f>
        <v>7280</v>
      </c>
      <c r="BS82" s="419">
        <f>S82+BH82</f>
        <v>3.2333000000000003</v>
      </c>
      <c r="BT82" s="419">
        <f t="shared" si="119"/>
        <v>0</v>
      </c>
      <c r="BU82" s="421">
        <f t="shared" si="119"/>
        <v>3.2333000000000003</v>
      </c>
      <c r="BV82" s="420"/>
      <c r="BW82" s="415"/>
      <c r="BX82" s="415"/>
      <c r="BY82" s="415"/>
      <c r="BZ82" s="415"/>
      <c r="CA82" s="510"/>
    </row>
    <row r="83" spans="1:79" ht="14.1" customHeight="1" x14ac:dyDescent="0.2">
      <c r="A83" s="72">
        <v>19</v>
      </c>
      <c r="B83" s="69">
        <v>2421</v>
      </c>
      <c r="C83" s="70">
        <v>600079163</v>
      </c>
      <c r="D83" s="69">
        <v>72743301</v>
      </c>
      <c r="E83" s="71" t="s">
        <v>571</v>
      </c>
      <c r="F83" s="72"/>
      <c r="G83" s="71"/>
      <c r="H83" s="73"/>
      <c r="I83" s="517">
        <v>12424594</v>
      </c>
      <c r="J83" s="74">
        <v>9183468</v>
      </c>
      <c r="K83" s="74">
        <v>7777922</v>
      </c>
      <c r="L83" s="74">
        <v>1405546</v>
      </c>
      <c r="M83" s="74">
        <v>0</v>
      </c>
      <c r="N83" s="74">
        <v>0</v>
      </c>
      <c r="O83" s="74">
        <v>0</v>
      </c>
      <c r="P83" s="74">
        <v>3104012</v>
      </c>
      <c r="Q83" s="74">
        <v>91834</v>
      </c>
      <c r="R83" s="74">
        <v>45280</v>
      </c>
      <c r="S83" s="75">
        <v>17.838699999999999</v>
      </c>
      <c r="T83" s="75">
        <v>13.331899999999999</v>
      </c>
      <c r="U83" s="658">
        <v>4.5068000000000001</v>
      </c>
      <c r="V83" s="517">
        <f t="shared" ref="V83:AZ83" si="136">SUM(V80:V82)</f>
        <v>0</v>
      </c>
      <c r="W83" s="74">
        <f t="shared" si="136"/>
        <v>0</v>
      </c>
      <c r="X83" s="74">
        <f t="shared" si="136"/>
        <v>0</v>
      </c>
      <c r="Y83" s="74">
        <f t="shared" si="136"/>
        <v>0</v>
      </c>
      <c r="Z83" s="74">
        <f t="shared" si="136"/>
        <v>0</v>
      </c>
      <c r="AA83" s="74">
        <f t="shared" si="136"/>
        <v>359426</v>
      </c>
      <c r="AB83" s="74">
        <f t="shared" si="136"/>
        <v>0</v>
      </c>
      <c r="AC83" s="74">
        <f t="shared" si="136"/>
        <v>0</v>
      </c>
      <c r="AD83" s="74">
        <f t="shared" si="136"/>
        <v>0</v>
      </c>
      <c r="AE83" s="74">
        <f t="shared" si="136"/>
        <v>359426</v>
      </c>
      <c r="AF83" s="74">
        <f t="shared" si="136"/>
        <v>359426</v>
      </c>
      <c r="AG83" s="74">
        <f t="shared" si="136"/>
        <v>0</v>
      </c>
      <c r="AH83" s="74">
        <f t="shared" si="136"/>
        <v>0</v>
      </c>
      <c r="AI83" s="74">
        <f t="shared" si="136"/>
        <v>0</v>
      </c>
      <c r="AJ83" s="74">
        <f t="shared" si="136"/>
        <v>0</v>
      </c>
      <c r="AK83" s="74">
        <f t="shared" si="136"/>
        <v>0</v>
      </c>
      <c r="AL83" s="74">
        <f t="shared" si="136"/>
        <v>0</v>
      </c>
      <c r="AM83" s="74">
        <f t="shared" si="136"/>
        <v>0</v>
      </c>
      <c r="AN83" s="74">
        <f t="shared" si="136"/>
        <v>0</v>
      </c>
      <c r="AO83" s="74">
        <f t="shared" si="136"/>
        <v>0</v>
      </c>
      <c r="AP83" s="74">
        <f t="shared" si="136"/>
        <v>359426</v>
      </c>
      <c r="AQ83" s="74">
        <f t="shared" si="136"/>
        <v>359426</v>
      </c>
      <c r="AR83" s="74">
        <f t="shared" si="136"/>
        <v>121486</v>
      </c>
      <c r="AS83" s="74">
        <f t="shared" si="136"/>
        <v>3594</v>
      </c>
      <c r="AT83" s="74">
        <f t="shared" si="136"/>
        <v>0</v>
      </c>
      <c r="AU83" s="74">
        <f t="shared" si="136"/>
        <v>2380</v>
      </c>
      <c r="AV83" s="74">
        <f t="shared" si="136"/>
        <v>2380</v>
      </c>
      <c r="AW83" s="74">
        <f t="shared" si="136"/>
        <v>486886</v>
      </c>
      <c r="AX83" s="75">
        <f t="shared" si="136"/>
        <v>0</v>
      </c>
      <c r="AY83" s="75">
        <f t="shared" si="136"/>
        <v>0</v>
      </c>
      <c r="AZ83" s="75">
        <f t="shared" si="136"/>
        <v>0</v>
      </c>
      <c r="BA83" s="75">
        <f t="shared" ref="BA83:BU83" si="137">SUM(BA80:BA82)</f>
        <v>0</v>
      </c>
      <c r="BB83" s="75">
        <f t="shared" si="137"/>
        <v>1.08</v>
      </c>
      <c r="BC83" s="75">
        <f t="shared" si="137"/>
        <v>0</v>
      </c>
      <c r="BD83" s="75">
        <f t="shared" si="137"/>
        <v>0</v>
      </c>
      <c r="BE83" s="75">
        <f t="shared" si="137"/>
        <v>0</v>
      </c>
      <c r="BF83" s="75">
        <f t="shared" si="137"/>
        <v>0</v>
      </c>
      <c r="BG83" s="75">
        <f t="shared" si="137"/>
        <v>1.08</v>
      </c>
      <c r="BH83" s="76">
        <f t="shared" si="137"/>
        <v>1.08</v>
      </c>
      <c r="BI83" s="799">
        <f t="shared" si="137"/>
        <v>12911480</v>
      </c>
      <c r="BJ83" s="74">
        <f t="shared" si="137"/>
        <v>9542894</v>
      </c>
      <c r="BK83" s="74">
        <f t="shared" si="137"/>
        <v>7777922</v>
      </c>
      <c r="BL83" s="74">
        <f t="shared" si="137"/>
        <v>1764972</v>
      </c>
      <c r="BM83" s="74">
        <f t="shared" si="137"/>
        <v>0</v>
      </c>
      <c r="BN83" s="74">
        <f t="shared" si="137"/>
        <v>0</v>
      </c>
      <c r="BO83" s="74">
        <f t="shared" si="137"/>
        <v>0</v>
      </c>
      <c r="BP83" s="74">
        <f t="shared" si="137"/>
        <v>3225498</v>
      </c>
      <c r="BQ83" s="74">
        <f t="shared" si="137"/>
        <v>95428</v>
      </c>
      <c r="BR83" s="74">
        <f t="shared" si="137"/>
        <v>47660</v>
      </c>
      <c r="BS83" s="75">
        <f t="shared" si="137"/>
        <v>18.918700000000001</v>
      </c>
      <c r="BT83" s="75">
        <f t="shared" si="137"/>
        <v>13.331899999999999</v>
      </c>
      <c r="BU83" s="76">
        <f t="shared" si="137"/>
        <v>5.5868000000000002</v>
      </c>
      <c r="BV83" s="809">
        <f t="shared" ref="BV83:CA83" si="138">SUM(BV80:BV82)</f>
        <v>0</v>
      </c>
      <c r="BW83" s="684">
        <f t="shared" si="138"/>
        <v>0</v>
      </c>
      <c r="BX83" s="684">
        <f t="shared" si="138"/>
        <v>0</v>
      </c>
      <c r="BY83" s="684">
        <f t="shared" si="138"/>
        <v>0</v>
      </c>
      <c r="BZ83" s="684">
        <f t="shared" si="138"/>
        <v>0</v>
      </c>
      <c r="CA83" s="810">
        <f t="shared" si="138"/>
        <v>0</v>
      </c>
    </row>
    <row r="84" spans="1:79" ht="14.1" customHeight="1" x14ac:dyDescent="0.2">
      <c r="A84" s="66">
        <v>20</v>
      </c>
      <c r="B84" s="63">
        <v>2419</v>
      </c>
      <c r="C84" s="64">
        <v>600079171</v>
      </c>
      <c r="D84" s="63">
        <v>72742500</v>
      </c>
      <c r="E84" s="65" t="s">
        <v>572</v>
      </c>
      <c r="F84" s="66">
        <v>3111</v>
      </c>
      <c r="G84" s="65" t="s">
        <v>290</v>
      </c>
      <c r="H84" s="67" t="s">
        <v>271</v>
      </c>
      <c r="I84" s="420">
        <v>5488954</v>
      </c>
      <c r="J84" s="415">
        <v>4058257</v>
      </c>
      <c r="K84" s="415">
        <v>3705596</v>
      </c>
      <c r="L84" s="415">
        <v>352661</v>
      </c>
      <c r="M84" s="415">
        <v>0</v>
      </c>
      <c r="N84" s="415">
        <v>0</v>
      </c>
      <c r="O84" s="415">
        <v>0</v>
      </c>
      <c r="P84" s="599">
        <v>1371691</v>
      </c>
      <c r="Q84" s="599">
        <v>40583</v>
      </c>
      <c r="R84" s="415">
        <v>18423</v>
      </c>
      <c r="S84" s="416">
        <v>7.4420000000000002</v>
      </c>
      <c r="T84" s="416">
        <v>6.2419000000000002</v>
      </c>
      <c r="U84" s="423">
        <v>1.2000999999999999</v>
      </c>
      <c r="V84" s="424">
        <f t="shared" si="98"/>
        <v>0</v>
      </c>
      <c r="W84" s="418">
        <f t="shared" si="99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0</v>
      </c>
      <c r="AF84" s="418">
        <f t="shared" si="100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01"/>
        <v>0</v>
      </c>
      <c r="AM84" s="418">
        <f t="shared" si="102"/>
        <v>0</v>
      </c>
      <c r="AN84" s="418">
        <f t="shared" si="103"/>
        <v>0</v>
      </c>
      <c r="AO84" s="418">
        <f t="shared" si="104"/>
        <v>0</v>
      </c>
      <c r="AP84" s="418">
        <f t="shared" si="105"/>
        <v>0</v>
      </c>
      <c r="AQ84" s="418">
        <f t="shared" si="106"/>
        <v>0</v>
      </c>
      <c r="AR84" s="68">
        <f t="shared" si="107"/>
        <v>0</v>
      </c>
      <c r="AS84" s="68">
        <f t="shared" si="108"/>
        <v>0</v>
      </c>
      <c r="AT84" s="418">
        <v>0</v>
      </c>
      <c r="AU84" s="418">
        <v>0</v>
      </c>
      <c r="AV84" s="418">
        <f t="shared" si="109"/>
        <v>0</v>
      </c>
      <c r="AW84" s="418">
        <f t="shared" si="110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11"/>
        <v>0</v>
      </c>
      <c r="BG84" s="419">
        <f t="shared" si="112"/>
        <v>0</v>
      </c>
      <c r="BH84" s="421">
        <f t="shared" si="113"/>
        <v>0</v>
      </c>
      <c r="BI84" s="780">
        <f>I84+AW84</f>
        <v>5488954</v>
      </c>
      <c r="BJ84" s="418">
        <f>J84+AF84</f>
        <v>4058257</v>
      </c>
      <c r="BK84" s="418">
        <f t="shared" ref="BK84:BL86" si="139">K84+AD84</f>
        <v>3705596</v>
      </c>
      <c r="BL84" s="418">
        <f t="shared" si="139"/>
        <v>352661</v>
      </c>
      <c r="BM84" s="418">
        <f>M84+AN84</f>
        <v>0</v>
      </c>
      <c r="BN84" s="418">
        <f t="shared" ref="BN84:BO86" si="140">N84+AL84</f>
        <v>0</v>
      </c>
      <c r="BO84" s="418">
        <f t="shared" si="140"/>
        <v>0</v>
      </c>
      <c r="BP84" s="418">
        <f t="shared" ref="BP84:BQ86" si="141">P84+AR84</f>
        <v>1371691</v>
      </c>
      <c r="BQ84" s="418">
        <f t="shared" si="141"/>
        <v>40583</v>
      </c>
      <c r="BR84" s="418">
        <f>R84+AV84</f>
        <v>18423</v>
      </c>
      <c r="BS84" s="419">
        <f>S84+BH84</f>
        <v>7.4420000000000002</v>
      </c>
      <c r="BT84" s="419">
        <f t="shared" ref="BT84:BU86" si="142">T84+BF84</f>
        <v>6.2419000000000002</v>
      </c>
      <c r="BU84" s="421">
        <f t="shared" si="142"/>
        <v>1.2000999999999999</v>
      </c>
      <c r="BV84" s="420"/>
      <c r="BW84" s="415"/>
      <c r="BX84" s="415"/>
      <c r="BY84" s="415"/>
      <c r="BZ84" s="415"/>
      <c r="CA84" s="510"/>
    </row>
    <row r="85" spans="1:79" ht="14.1" customHeight="1" x14ac:dyDescent="0.2">
      <c r="A85" s="66">
        <v>20</v>
      </c>
      <c r="B85" s="63">
        <v>2419</v>
      </c>
      <c r="C85" s="64">
        <v>600079171</v>
      </c>
      <c r="D85" s="63">
        <v>72742500</v>
      </c>
      <c r="E85" s="65" t="s">
        <v>572</v>
      </c>
      <c r="F85" s="66">
        <v>3111</v>
      </c>
      <c r="G85" s="43" t="s">
        <v>291</v>
      </c>
      <c r="H85" s="67" t="s">
        <v>272</v>
      </c>
      <c r="I85" s="420">
        <v>0</v>
      </c>
      <c r="J85" s="415">
        <v>0</v>
      </c>
      <c r="K85" s="415">
        <v>0</v>
      </c>
      <c r="L85" s="415">
        <v>0</v>
      </c>
      <c r="M85" s="415">
        <v>0</v>
      </c>
      <c r="N85" s="415">
        <v>0</v>
      </c>
      <c r="O85" s="415">
        <v>0</v>
      </c>
      <c r="P85" s="599">
        <v>0</v>
      </c>
      <c r="Q85" s="599">
        <v>0</v>
      </c>
      <c r="R85" s="415">
        <v>0</v>
      </c>
      <c r="S85" s="416">
        <v>0</v>
      </c>
      <c r="T85" s="417">
        <v>0</v>
      </c>
      <c r="U85" s="423">
        <v>0</v>
      </c>
      <c r="V85" s="424">
        <f t="shared" si="98"/>
        <v>0</v>
      </c>
      <c r="W85" s="418">
        <f t="shared" si="99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 t="shared" si="100"/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01"/>
        <v>0</v>
      </c>
      <c r="AM85" s="418">
        <f t="shared" si="102"/>
        <v>0</v>
      </c>
      <c r="AN85" s="418">
        <f t="shared" si="103"/>
        <v>0</v>
      </c>
      <c r="AO85" s="418">
        <f t="shared" si="104"/>
        <v>0</v>
      </c>
      <c r="AP85" s="418">
        <f t="shared" si="105"/>
        <v>0</v>
      </c>
      <c r="AQ85" s="418">
        <f t="shared" si="106"/>
        <v>0</v>
      </c>
      <c r="AR85" s="68">
        <f t="shared" si="107"/>
        <v>0</v>
      </c>
      <c r="AS85" s="68">
        <f t="shared" si="108"/>
        <v>0</v>
      </c>
      <c r="AT85" s="418">
        <v>0</v>
      </c>
      <c r="AU85" s="418">
        <v>0</v>
      </c>
      <c r="AV85" s="418">
        <f t="shared" si="109"/>
        <v>0</v>
      </c>
      <c r="AW85" s="418">
        <f t="shared" si="110"/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 t="shared" si="111"/>
        <v>0</v>
      </c>
      <c r="BG85" s="419">
        <f t="shared" si="112"/>
        <v>0</v>
      </c>
      <c r="BH85" s="421">
        <f t="shared" si="113"/>
        <v>0</v>
      </c>
      <c r="BI85" s="780">
        <f>I85+AW85</f>
        <v>0</v>
      </c>
      <c r="BJ85" s="418">
        <f>J85+AF85</f>
        <v>0</v>
      </c>
      <c r="BK85" s="418">
        <f t="shared" si="139"/>
        <v>0</v>
      </c>
      <c r="BL85" s="418">
        <f t="shared" si="139"/>
        <v>0</v>
      </c>
      <c r="BM85" s="418">
        <f>M85+AN85</f>
        <v>0</v>
      </c>
      <c r="BN85" s="418">
        <f t="shared" si="140"/>
        <v>0</v>
      </c>
      <c r="BO85" s="418">
        <f t="shared" si="140"/>
        <v>0</v>
      </c>
      <c r="BP85" s="418">
        <f t="shared" si="141"/>
        <v>0</v>
      </c>
      <c r="BQ85" s="418">
        <f t="shared" si="141"/>
        <v>0</v>
      </c>
      <c r="BR85" s="418">
        <f>R85+AV85</f>
        <v>0</v>
      </c>
      <c r="BS85" s="419">
        <f>S85+BH85</f>
        <v>0</v>
      </c>
      <c r="BT85" s="419">
        <f t="shared" si="142"/>
        <v>0</v>
      </c>
      <c r="BU85" s="421">
        <f t="shared" si="142"/>
        <v>0</v>
      </c>
      <c r="BV85" s="420"/>
      <c r="BW85" s="415"/>
      <c r="BX85" s="415"/>
      <c r="BY85" s="415"/>
      <c r="BZ85" s="415"/>
      <c r="CA85" s="510"/>
    </row>
    <row r="86" spans="1:79" ht="14.1" customHeight="1" x14ac:dyDescent="0.2">
      <c r="A86" s="66">
        <v>20</v>
      </c>
      <c r="B86" s="63">
        <v>2419</v>
      </c>
      <c r="C86" s="64">
        <v>600079171</v>
      </c>
      <c r="D86" s="63">
        <v>72742500</v>
      </c>
      <c r="E86" s="65" t="s">
        <v>572</v>
      </c>
      <c r="F86" s="66">
        <v>3141</v>
      </c>
      <c r="G86" s="65" t="s">
        <v>294</v>
      </c>
      <c r="H86" s="67" t="s">
        <v>272</v>
      </c>
      <c r="I86" s="420">
        <v>577815</v>
      </c>
      <c r="J86" s="415">
        <v>426854</v>
      </c>
      <c r="K86" s="415">
        <v>0</v>
      </c>
      <c r="L86" s="750">
        <v>426854</v>
      </c>
      <c r="M86" s="415">
        <v>0</v>
      </c>
      <c r="N86" s="204">
        <v>0</v>
      </c>
      <c r="O86" s="204">
        <v>0</v>
      </c>
      <c r="P86" s="599">
        <v>144277</v>
      </c>
      <c r="Q86" s="599">
        <v>4269</v>
      </c>
      <c r="R86" s="605">
        <v>2415</v>
      </c>
      <c r="S86" s="416">
        <v>1.28</v>
      </c>
      <c r="T86" s="607">
        <v>0</v>
      </c>
      <c r="U86" s="737">
        <v>1.28</v>
      </c>
      <c r="V86" s="424">
        <f t="shared" si="98"/>
        <v>0</v>
      </c>
      <c r="W86" s="418">
        <f t="shared" si="99"/>
        <v>0</v>
      </c>
      <c r="X86" s="418">
        <v>0</v>
      </c>
      <c r="Y86" s="418">
        <v>0</v>
      </c>
      <c r="Z86" s="418">
        <v>0</v>
      </c>
      <c r="AA86" s="418">
        <v>212248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212248</v>
      </c>
      <c r="AF86" s="418">
        <f t="shared" si="100"/>
        <v>212248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si="101"/>
        <v>0</v>
      </c>
      <c r="AM86" s="418">
        <f t="shared" si="102"/>
        <v>0</v>
      </c>
      <c r="AN86" s="418">
        <f t="shared" si="103"/>
        <v>0</v>
      </c>
      <c r="AO86" s="418">
        <f t="shared" si="104"/>
        <v>0</v>
      </c>
      <c r="AP86" s="418">
        <f t="shared" si="105"/>
        <v>212248</v>
      </c>
      <c r="AQ86" s="418">
        <f t="shared" si="106"/>
        <v>212248</v>
      </c>
      <c r="AR86" s="68">
        <f t="shared" si="107"/>
        <v>71740</v>
      </c>
      <c r="AS86" s="68">
        <f t="shared" si="108"/>
        <v>2122</v>
      </c>
      <c r="AT86" s="418">
        <v>0</v>
      </c>
      <c r="AU86" s="418">
        <v>1173</v>
      </c>
      <c r="AV86" s="418">
        <f t="shared" si="109"/>
        <v>1173</v>
      </c>
      <c r="AW86" s="418">
        <f t="shared" si="110"/>
        <v>287283</v>
      </c>
      <c r="AX86" s="419">
        <v>0</v>
      </c>
      <c r="AY86" s="419">
        <v>0</v>
      </c>
      <c r="AZ86" s="419">
        <v>0</v>
      </c>
      <c r="BA86" s="419">
        <v>0</v>
      </c>
      <c r="BB86" s="419">
        <v>0.64</v>
      </c>
      <c r="BC86" s="419">
        <v>0</v>
      </c>
      <c r="BD86" s="419">
        <v>0</v>
      </c>
      <c r="BE86" s="419">
        <v>0</v>
      </c>
      <c r="BF86" s="419">
        <f t="shared" si="111"/>
        <v>0</v>
      </c>
      <c r="BG86" s="419">
        <f t="shared" si="112"/>
        <v>0.64</v>
      </c>
      <c r="BH86" s="421">
        <f t="shared" si="113"/>
        <v>0.64</v>
      </c>
      <c r="BI86" s="780">
        <f>I86+AW86</f>
        <v>865098</v>
      </c>
      <c r="BJ86" s="418">
        <f>J86+AF86</f>
        <v>639102</v>
      </c>
      <c r="BK86" s="418">
        <f t="shared" si="139"/>
        <v>0</v>
      </c>
      <c r="BL86" s="418">
        <f t="shared" si="139"/>
        <v>639102</v>
      </c>
      <c r="BM86" s="418">
        <f>M86+AN86</f>
        <v>0</v>
      </c>
      <c r="BN86" s="418">
        <f t="shared" si="140"/>
        <v>0</v>
      </c>
      <c r="BO86" s="418">
        <f t="shared" si="140"/>
        <v>0</v>
      </c>
      <c r="BP86" s="418">
        <f t="shared" si="141"/>
        <v>216017</v>
      </c>
      <c r="BQ86" s="418">
        <f t="shared" si="141"/>
        <v>6391</v>
      </c>
      <c r="BR86" s="418">
        <f>R86+AV86</f>
        <v>3588</v>
      </c>
      <c r="BS86" s="419">
        <f>S86+BH86</f>
        <v>1.92</v>
      </c>
      <c r="BT86" s="419">
        <f t="shared" si="142"/>
        <v>0</v>
      </c>
      <c r="BU86" s="421">
        <f t="shared" si="142"/>
        <v>1.92</v>
      </c>
      <c r="BV86" s="420"/>
      <c r="BW86" s="415"/>
      <c r="BX86" s="415"/>
      <c r="BY86" s="415"/>
      <c r="BZ86" s="415"/>
      <c r="CA86" s="510"/>
    </row>
    <row r="87" spans="1:79" ht="14.1" customHeight="1" x14ac:dyDescent="0.2">
      <c r="A87" s="72">
        <v>20</v>
      </c>
      <c r="B87" s="69">
        <v>2419</v>
      </c>
      <c r="C87" s="70">
        <v>600079171</v>
      </c>
      <c r="D87" s="69">
        <v>72742500</v>
      </c>
      <c r="E87" s="71" t="s">
        <v>573</v>
      </c>
      <c r="F87" s="72"/>
      <c r="G87" s="71"/>
      <c r="H87" s="73"/>
      <c r="I87" s="517">
        <v>6066769</v>
      </c>
      <c r="J87" s="74">
        <v>4485111</v>
      </c>
      <c r="K87" s="74">
        <v>3705596</v>
      </c>
      <c r="L87" s="74">
        <v>779515</v>
      </c>
      <c r="M87" s="74">
        <v>0</v>
      </c>
      <c r="N87" s="74">
        <v>0</v>
      </c>
      <c r="O87" s="74">
        <v>0</v>
      </c>
      <c r="P87" s="74">
        <v>1515968</v>
      </c>
      <c r="Q87" s="74">
        <v>44852</v>
      </c>
      <c r="R87" s="74">
        <v>20838</v>
      </c>
      <c r="S87" s="75">
        <v>8.7219999999999995</v>
      </c>
      <c r="T87" s="75">
        <v>6.2419000000000002</v>
      </c>
      <c r="U87" s="658">
        <v>2.4801000000000002</v>
      </c>
      <c r="V87" s="517">
        <f t="shared" ref="V87:BU87" si="143">SUM(V84:V86)</f>
        <v>0</v>
      </c>
      <c r="W87" s="74">
        <f t="shared" si="143"/>
        <v>0</v>
      </c>
      <c r="X87" s="74">
        <f t="shared" si="143"/>
        <v>0</v>
      </c>
      <c r="Y87" s="74">
        <f t="shared" si="143"/>
        <v>0</v>
      </c>
      <c r="Z87" s="74">
        <f t="shared" si="143"/>
        <v>0</v>
      </c>
      <c r="AA87" s="74">
        <f t="shared" si="143"/>
        <v>212248</v>
      </c>
      <c r="AB87" s="74">
        <f t="shared" si="143"/>
        <v>0</v>
      </c>
      <c r="AC87" s="74">
        <f t="shared" si="143"/>
        <v>0</v>
      </c>
      <c r="AD87" s="74">
        <f t="shared" si="143"/>
        <v>0</v>
      </c>
      <c r="AE87" s="74">
        <f t="shared" si="143"/>
        <v>212248</v>
      </c>
      <c r="AF87" s="74">
        <f t="shared" si="143"/>
        <v>212248</v>
      </c>
      <c r="AG87" s="74">
        <f t="shared" si="143"/>
        <v>0</v>
      </c>
      <c r="AH87" s="74">
        <f t="shared" si="143"/>
        <v>0</v>
      </c>
      <c r="AI87" s="74">
        <f t="shared" si="143"/>
        <v>0</v>
      </c>
      <c r="AJ87" s="74">
        <f t="shared" si="143"/>
        <v>0</v>
      </c>
      <c r="AK87" s="74">
        <f t="shared" si="143"/>
        <v>0</v>
      </c>
      <c r="AL87" s="74">
        <f t="shared" si="143"/>
        <v>0</v>
      </c>
      <c r="AM87" s="74">
        <f t="shared" si="143"/>
        <v>0</v>
      </c>
      <c r="AN87" s="74">
        <f t="shared" si="143"/>
        <v>0</v>
      </c>
      <c r="AO87" s="74">
        <f t="shared" si="143"/>
        <v>0</v>
      </c>
      <c r="AP87" s="74">
        <f t="shared" si="143"/>
        <v>212248</v>
      </c>
      <c r="AQ87" s="74">
        <f t="shared" si="143"/>
        <v>212248</v>
      </c>
      <c r="AR87" s="74">
        <f t="shared" si="143"/>
        <v>71740</v>
      </c>
      <c r="AS87" s="74">
        <f t="shared" si="143"/>
        <v>2122</v>
      </c>
      <c r="AT87" s="74">
        <f t="shared" si="143"/>
        <v>0</v>
      </c>
      <c r="AU87" s="74">
        <f t="shared" si="143"/>
        <v>1173</v>
      </c>
      <c r="AV87" s="74">
        <f t="shared" si="143"/>
        <v>1173</v>
      </c>
      <c r="AW87" s="74">
        <f t="shared" si="143"/>
        <v>287283</v>
      </c>
      <c r="AX87" s="75">
        <f t="shared" si="143"/>
        <v>0</v>
      </c>
      <c r="AY87" s="75">
        <f t="shared" si="143"/>
        <v>0</v>
      </c>
      <c r="AZ87" s="75">
        <f t="shared" si="143"/>
        <v>0</v>
      </c>
      <c r="BA87" s="75">
        <f t="shared" si="143"/>
        <v>0</v>
      </c>
      <c r="BB87" s="75">
        <f t="shared" si="143"/>
        <v>0.64</v>
      </c>
      <c r="BC87" s="75">
        <f t="shared" si="143"/>
        <v>0</v>
      </c>
      <c r="BD87" s="75">
        <f t="shared" si="143"/>
        <v>0</v>
      </c>
      <c r="BE87" s="75">
        <f t="shared" si="143"/>
        <v>0</v>
      </c>
      <c r="BF87" s="75">
        <f t="shared" si="143"/>
        <v>0</v>
      </c>
      <c r="BG87" s="75">
        <f t="shared" si="143"/>
        <v>0.64</v>
      </c>
      <c r="BH87" s="76">
        <f t="shared" si="143"/>
        <v>0.64</v>
      </c>
      <c r="BI87" s="799">
        <f t="shared" si="143"/>
        <v>6354052</v>
      </c>
      <c r="BJ87" s="74">
        <f t="shared" si="143"/>
        <v>4697359</v>
      </c>
      <c r="BK87" s="74">
        <f t="shared" si="143"/>
        <v>3705596</v>
      </c>
      <c r="BL87" s="74">
        <f t="shared" si="143"/>
        <v>991763</v>
      </c>
      <c r="BM87" s="74">
        <f t="shared" si="143"/>
        <v>0</v>
      </c>
      <c r="BN87" s="74">
        <f t="shared" si="143"/>
        <v>0</v>
      </c>
      <c r="BO87" s="74">
        <f t="shared" si="143"/>
        <v>0</v>
      </c>
      <c r="BP87" s="74">
        <f t="shared" si="143"/>
        <v>1587708</v>
      </c>
      <c r="BQ87" s="74">
        <f t="shared" si="143"/>
        <v>46974</v>
      </c>
      <c r="BR87" s="74">
        <f t="shared" si="143"/>
        <v>22011</v>
      </c>
      <c r="BS87" s="75">
        <f t="shared" si="143"/>
        <v>9.3620000000000001</v>
      </c>
      <c r="BT87" s="75">
        <f t="shared" si="143"/>
        <v>6.2419000000000002</v>
      </c>
      <c r="BU87" s="76">
        <f t="shared" si="143"/>
        <v>3.1200999999999999</v>
      </c>
      <c r="BV87" s="809">
        <f t="shared" ref="BV87:CA87" si="144">SUM(BV84:BV86)</f>
        <v>0</v>
      </c>
      <c r="BW87" s="684">
        <f t="shared" si="144"/>
        <v>0</v>
      </c>
      <c r="BX87" s="684">
        <f t="shared" si="144"/>
        <v>0</v>
      </c>
      <c r="BY87" s="684">
        <f t="shared" si="144"/>
        <v>0</v>
      </c>
      <c r="BZ87" s="684">
        <f t="shared" si="144"/>
        <v>0</v>
      </c>
      <c r="CA87" s="810">
        <f t="shared" si="144"/>
        <v>0</v>
      </c>
    </row>
    <row r="88" spans="1:79" ht="14.1" customHeight="1" x14ac:dyDescent="0.2">
      <c r="A88" s="66">
        <v>21</v>
      </c>
      <c r="B88" s="63">
        <v>2430</v>
      </c>
      <c r="C88" s="64">
        <v>600079180</v>
      </c>
      <c r="D88" s="63">
        <v>46747532</v>
      </c>
      <c r="E88" s="65" t="s">
        <v>574</v>
      </c>
      <c r="F88" s="66">
        <v>3111</v>
      </c>
      <c r="G88" s="65" t="s">
        <v>290</v>
      </c>
      <c r="H88" s="67" t="s">
        <v>271</v>
      </c>
      <c r="I88" s="420">
        <v>5422563</v>
      </c>
      <c r="J88" s="415">
        <v>4009798</v>
      </c>
      <c r="K88" s="415">
        <v>3657137</v>
      </c>
      <c r="L88" s="415">
        <v>352661</v>
      </c>
      <c r="M88" s="415">
        <v>0</v>
      </c>
      <c r="N88" s="415">
        <v>0</v>
      </c>
      <c r="O88" s="415">
        <v>0</v>
      </c>
      <c r="P88" s="599">
        <v>1355312</v>
      </c>
      <c r="Q88" s="599">
        <v>40098</v>
      </c>
      <c r="R88" s="415">
        <v>17355</v>
      </c>
      <c r="S88" s="416">
        <v>7.2000999999999999</v>
      </c>
      <c r="T88" s="416">
        <v>6</v>
      </c>
      <c r="U88" s="423">
        <v>1.2000999999999999</v>
      </c>
      <c r="V88" s="424">
        <f t="shared" si="98"/>
        <v>0</v>
      </c>
      <c r="W88" s="418">
        <f t="shared" si="99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 t="shared" si="100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01"/>
        <v>0</v>
      </c>
      <c r="AM88" s="418">
        <f t="shared" si="102"/>
        <v>0</v>
      </c>
      <c r="AN88" s="418">
        <f t="shared" si="103"/>
        <v>0</v>
      </c>
      <c r="AO88" s="418">
        <f t="shared" si="104"/>
        <v>0</v>
      </c>
      <c r="AP88" s="418">
        <f t="shared" si="105"/>
        <v>0</v>
      </c>
      <c r="AQ88" s="418">
        <f t="shared" si="106"/>
        <v>0</v>
      </c>
      <c r="AR88" s="68">
        <f t="shared" si="107"/>
        <v>0</v>
      </c>
      <c r="AS88" s="68">
        <f t="shared" si="108"/>
        <v>0</v>
      </c>
      <c r="AT88" s="418">
        <v>0</v>
      </c>
      <c r="AU88" s="418">
        <v>0</v>
      </c>
      <c r="AV88" s="418">
        <f t="shared" si="109"/>
        <v>0</v>
      </c>
      <c r="AW88" s="418">
        <f t="shared" si="110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111"/>
        <v>0</v>
      </c>
      <c r="BG88" s="419">
        <f t="shared" si="112"/>
        <v>0</v>
      </c>
      <c r="BH88" s="421">
        <f t="shared" si="113"/>
        <v>0</v>
      </c>
      <c r="BI88" s="780">
        <f>I88+AW88</f>
        <v>5422563</v>
      </c>
      <c r="BJ88" s="418">
        <f>J88+AF88</f>
        <v>4009798</v>
      </c>
      <c r="BK88" s="418">
        <f t="shared" ref="BK88:BL90" si="145">K88+AD88</f>
        <v>3657137</v>
      </c>
      <c r="BL88" s="418">
        <f t="shared" si="145"/>
        <v>352661</v>
      </c>
      <c r="BM88" s="418">
        <f>M88+AN88</f>
        <v>0</v>
      </c>
      <c r="BN88" s="418">
        <f t="shared" ref="BN88:BO90" si="146">N88+AL88</f>
        <v>0</v>
      </c>
      <c r="BO88" s="418">
        <f t="shared" si="146"/>
        <v>0</v>
      </c>
      <c r="BP88" s="418">
        <f t="shared" ref="BP88:BQ90" si="147">P88+AR88</f>
        <v>1355312</v>
      </c>
      <c r="BQ88" s="418">
        <f t="shared" si="147"/>
        <v>40098</v>
      </c>
      <c r="BR88" s="418">
        <f>R88+AV88</f>
        <v>17355</v>
      </c>
      <c r="BS88" s="419">
        <f>S88+BH88</f>
        <v>7.2000999999999999</v>
      </c>
      <c r="BT88" s="419">
        <f t="shared" ref="BT88:BU90" si="148">T88+BF88</f>
        <v>6</v>
      </c>
      <c r="BU88" s="421">
        <f t="shared" si="148"/>
        <v>1.2000999999999999</v>
      </c>
      <c r="BV88" s="420"/>
      <c r="BW88" s="415"/>
      <c r="BX88" s="415"/>
      <c r="BY88" s="415"/>
      <c r="BZ88" s="415"/>
      <c r="CA88" s="510"/>
    </row>
    <row r="89" spans="1:79" ht="14.1" customHeight="1" x14ac:dyDescent="0.2">
      <c r="A89" s="66">
        <v>21</v>
      </c>
      <c r="B89" s="63">
        <v>2430</v>
      </c>
      <c r="C89" s="64">
        <v>600079180</v>
      </c>
      <c r="D89" s="63">
        <v>46747532</v>
      </c>
      <c r="E89" s="65" t="s">
        <v>574</v>
      </c>
      <c r="F89" s="66">
        <v>3111</v>
      </c>
      <c r="G89" s="77" t="s">
        <v>291</v>
      </c>
      <c r="H89" s="67" t="s">
        <v>272</v>
      </c>
      <c r="I89" s="420">
        <v>0</v>
      </c>
      <c r="J89" s="415">
        <v>0</v>
      </c>
      <c r="K89" s="415">
        <v>0</v>
      </c>
      <c r="L89" s="415">
        <v>0</v>
      </c>
      <c r="M89" s="415">
        <v>0</v>
      </c>
      <c r="N89" s="415">
        <v>0</v>
      </c>
      <c r="O89" s="415">
        <v>0</v>
      </c>
      <c r="P89" s="599">
        <v>0</v>
      </c>
      <c r="Q89" s="599">
        <v>0</v>
      </c>
      <c r="R89" s="415">
        <v>0</v>
      </c>
      <c r="S89" s="416">
        <v>0</v>
      </c>
      <c r="T89" s="417">
        <v>0</v>
      </c>
      <c r="U89" s="423">
        <v>0</v>
      </c>
      <c r="V89" s="424">
        <f t="shared" si="98"/>
        <v>0</v>
      </c>
      <c r="W89" s="418">
        <f t="shared" si="99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 t="shared" si="100"/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01"/>
        <v>0</v>
      </c>
      <c r="AM89" s="418">
        <f t="shared" si="102"/>
        <v>0</v>
      </c>
      <c r="AN89" s="418">
        <f t="shared" si="103"/>
        <v>0</v>
      </c>
      <c r="AO89" s="418">
        <f t="shared" si="104"/>
        <v>0</v>
      </c>
      <c r="AP89" s="418">
        <f t="shared" si="105"/>
        <v>0</v>
      </c>
      <c r="AQ89" s="418">
        <f t="shared" si="106"/>
        <v>0</v>
      </c>
      <c r="AR89" s="68">
        <f t="shared" si="107"/>
        <v>0</v>
      </c>
      <c r="AS89" s="68">
        <f t="shared" si="108"/>
        <v>0</v>
      </c>
      <c r="AT89" s="418">
        <v>0</v>
      </c>
      <c r="AU89" s="418">
        <v>0</v>
      </c>
      <c r="AV89" s="418">
        <f t="shared" si="109"/>
        <v>0</v>
      </c>
      <c r="AW89" s="418">
        <f t="shared" si="110"/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111"/>
        <v>0</v>
      </c>
      <c r="BG89" s="419">
        <f t="shared" si="112"/>
        <v>0</v>
      </c>
      <c r="BH89" s="421">
        <f t="shared" si="113"/>
        <v>0</v>
      </c>
      <c r="BI89" s="780">
        <f>I89+AW89</f>
        <v>0</v>
      </c>
      <c r="BJ89" s="418">
        <f>J89+AF89</f>
        <v>0</v>
      </c>
      <c r="BK89" s="418">
        <f t="shared" si="145"/>
        <v>0</v>
      </c>
      <c r="BL89" s="418">
        <f t="shared" si="145"/>
        <v>0</v>
      </c>
      <c r="BM89" s="418">
        <f>M89+AN89</f>
        <v>0</v>
      </c>
      <c r="BN89" s="418">
        <f t="shared" si="146"/>
        <v>0</v>
      </c>
      <c r="BO89" s="418">
        <f t="shared" si="146"/>
        <v>0</v>
      </c>
      <c r="BP89" s="418">
        <f t="shared" si="147"/>
        <v>0</v>
      </c>
      <c r="BQ89" s="418">
        <f t="shared" si="147"/>
        <v>0</v>
      </c>
      <c r="BR89" s="418">
        <f>R89+AV89</f>
        <v>0</v>
      </c>
      <c r="BS89" s="419">
        <f>S89+BH89</f>
        <v>0</v>
      </c>
      <c r="BT89" s="419">
        <f t="shared" si="148"/>
        <v>0</v>
      </c>
      <c r="BU89" s="421">
        <f t="shared" si="148"/>
        <v>0</v>
      </c>
      <c r="BV89" s="420"/>
      <c r="BW89" s="415"/>
      <c r="BX89" s="415"/>
      <c r="BY89" s="415"/>
      <c r="BZ89" s="415"/>
      <c r="CA89" s="510"/>
    </row>
    <row r="90" spans="1:79" ht="14.1" customHeight="1" x14ac:dyDescent="0.2">
      <c r="A90" s="66">
        <v>21</v>
      </c>
      <c r="B90" s="63">
        <v>2430</v>
      </c>
      <c r="C90" s="64">
        <v>600079180</v>
      </c>
      <c r="D90" s="63">
        <v>46747532</v>
      </c>
      <c r="E90" s="65" t="s">
        <v>574</v>
      </c>
      <c r="F90" s="66">
        <v>3141</v>
      </c>
      <c r="G90" s="65" t="s">
        <v>294</v>
      </c>
      <c r="H90" s="67" t="s">
        <v>272</v>
      </c>
      <c r="I90" s="420">
        <v>565742</v>
      </c>
      <c r="J90" s="415">
        <v>417950</v>
      </c>
      <c r="K90" s="415">
        <v>0</v>
      </c>
      <c r="L90" s="750">
        <v>417950</v>
      </c>
      <c r="M90" s="415">
        <v>0</v>
      </c>
      <c r="N90" s="204">
        <v>0</v>
      </c>
      <c r="O90" s="204">
        <v>0</v>
      </c>
      <c r="P90" s="599">
        <v>141267</v>
      </c>
      <c r="Q90" s="599">
        <v>4180</v>
      </c>
      <c r="R90" s="605">
        <v>2345</v>
      </c>
      <c r="S90" s="416">
        <v>1.2533000000000001</v>
      </c>
      <c r="T90" s="607">
        <v>0</v>
      </c>
      <c r="U90" s="737">
        <v>1.2533000000000001</v>
      </c>
      <c r="V90" s="424">
        <f t="shared" si="98"/>
        <v>0</v>
      </c>
      <c r="W90" s="418">
        <f t="shared" si="99"/>
        <v>0</v>
      </c>
      <c r="X90" s="418">
        <v>0</v>
      </c>
      <c r="Y90" s="418">
        <v>0</v>
      </c>
      <c r="Z90" s="418">
        <v>0</v>
      </c>
      <c r="AA90" s="418">
        <v>208620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208620</v>
      </c>
      <c r="AF90" s="418">
        <f t="shared" si="100"/>
        <v>208620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01"/>
        <v>0</v>
      </c>
      <c r="AM90" s="418">
        <f t="shared" si="102"/>
        <v>0</v>
      </c>
      <c r="AN90" s="418">
        <f t="shared" si="103"/>
        <v>0</v>
      </c>
      <c r="AO90" s="418">
        <f t="shared" si="104"/>
        <v>0</v>
      </c>
      <c r="AP90" s="418">
        <f t="shared" si="105"/>
        <v>208620</v>
      </c>
      <c r="AQ90" s="418">
        <f t="shared" si="106"/>
        <v>208620</v>
      </c>
      <c r="AR90" s="68">
        <f t="shared" si="107"/>
        <v>70514</v>
      </c>
      <c r="AS90" s="68">
        <f t="shared" si="108"/>
        <v>2086</v>
      </c>
      <c r="AT90" s="418">
        <v>0</v>
      </c>
      <c r="AU90" s="418">
        <v>1139</v>
      </c>
      <c r="AV90" s="418">
        <f t="shared" si="109"/>
        <v>1139</v>
      </c>
      <c r="AW90" s="418">
        <f t="shared" si="110"/>
        <v>282359</v>
      </c>
      <c r="AX90" s="419">
        <v>0</v>
      </c>
      <c r="AY90" s="419">
        <v>0</v>
      </c>
      <c r="AZ90" s="419">
        <v>0</v>
      </c>
      <c r="BA90" s="419">
        <v>0</v>
      </c>
      <c r="BB90" s="419">
        <v>0.63</v>
      </c>
      <c r="BC90" s="419">
        <v>0</v>
      </c>
      <c r="BD90" s="419">
        <v>0</v>
      </c>
      <c r="BE90" s="419">
        <v>0</v>
      </c>
      <c r="BF90" s="419">
        <f t="shared" si="111"/>
        <v>0</v>
      </c>
      <c r="BG90" s="419">
        <f t="shared" si="112"/>
        <v>0.63</v>
      </c>
      <c r="BH90" s="421">
        <f t="shared" si="113"/>
        <v>0.63</v>
      </c>
      <c r="BI90" s="780">
        <f>I90+AW90</f>
        <v>848101</v>
      </c>
      <c r="BJ90" s="418">
        <f>J90+AF90</f>
        <v>626570</v>
      </c>
      <c r="BK90" s="418">
        <f t="shared" si="145"/>
        <v>0</v>
      </c>
      <c r="BL90" s="418">
        <f t="shared" si="145"/>
        <v>626570</v>
      </c>
      <c r="BM90" s="418">
        <f>M90+AN90</f>
        <v>0</v>
      </c>
      <c r="BN90" s="418">
        <f t="shared" si="146"/>
        <v>0</v>
      </c>
      <c r="BO90" s="418">
        <f t="shared" si="146"/>
        <v>0</v>
      </c>
      <c r="BP90" s="418">
        <f t="shared" si="147"/>
        <v>211781</v>
      </c>
      <c r="BQ90" s="418">
        <f t="shared" si="147"/>
        <v>6266</v>
      </c>
      <c r="BR90" s="418">
        <f>R90+AV90</f>
        <v>3484</v>
      </c>
      <c r="BS90" s="419">
        <f>S90+BH90</f>
        <v>1.8833000000000002</v>
      </c>
      <c r="BT90" s="419">
        <f t="shared" si="148"/>
        <v>0</v>
      </c>
      <c r="BU90" s="421">
        <f t="shared" si="148"/>
        <v>1.8833000000000002</v>
      </c>
      <c r="BV90" s="420"/>
      <c r="BW90" s="415"/>
      <c r="BX90" s="415"/>
      <c r="BY90" s="415"/>
      <c r="BZ90" s="415"/>
      <c r="CA90" s="510"/>
    </row>
    <row r="91" spans="1:79" ht="13.5" customHeight="1" x14ac:dyDescent="0.2">
      <c r="A91" s="72">
        <v>21</v>
      </c>
      <c r="B91" s="69">
        <v>2430</v>
      </c>
      <c r="C91" s="70">
        <v>600079180</v>
      </c>
      <c r="D91" s="69">
        <v>46747532</v>
      </c>
      <c r="E91" s="71" t="s">
        <v>575</v>
      </c>
      <c r="F91" s="72"/>
      <c r="G91" s="71"/>
      <c r="H91" s="73"/>
      <c r="I91" s="517">
        <v>5988305</v>
      </c>
      <c r="J91" s="74">
        <v>4427748</v>
      </c>
      <c r="K91" s="74">
        <v>3657137</v>
      </c>
      <c r="L91" s="74">
        <v>770611</v>
      </c>
      <c r="M91" s="74">
        <v>0</v>
      </c>
      <c r="N91" s="74">
        <v>0</v>
      </c>
      <c r="O91" s="74">
        <v>0</v>
      </c>
      <c r="P91" s="74">
        <v>1496579</v>
      </c>
      <c r="Q91" s="74">
        <v>44278</v>
      </c>
      <c r="R91" s="74">
        <v>19700</v>
      </c>
      <c r="S91" s="75">
        <v>8.4534000000000002</v>
      </c>
      <c r="T91" s="75">
        <v>6</v>
      </c>
      <c r="U91" s="658">
        <v>2.4534000000000002</v>
      </c>
      <c r="V91" s="517">
        <f t="shared" ref="V91:BU91" si="149">SUM(V88:V90)</f>
        <v>0</v>
      </c>
      <c r="W91" s="74">
        <f t="shared" si="149"/>
        <v>0</v>
      </c>
      <c r="X91" s="74">
        <f t="shared" si="149"/>
        <v>0</v>
      </c>
      <c r="Y91" s="74">
        <f t="shared" si="149"/>
        <v>0</v>
      </c>
      <c r="Z91" s="74">
        <f t="shared" si="149"/>
        <v>0</v>
      </c>
      <c r="AA91" s="74">
        <f t="shared" si="149"/>
        <v>208620</v>
      </c>
      <c r="AB91" s="74">
        <f t="shared" si="149"/>
        <v>0</v>
      </c>
      <c r="AC91" s="74">
        <f t="shared" si="149"/>
        <v>0</v>
      </c>
      <c r="AD91" s="74">
        <f t="shared" si="149"/>
        <v>0</v>
      </c>
      <c r="AE91" s="74">
        <f t="shared" si="149"/>
        <v>208620</v>
      </c>
      <c r="AF91" s="74">
        <f t="shared" si="149"/>
        <v>208620</v>
      </c>
      <c r="AG91" s="74">
        <f t="shared" si="149"/>
        <v>0</v>
      </c>
      <c r="AH91" s="74">
        <f t="shared" si="149"/>
        <v>0</v>
      </c>
      <c r="AI91" s="74">
        <f t="shared" si="149"/>
        <v>0</v>
      </c>
      <c r="AJ91" s="74">
        <f t="shared" si="149"/>
        <v>0</v>
      </c>
      <c r="AK91" s="74">
        <f t="shared" si="149"/>
        <v>0</v>
      </c>
      <c r="AL91" s="74">
        <f t="shared" si="149"/>
        <v>0</v>
      </c>
      <c r="AM91" s="74">
        <f t="shared" si="149"/>
        <v>0</v>
      </c>
      <c r="AN91" s="74">
        <f t="shared" si="149"/>
        <v>0</v>
      </c>
      <c r="AO91" s="74">
        <f t="shared" si="149"/>
        <v>0</v>
      </c>
      <c r="AP91" s="74">
        <f t="shared" si="149"/>
        <v>208620</v>
      </c>
      <c r="AQ91" s="74">
        <f t="shared" si="149"/>
        <v>208620</v>
      </c>
      <c r="AR91" s="74">
        <f t="shared" si="149"/>
        <v>70514</v>
      </c>
      <c r="AS91" s="74">
        <f t="shared" si="149"/>
        <v>2086</v>
      </c>
      <c r="AT91" s="74">
        <f t="shared" si="149"/>
        <v>0</v>
      </c>
      <c r="AU91" s="74">
        <f t="shared" si="149"/>
        <v>1139</v>
      </c>
      <c r="AV91" s="74">
        <f t="shared" si="149"/>
        <v>1139</v>
      </c>
      <c r="AW91" s="74">
        <f t="shared" si="149"/>
        <v>282359</v>
      </c>
      <c r="AX91" s="75">
        <f t="shared" si="149"/>
        <v>0</v>
      </c>
      <c r="AY91" s="75">
        <f t="shared" si="149"/>
        <v>0</v>
      </c>
      <c r="AZ91" s="75">
        <f t="shared" si="149"/>
        <v>0</v>
      </c>
      <c r="BA91" s="75">
        <f t="shared" si="149"/>
        <v>0</v>
      </c>
      <c r="BB91" s="75">
        <f t="shared" si="149"/>
        <v>0.63</v>
      </c>
      <c r="BC91" s="75">
        <f t="shared" si="149"/>
        <v>0</v>
      </c>
      <c r="BD91" s="75">
        <f t="shared" si="149"/>
        <v>0</v>
      </c>
      <c r="BE91" s="75">
        <f t="shared" si="149"/>
        <v>0</v>
      </c>
      <c r="BF91" s="75">
        <f t="shared" si="149"/>
        <v>0</v>
      </c>
      <c r="BG91" s="75">
        <f t="shared" si="149"/>
        <v>0.63</v>
      </c>
      <c r="BH91" s="76">
        <f t="shared" si="149"/>
        <v>0.63</v>
      </c>
      <c r="BI91" s="799">
        <f t="shared" si="149"/>
        <v>6270664</v>
      </c>
      <c r="BJ91" s="74">
        <f t="shared" si="149"/>
        <v>4636368</v>
      </c>
      <c r="BK91" s="74">
        <f t="shared" si="149"/>
        <v>3657137</v>
      </c>
      <c r="BL91" s="74">
        <f t="shared" si="149"/>
        <v>979231</v>
      </c>
      <c r="BM91" s="74">
        <f t="shared" si="149"/>
        <v>0</v>
      </c>
      <c r="BN91" s="74">
        <f t="shared" si="149"/>
        <v>0</v>
      </c>
      <c r="BO91" s="74">
        <f t="shared" si="149"/>
        <v>0</v>
      </c>
      <c r="BP91" s="74">
        <f t="shared" si="149"/>
        <v>1567093</v>
      </c>
      <c r="BQ91" s="74">
        <f t="shared" si="149"/>
        <v>46364</v>
      </c>
      <c r="BR91" s="74">
        <f t="shared" si="149"/>
        <v>20839</v>
      </c>
      <c r="BS91" s="75">
        <f t="shared" si="149"/>
        <v>9.083400000000001</v>
      </c>
      <c r="BT91" s="75">
        <f t="shared" si="149"/>
        <v>6</v>
      </c>
      <c r="BU91" s="76">
        <f t="shared" si="149"/>
        <v>3.0834000000000001</v>
      </c>
      <c r="BV91" s="809">
        <f t="shared" ref="BV91:CA91" si="150">SUM(BV88:BV90)</f>
        <v>0</v>
      </c>
      <c r="BW91" s="684">
        <f t="shared" si="150"/>
        <v>0</v>
      </c>
      <c r="BX91" s="684">
        <f t="shared" si="150"/>
        <v>0</v>
      </c>
      <c r="BY91" s="684">
        <f t="shared" si="150"/>
        <v>0</v>
      </c>
      <c r="BZ91" s="684">
        <f t="shared" si="150"/>
        <v>0</v>
      </c>
      <c r="CA91" s="810">
        <f t="shared" si="150"/>
        <v>0</v>
      </c>
    </row>
    <row r="92" spans="1:79" ht="14.1" customHeight="1" x14ac:dyDescent="0.2">
      <c r="A92" s="66">
        <v>22</v>
      </c>
      <c r="B92" s="63">
        <v>2409</v>
      </c>
      <c r="C92" s="64">
        <v>600079635</v>
      </c>
      <c r="D92" s="63">
        <v>72742747</v>
      </c>
      <c r="E92" s="65" t="s">
        <v>576</v>
      </c>
      <c r="F92" s="66">
        <v>3111</v>
      </c>
      <c r="G92" s="65" t="s">
        <v>290</v>
      </c>
      <c r="H92" s="67" t="s">
        <v>271</v>
      </c>
      <c r="I92" s="420">
        <v>7957500</v>
      </c>
      <c r="J92" s="415">
        <v>5879328</v>
      </c>
      <c r="K92" s="415">
        <v>5334998</v>
      </c>
      <c r="L92" s="415">
        <v>544330</v>
      </c>
      <c r="M92" s="415">
        <v>0</v>
      </c>
      <c r="N92" s="415">
        <v>0</v>
      </c>
      <c r="O92" s="415">
        <v>0</v>
      </c>
      <c r="P92" s="599">
        <v>1987213</v>
      </c>
      <c r="Q92" s="599">
        <v>58793</v>
      </c>
      <c r="R92" s="415">
        <v>32166</v>
      </c>
      <c r="S92" s="416">
        <v>10.7668</v>
      </c>
      <c r="T92" s="416">
        <v>8.9</v>
      </c>
      <c r="U92" s="423">
        <v>1.8667999999999998</v>
      </c>
      <c r="V92" s="424">
        <f t="shared" si="98"/>
        <v>0</v>
      </c>
      <c r="W92" s="418">
        <f t="shared" si="99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 t="shared" si="100"/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 t="shared" si="101"/>
        <v>0</v>
      </c>
      <c r="AM92" s="418">
        <f t="shared" si="102"/>
        <v>0</v>
      </c>
      <c r="AN92" s="418">
        <f t="shared" si="103"/>
        <v>0</v>
      </c>
      <c r="AO92" s="418">
        <f t="shared" si="104"/>
        <v>0</v>
      </c>
      <c r="AP92" s="418">
        <f t="shared" si="105"/>
        <v>0</v>
      </c>
      <c r="AQ92" s="418">
        <f t="shared" si="106"/>
        <v>0</v>
      </c>
      <c r="AR92" s="68">
        <f t="shared" si="107"/>
        <v>0</v>
      </c>
      <c r="AS92" s="68">
        <f t="shared" si="108"/>
        <v>0</v>
      </c>
      <c r="AT92" s="418">
        <v>0</v>
      </c>
      <c r="AU92" s="418">
        <v>0</v>
      </c>
      <c r="AV92" s="418">
        <f t="shared" si="109"/>
        <v>0</v>
      </c>
      <c r="AW92" s="418">
        <f t="shared" si="110"/>
        <v>0</v>
      </c>
      <c r="AX92" s="419">
        <v>0</v>
      </c>
      <c r="AY92" s="419">
        <v>0</v>
      </c>
      <c r="AZ92" s="419">
        <v>0</v>
      </c>
      <c r="BA92" s="419">
        <v>0</v>
      </c>
      <c r="BB92" s="419">
        <v>0</v>
      </c>
      <c r="BC92" s="419">
        <v>0</v>
      </c>
      <c r="BD92" s="419">
        <v>0</v>
      </c>
      <c r="BE92" s="419">
        <v>0</v>
      </c>
      <c r="BF92" s="419">
        <f t="shared" si="111"/>
        <v>0</v>
      </c>
      <c r="BG92" s="419">
        <f t="shared" si="112"/>
        <v>0</v>
      </c>
      <c r="BH92" s="421">
        <f t="shared" si="113"/>
        <v>0</v>
      </c>
      <c r="BI92" s="780">
        <f>I92+AW92</f>
        <v>7957500</v>
      </c>
      <c r="BJ92" s="418">
        <f>J92+AF92</f>
        <v>5879328</v>
      </c>
      <c r="BK92" s="418">
        <f t="shared" ref="BK92:BL94" si="151">K92+AD92</f>
        <v>5334998</v>
      </c>
      <c r="BL92" s="418">
        <f t="shared" si="151"/>
        <v>544330</v>
      </c>
      <c r="BM92" s="418">
        <f>M92+AN92</f>
        <v>0</v>
      </c>
      <c r="BN92" s="418">
        <f t="shared" ref="BN92:BO94" si="152">N92+AL92</f>
        <v>0</v>
      </c>
      <c r="BO92" s="418">
        <f t="shared" si="152"/>
        <v>0</v>
      </c>
      <c r="BP92" s="418">
        <f t="shared" ref="BP92:BQ94" si="153">P92+AR92</f>
        <v>1987213</v>
      </c>
      <c r="BQ92" s="418">
        <f t="shared" si="153"/>
        <v>58793</v>
      </c>
      <c r="BR92" s="418">
        <f>R92+AV92</f>
        <v>32166</v>
      </c>
      <c r="BS92" s="419">
        <f>S92+BH92</f>
        <v>10.7668</v>
      </c>
      <c r="BT92" s="419">
        <f t="shared" ref="BT92:BU94" si="154">T92+BF92</f>
        <v>8.9</v>
      </c>
      <c r="BU92" s="421">
        <f t="shared" si="154"/>
        <v>1.8667999999999998</v>
      </c>
      <c r="BV92" s="420"/>
      <c r="BW92" s="415"/>
      <c r="BX92" s="415"/>
      <c r="BY92" s="415"/>
      <c r="BZ92" s="415"/>
      <c r="CA92" s="510"/>
    </row>
    <row r="93" spans="1:79" ht="14.1" customHeight="1" x14ac:dyDescent="0.2">
      <c r="A93" s="66">
        <v>22</v>
      </c>
      <c r="B93" s="63">
        <v>2409</v>
      </c>
      <c r="C93" s="64">
        <v>600079635</v>
      </c>
      <c r="D93" s="63">
        <v>72742747</v>
      </c>
      <c r="E93" s="65" t="s">
        <v>576</v>
      </c>
      <c r="F93" s="66">
        <v>3111</v>
      </c>
      <c r="G93" s="65" t="s">
        <v>291</v>
      </c>
      <c r="H93" s="67" t="s">
        <v>272</v>
      </c>
      <c r="I93" s="420">
        <v>499840</v>
      </c>
      <c r="J93" s="415">
        <v>370801</v>
      </c>
      <c r="K93" s="415">
        <v>370801</v>
      </c>
      <c r="L93" s="415">
        <v>0</v>
      </c>
      <c r="M93" s="415">
        <v>0</v>
      </c>
      <c r="N93" s="415">
        <v>0</v>
      </c>
      <c r="O93" s="415">
        <v>0</v>
      </c>
      <c r="P93" s="599">
        <v>125331</v>
      </c>
      <c r="Q93" s="599">
        <v>3708</v>
      </c>
      <c r="R93" s="415">
        <v>0</v>
      </c>
      <c r="S93" s="416">
        <v>1</v>
      </c>
      <c r="T93" s="417">
        <v>1</v>
      </c>
      <c r="U93" s="423">
        <v>0</v>
      </c>
      <c r="V93" s="424">
        <f t="shared" si="98"/>
        <v>0</v>
      </c>
      <c r="W93" s="418">
        <f t="shared" si="99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 t="shared" si="100"/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 t="shared" si="101"/>
        <v>0</v>
      </c>
      <c r="AM93" s="418">
        <f t="shared" si="102"/>
        <v>0</v>
      </c>
      <c r="AN93" s="418">
        <f t="shared" si="103"/>
        <v>0</v>
      </c>
      <c r="AO93" s="418">
        <f t="shared" si="104"/>
        <v>0</v>
      </c>
      <c r="AP93" s="418">
        <f t="shared" si="105"/>
        <v>0</v>
      </c>
      <c r="AQ93" s="418">
        <f t="shared" si="106"/>
        <v>0</v>
      </c>
      <c r="AR93" s="68">
        <f t="shared" si="107"/>
        <v>0</v>
      </c>
      <c r="AS93" s="68">
        <f t="shared" si="108"/>
        <v>0</v>
      </c>
      <c r="AT93" s="418">
        <v>0</v>
      </c>
      <c r="AU93" s="418">
        <v>0</v>
      </c>
      <c r="AV93" s="418">
        <f t="shared" si="109"/>
        <v>0</v>
      </c>
      <c r="AW93" s="418">
        <f t="shared" si="110"/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 t="shared" si="111"/>
        <v>0</v>
      </c>
      <c r="BG93" s="419">
        <f t="shared" si="112"/>
        <v>0</v>
      </c>
      <c r="BH93" s="421">
        <f t="shared" si="113"/>
        <v>0</v>
      </c>
      <c r="BI93" s="780">
        <f>I93+AW93</f>
        <v>499840</v>
      </c>
      <c r="BJ93" s="418">
        <f>J93+AF93</f>
        <v>370801</v>
      </c>
      <c r="BK93" s="418">
        <f t="shared" si="151"/>
        <v>370801</v>
      </c>
      <c r="BL93" s="418">
        <f t="shared" si="151"/>
        <v>0</v>
      </c>
      <c r="BM93" s="418">
        <f>M93+AN93</f>
        <v>0</v>
      </c>
      <c r="BN93" s="418">
        <f t="shared" si="152"/>
        <v>0</v>
      </c>
      <c r="BO93" s="418">
        <f t="shared" si="152"/>
        <v>0</v>
      </c>
      <c r="BP93" s="418">
        <f t="shared" si="153"/>
        <v>125331</v>
      </c>
      <c r="BQ93" s="418">
        <f t="shared" si="153"/>
        <v>3708</v>
      </c>
      <c r="BR93" s="418">
        <f>R93+AV93</f>
        <v>0</v>
      </c>
      <c r="BS93" s="419">
        <f>S93+BH93</f>
        <v>1</v>
      </c>
      <c r="BT93" s="419">
        <f t="shared" si="154"/>
        <v>1</v>
      </c>
      <c r="BU93" s="421">
        <f t="shared" si="154"/>
        <v>0</v>
      </c>
      <c r="BV93" s="420"/>
      <c r="BW93" s="415"/>
      <c r="BX93" s="415"/>
      <c r="BY93" s="415"/>
      <c r="BZ93" s="415"/>
      <c r="CA93" s="510"/>
    </row>
    <row r="94" spans="1:79" ht="14.1" customHeight="1" x14ac:dyDescent="0.2">
      <c r="A94" s="66">
        <v>22</v>
      </c>
      <c r="B94" s="63">
        <v>2409</v>
      </c>
      <c r="C94" s="64">
        <v>600079635</v>
      </c>
      <c r="D94" s="63">
        <v>72742747</v>
      </c>
      <c r="E94" s="65" t="s">
        <v>576</v>
      </c>
      <c r="F94" s="66">
        <v>3141</v>
      </c>
      <c r="G94" s="65" t="s">
        <v>294</v>
      </c>
      <c r="H94" s="67" t="s">
        <v>272</v>
      </c>
      <c r="I94" s="420">
        <v>914449</v>
      </c>
      <c r="J94" s="415">
        <v>675830</v>
      </c>
      <c r="K94" s="415">
        <v>0</v>
      </c>
      <c r="L94" s="750">
        <v>675830</v>
      </c>
      <c r="M94" s="415">
        <v>0</v>
      </c>
      <c r="N94" s="605">
        <v>0</v>
      </c>
      <c r="O94" s="605">
        <v>0</v>
      </c>
      <c r="P94" s="599">
        <v>228431</v>
      </c>
      <c r="Q94" s="599">
        <v>6758</v>
      </c>
      <c r="R94" s="605">
        <v>3430</v>
      </c>
      <c r="S94" s="416">
        <v>2.0266000000000002</v>
      </c>
      <c r="T94" s="607">
        <v>0</v>
      </c>
      <c r="U94" s="737">
        <v>2.0266000000000002</v>
      </c>
      <c r="V94" s="424">
        <f t="shared" si="98"/>
        <v>0</v>
      </c>
      <c r="W94" s="418">
        <f t="shared" si="99"/>
        <v>0</v>
      </c>
      <c r="X94" s="418">
        <v>0</v>
      </c>
      <c r="Y94" s="418">
        <v>0</v>
      </c>
      <c r="Z94" s="418">
        <v>0</v>
      </c>
      <c r="AA94" s="418">
        <v>338492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338492</v>
      </c>
      <c r="AF94" s="418">
        <f t="shared" si="100"/>
        <v>338492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si="101"/>
        <v>0</v>
      </c>
      <c r="AM94" s="418">
        <f t="shared" si="102"/>
        <v>0</v>
      </c>
      <c r="AN94" s="418">
        <f t="shared" si="103"/>
        <v>0</v>
      </c>
      <c r="AO94" s="418">
        <f t="shared" si="104"/>
        <v>0</v>
      </c>
      <c r="AP94" s="418">
        <f t="shared" si="105"/>
        <v>338492</v>
      </c>
      <c r="AQ94" s="418">
        <f t="shared" si="106"/>
        <v>338492</v>
      </c>
      <c r="AR94" s="68">
        <f t="shared" si="107"/>
        <v>114410</v>
      </c>
      <c r="AS94" s="68">
        <f t="shared" si="108"/>
        <v>3385</v>
      </c>
      <c r="AT94" s="418">
        <v>0</v>
      </c>
      <c r="AU94" s="418">
        <v>1666</v>
      </c>
      <c r="AV94" s="418">
        <f t="shared" si="109"/>
        <v>1666</v>
      </c>
      <c r="AW94" s="418">
        <f t="shared" si="110"/>
        <v>457953</v>
      </c>
      <c r="AX94" s="419">
        <v>0</v>
      </c>
      <c r="AY94" s="419">
        <v>0</v>
      </c>
      <c r="AZ94" s="419">
        <v>0</v>
      </c>
      <c r="BA94" s="419">
        <v>0</v>
      </c>
      <c r="BB94" s="419">
        <v>1.01</v>
      </c>
      <c r="BC94" s="419">
        <v>0</v>
      </c>
      <c r="BD94" s="419">
        <v>0</v>
      </c>
      <c r="BE94" s="419">
        <v>0</v>
      </c>
      <c r="BF94" s="419">
        <f t="shared" si="111"/>
        <v>0</v>
      </c>
      <c r="BG94" s="419">
        <f t="shared" si="112"/>
        <v>1.01</v>
      </c>
      <c r="BH94" s="421">
        <f t="shared" si="113"/>
        <v>1.01</v>
      </c>
      <c r="BI94" s="780">
        <f>I94+AW94</f>
        <v>1372402</v>
      </c>
      <c r="BJ94" s="418">
        <f>J94+AF94</f>
        <v>1014322</v>
      </c>
      <c r="BK94" s="418">
        <f t="shared" si="151"/>
        <v>0</v>
      </c>
      <c r="BL94" s="418">
        <f t="shared" si="151"/>
        <v>1014322</v>
      </c>
      <c r="BM94" s="418">
        <f>M94+AN94</f>
        <v>0</v>
      </c>
      <c r="BN94" s="418">
        <f t="shared" si="152"/>
        <v>0</v>
      </c>
      <c r="BO94" s="418">
        <f t="shared" si="152"/>
        <v>0</v>
      </c>
      <c r="BP94" s="418">
        <f t="shared" si="153"/>
        <v>342841</v>
      </c>
      <c r="BQ94" s="418">
        <f t="shared" si="153"/>
        <v>10143</v>
      </c>
      <c r="BR94" s="418">
        <f>R94+AV94</f>
        <v>5096</v>
      </c>
      <c r="BS94" s="419">
        <f>S94+BH94</f>
        <v>3.0366</v>
      </c>
      <c r="BT94" s="419">
        <f t="shared" si="154"/>
        <v>0</v>
      </c>
      <c r="BU94" s="421">
        <f t="shared" si="154"/>
        <v>3.0366</v>
      </c>
      <c r="BV94" s="420"/>
      <c r="BW94" s="415"/>
      <c r="BX94" s="415"/>
      <c r="BY94" s="415"/>
      <c r="BZ94" s="415"/>
      <c r="CA94" s="510"/>
    </row>
    <row r="95" spans="1:79" ht="13.5" customHeight="1" x14ac:dyDescent="0.2">
      <c r="A95" s="72">
        <v>22</v>
      </c>
      <c r="B95" s="69">
        <v>2409</v>
      </c>
      <c r="C95" s="70">
        <v>600079635</v>
      </c>
      <c r="D95" s="69">
        <v>72742747</v>
      </c>
      <c r="E95" s="71" t="s">
        <v>577</v>
      </c>
      <c r="F95" s="72"/>
      <c r="G95" s="71"/>
      <c r="H95" s="73"/>
      <c r="I95" s="517">
        <v>9371789</v>
      </c>
      <c r="J95" s="74">
        <v>6925959</v>
      </c>
      <c r="K95" s="74">
        <v>5705799</v>
      </c>
      <c r="L95" s="74">
        <v>1220160</v>
      </c>
      <c r="M95" s="74">
        <v>0</v>
      </c>
      <c r="N95" s="74">
        <v>0</v>
      </c>
      <c r="O95" s="74">
        <v>0</v>
      </c>
      <c r="P95" s="74">
        <v>2340975</v>
      </c>
      <c r="Q95" s="74">
        <v>69259</v>
      </c>
      <c r="R95" s="74">
        <v>35596</v>
      </c>
      <c r="S95" s="75">
        <v>13.7934</v>
      </c>
      <c r="T95" s="75">
        <v>9.9</v>
      </c>
      <c r="U95" s="658">
        <v>3.8933999999999997</v>
      </c>
      <c r="V95" s="517">
        <f t="shared" ref="V95:BU95" si="155">SUM(V92:V94)</f>
        <v>0</v>
      </c>
      <c r="W95" s="74">
        <f t="shared" si="155"/>
        <v>0</v>
      </c>
      <c r="X95" s="74">
        <f t="shared" si="155"/>
        <v>0</v>
      </c>
      <c r="Y95" s="74">
        <f t="shared" si="155"/>
        <v>0</v>
      </c>
      <c r="Z95" s="74">
        <f t="shared" si="155"/>
        <v>0</v>
      </c>
      <c r="AA95" s="74">
        <f t="shared" si="155"/>
        <v>338492</v>
      </c>
      <c r="AB95" s="74">
        <f t="shared" si="155"/>
        <v>0</v>
      </c>
      <c r="AC95" s="74">
        <f t="shared" si="155"/>
        <v>0</v>
      </c>
      <c r="AD95" s="74">
        <f t="shared" si="155"/>
        <v>0</v>
      </c>
      <c r="AE95" s="74">
        <f t="shared" si="155"/>
        <v>338492</v>
      </c>
      <c r="AF95" s="74">
        <f t="shared" si="155"/>
        <v>338492</v>
      </c>
      <c r="AG95" s="74">
        <f t="shared" si="155"/>
        <v>0</v>
      </c>
      <c r="AH95" s="74">
        <f t="shared" si="155"/>
        <v>0</v>
      </c>
      <c r="AI95" s="74">
        <f t="shared" si="155"/>
        <v>0</v>
      </c>
      <c r="AJ95" s="74">
        <f t="shared" si="155"/>
        <v>0</v>
      </c>
      <c r="AK95" s="74">
        <f t="shared" si="155"/>
        <v>0</v>
      </c>
      <c r="AL95" s="74">
        <f t="shared" si="155"/>
        <v>0</v>
      </c>
      <c r="AM95" s="74">
        <f t="shared" si="155"/>
        <v>0</v>
      </c>
      <c r="AN95" s="74">
        <f t="shared" si="155"/>
        <v>0</v>
      </c>
      <c r="AO95" s="74">
        <f t="shared" si="155"/>
        <v>0</v>
      </c>
      <c r="AP95" s="74">
        <f t="shared" si="155"/>
        <v>338492</v>
      </c>
      <c r="AQ95" s="74">
        <f t="shared" si="155"/>
        <v>338492</v>
      </c>
      <c r="AR95" s="74">
        <f t="shared" si="155"/>
        <v>114410</v>
      </c>
      <c r="AS95" s="74">
        <f t="shared" si="155"/>
        <v>3385</v>
      </c>
      <c r="AT95" s="74">
        <f t="shared" si="155"/>
        <v>0</v>
      </c>
      <c r="AU95" s="74">
        <f t="shared" si="155"/>
        <v>1666</v>
      </c>
      <c r="AV95" s="74">
        <f t="shared" si="155"/>
        <v>1666</v>
      </c>
      <c r="AW95" s="74">
        <f t="shared" si="155"/>
        <v>457953</v>
      </c>
      <c r="AX95" s="75">
        <f t="shared" si="155"/>
        <v>0</v>
      </c>
      <c r="AY95" s="75">
        <f t="shared" si="155"/>
        <v>0</v>
      </c>
      <c r="AZ95" s="75">
        <f t="shared" si="155"/>
        <v>0</v>
      </c>
      <c r="BA95" s="75">
        <f t="shared" si="155"/>
        <v>0</v>
      </c>
      <c r="BB95" s="75">
        <f t="shared" si="155"/>
        <v>1.01</v>
      </c>
      <c r="BC95" s="75">
        <f t="shared" si="155"/>
        <v>0</v>
      </c>
      <c r="BD95" s="75">
        <f t="shared" si="155"/>
        <v>0</v>
      </c>
      <c r="BE95" s="75">
        <f t="shared" si="155"/>
        <v>0</v>
      </c>
      <c r="BF95" s="75">
        <f t="shared" si="155"/>
        <v>0</v>
      </c>
      <c r="BG95" s="75">
        <f t="shared" si="155"/>
        <v>1.01</v>
      </c>
      <c r="BH95" s="76">
        <f t="shared" si="155"/>
        <v>1.01</v>
      </c>
      <c r="BI95" s="799">
        <f t="shared" si="155"/>
        <v>9829742</v>
      </c>
      <c r="BJ95" s="74">
        <f t="shared" si="155"/>
        <v>7264451</v>
      </c>
      <c r="BK95" s="74">
        <f t="shared" si="155"/>
        <v>5705799</v>
      </c>
      <c r="BL95" s="74">
        <f t="shared" si="155"/>
        <v>1558652</v>
      </c>
      <c r="BM95" s="74">
        <f t="shared" si="155"/>
        <v>0</v>
      </c>
      <c r="BN95" s="74">
        <f t="shared" si="155"/>
        <v>0</v>
      </c>
      <c r="BO95" s="74">
        <f t="shared" si="155"/>
        <v>0</v>
      </c>
      <c r="BP95" s="74">
        <f t="shared" si="155"/>
        <v>2455385</v>
      </c>
      <c r="BQ95" s="74">
        <f t="shared" si="155"/>
        <v>72644</v>
      </c>
      <c r="BR95" s="74">
        <f t="shared" si="155"/>
        <v>37262</v>
      </c>
      <c r="BS95" s="75">
        <f t="shared" si="155"/>
        <v>14.8034</v>
      </c>
      <c r="BT95" s="75">
        <f t="shared" si="155"/>
        <v>9.9</v>
      </c>
      <c r="BU95" s="76">
        <f t="shared" si="155"/>
        <v>4.9033999999999995</v>
      </c>
      <c r="BV95" s="809">
        <f t="shared" ref="BV95:CA95" si="156">SUM(BV92:BV94)</f>
        <v>0</v>
      </c>
      <c r="BW95" s="684">
        <f t="shared" si="156"/>
        <v>0</v>
      </c>
      <c r="BX95" s="684">
        <f t="shared" si="156"/>
        <v>0</v>
      </c>
      <c r="BY95" s="684">
        <f t="shared" si="156"/>
        <v>0</v>
      </c>
      <c r="BZ95" s="684">
        <f t="shared" si="156"/>
        <v>0</v>
      </c>
      <c r="CA95" s="810">
        <f t="shared" si="156"/>
        <v>0</v>
      </c>
    </row>
    <row r="96" spans="1:79" ht="14.1" customHeight="1" x14ac:dyDescent="0.2">
      <c r="A96" s="66">
        <v>23</v>
      </c>
      <c r="B96" s="63">
        <v>2429</v>
      </c>
      <c r="C96" s="64">
        <v>600079244</v>
      </c>
      <c r="D96" s="63">
        <v>72741708</v>
      </c>
      <c r="E96" s="65" t="s">
        <v>578</v>
      </c>
      <c r="F96" s="66">
        <v>3111</v>
      </c>
      <c r="G96" s="65" t="s">
        <v>290</v>
      </c>
      <c r="H96" s="67" t="s">
        <v>271</v>
      </c>
      <c r="I96" s="420">
        <v>7359324</v>
      </c>
      <c r="J96" s="415">
        <v>5441811</v>
      </c>
      <c r="K96" s="415">
        <v>4971609</v>
      </c>
      <c r="L96" s="415">
        <v>470202</v>
      </c>
      <c r="M96" s="415">
        <v>0</v>
      </c>
      <c r="N96" s="415">
        <v>0</v>
      </c>
      <c r="O96" s="415">
        <v>0</v>
      </c>
      <c r="P96" s="599">
        <v>1839332</v>
      </c>
      <c r="Q96" s="599">
        <v>54418</v>
      </c>
      <c r="R96" s="415">
        <v>23763</v>
      </c>
      <c r="S96" s="416">
        <v>10.051699999999999</v>
      </c>
      <c r="T96" s="416">
        <v>8.4515999999999991</v>
      </c>
      <c r="U96" s="423">
        <v>1.6000999999999999</v>
      </c>
      <c r="V96" s="424">
        <f t="shared" si="98"/>
        <v>0</v>
      </c>
      <c r="W96" s="418">
        <f t="shared" si="99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 t="shared" si="100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01"/>
        <v>0</v>
      </c>
      <c r="AM96" s="418">
        <f t="shared" si="102"/>
        <v>0</v>
      </c>
      <c r="AN96" s="418">
        <f t="shared" si="103"/>
        <v>0</v>
      </c>
      <c r="AO96" s="418">
        <f t="shared" si="104"/>
        <v>0</v>
      </c>
      <c r="AP96" s="418">
        <f t="shared" si="105"/>
        <v>0</v>
      </c>
      <c r="AQ96" s="418">
        <f t="shared" si="106"/>
        <v>0</v>
      </c>
      <c r="AR96" s="68">
        <f t="shared" si="107"/>
        <v>0</v>
      </c>
      <c r="AS96" s="68">
        <f t="shared" si="108"/>
        <v>0</v>
      </c>
      <c r="AT96" s="418">
        <v>0</v>
      </c>
      <c r="AU96" s="418">
        <v>0</v>
      </c>
      <c r="AV96" s="418">
        <f t="shared" si="109"/>
        <v>0</v>
      </c>
      <c r="AW96" s="418">
        <f t="shared" si="110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111"/>
        <v>0</v>
      </c>
      <c r="BG96" s="419">
        <f t="shared" si="112"/>
        <v>0</v>
      </c>
      <c r="BH96" s="421">
        <f t="shared" si="113"/>
        <v>0</v>
      </c>
      <c r="BI96" s="780">
        <f>I96+AW96</f>
        <v>7359324</v>
      </c>
      <c r="BJ96" s="418">
        <f>J96+AF96</f>
        <v>5441811</v>
      </c>
      <c r="BK96" s="418">
        <f t="shared" ref="BK96:BL98" si="157">K96+AD96</f>
        <v>4971609</v>
      </c>
      <c r="BL96" s="418">
        <f t="shared" si="157"/>
        <v>470202</v>
      </c>
      <c r="BM96" s="418">
        <f>M96+AN96</f>
        <v>0</v>
      </c>
      <c r="BN96" s="418">
        <f t="shared" ref="BN96:BO98" si="158">N96+AL96</f>
        <v>0</v>
      </c>
      <c r="BO96" s="418">
        <f t="shared" si="158"/>
        <v>0</v>
      </c>
      <c r="BP96" s="418">
        <f t="shared" ref="BP96:BQ98" si="159">P96+AR96</f>
        <v>1839332</v>
      </c>
      <c r="BQ96" s="418">
        <f t="shared" si="159"/>
        <v>54418</v>
      </c>
      <c r="BR96" s="418">
        <f>R96+AV96</f>
        <v>23763</v>
      </c>
      <c r="BS96" s="419">
        <f>S96+BH96</f>
        <v>10.051699999999999</v>
      </c>
      <c r="BT96" s="419">
        <f t="shared" ref="BT96:BU98" si="160">T96+BF96</f>
        <v>8.4515999999999991</v>
      </c>
      <c r="BU96" s="421">
        <f t="shared" si="160"/>
        <v>1.6000999999999999</v>
      </c>
      <c r="BV96" s="420"/>
      <c r="BW96" s="415"/>
      <c r="BX96" s="415"/>
      <c r="BY96" s="415"/>
      <c r="BZ96" s="415"/>
      <c r="CA96" s="510"/>
    </row>
    <row r="97" spans="1:79" ht="14.1" customHeight="1" x14ac:dyDescent="0.2">
      <c r="A97" s="66">
        <v>23</v>
      </c>
      <c r="B97" s="63">
        <v>2429</v>
      </c>
      <c r="C97" s="64">
        <v>600079244</v>
      </c>
      <c r="D97" s="63">
        <v>72741708</v>
      </c>
      <c r="E97" s="65" t="s">
        <v>578</v>
      </c>
      <c r="F97" s="66">
        <v>3111</v>
      </c>
      <c r="G97" s="77" t="s">
        <v>291</v>
      </c>
      <c r="H97" s="67" t="s">
        <v>272</v>
      </c>
      <c r="I97" s="420">
        <v>999681</v>
      </c>
      <c r="J97" s="415">
        <v>741603</v>
      </c>
      <c r="K97" s="415">
        <v>741603</v>
      </c>
      <c r="L97" s="415">
        <v>0</v>
      </c>
      <c r="M97" s="415">
        <v>0</v>
      </c>
      <c r="N97" s="415">
        <v>0</v>
      </c>
      <c r="O97" s="415">
        <v>0</v>
      </c>
      <c r="P97" s="599">
        <v>250662</v>
      </c>
      <c r="Q97" s="599">
        <v>7416</v>
      </c>
      <c r="R97" s="415">
        <v>0</v>
      </c>
      <c r="S97" s="416">
        <v>2</v>
      </c>
      <c r="T97" s="417">
        <v>2</v>
      </c>
      <c r="U97" s="423">
        <v>0</v>
      </c>
      <c r="V97" s="424">
        <f t="shared" si="98"/>
        <v>0</v>
      </c>
      <c r="W97" s="418">
        <f t="shared" si="99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 t="shared" si="100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01"/>
        <v>0</v>
      </c>
      <c r="AM97" s="418">
        <f t="shared" si="102"/>
        <v>0</v>
      </c>
      <c r="AN97" s="418">
        <f t="shared" si="103"/>
        <v>0</v>
      </c>
      <c r="AO97" s="418">
        <f t="shared" si="104"/>
        <v>0</v>
      </c>
      <c r="AP97" s="418">
        <f t="shared" si="105"/>
        <v>0</v>
      </c>
      <c r="AQ97" s="418">
        <f t="shared" si="106"/>
        <v>0</v>
      </c>
      <c r="AR97" s="68">
        <f t="shared" si="107"/>
        <v>0</v>
      </c>
      <c r="AS97" s="68">
        <f t="shared" si="108"/>
        <v>0</v>
      </c>
      <c r="AT97" s="418">
        <v>0</v>
      </c>
      <c r="AU97" s="418">
        <v>0</v>
      </c>
      <c r="AV97" s="418">
        <f t="shared" si="109"/>
        <v>0</v>
      </c>
      <c r="AW97" s="418">
        <f t="shared" si="110"/>
        <v>0</v>
      </c>
      <c r="AX97" s="419">
        <v>0</v>
      </c>
      <c r="AY97" s="419">
        <v>0</v>
      </c>
      <c r="AZ97" s="419">
        <v>0</v>
      </c>
      <c r="BA97" s="419">
        <v>0</v>
      </c>
      <c r="BB97" s="419">
        <v>0</v>
      </c>
      <c r="BC97" s="419">
        <v>0</v>
      </c>
      <c r="BD97" s="419">
        <v>0</v>
      </c>
      <c r="BE97" s="419">
        <v>0</v>
      </c>
      <c r="BF97" s="419">
        <f t="shared" si="111"/>
        <v>0</v>
      </c>
      <c r="BG97" s="419">
        <f t="shared" si="112"/>
        <v>0</v>
      </c>
      <c r="BH97" s="421">
        <f t="shared" si="113"/>
        <v>0</v>
      </c>
      <c r="BI97" s="780">
        <f>I97+AW97</f>
        <v>999681</v>
      </c>
      <c r="BJ97" s="418">
        <f>J97+AF97</f>
        <v>741603</v>
      </c>
      <c r="BK97" s="418">
        <f t="shared" si="157"/>
        <v>741603</v>
      </c>
      <c r="BL97" s="418">
        <f t="shared" si="157"/>
        <v>0</v>
      </c>
      <c r="BM97" s="418">
        <f>M97+AN97</f>
        <v>0</v>
      </c>
      <c r="BN97" s="418">
        <f t="shared" si="158"/>
        <v>0</v>
      </c>
      <c r="BO97" s="418">
        <f t="shared" si="158"/>
        <v>0</v>
      </c>
      <c r="BP97" s="418">
        <f t="shared" si="159"/>
        <v>250662</v>
      </c>
      <c r="BQ97" s="418">
        <f t="shared" si="159"/>
        <v>7416</v>
      </c>
      <c r="BR97" s="418">
        <f>R97+AV97</f>
        <v>0</v>
      </c>
      <c r="BS97" s="419">
        <f>S97+BH97</f>
        <v>2</v>
      </c>
      <c r="BT97" s="419">
        <f t="shared" si="160"/>
        <v>2</v>
      </c>
      <c r="BU97" s="421">
        <f t="shared" si="160"/>
        <v>0</v>
      </c>
      <c r="BV97" s="420"/>
      <c r="BW97" s="415"/>
      <c r="BX97" s="415"/>
      <c r="BY97" s="415"/>
      <c r="BZ97" s="415"/>
      <c r="CA97" s="510"/>
    </row>
    <row r="98" spans="1:79" ht="14.1" customHeight="1" x14ac:dyDescent="0.2">
      <c r="A98" s="66">
        <v>23</v>
      </c>
      <c r="B98" s="63">
        <v>2429</v>
      </c>
      <c r="C98" s="64">
        <v>600079244</v>
      </c>
      <c r="D98" s="63">
        <v>72741708</v>
      </c>
      <c r="E98" s="65" t="s">
        <v>578</v>
      </c>
      <c r="F98" s="66">
        <v>3141</v>
      </c>
      <c r="G98" s="65" t="s">
        <v>294</v>
      </c>
      <c r="H98" s="67" t="s">
        <v>272</v>
      </c>
      <c r="I98" s="420">
        <v>698475</v>
      </c>
      <c r="J98" s="415">
        <v>515794</v>
      </c>
      <c r="K98" s="415">
        <v>0</v>
      </c>
      <c r="L98" s="750">
        <v>515794</v>
      </c>
      <c r="M98" s="415">
        <v>0</v>
      </c>
      <c r="N98" s="204">
        <v>0</v>
      </c>
      <c r="O98" s="204">
        <v>0</v>
      </c>
      <c r="P98" s="599">
        <v>174338</v>
      </c>
      <c r="Q98" s="599">
        <v>5158</v>
      </c>
      <c r="R98" s="605">
        <v>3185</v>
      </c>
      <c r="S98" s="416">
        <v>1.5467</v>
      </c>
      <c r="T98" s="607">
        <v>0</v>
      </c>
      <c r="U98" s="737">
        <v>1.5467</v>
      </c>
      <c r="V98" s="424">
        <f t="shared" si="98"/>
        <v>0</v>
      </c>
      <c r="W98" s="418">
        <f t="shared" si="99"/>
        <v>0</v>
      </c>
      <c r="X98" s="418">
        <v>0</v>
      </c>
      <c r="Y98" s="418">
        <v>0</v>
      </c>
      <c r="Z98" s="418">
        <v>0</v>
      </c>
      <c r="AA98" s="418">
        <v>256526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256526</v>
      </c>
      <c r="AF98" s="418">
        <f t="shared" si="100"/>
        <v>256526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01"/>
        <v>0</v>
      </c>
      <c r="AM98" s="418">
        <f t="shared" si="102"/>
        <v>0</v>
      </c>
      <c r="AN98" s="418">
        <f t="shared" si="103"/>
        <v>0</v>
      </c>
      <c r="AO98" s="418">
        <f t="shared" si="104"/>
        <v>0</v>
      </c>
      <c r="AP98" s="418">
        <f t="shared" si="105"/>
        <v>256526</v>
      </c>
      <c r="AQ98" s="418">
        <f t="shared" si="106"/>
        <v>256526</v>
      </c>
      <c r="AR98" s="68">
        <f t="shared" si="107"/>
        <v>86706</v>
      </c>
      <c r="AS98" s="68">
        <f t="shared" si="108"/>
        <v>2565</v>
      </c>
      <c r="AT98" s="418">
        <v>0</v>
      </c>
      <c r="AU98" s="418">
        <v>1547</v>
      </c>
      <c r="AV98" s="418">
        <f t="shared" si="109"/>
        <v>1547</v>
      </c>
      <c r="AW98" s="418">
        <f t="shared" si="110"/>
        <v>347344</v>
      </c>
      <c r="AX98" s="419">
        <v>0</v>
      </c>
      <c r="AY98" s="419">
        <v>0</v>
      </c>
      <c r="AZ98" s="419">
        <v>0</v>
      </c>
      <c r="BA98" s="419">
        <v>0</v>
      </c>
      <c r="BB98" s="419">
        <v>0.77</v>
      </c>
      <c r="BC98" s="419">
        <v>0</v>
      </c>
      <c r="BD98" s="419">
        <v>0</v>
      </c>
      <c r="BE98" s="419">
        <v>0</v>
      </c>
      <c r="BF98" s="419">
        <f t="shared" si="111"/>
        <v>0</v>
      </c>
      <c r="BG98" s="419">
        <f t="shared" si="112"/>
        <v>0.77</v>
      </c>
      <c r="BH98" s="421">
        <f t="shared" si="113"/>
        <v>0.77</v>
      </c>
      <c r="BI98" s="780">
        <f>I98+AW98</f>
        <v>1045819</v>
      </c>
      <c r="BJ98" s="418">
        <f>J98+AF98</f>
        <v>772320</v>
      </c>
      <c r="BK98" s="418">
        <f t="shared" si="157"/>
        <v>0</v>
      </c>
      <c r="BL98" s="418">
        <f t="shared" si="157"/>
        <v>772320</v>
      </c>
      <c r="BM98" s="418">
        <f>M98+AN98</f>
        <v>0</v>
      </c>
      <c r="BN98" s="418">
        <f t="shared" si="158"/>
        <v>0</v>
      </c>
      <c r="BO98" s="418">
        <f t="shared" si="158"/>
        <v>0</v>
      </c>
      <c r="BP98" s="418">
        <f t="shared" si="159"/>
        <v>261044</v>
      </c>
      <c r="BQ98" s="418">
        <f t="shared" si="159"/>
        <v>7723</v>
      </c>
      <c r="BR98" s="418">
        <f>R98+AV98</f>
        <v>4732</v>
      </c>
      <c r="BS98" s="419">
        <f>S98+BH98</f>
        <v>2.3167</v>
      </c>
      <c r="BT98" s="419">
        <f t="shared" si="160"/>
        <v>0</v>
      </c>
      <c r="BU98" s="421">
        <f t="shared" si="160"/>
        <v>2.3167</v>
      </c>
      <c r="BV98" s="420"/>
      <c r="BW98" s="415"/>
      <c r="BX98" s="415"/>
      <c r="BY98" s="415"/>
      <c r="BZ98" s="415"/>
      <c r="CA98" s="510"/>
    </row>
    <row r="99" spans="1:79" ht="13.5" customHeight="1" x14ac:dyDescent="0.2">
      <c r="A99" s="72">
        <v>23</v>
      </c>
      <c r="B99" s="69">
        <v>2429</v>
      </c>
      <c r="C99" s="70">
        <v>600079244</v>
      </c>
      <c r="D99" s="69">
        <v>72741708</v>
      </c>
      <c r="E99" s="71" t="s">
        <v>579</v>
      </c>
      <c r="F99" s="72"/>
      <c r="G99" s="71"/>
      <c r="H99" s="73"/>
      <c r="I99" s="517">
        <v>9057480</v>
      </c>
      <c r="J99" s="74">
        <v>6699208</v>
      </c>
      <c r="K99" s="74">
        <v>5713212</v>
      </c>
      <c r="L99" s="74">
        <v>985996</v>
      </c>
      <c r="M99" s="74">
        <v>0</v>
      </c>
      <c r="N99" s="74">
        <v>0</v>
      </c>
      <c r="O99" s="74">
        <v>0</v>
      </c>
      <c r="P99" s="74">
        <v>2264332</v>
      </c>
      <c r="Q99" s="74">
        <v>66992</v>
      </c>
      <c r="R99" s="74">
        <v>26948</v>
      </c>
      <c r="S99" s="75">
        <v>13.598399999999998</v>
      </c>
      <c r="T99" s="75">
        <v>10.451599999999999</v>
      </c>
      <c r="U99" s="658">
        <v>3.1467999999999998</v>
      </c>
      <c r="V99" s="517">
        <f t="shared" ref="V99:BU99" si="161">SUM(V96:V98)</f>
        <v>0</v>
      </c>
      <c r="W99" s="74">
        <f t="shared" si="161"/>
        <v>0</v>
      </c>
      <c r="X99" s="74">
        <f t="shared" si="161"/>
        <v>0</v>
      </c>
      <c r="Y99" s="74">
        <f t="shared" si="161"/>
        <v>0</v>
      </c>
      <c r="Z99" s="74">
        <f t="shared" si="161"/>
        <v>0</v>
      </c>
      <c r="AA99" s="74">
        <f t="shared" si="161"/>
        <v>256526</v>
      </c>
      <c r="AB99" s="74">
        <f t="shared" si="161"/>
        <v>0</v>
      </c>
      <c r="AC99" s="74">
        <f t="shared" si="161"/>
        <v>0</v>
      </c>
      <c r="AD99" s="74">
        <f t="shared" si="161"/>
        <v>0</v>
      </c>
      <c r="AE99" s="74">
        <f t="shared" si="161"/>
        <v>256526</v>
      </c>
      <c r="AF99" s="74">
        <f t="shared" si="161"/>
        <v>256526</v>
      </c>
      <c r="AG99" s="74">
        <f t="shared" si="161"/>
        <v>0</v>
      </c>
      <c r="AH99" s="74">
        <f t="shared" si="161"/>
        <v>0</v>
      </c>
      <c r="AI99" s="74">
        <f t="shared" si="161"/>
        <v>0</v>
      </c>
      <c r="AJ99" s="74">
        <f t="shared" si="161"/>
        <v>0</v>
      </c>
      <c r="AK99" s="74">
        <f t="shared" si="161"/>
        <v>0</v>
      </c>
      <c r="AL99" s="74">
        <f t="shared" si="161"/>
        <v>0</v>
      </c>
      <c r="AM99" s="74">
        <f t="shared" si="161"/>
        <v>0</v>
      </c>
      <c r="AN99" s="74">
        <f t="shared" si="161"/>
        <v>0</v>
      </c>
      <c r="AO99" s="74">
        <f t="shared" si="161"/>
        <v>0</v>
      </c>
      <c r="AP99" s="74">
        <f t="shared" si="161"/>
        <v>256526</v>
      </c>
      <c r="AQ99" s="74">
        <f t="shared" si="161"/>
        <v>256526</v>
      </c>
      <c r="AR99" s="74">
        <f t="shared" si="161"/>
        <v>86706</v>
      </c>
      <c r="AS99" s="74">
        <f t="shared" si="161"/>
        <v>2565</v>
      </c>
      <c r="AT99" s="74">
        <f t="shared" si="161"/>
        <v>0</v>
      </c>
      <c r="AU99" s="74">
        <f t="shared" si="161"/>
        <v>1547</v>
      </c>
      <c r="AV99" s="74">
        <f t="shared" si="161"/>
        <v>1547</v>
      </c>
      <c r="AW99" s="74">
        <f t="shared" si="161"/>
        <v>347344</v>
      </c>
      <c r="AX99" s="75">
        <f t="shared" si="161"/>
        <v>0</v>
      </c>
      <c r="AY99" s="75">
        <f t="shared" si="161"/>
        <v>0</v>
      </c>
      <c r="AZ99" s="75">
        <f t="shared" si="161"/>
        <v>0</v>
      </c>
      <c r="BA99" s="75">
        <f t="shared" si="161"/>
        <v>0</v>
      </c>
      <c r="BB99" s="75">
        <f t="shared" si="161"/>
        <v>0.77</v>
      </c>
      <c r="BC99" s="75">
        <f t="shared" si="161"/>
        <v>0</v>
      </c>
      <c r="BD99" s="75">
        <f t="shared" si="161"/>
        <v>0</v>
      </c>
      <c r="BE99" s="75">
        <f t="shared" si="161"/>
        <v>0</v>
      </c>
      <c r="BF99" s="75">
        <f t="shared" si="161"/>
        <v>0</v>
      </c>
      <c r="BG99" s="75">
        <f t="shared" si="161"/>
        <v>0.77</v>
      </c>
      <c r="BH99" s="76">
        <f t="shared" si="161"/>
        <v>0.77</v>
      </c>
      <c r="BI99" s="799">
        <f t="shared" si="161"/>
        <v>9404824</v>
      </c>
      <c r="BJ99" s="74">
        <f t="shared" si="161"/>
        <v>6955734</v>
      </c>
      <c r="BK99" s="74">
        <f t="shared" si="161"/>
        <v>5713212</v>
      </c>
      <c r="BL99" s="74">
        <f t="shared" si="161"/>
        <v>1242522</v>
      </c>
      <c r="BM99" s="74">
        <f t="shared" si="161"/>
        <v>0</v>
      </c>
      <c r="BN99" s="74">
        <f t="shared" si="161"/>
        <v>0</v>
      </c>
      <c r="BO99" s="74">
        <f t="shared" si="161"/>
        <v>0</v>
      </c>
      <c r="BP99" s="74">
        <f t="shared" si="161"/>
        <v>2351038</v>
      </c>
      <c r="BQ99" s="74">
        <f t="shared" si="161"/>
        <v>69557</v>
      </c>
      <c r="BR99" s="74">
        <f t="shared" si="161"/>
        <v>28495</v>
      </c>
      <c r="BS99" s="75">
        <f t="shared" si="161"/>
        <v>14.368399999999998</v>
      </c>
      <c r="BT99" s="75">
        <f t="shared" si="161"/>
        <v>10.451599999999999</v>
      </c>
      <c r="BU99" s="76">
        <f t="shared" si="161"/>
        <v>3.9167999999999998</v>
      </c>
      <c r="BV99" s="809">
        <f t="shared" ref="BV99:CA99" si="162">SUM(BV96:BV98)</f>
        <v>0</v>
      </c>
      <c r="BW99" s="684">
        <f t="shared" si="162"/>
        <v>0</v>
      </c>
      <c r="BX99" s="684">
        <f t="shared" si="162"/>
        <v>0</v>
      </c>
      <c r="BY99" s="684">
        <f t="shared" si="162"/>
        <v>0</v>
      </c>
      <c r="BZ99" s="684">
        <f t="shared" si="162"/>
        <v>0</v>
      </c>
      <c r="CA99" s="810">
        <f t="shared" si="162"/>
        <v>0</v>
      </c>
    </row>
    <row r="100" spans="1:79" ht="14.1" customHeight="1" x14ac:dyDescent="0.2">
      <c r="A100" s="66">
        <v>24</v>
      </c>
      <c r="B100" s="63">
        <v>2412</v>
      </c>
      <c r="C100" s="64">
        <v>600079252</v>
      </c>
      <c r="D100" s="63">
        <v>72742429</v>
      </c>
      <c r="E100" s="65" t="s">
        <v>580</v>
      </c>
      <c r="F100" s="66">
        <v>3111</v>
      </c>
      <c r="G100" s="65" t="s">
        <v>290</v>
      </c>
      <c r="H100" s="67" t="s">
        <v>271</v>
      </c>
      <c r="I100" s="420">
        <v>12202059</v>
      </c>
      <c r="J100" s="415">
        <v>9013713</v>
      </c>
      <c r="K100" s="415">
        <v>8209930</v>
      </c>
      <c r="L100" s="415">
        <v>803783</v>
      </c>
      <c r="M100" s="415">
        <v>8320</v>
      </c>
      <c r="N100" s="415">
        <v>0</v>
      </c>
      <c r="O100" s="415">
        <v>8320</v>
      </c>
      <c r="P100" s="599">
        <v>3049447</v>
      </c>
      <c r="Q100" s="599">
        <v>90136</v>
      </c>
      <c r="R100" s="415">
        <v>40443</v>
      </c>
      <c r="S100" s="416">
        <v>17.620900000000002</v>
      </c>
      <c r="T100" s="416">
        <v>14.870900000000001</v>
      </c>
      <c r="U100" s="423">
        <v>2.7500000000000004</v>
      </c>
      <c r="V100" s="424">
        <f t="shared" si="98"/>
        <v>0</v>
      </c>
      <c r="W100" s="418">
        <f t="shared" si="99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 t="shared" si="100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101"/>
        <v>0</v>
      </c>
      <c r="AM100" s="418">
        <f t="shared" si="102"/>
        <v>0</v>
      </c>
      <c r="AN100" s="418">
        <f t="shared" si="103"/>
        <v>0</v>
      </c>
      <c r="AO100" s="418">
        <f t="shared" si="104"/>
        <v>0</v>
      </c>
      <c r="AP100" s="418">
        <f t="shared" si="105"/>
        <v>0</v>
      </c>
      <c r="AQ100" s="418">
        <f t="shared" si="106"/>
        <v>0</v>
      </c>
      <c r="AR100" s="68">
        <f t="shared" si="107"/>
        <v>0</v>
      </c>
      <c r="AS100" s="68">
        <f t="shared" si="108"/>
        <v>0</v>
      </c>
      <c r="AT100" s="418">
        <v>0</v>
      </c>
      <c r="AU100" s="418">
        <v>0</v>
      </c>
      <c r="AV100" s="418">
        <f t="shared" si="109"/>
        <v>0</v>
      </c>
      <c r="AW100" s="418">
        <f t="shared" si="110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 t="shared" si="111"/>
        <v>0</v>
      </c>
      <c r="BG100" s="419">
        <f t="shared" si="112"/>
        <v>0</v>
      </c>
      <c r="BH100" s="421">
        <f t="shared" si="113"/>
        <v>0</v>
      </c>
      <c r="BI100" s="780">
        <f>I100+AW100</f>
        <v>12202059</v>
      </c>
      <c r="BJ100" s="418">
        <f>J100+AF100</f>
        <v>9013713</v>
      </c>
      <c r="BK100" s="418">
        <f t="shared" ref="BK100:BL102" si="163">K100+AD100</f>
        <v>8209930</v>
      </c>
      <c r="BL100" s="418">
        <f t="shared" si="163"/>
        <v>803783</v>
      </c>
      <c r="BM100" s="418">
        <f>M100+AN100</f>
        <v>8320</v>
      </c>
      <c r="BN100" s="418">
        <f t="shared" ref="BN100:BO102" si="164">N100+AL100</f>
        <v>0</v>
      </c>
      <c r="BO100" s="418">
        <f t="shared" si="164"/>
        <v>8320</v>
      </c>
      <c r="BP100" s="418">
        <f t="shared" ref="BP100:BQ102" si="165">P100+AR100</f>
        <v>3049447</v>
      </c>
      <c r="BQ100" s="418">
        <f t="shared" si="165"/>
        <v>90136</v>
      </c>
      <c r="BR100" s="418">
        <f>R100+AV100</f>
        <v>40443</v>
      </c>
      <c r="BS100" s="419">
        <f>S100+BH100</f>
        <v>17.620900000000002</v>
      </c>
      <c r="BT100" s="419">
        <f t="shared" ref="BT100:BU102" si="166">T100+BF100</f>
        <v>14.870900000000001</v>
      </c>
      <c r="BU100" s="421">
        <f t="shared" si="166"/>
        <v>2.7500000000000004</v>
      </c>
      <c r="BV100" s="420"/>
      <c r="BW100" s="415"/>
      <c r="BX100" s="415"/>
      <c r="BY100" s="415"/>
      <c r="BZ100" s="415"/>
      <c r="CA100" s="510"/>
    </row>
    <row r="101" spans="1:79" ht="14.1" customHeight="1" x14ac:dyDescent="0.2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580</v>
      </c>
      <c r="F101" s="66">
        <v>3111</v>
      </c>
      <c r="G101" s="77" t="s">
        <v>291</v>
      </c>
      <c r="H101" s="67" t="s">
        <v>272</v>
      </c>
      <c r="I101" s="420">
        <v>1432642</v>
      </c>
      <c r="J101" s="415">
        <v>1030028</v>
      </c>
      <c r="K101" s="415">
        <v>1030028</v>
      </c>
      <c r="L101" s="415">
        <v>0</v>
      </c>
      <c r="M101" s="415">
        <v>33008</v>
      </c>
      <c r="N101" s="415">
        <v>33008</v>
      </c>
      <c r="O101" s="415">
        <v>0</v>
      </c>
      <c r="P101" s="599">
        <v>359306</v>
      </c>
      <c r="Q101" s="599">
        <v>10300</v>
      </c>
      <c r="R101" s="415">
        <v>0</v>
      </c>
      <c r="S101" s="416">
        <v>3.04</v>
      </c>
      <c r="T101" s="417">
        <v>3.04</v>
      </c>
      <c r="U101" s="423">
        <v>0</v>
      </c>
      <c r="V101" s="424">
        <f t="shared" si="98"/>
        <v>0</v>
      </c>
      <c r="W101" s="418">
        <f t="shared" si="99"/>
        <v>0</v>
      </c>
      <c r="X101" s="418">
        <v>-20630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>V101+X101+Y101+Z101+AB101</f>
        <v>-20630</v>
      </c>
      <c r="AE101" s="418">
        <f>W101+AA101+AC101</f>
        <v>0</v>
      </c>
      <c r="AF101" s="418">
        <f t="shared" si="100"/>
        <v>-20630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101"/>
        <v>0</v>
      </c>
      <c r="AM101" s="418">
        <f t="shared" si="102"/>
        <v>0</v>
      </c>
      <c r="AN101" s="418">
        <f t="shared" si="103"/>
        <v>0</v>
      </c>
      <c r="AO101" s="418">
        <f t="shared" si="104"/>
        <v>-20630</v>
      </c>
      <c r="AP101" s="418">
        <f t="shared" si="105"/>
        <v>0</v>
      </c>
      <c r="AQ101" s="418">
        <f t="shared" si="106"/>
        <v>-20630</v>
      </c>
      <c r="AR101" s="68">
        <f t="shared" si="107"/>
        <v>-6973</v>
      </c>
      <c r="AS101" s="68">
        <f t="shared" si="108"/>
        <v>-206</v>
      </c>
      <c r="AT101" s="418">
        <v>1500</v>
      </c>
      <c r="AU101" s="418">
        <v>0</v>
      </c>
      <c r="AV101" s="418">
        <f t="shared" si="109"/>
        <v>1500</v>
      </c>
      <c r="AW101" s="418">
        <f t="shared" si="110"/>
        <v>-26309</v>
      </c>
      <c r="AX101" s="419">
        <v>0</v>
      </c>
      <c r="AY101" s="419">
        <v>0</v>
      </c>
      <c r="AZ101" s="419">
        <v>-0.04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si="111"/>
        <v>-0.04</v>
      </c>
      <c r="BG101" s="419">
        <f t="shared" si="112"/>
        <v>0</v>
      </c>
      <c r="BH101" s="421">
        <f t="shared" si="113"/>
        <v>-0.04</v>
      </c>
      <c r="BI101" s="780">
        <f>I101+AW101</f>
        <v>1406333</v>
      </c>
      <c r="BJ101" s="418">
        <f>J101+AF101</f>
        <v>1009398</v>
      </c>
      <c r="BK101" s="418">
        <f t="shared" si="163"/>
        <v>1009398</v>
      </c>
      <c r="BL101" s="418">
        <f t="shared" si="163"/>
        <v>0</v>
      </c>
      <c r="BM101" s="418">
        <f>M101+AN101</f>
        <v>33008</v>
      </c>
      <c r="BN101" s="418">
        <f t="shared" si="164"/>
        <v>33008</v>
      </c>
      <c r="BO101" s="418">
        <f t="shared" si="164"/>
        <v>0</v>
      </c>
      <c r="BP101" s="418">
        <f t="shared" si="165"/>
        <v>352333</v>
      </c>
      <c r="BQ101" s="418">
        <f t="shared" si="165"/>
        <v>10094</v>
      </c>
      <c r="BR101" s="418">
        <f>R101+AV101</f>
        <v>1500</v>
      </c>
      <c r="BS101" s="419">
        <f>S101+BH101</f>
        <v>3</v>
      </c>
      <c r="BT101" s="419">
        <f t="shared" si="166"/>
        <v>3</v>
      </c>
      <c r="BU101" s="421">
        <f t="shared" si="166"/>
        <v>0</v>
      </c>
      <c r="BV101" s="420"/>
      <c r="BW101" s="415"/>
      <c r="BX101" s="415"/>
      <c r="BY101" s="415"/>
      <c r="BZ101" s="415"/>
      <c r="CA101" s="510"/>
    </row>
    <row r="102" spans="1:79" ht="14.1" customHeight="1" x14ac:dyDescent="0.2">
      <c r="A102" s="66">
        <v>24</v>
      </c>
      <c r="B102" s="63">
        <v>2412</v>
      </c>
      <c r="C102" s="64">
        <v>600079252</v>
      </c>
      <c r="D102" s="63">
        <v>72742429</v>
      </c>
      <c r="E102" s="65" t="s">
        <v>580</v>
      </c>
      <c r="F102" s="66">
        <v>3141</v>
      </c>
      <c r="G102" s="65" t="s">
        <v>294</v>
      </c>
      <c r="H102" s="67" t="s">
        <v>272</v>
      </c>
      <c r="I102" s="420">
        <v>1074399</v>
      </c>
      <c r="J102" s="415">
        <v>793682</v>
      </c>
      <c r="K102" s="415">
        <v>0</v>
      </c>
      <c r="L102" s="750">
        <v>793682</v>
      </c>
      <c r="M102" s="415">
        <v>0</v>
      </c>
      <c r="N102" s="204">
        <v>0</v>
      </c>
      <c r="O102" s="204">
        <v>0</v>
      </c>
      <c r="P102" s="599">
        <v>268265</v>
      </c>
      <c r="Q102" s="599">
        <v>7937</v>
      </c>
      <c r="R102" s="605">
        <v>4515</v>
      </c>
      <c r="S102" s="416">
        <v>2.38</v>
      </c>
      <c r="T102" s="607">
        <v>0</v>
      </c>
      <c r="U102" s="737">
        <v>2.38</v>
      </c>
      <c r="V102" s="424">
        <f t="shared" si="98"/>
        <v>0</v>
      </c>
      <c r="W102" s="418">
        <f t="shared" si="99"/>
        <v>0</v>
      </c>
      <c r="X102" s="418">
        <v>0</v>
      </c>
      <c r="Y102" s="418">
        <v>0</v>
      </c>
      <c r="Z102" s="418">
        <v>0</v>
      </c>
      <c r="AA102" s="418">
        <v>397316</v>
      </c>
      <c r="AB102" s="418">
        <v>0</v>
      </c>
      <c r="AC102" s="418">
        <v>0</v>
      </c>
      <c r="AD102" s="418">
        <f>V102+X102+Y102+Z102+AB102</f>
        <v>0</v>
      </c>
      <c r="AE102" s="418">
        <f>W102+AA102+AC102</f>
        <v>397316</v>
      </c>
      <c r="AF102" s="418">
        <f t="shared" si="100"/>
        <v>397316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101"/>
        <v>0</v>
      </c>
      <c r="AM102" s="418">
        <f t="shared" si="102"/>
        <v>0</v>
      </c>
      <c r="AN102" s="418">
        <f t="shared" si="103"/>
        <v>0</v>
      </c>
      <c r="AO102" s="418">
        <f t="shared" si="104"/>
        <v>0</v>
      </c>
      <c r="AP102" s="418">
        <f t="shared" si="105"/>
        <v>397316</v>
      </c>
      <c r="AQ102" s="418">
        <f t="shared" si="106"/>
        <v>397316</v>
      </c>
      <c r="AR102" s="68">
        <f t="shared" si="107"/>
        <v>134293</v>
      </c>
      <c r="AS102" s="68">
        <f t="shared" si="108"/>
        <v>3973</v>
      </c>
      <c r="AT102" s="418">
        <v>0</v>
      </c>
      <c r="AU102" s="418">
        <v>2193</v>
      </c>
      <c r="AV102" s="418">
        <f t="shared" si="109"/>
        <v>2193</v>
      </c>
      <c r="AW102" s="418">
        <f t="shared" si="110"/>
        <v>537775</v>
      </c>
      <c r="AX102" s="419">
        <v>0</v>
      </c>
      <c r="AY102" s="419">
        <v>0</v>
      </c>
      <c r="AZ102" s="419">
        <v>0</v>
      </c>
      <c r="BA102" s="419">
        <v>0</v>
      </c>
      <c r="BB102" s="419">
        <v>1.19</v>
      </c>
      <c r="BC102" s="419">
        <v>0</v>
      </c>
      <c r="BD102" s="419">
        <v>0</v>
      </c>
      <c r="BE102" s="419">
        <v>0</v>
      </c>
      <c r="BF102" s="419">
        <f t="shared" si="111"/>
        <v>0</v>
      </c>
      <c r="BG102" s="419">
        <f t="shared" si="112"/>
        <v>1.19</v>
      </c>
      <c r="BH102" s="421">
        <f t="shared" si="113"/>
        <v>1.19</v>
      </c>
      <c r="BI102" s="780">
        <f>I102+AW102</f>
        <v>1612174</v>
      </c>
      <c r="BJ102" s="418">
        <f>J102+AF102</f>
        <v>1190998</v>
      </c>
      <c r="BK102" s="418">
        <f t="shared" si="163"/>
        <v>0</v>
      </c>
      <c r="BL102" s="418">
        <f t="shared" si="163"/>
        <v>1190998</v>
      </c>
      <c r="BM102" s="418">
        <f>M102+AN102</f>
        <v>0</v>
      </c>
      <c r="BN102" s="418">
        <f t="shared" si="164"/>
        <v>0</v>
      </c>
      <c r="BO102" s="418">
        <f t="shared" si="164"/>
        <v>0</v>
      </c>
      <c r="BP102" s="418">
        <f t="shared" si="165"/>
        <v>402558</v>
      </c>
      <c r="BQ102" s="418">
        <f t="shared" si="165"/>
        <v>11910</v>
      </c>
      <c r="BR102" s="418">
        <f>R102+AV102</f>
        <v>6708</v>
      </c>
      <c r="BS102" s="419">
        <f>S102+BH102</f>
        <v>3.57</v>
      </c>
      <c r="BT102" s="419">
        <f t="shared" si="166"/>
        <v>0</v>
      </c>
      <c r="BU102" s="421">
        <f t="shared" si="166"/>
        <v>3.57</v>
      </c>
      <c r="BV102" s="420"/>
      <c r="BW102" s="415"/>
      <c r="BX102" s="415"/>
      <c r="BY102" s="415"/>
      <c r="BZ102" s="415"/>
      <c r="CA102" s="510"/>
    </row>
    <row r="103" spans="1:79" ht="13.5" customHeight="1" x14ac:dyDescent="0.2">
      <c r="A103" s="72">
        <v>24</v>
      </c>
      <c r="B103" s="69">
        <v>2412</v>
      </c>
      <c r="C103" s="70">
        <v>600079252</v>
      </c>
      <c r="D103" s="69">
        <v>72742429</v>
      </c>
      <c r="E103" s="71" t="s">
        <v>581</v>
      </c>
      <c r="F103" s="72"/>
      <c r="G103" s="71"/>
      <c r="H103" s="73"/>
      <c r="I103" s="517">
        <v>14709100</v>
      </c>
      <c r="J103" s="74">
        <v>10837423</v>
      </c>
      <c r="K103" s="74">
        <v>9239958</v>
      </c>
      <c r="L103" s="74">
        <v>1597465</v>
      </c>
      <c r="M103" s="74">
        <v>41328</v>
      </c>
      <c r="N103" s="74">
        <v>33008</v>
      </c>
      <c r="O103" s="74">
        <v>8320</v>
      </c>
      <c r="P103" s="74">
        <v>3677018</v>
      </c>
      <c r="Q103" s="74">
        <v>108373</v>
      </c>
      <c r="R103" s="74">
        <v>44958</v>
      </c>
      <c r="S103" s="75">
        <v>23.040900000000001</v>
      </c>
      <c r="T103" s="75">
        <v>17.910900000000002</v>
      </c>
      <c r="U103" s="658">
        <v>5.1300000000000008</v>
      </c>
      <c r="V103" s="517">
        <f t="shared" ref="V103:BU103" si="167">SUM(V100:V102)</f>
        <v>0</v>
      </c>
      <c r="W103" s="74">
        <f t="shared" si="167"/>
        <v>0</v>
      </c>
      <c r="X103" s="74">
        <f t="shared" si="167"/>
        <v>-20630</v>
      </c>
      <c r="Y103" s="74">
        <f t="shared" si="167"/>
        <v>0</v>
      </c>
      <c r="Z103" s="74">
        <f t="shared" si="167"/>
        <v>0</v>
      </c>
      <c r="AA103" s="74">
        <f t="shared" si="167"/>
        <v>397316</v>
      </c>
      <c r="AB103" s="74">
        <f t="shared" si="167"/>
        <v>0</v>
      </c>
      <c r="AC103" s="74">
        <f t="shared" si="167"/>
        <v>0</v>
      </c>
      <c r="AD103" s="74">
        <f t="shared" si="167"/>
        <v>-20630</v>
      </c>
      <c r="AE103" s="74">
        <f t="shared" si="167"/>
        <v>397316</v>
      </c>
      <c r="AF103" s="74">
        <f t="shared" si="167"/>
        <v>376686</v>
      </c>
      <c r="AG103" s="74">
        <f t="shared" si="167"/>
        <v>0</v>
      </c>
      <c r="AH103" s="74">
        <f t="shared" si="167"/>
        <v>0</v>
      </c>
      <c r="AI103" s="74">
        <f t="shared" si="167"/>
        <v>0</v>
      </c>
      <c r="AJ103" s="74">
        <f t="shared" si="167"/>
        <v>0</v>
      </c>
      <c r="AK103" s="74">
        <f t="shared" si="167"/>
        <v>0</v>
      </c>
      <c r="AL103" s="74">
        <f t="shared" si="167"/>
        <v>0</v>
      </c>
      <c r="AM103" s="74">
        <f t="shared" si="167"/>
        <v>0</v>
      </c>
      <c r="AN103" s="74">
        <f t="shared" si="167"/>
        <v>0</v>
      </c>
      <c r="AO103" s="74">
        <f t="shared" si="167"/>
        <v>-20630</v>
      </c>
      <c r="AP103" s="74">
        <f t="shared" si="167"/>
        <v>397316</v>
      </c>
      <c r="AQ103" s="74">
        <f t="shared" si="167"/>
        <v>376686</v>
      </c>
      <c r="AR103" s="74">
        <f t="shared" si="167"/>
        <v>127320</v>
      </c>
      <c r="AS103" s="74">
        <f t="shared" si="167"/>
        <v>3767</v>
      </c>
      <c r="AT103" s="74">
        <f t="shared" si="167"/>
        <v>1500</v>
      </c>
      <c r="AU103" s="74">
        <f t="shared" si="167"/>
        <v>2193</v>
      </c>
      <c r="AV103" s="74">
        <f t="shared" si="167"/>
        <v>3693</v>
      </c>
      <c r="AW103" s="74">
        <f t="shared" si="167"/>
        <v>511466</v>
      </c>
      <c r="AX103" s="75">
        <f t="shared" si="167"/>
        <v>0</v>
      </c>
      <c r="AY103" s="75">
        <f t="shared" si="167"/>
        <v>0</v>
      </c>
      <c r="AZ103" s="75">
        <f t="shared" si="167"/>
        <v>-0.04</v>
      </c>
      <c r="BA103" s="75">
        <f t="shared" si="167"/>
        <v>0</v>
      </c>
      <c r="BB103" s="75">
        <f t="shared" si="167"/>
        <v>1.19</v>
      </c>
      <c r="BC103" s="75">
        <f t="shared" si="167"/>
        <v>0</v>
      </c>
      <c r="BD103" s="75">
        <f t="shared" si="167"/>
        <v>0</v>
      </c>
      <c r="BE103" s="75">
        <f t="shared" si="167"/>
        <v>0</v>
      </c>
      <c r="BF103" s="75">
        <f t="shared" si="167"/>
        <v>-0.04</v>
      </c>
      <c r="BG103" s="75">
        <f t="shared" si="167"/>
        <v>1.19</v>
      </c>
      <c r="BH103" s="76">
        <f t="shared" si="167"/>
        <v>1.1499999999999999</v>
      </c>
      <c r="BI103" s="799">
        <f t="shared" si="167"/>
        <v>15220566</v>
      </c>
      <c r="BJ103" s="74">
        <f t="shared" si="167"/>
        <v>11214109</v>
      </c>
      <c r="BK103" s="74">
        <f t="shared" si="167"/>
        <v>9219328</v>
      </c>
      <c r="BL103" s="74">
        <f t="shared" si="167"/>
        <v>1994781</v>
      </c>
      <c r="BM103" s="74">
        <f t="shared" si="167"/>
        <v>41328</v>
      </c>
      <c r="BN103" s="74">
        <f t="shared" si="167"/>
        <v>33008</v>
      </c>
      <c r="BO103" s="74">
        <f t="shared" si="167"/>
        <v>8320</v>
      </c>
      <c r="BP103" s="74">
        <f t="shared" si="167"/>
        <v>3804338</v>
      </c>
      <c r="BQ103" s="74">
        <f t="shared" si="167"/>
        <v>112140</v>
      </c>
      <c r="BR103" s="74">
        <f t="shared" si="167"/>
        <v>48651</v>
      </c>
      <c r="BS103" s="75">
        <f t="shared" si="167"/>
        <v>24.190900000000003</v>
      </c>
      <c r="BT103" s="75">
        <f t="shared" si="167"/>
        <v>17.870899999999999</v>
      </c>
      <c r="BU103" s="76">
        <f t="shared" si="167"/>
        <v>6.32</v>
      </c>
      <c r="BV103" s="809">
        <f t="shared" ref="BV103:CA103" si="168">SUM(BV100:BV102)</f>
        <v>0</v>
      </c>
      <c r="BW103" s="684">
        <f t="shared" si="168"/>
        <v>0</v>
      </c>
      <c r="BX103" s="684">
        <f t="shared" si="168"/>
        <v>0</v>
      </c>
      <c r="BY103" s="684">
        <f t="shared" si="168"/>
        <v>0</v>
      </c>
      <c r="BZ103" s="684">
        <f t="shared" si="168"/>
        <v>0</v>
      </c>
      <c r="CA103" s="810">
        <f t="shared" si="168"/>
        <v>0</v>
      </c>
    </row>
    <row r="104" spans="1:79" ht="14.1" customHeight="1" x14ac:dyDescent="0.2">
      <c r="A104" s="66">
        <v>25</v>
      </c>
      <c r="B104" s="63">
        <v>2418</v>
      </c>
      <c r="C104" s="64">
        <v>600079261</v>
      </c>
      <c r="D104" s="63">
        <v>72741783</v>
      </c>
      <c r="E104" s="65" t="s">
        <v>582</v>
      </c>
      <c r="F104" s="66">
        <v>3111</v>
      </c>
      <c r="G104" s="65" t="s">
        <v>290</v>
      </c>
      <c r="H104" s="67" t="s">
        <v>271</v>
      </c>
      <c r="I104" s="420">
        <v>3562519</v>
      </c>
      <c r="J104" s="415">
        <v>2634499</v>
      </c>
      <c r="K104" s="415">
        <v>2399379</v>
      </c>
      <c r="L104" s="415">
        <v>235120</v>
      </c>
      <c r="M104" s="415">
        <v>0</v>
      </c>
      <c r="N104" s="415">
        <v>0</v>
      </c>
      <c r="O104" s="415">
        <v>0</v>
      </c>
      <c r="P104" s="599">
        <v>890461</v>
      </c>
      <c r="Q104" s="599">
        <v>26345</v>
      </c>
      <c r="R104" s="415">
        <v>11214</v>
      </c>
      <c r="S104" s="416">
        <v>4.8001000000000005</v>
      </c>
      <c r="T104" s="416">
        <v>4</v>
      </c>
      <c r="U104" s="423">
        <v>0.80010000000000003</v>
      </c>
      <c r="V104" s="424">
        <f t="shared" si="98"/>
        <v>0</v>
      </c>
      <c r="W104" s="418">
        <f t="shared" si="99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418">
        <f t="shared" si="100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101"/>
        <v>0</v>
      </c>
      <c r="AM104" s="418">
        <f t="shared" si="102"/>
        <v>0</v>
      </c>
      <c r="AN104" s="418">
        <f t="shared" si="103"/>
        <v>0</v>
      </c>
      <c r="AO104" s="418">
        <f t="shared" si="104"/>
        <v>0</v>
      </c>
      <c r="AP104" s="418">
        <f t="shared" si="105"/>
        <v>0</v>
      </c>
      <c r="AQ104" s="418">
        <f t="shared" si="106"/>
        <v>0</v>
      </c>
      <c r="AR104" s="68">
        <f t="shared" si="107"/>
        <v>0</v>
      </c>
      <c r="AS104" s="68">
        <f t="shared" si="108"/>
        <v>0</v>
      </c>
      <c r="AT104" s="418">
        <v>0</v>
      </c>
      <c r="AU104" s="418">
        <v>0</v>
      </c>
      <c r="AV104" s="418">
        <f t="shared" si="109"/>
        <v>0</v>
      </c>
      <c r="AW104" s="418">
        <f t="shared" si="110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 t="shared" si="111"/>
        <v>0</v>
      </c>
      <c r="BG104" s="419">
        <f t="shared" si="112"/>
        <v>0</v>
      </c>
      <c r="BH104" s="421">
        <f t="shared" si="113"/>
        <v>0</v>
      </c>
      <c r="BI104" s="780">
        <f>I104+AW104</f>
        <v>3562519</v>
      </c>
      <c r="BJ104" s="418">
        <f>J104+AF104</f>
        <v>2634499</v>
      </c>
      <c r="BK104" s="418">
        <f>K104+AD104</f>
        <v>2399379</v>
      </c>
      <c r="BL104" s="418">
        <f>L104+AE104</f>
        <v>235120</v>
      </c>
      <c r="BM104" s="418">
        <f>M104+AN104</f>
        <v>0</v>
      </c>
      <c r="BN104" s="418">
        <f>N104+AL104</f>
        <v>0</v>
      </c>
      <c r="BO104" s="418">
        <f>O104+AM104</f>
        <v>0</v>
      </c>
      <c r="BP104" s="418">
        <f>P104+AR104</f>
        <v>890461</v>
      </c>
      <c r="BQ104" s="418">
        <f>Q104+AS104</f>
        <v>26345</v>
      </c>
      <c r="BR104" s="418">
        <f>R104+AV104</f>
        <v>11214</v>
      </c>
      <c r="BS104" s="419">
        <f>S104+BH104</f>
        <v>4.8001000000000005</v>
      </c>
      <c r="BT104" s="419">
        <f>T104+BF104</f>
        <v>4</v>
      </c>
      <c r="BU104" s="421">
        <f>U104+BG104</f>
        <v>0.80010000000000003</v>
      </c>
      <c r="BV104" s="420"/>
      <c r="BW104" s="415"/>
      <c r="BX104" s="415"/>
      <c r="BY104" s="415"/>
      <c r="BZ104" s="415"/>
      <c r="CA104" s="510"/>
    </row>
    <row r="105" spans="1:79" ht="14.1" customHeight="1" x14ac:dyDescent="0.2">
      <c r="A105" s="66">
        <v>25</v>
      </c>
      <c r="B105" s="63">
        <v>2418</v>
      </c>
      <c r="C105" s="64">
        <v>600079261</v>
      </c>
      <c r="D105" s="63">
        <v>72741783</v>
      </c>
      <c r="E105" s="65" t="s">
        <v>582</v>
      </c>
      <c r="F105" s="66">
        <v>3141</v>
      </c>
      <c r="G105" s="65" t="s">
        <v>294</v>
      </c>
      <c r="H105" s="67" t="s">
        <v>272</v>
      </c>
      <c r="I105" s="420">
        <v>403002</v>
      </c>
      <c r="J105" s="415">
        <v>297898</v>
      </c>
      <c r="K105" s="415">
        <v>0</v>
      </c>
      <c r="L105" s="750">
        <v>297898</v>
      </c>
      <c r="M105" s="415">
        <v>0</v>
      </c>
      <c r="N105" s="204">
        <v>0</v>
      </c>
      <c r="O105" s="204">
        <v>0</v>
      </c>
      <c r="P105" s="599">
        <v>100690</v>
      </c>
      <c r="Q105" s="599">
        <v>2979</v>
      </c>
      <c r="R105" s="605">
        <v>1435</v>
      </c>
      <c r="S105" s="416">
        <v>0.89329999999999998</v>
      </c>
      <c r="T105" s="607">
        <v>0</v>
      </c>
      <c r="U105" s="737">
        <v>0.89329999999999998</v>
      </c>
      <c r="V105" s="424">
        <f t="shared" si="98"/>
        <v>0</v>
      </c>
      <c r="W105" s="418">
        <f t="shared" si="99"/>
        <v>0</v>
      </c>
      <c r="X105" s="418">
        <v>0</v>
      </c>
      <c r="Y105" s="418">
        <v>0</v>
      </c>
      <c r="Z105" s="418">
        <v>0</v>
      </c>
      <c r="AA105" s="418">
        <v>150474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150474</v>
      </c>
      <c r="AF105" s="418">
        <f t="shared" si="100"/>
        <v>150474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101"/>
        <v>0</v>
      </c>
      <c r="AM105" s="418">
        <f t="shared" si="102"/>
        <v>0</v>
      </c>
      <c r="AN105" s="418">
        <f t="shared" si="103"/>
        <v>0</v>
      </c>
      <c r="AO105" s="418">
        <f t="shared" si="104"/>
        <v>0</v>
      </c>
      <c r="AP105" s="418">
        <f t="shared" si="105"/>
        <v>150474</v>
      </c>
      <c r="AQ105" s="418">
        <f t="shared" si="106"/>
        <v>150474</v>
      </c>
      <c r="AR105" s="68">
        <f t="shared" si="107"/>
        <v>50860</v>
      </c>
      <c r="AS105" s="68">
        <f t="shared" si="108"/>
        <v>1505</v>
      </c>
      <c r="AT105" s="418">
        <v>0</v>
      </c>
      <c r="AU105" s="418">
        <v>697</v>
      </c>
      <c r="AV105" s="418">
        <f t="shared" si="109"/>
        <v>697</v>
      </c>
      <c r="AW105" s="418">
        <f t="shared" si="110"/>
        <v>203536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0.45</v>
      </c>
      <c r="BC105" s="419">
        <v>0</v>
      </c>
      <c r="BD105" s="419">
        <v>0</v>
      </c>
      <c r="BE105" s="419">
        <v>0</v>
      </c>
      <c r="BF105" s="419">
        <f t="shared" si="111"/>
        <v>0</v>
      </c>
      <c r="BG105" s="419">
        <f t="shared" si="112"/>
        <v>0.45</v>
      </c>
      <c r="BH105" s="421">
        <f t="shared" si="113"/>
        <v>0.45</v>
      </c>
      <c r="BI105" s="780">
        <f>I105+AW105</f>
        <v>606538</v>
      </c>
      <c r="BJ105" s="418">
        <f>J105+AF105</f>
        <v>448372</v>
      </c>
      <c r="BK105" s="418">
        <f>K105+AD105</f>
        <v>0</v>
      </c>
      <c r="BL105" s="418">
        <f>L105+AE105</f>
        <v>448372</v>
      </c>
      <c r="BM105" s="418">
        <f>M105+AN105</f>
        <v>0</v>
      </c>
      <c r="BN105" s="418">
        <f>N105+AL105</f>
        <v>0</v>
      </c>
      <c r="BO105" s="418">
        <f>O105+AM105</f>
        <v>0</v>
      </c>
      <c r="BP105" s="418">
        <f>P105+AR105</f>
        <v>151550</v>
      </c>
      <c r="BQ105" s="418">
        <f>Q105+AS105</f>
        <v>4484</v>
      </c>
      <c r="BR105" s="418">
        <f>R105+AV105</f>
        <v>2132</v>
      </c>
      <c r="BS105" s="419">
        <f>S105+BH105</f>
        <v>1.3432999999999999</v>
      </c>
      <c r="BT105" s="419">
        <f>T105+BF105</f>
        <v>0</v>
      </c>
      <c r="BU105" s="421">
        <f>U105+BG105</f>
        <v>1.3432999999999999</v>
      </c>
      <c r="BV105" s="420"/>
      <c r="BW105" s="415"/>
      <c r="BX105" s="415"/>
      <c r="BY105" s="415"/>
      <c r="BZ105" s="415"/>
      <c r="CA105" s="510"/>
    </row>
    <row r="106" spans="1:79" ht="13.5" customHeight="1" x14ac:dyDescent="0.2">
      <c r="A106" s="72">
        <v>25</v>
      </c>
      <c r="B106" s="69">
        <v>2418</v>
      </c>
      <c r="C106" s="70">
        <v>600079261</v>
      </c>
      <c r="D106" s="69">
        <v>72741783</v>
      </c>
      <c r="E106" s="71" t="s">
        <v>583</v>
      </c>
      <c r="F106" s="72"/>
      <c r="G106" s="71"/>
      <c r="H106" s="73"/>
      <c r="I106" s="517">
        <v>3965521</v>
      </c>
      <c r="J106" s="74">
        <v>2932397</v>
      </c>
      <c r="K106" s="74">
        <v>2399379</v>
      </c>
      <c r="L106" s="74">
        <v>533018</v>
      </c>
      <c r="M106" s="74">
        <v>0</v>
      </c>
      <c r="N106" s="74">
        <v>0</v>
      </c>
      <c r="O106" s="74">
        <v>0</v>
      </c>
      <c r="P106" s="74">
        <v>991151</v>
      </c>
      <c r="Q106" s="74">
        <v>29324</v>
      </c>
      <c r="R106" s="74">
        <v>12649</v>
      </c>
      <c r="S106" s="75">
        <v>5.6934000000000005</v>
      </c>
      <c r="T106" s="75">
        <v>4</v>
      </c>
      <c r="U106" s="658">
        <v>1.6934</v>
      </c>
      <c r="V106" s="517">
        <f t="shared" ref="V106:BU106" si="169">SUM(V104:V105)</f>
        <v>0</v>
      </c>
      <c r="W106" s="74">
        <f t="shared" si="169"/>
        <v>0</v>
      </c>
      <c r="X106" s="74">
        <f t="shared" si="169"/>
        <v>0</v>
      </c>
      <c r="Y106" s="74">
        <f t="shared" si="169"/>
        <v>0</v>
      </c>
      <c r="Z106" s="74">
        <f t="shared" si="169"/>
        <v>0</v>
      </c>
      <c r="AA106" s="74">
        <f t="shared" si="169"/>
        <v>150474</v>
      </c>
      <c r="AB106" s="74">
        <f t="shared" si="169"/>
        <v>0</v>
      </c>
      <c r="AC106" s="74">
        <f t="shared" si="169"/>
        <v>0</v>
      </c>
      <c r="AD106" s="74">
        <f t="shared" si="169"/>
        <v>0</v>
      </c>
      <c r="AE106" s="74">
        <f t="shared" si="169"/>
        <v>150474</v>
      </c>
      <c r="AF106" s="74">
        <f t="shared" si="169"/>
        <v>150474</v>
      </c>
      <c r="AG106" s="74">
        <f t="shared" si="169"/>
        <v>0</v>
      </c>
      <c r="AH106" s="74">
        <f t="shared" si="169"/>
        <v>0</v>
      </c>
      <c r="AI106" s="74">
        <f t="shared" si="169"/>
        <v>0</v>
      </c>
      <c r="AJ106" s="74">
        <f t="shared" si="169"/>
        <v>0</v>
      </c>
      <c r="AK106" s="74">
        <f t="shared" si="169"/>
        <v>0</v>
      </c>
      <c r="AL106" s="74">
        <f t="shared" si="169"/>
        <v>0</v>
      </c>
      <c r="AM106" s="74">
        <f t="shared" si="169"/>
        <v>0</v>
      </c>
      <c r="AN106" s="74">
        <f t="shared" si="169"/>
        <v>0</v>
      </c>
      <c r="AO106" s="74">
        <f t="shared" si="169"/>
        <v>0</v>
      </c>
      <c r="AP106" s="74">
        <f t="shared" si="169"/>
        <v>150474</v>
      </c>
      <c r="AQ106" s="74">
        <f t="shared" si="169"/>
        <v>150474</v>
      </c>
      <c r="AR106" s="74">
        <f t="shared" si="169"/>
        <v>50860</v>
      </c>
      <c r="AS106" s="74">
        <f t="shared" si="169"/>
        <v>1505</v>
      </c>
      <c r="AT106" s="74">
        <f t="shared" si="169"/>
        <v>0</v>
      </c>
      <c r="AU106" s="74">
        <f t="shared" si="169"/>
        <v>697</v>
      </c>
      <c r="AV106" s="74">
        <f t="shared" si="169"/>
        <v>697</v>
      </c>
      <c r="AW106" s="74">
        <f t="shared" si="169"/>
        <v>203536</v>
      </c>
      <c r="AX106" s="75">
        <f t="shared" si="169"/>
        <v>0</v>
      </c>
      <c r="AY106" s="75">
        <f t="shared" si="169"/>
        <v>0</v>
      </c>
      <c r="AZ106" s="75">
        <f t="shared" si="169"/>
        <v>0</v>
      </c>
      <c r="BA106" s="75">
        <f t="shared" si="169"/>
        <v>0</v>
      </c>
      <c r="BB106" s="75">
        <f t="shared" si="169"/>
        <v>0.45</v>
      </c>
      <c r="BC106" s="75">
        <f t="shared" si="169"/>
        <v>0</v>
      </c>
      <c r="BD106" s="75">
        <f t="shared" si="169"/>
        <v>0</v>
      </c>
      <c r="BE106" s="75">
        <f t="shared" si="169"/>
        <v>0</v>
      </c>
      <c r="BF106" s="75">
        <f t="shared" si="169"/>
        <v>0</v>
      </c>
      <c r="BG106" s="75">
        <f t="shared" si="169"/>
        <v>0.45</v>
      </c>
      <c r="BH106" s="76">
        <f t="shared" si="169"/>
        <v>0.45</v>
      </c>
      <c r="BI106" s="799">
        <f t="shared" si="169"/>
        <v>4169057</v>
      </c>
      <c r="BJ106" s="74">
        <f t="shared" si="169"/>
        <v>3082871</v>
      </c>
      <c r="BK106" s="74">
        <f t="shared" si="169"/>
        <v>2399379</v>
      </c>
      <c r="BL106" s="74">
        <f t="shared" si="169"/>
        <v>683492</v>
      </c>
      <c r="BM106" s="74">
        <f t="shared" si="169"/>
        <v>0</v>
      </c>
      <c r="BN106" s="74">
        <f t="shared" si="169"/>
        <v>0</v>
      </c>
      <c r="BO106" s="74">
        <f t="shared" si="169"/>
        <v>0</v>
      </c>
      <c r="BP106" s="74">
        <f t="shared" si="169"/>
        <v>1042011</v>
      </c>
      <c r="BQ106" s="74">
        <f t="shared" si="169"/>
        <v>30829</v>
      </c>
      <c r="BR106" s="74">
        <f t="shared" si="169"/>
        <v>13346</v>
      </c>
      <c r="BS106" s="75">
        <f t="shared" si="169"/>
        <v>6.1434000000000006</v>
      </c>
      <c r="BT106" s="75">
        <f t="shared" si="169"/>
        <v>4</v>
      </c>
      <c r="BU106" s="76">
        <f t="shared" si="169"/>
        <v>2.1433999999999997</v>
      </c>
      <c r="BV106" s="809">
        <f t="shared" ref="BV106:CA106" si="170">SUM(BV104:BV105)</f>
        <v>0</v>
      </c>
      <c r="BW106" s="684">
        <f t="shared" si="170"/>
        <v>0</v>
      </c>
      <c r="BX106" s="684">
        <f t="shared" si="170"/>
        <v>0</v>
      </c>
      <c r="BY106" s="684">
        <f t="shared" si="170"/>
        <v>0</v>
      </c>
      <c r="BZ106" s="684">
        <f t="shared" si="170"/>
        <v>0</v>
      </c>
      <c r="CA106" s="810">
        <f t="shared" si="170"/>
        <v>0</v>
      </c>
    </row>
    <row r="107" spans="1:79" ht="14.1" customHeight="1" x14ac:dyDescent="0.2">
      <c r="A107" s="66">
        <v>26</v>
      </c>
      <c r="B107" s="63">
        <v>2414</v>
      </c>
      <c r="C107" s="64">
        <v>600079295</v>
      </c>
      <c r="D107" s="63">
        <v>72742020</v>
      </c>
      <c r="E107" s="65" t="s">
        <v>584</v>
      </c>
      <c r="F107" s="66">
        <v>3111</v>
      </c>
      <c r="G107" s="65" t="s">
        <v>290</v>
      </c>
      <c r="H107" s="67" t="s">
        <v>271</v>
      </c>
      <c r="I107" s="420">
        <v>5178673</v>
      </c>
      <c r="J107" s="415">
        <v>3829861</v>
      </c>
      <c r="K107" s="415">
        <v>3497192</v>
      </c>
      <c r="L107" s="415">
        <v>332669</v>
      </c>
      <c r="M107" s="415">
        <v>0</v>
      </c>
      <c r="N107" s="415">
        <v>0</v>
      </c>
      <c r="O107" s="415">
        <v>0</v>
      </c>
      <c r="P107" s="599">
        <v>1294493</v>
      </c>
      <c r="Q107" s="599">
        <v>38299</v>
      </c>
      <c r="R107" s="415">
        <v>16020</v>
      </c>
      <c r="S107" s="416">
        <v>7.3619000000000003</v>
      </c>
      <c r="T107" s="416">
        <v>6.2419000000000002</v>
      </c>
      <c r="U107" s="423">
        <v>1.1200000000000001</v>
      </c>
      <c r="V107" s="424">
        <f t="shared" si="98"/>
        <v>0</v>
      </c>
      <c r="W107" s="418">
        <f t="shared" si="99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 t="shared" si="100"/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 t="shared" si="101"/>
        <v>0</v>
      </c>
      <c r="AM107" s="418">
        <f t="shared" si="102"/>
        <v>0</v>
      </c>
      <c r="AN107" s="418">
        <f t="shared" si="103"/>
        <v>0</v>
      </c>
      <c r="AO107" s="418">
        <f t="shared" si="104"/>
        <v>0</v>
      </c>
      <c r="AP107" s="418">
        <f t="shared" si="105"/>
        <v>0</v>
      </c>
      <c r="AQ107" s="418">
        <f t="shared" si="106"/>
        <v>0</v>
      </c>
      <c r="AR107" s="68">
        <f t="shared" si="107"/>
        <v>0</v>
      </c>
      <c r="AS107" s="68">
        <f t="shared" si="108"/>
        <v>0</v>
      </c>
      <c r="AT107" s="418">
        <v>0</v>
      </c>
      <c r="AU107" s="418">
        <v>0</v>
      </c>
      <c r="AV107" s="418">
        <f t="shared" si="109"/>
        <v>0</v>
      </c>
      <c r="AW107" s="418">
        <f t="shared" si="110"/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 t="shared" si="111"/>
        <v>0</v>
      </c>
      <c r="BG107" s="419">
        <f t="shared" si="112"/>
        <v>0</v>
      </c>
      <c r="BH107" s="421">
        <f t="shared" si="113"/>
        <v>0</v>
      </c>
      <c r="BI107" s="780">
        <f>I107+AW107</f>
        <v>5178673</v>
      </c>
      <c r="BJ107" s="418">
        <f>J107+AF107</f>
        <v>3829861</v>
      </c>
      <c r="BK107" s="418">
        <f t="shared" ref="BK107:BL109" si="171">K107+AD107</f>
        <v>3497192</v>
      </c>
      <c r="BL107" s="418">
        <f t="shared" si="171"/>
        <v>332669</v>
      </c>
      <c r="BM107" s="418">
        <f>M107+AN107</f>
        <v>0</v>
      </c>
      <c r="BN107" s="418">
        <f t="shared" ref="BN107:BO109" si="172">N107+AL107</f>
        <v>0</v>
      </c>
      <c r="BO107" s="418">
        <f t="shared" si="172"/>
        <v>0</v>
      </c>
      <c r="BP107" s="418">
        <f t="shared" ref="BP107:BQ109" si="173">P107+AR107</f>
        <v>1294493</v>
      </c>
      <c r="BQ107" s="418">
        <f t="shared" si="173"/>
        <v>38299</v>
      </c>
      <c r="BR107" s="418">
        <f>R107+AV107</f>
        <v>16020</v>
      </c>
      <c r="BS107" s="419">
        <f>S107+BH107</f>
        <v>7.3619000000000003</v>
      </c>
      <c r="BT107" s="419">
        <f t="shared" ref="BT107:BU109" si="174">T107+BF107</f>
        <v>6.2419000000000002</v>
      </c>
      <c r="BU107" s="421">
        <f t="shared" si="174"/>
        <v>1.1200000000000001</v>
      </c>
      <c r="BV107" s="420"/>
      <c r="BW107" s="415"/>
      <c r="BX107" s="415"/>
      <c r="BY107" s="415"/>
      <c r="BZ107" s="415"/>
      <c r="CA107" s="510"/>
    </row>
    <row r="108" spans="1:79" ht="14.1" customHeight="1" x14ac:dyDescent="0.2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584</v>
      </c>
      <c r="F108" s="66">
        <v>3111</v>
      </c>
      <c r="G108" s="77" t="s">
        <v>291</v>
      </c>
      <c r="H108" s="67" t="s">
        <v>272</v>
      </c>
      <c r="I108" s="420">
        <v>124960</v>
      </c>
      <c r="J108" s="415">
        <v>92700</v>
      </c>
      <c r="K108" s="415">
        <v>92700</v>
      </c>
      <c r="L108" s="415">
        <v>0</v>
      </c>
      <c r="M108" s="415">
        <v>0</v>
      </c>
      <c r="N108" s="415">
        <v>0</v>
      </c>
      <c r="O108" s="415">
        <v>0</v>
      </c>
      <c r="P108" s="599">
        <v>31333</v>
      </c>
      <c r="Q108" s="599">
        <v>927</v>
      </c>
      <c r="R108" s="415">
        <v>0</v>
      </c>
      <c r="S108" s="416">
        <v>0.25</v>
      </c>
      <c r="T108" s="417">
        <v>0.25</v>
      </c>
      <c r="U108" s="423">
        <v>0</v>
      </c>
      <c r="V108" s="424">
        <f t="shared" si="98"/>
        <v>0</v>
      </c>
      <c r="W108" s="418">
        <f t="shared" si="99"/>
        <v>0</v>
      </c>
      <c r="X108" s="418">
        <v>-46350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-46350</v>
      </c>
      <c r="AE108" s="418">
        <f>W108+AA108+AC108</f>
        <v>0</v>
      </c>
      <c r="AF108" s="418">
        <f t="shared" si="100"/>
        <v>-46350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si="101"/>
        <v>0</v>
      </c>
      <c r="AM108" s="418">
        <f t="shared" si="102"/>
        <v>0</v>
      </c>
      <c r="AN108" s="418">
        <f t="shared" si="103"/>
        <v>0</v>
      </c>
      <c r="AO108" s="418">
        <f t="shared" si="104"/>
        <v>-46350</v>
      </c>
      <c r="AP108" s="418">
        <f t="shared" si="105"/>
        <v>0</v>
      </c>
      <c r="AQ108" s="418">
        <f t="shared" si="106"/>
        <v>-46350</v>
      </c>
      <c r="AR108" s="68">
        <f t="shared" si="107"/>
        <v>-15666</v>
      </c>
      <c r="AS108" s="68">
        <f t="shared" si="108"/>
        <v>-464</v>
      </c>
      <c r="AT108" s="418">
        <v>0</v>
      </c>
      <c r="AU108" s="418">
        <v>0</v>
      </c>
      <c r="AV108" s="418">
        <f t="shared" si="109"/>
        <v>0</v>
      </c>
      <c r="AW108" s="418">
        <f t="shared" si="110"/>
        <v>-62480</v>
      </c>
      <c r="AX108" s="419">
        <v>0</v>
      </c>
      <c r="AY108" s="419">
        <v>0</v>
      </c>
      <c r="AZ108" s="419">
        <v>-0.13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si="111"/>
        <v>-0.13</v>
      </c>
      <c r="BG108" s="419">
        <f t="shared" si="112"/>
        <v>0</v>
      </c>
      <c r="BH108" s="421">
        <f t="shared" si="113"/>
        <v>-0.13</v>
      </c>
      <c r="BI108" s="780">
        <f>I108+AW108</f>
        <v>62480</v>
      </c>
      <c r="BJ108" s="418">
        <f>J108+AF108</f>
        <v>46350</v>
      </c>
      <c r="BK108" s="418">
        <f t="shared" si="171"/>
        <v>46350</v>
      </c>
      <c r="BL108" s="418">
        <f t="shared" si="171"/>
        <v>0</v>
      </c>
      <c r="BM108" s="418">
        <f>M108+AN108</f>
        <v>0</v>
      </c>
      <c r="BN108" s="418">
        <f t="shared" si="172"/>
        <v>0</v>
      </c>
      <c r="BO108" s="418">
        <f t="shared" si="172"/>
        <v>0</v>
      </c>
      <c r="BP108" s="418">
        <f t="shared" si="173"/>
        <v>15667</v>
      </c>
      <c r="BQ108" s="418">
        <f t="shared" si="173"/>
        <v>463</v>
      </c>
      <c r="BR108" s="418">
        <f>R108+AV108</f>
        <v>0</v>
      </c>
      <c r="BS108" s="419">
        <f>S108+BH108</f>
        <v>0.12</v>
      </c>
      <c r="BT108" s="419">
        <f t="shared" si="174"/>
        <v>0.12</v>
      </c>
      <c r="BU108" s="421">
        <f t="shared" si="174"/>
        <v>0</v>
      </c>
      <c r="BV108" s="420"/>
      <c r="BW108" s="415"/>
      <c r="BX108" s="415"/>
      <c r="BY108" s="415"/>
      <c r="BZ108" s="415"/>
      <c r="CA108" s="510"/>
    </row>
    <row r="109" spans="1:79" ht="14.1" customHeight="1" x14ac:dyDescent="0.2">
      <c r="A109" s="66">
        <v>26</v>
      </c>
      <c r="B109" s="63">
        <v>2414</v>
      </c>
      <c r="C109" s="64">
        <v>600079295</v>
      </c>
      <c r="D109" s="63">
        <v>72742020</v>
      </c>
      <c r="E109" s="65" t="s">
        <v>584</v>
      </c>
      <c r="F109" s="66">
        <v>3141</v>
      </c>
      <c r="G109" s="65" t="s">
        <v>294</v>
      </c>
      <c r="H109" s="67" t="s">
        <v>272</v>
      </c>
      <c r="I109" s="420">
        <v>523556</v>
      </c>
      <c r="J109" s="415">
        <v>386837</v>
      </c>
      <c r="K109" s="415">
        <v>0</v>
      </c>
      <c r="L109" s="750">
        <v>386837</v>
      </c>
      <c r="M109" s="415">
        <v>0</v>
      </c>
      <c r="N109" s="204">
        <v>0</v>
      </c>
      <c r="O109" s="204">
        <v>0</v>
      </c>
      <c r="P109" s="599">
        <v>130751</v>
      </c>
      <c r="Q109" s="599">
        <v>3868</v>
      </c>
      <c r="R109" s="605">
        <v>2100</v>
      </c>
      <c r="S109" s="416">
        <v>1.1599999999999999</v>
      </c>
      <c r="T109" s="607">
        <v>0</v>
      </c>
      <c r="U109" s="737">
        <v>1.1599999999999999</v>
      </c>
      <c r="V109" s="424">
        <f t="shared" si="98"/>
        <v>0</v>
      </c>
      <c r="W109" s="418">
        <f t="shared" si="99"/>
        <v>0</v>
      </c>
      <c r="X109" s="418">
        <v>0</v>
      </c>
      <c r="Y109" s="418">
        <v>0</v>
      </c>
      <c r="Z109" s="418">
        <v>0</v>
      </c>
      <c r="AA109" s="418">
        <v>194906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194906</v>
      </c>
      <c r="AF109" s="418">
        <f t="shared" si="100"/>
        <v>194906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101"/>
        <v>0</v>
      </c>
      <c r="AM109" s="418">
        <f t="shared" si="102"/>
        <v>0</v>
      </c>
      <c r="AN109" s="418">
        <f t="shared" si="103"/>
        <v>0</v>
      </c>
      <c r="AO109" s="418">
        <f t="shared" si="104"/>
        <v>0</v>
      </c>
      <c r="AP109" s="418">
        <f t="shared" si="105"/>
        <v>194906</v>
      </c>
      <c r="AQ109" s="418">
        <f t="shared" si="106"/>
        <v>194906</v>
      </c>
      <c r="AR109" s="68">
        <f t="shared" si="107"/>
        <v>65878</v>
      </c>
      <c r="AS109" s="68">
        <f t="shared" si="108"/>
        <v>1949</v>
      </c>
      <c r="AT109" s="418">
        <v>0</v>
      </c>
      <c r="AU109" s="418">
        <v>1020</v>
      </c>
      <c r="AV109" s="418">
        <f t="shared" si="109"/>
        <v>1020</v>
      </c>
      <c r="AW109" s="418">
        <f t="shared" si="110"/>
        <v>263753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0.57999999999999996</v>
      </c>
      <c r="BC109" s="419">
        <v>0</v>
      </c>
      <c r="BD109" s="419">
        <v>0</v>
      </c>
      <c r="BE109" s="419">
        <v>0</v>
      </c>
      <c r="BF109" s="419">
        <f t="shared" si="111"/>
        <v>0</v>
      </c>
      <c r="BG109" s="419">
        <f t="shared" si="112"/>
        <v>0.57999999999999996</v>
      </c>
      <c r="BH109" s="421">
        <f t="shared" si="113"/>
        <v>0.57999999999999996</v>
      </c>
      <c r="BI109" s="780">
        <f>I109+AW109</f>
        <v>787309</v>
      </c>
      <c r="BJ109" s="418">
        <f>J109+AF109</f>
        <v>581743</v>
      </c>
      <c r="BK109" s="418">
        <f t="shared" si="171"/>
        <v>0</v>
      </c>
      <c r="BL109" s="418">
        <f t="shared" si="171"/>
        <v>581743</v>
      </c>
      <c r="BM109" s="418">
        <f>M109+AN109</f>
        <v>0</v>
      </c>
      <c r="BN109" s="418">
        <f t="shared" si="172"/>
        <v>0</v>
      </c>
      <c r="BO109" s="418">
        <f t="shared" si="172"/>
        <v>0</v>
      </c>
      <c r="BP109" s="418">
        <f t="shared" si="173"/>
        <v>196629</v>
      </c>
      <c r="BQ109" s="418">
        <f t="shared" si="173"/>
        <v>5817</v>
      </c>
      <c r="BR109" s="418">
        <f>R109+AV109</f>
        <v>3120</v>
      </c>
      <c r="BS109" s="419">
        <f>S109+BH109</f>
        <v>1.7399999999999998</v>
      </c>
      <c r="BT109" s="419">
        <f t="shared" si="174"/>
        <v>0</v>
      </c>
      <c r="BU109" s="421">
        <f t="shared" si="174"/>
        <v>1.7399999999999998</v>
      </c>
      <c r="BV109" s="420"/>
      <c r="BW109" s="415"/>
      <c r="BX109" s="415"/>
      <c r="BY109" s="415"/>
      <c r="BZ109" s="415"/>
      <c r="CA109" s="510"/>
    </row>
    <row r="110" spans="1:79" ht="14.1" customHeight="1" x14ac:dyDescent="0.2">
      <c r="A110" s="72">
        <v>26</v>
      </c>
      <c r="B110" s="69">
        <v>2414</v>
      </c>
      <c r="C110" s="70">
        <v>600079295</v>
      </c>
      <c r="D110" s="69">
        <v>72742020</v>
      </c>
      <c r="E110" s="71" t="s">
        <v>585</v>
      </c>
      <c r="F110" s="72"/>
      <c r="G110" s="71"/>
      <c r="H110" s="73"/>
      <c r="I110" s="517">
        <v>5827189</v>
      </c>
      <c r="J110" s="74">
        <v>4309398</v>
      </c>
      <c r="K110" s="74">
        <v>3589892</v>
      </c>
      <c r="L110" s="74">
        <v>719506</v>
      </c>
      <c r="M110" s="74">
        <v>0</v>
      </c>
      <c r="N110" s="74">
        <v>0</v>
      </c>
      <c r="O110" s="74">
        <v>0</v>
      </c>
      <c r="P110" s="74">
        <v>1456577</v>
      </c>
      <c r="Q110" s="74">
        <v>43094</v>
      </c>
      <c r="R110" s="74">
        <v>18120</v>
      </c>
      <c r="S110" s="75">
        <v>8.7719000000000005</v>
      </c>
      <c r="T110" s="75">
        <v>6.4919000000000002</v>
      </c>
      <c r="U110" s="658">
        <v>2.2800000000000002</v>
      </c>
      <c r="V110" s="517">
        <f t="shared" ref="V110:BU110" si="175">SUM(V107:V109)</f>
        <v>0</v>
      </c>
      <c r="W110" s="74">
        <f t="shared" si="175"/>
        <v>0</v>
      </c>
      <c r="X110" s="74">
        <f t="shared" si="175"/>
        <v>-46350</v>
      </c>
      <c r="Y110" s="74">
        <f t="shared" si="175"/>
        <v>0</v>
      </c>
      <c r="Z110" s="74">
        <f t="shared" si="175"/>
        <v>0</v>
      </c>
      <c r="AA110" s="74">
        <f t="shared" si="175"/>
        <v>194906</v>
      </c>
      <c r="AB110" s="74">
        <f t="shared" si="175"/>
        <v>0</v>
      </c>
      <c r="AC110" s="74">
        <f t="shared" si="175"/>
        <v>0</v>
      </c>
      <c r="AD110" s="74">
        <f t="shared" si="175"/>
        <v>-46350</v>
      </c>
      <c r="AE110" s="74">
        <f t="shared" si="175"/>
        <v>194906</v>
      </c>
      <c r="AF110" s="74">
        <f t="shared" si="175"/>
        <v>148556</v>
      </c>
      <c r="AG110" s="74">
        <f t="shared" si="175"/>
        <v>0</v>
      </c>
      <c r="AH110" s="74">
        <f t="shared" si="175"/>
        <v>0</v>
      </c>
      <c r="AI110" s="74">
        <f t="shared" si="175"/>
        <v>0</v>
      </c>
      <c r="AJ110" s="74">
        <f t="shared" si="175"/>
        <v>0</v>
      </c>
      <c r="AK110" s="74">
        <f t="shared" si="175"/>
        <v>0</v>
      </c>
      <c r="AL110" s="74">
        <f t="shared" si="175"/>
        <v>0</v>
      </c>
      <c r="AM110" s="74">
        <f t="shared" si="175"/>
        <v>0</v>
      </c>
      <c r="AN110" s="74">
        <f t="shared" si="175"/>
        <v>0</v>
      </c>
      <c r="AO110" s="74">
        <f t="shared" si="175"/>
        <v>-46350</v>
      </c>
      <c r="AP110" s="74">
        <f t="shared" si="175"/>
        <v>194906</v>
      </c>
      <c r="AQ110" s="74">
        <f t="shared" si="175"/>
        <v>148556</v>
      </c>
      <c r="AR110" s="74">
        <f t="shared" si="175"/>
        <v>50212</v>
      </c>
      <c r="AS110" s="74">
        <f t="shared" si="175"/>
        <v>1485</v>
      </c>
      <c r="AT110" s="74">
        <f t="shared" si="175"/>
        <v>0</v>
      </c>
      <c r="AU110" s="74">
        <f t="shared" si="175"/>
        <v>1020</v>
      </c>
      <c r="AV110" s="74">
        <f t="shared" si="175"/>
        <v>1020</v>
      </c>
      <c r="AW110" s="74">
        <f t="shared" si="175"/>
        <v>201273</v>
      </c>
      <c r="AX110" s="75">
        <f t="shared" si="175"/>
        <v>0</v>
      </c>
      <c r="AY110" s="75">
        <f t="shared" si="175"/>
        <v>0</v>
      </c>
      <c r="AZ110" s="75">
        <f t="shared" si="175"/>
        <v>-0.13</v>
      </c>
      <c r="BA110" s="75">
        <f t="shared" si="175"/>
        <v>0</v>
      </c>
      <c r="BB110" s="75">
        <f t="shared" si="175"/>
        <v>0.57999999999999996</v>
      </c>
      <c r="BC110" s="75">
        <f t="shared" si="175"/>
        <v>0</v>
      </c>
      <c r="BD110" s="75">
        <f t="shared" si="175"/>
        <v>0</v>
      </c>
      <c r="BE110" s="75">
        <f t="shared" si="175"/>
        <v>0</v>
      </c>
      <c r="BF110" s="75">
        <f t="shared" si="175"/>
        <v>-0.13</v>
      </c>
      <c r="BG110" s="75">
        <f t="shared" si="175"/>
        <v>0.57999999999999996</v>
      </c>
      <c r="BH110" s="76">
        <f t="shared" si="175"/>
        <v>0.44999999999999996</v>
      </c>
      <c r="BI110" s="799">
        <f t="shared" si="175"/>
        <v>6028462</v>
      </c>
      <c r="BJ110" s="74">
        <f t="shared" si="175"/>
        <v>4457954</v>
      </c>
      <c r="BK110" s="74">
        <f t="shared" si="175"/>
        <v>3543542</v>
      </c>
      <c r="BL110" s="74">
        <f t="shared" si="175"/>
        <v>914412</v>
      </c>
      <c r="BM110" s="74">
        <f t="shared" si="175"/>
        <v>0</v>
      </c>
      <c r="BN110" s="74">
        <f t="shared" si="175"/>
        <v>0</v>
      </c>
      <c r="BO110" s="74">
        <f t="shared" si="175"/>
        <v>0</v>
      </c>
      <c r="BP110" s="74">
        <f t="shared" si="175"/>
        <v>1506789</v>
      </c>
      <c r="BQ110" s="74">
        <f t="shared" si="175"/>
        <v>44579</v>
      </c>
      <c r="BR110" s="74">
        <f t="shared" si="175"/>
        <v>19140</v>
      </c>
      <c r="BS110" s="75">
        <f t="shared" si="175"/>
        <v>9.2218999999999998</v>
      </c>
      <c r="BT110" s="75">
        <f t="shared" si="175"/>
        <v>6.3619000000000003</v>
      </c>
      <c r="BU110" s="76">
        <f t="shared" si="175"/>
        <v>2.86</v>
      </c>
      <c r="BV110" s="809">
        <f t="shared" ref="BV110:CA110" si="176">SUM(BV107:BV109)</f>
        <v>0</v>
      </c>
      <c r="BW110" s="684">
        <f t="shared" si="176"/>
        <v>0</v>
      </c>
      <c r="BX110" s="684">
        <f t="shared" si="176"/>
        <v>0</v>
      </c>
      <c r="BY110" s="684">
        <f t="shared" si="176"/>
        <v>0</v>
      </c>
      <c r="BZ110" s="684">
        <f t="shared" si="176"/>
        <v>0</v>
      </c>
      <c r="CA110" s="810">
        <f t="shared" si="176"/>
        <v>0</v>
      </c>
    </row>
    <row r="111" spans="1:79" ht="14.1" customHeight="1" x14ac:dyDescent="0.2">
      <c r="A111" s="66">
        <v>27</v>
      </c>
      <c r="B111" s="63">
        <v>2443</v>
      </c>
      <c r="C111" s="64">
        <v>600079309</v>
      </c>
      <c r="D111" s="63">
        <v>72743051</v>
      </c>
      <c r="E111" s="65" t="s">
        <v>586</v>
      </c>
      <c r="F111" s="66">
        <v>3111</v>
      </c>
      <c r="G111" s="65" t="s">
        <v>290</v>
      </c>
      <c r="H111" s="67" t="s">
        <v>271</v>
      </c>
      <c r="I111" s="420">
        <v>4975232</v>
      </c>
      <c r="J111" s="415">
        <v>3678941</v>
      </c>
      <c r="K111" s="415">
        <v>3346272</v>
      </c>
      <c r="L111" s="415">
        <v>332669</v>
      </c>
      <c r="M111" s="415">
        <v>0</v>
      </c>
      <c r="N111" s="415">
        <v>0</v>
      </c>
      <c r="O111" s="415">
        <v>0</v>
      </c>
      <c r="P111" s="599">
        <v>1243482</v>
      </c>
      <c r="Q111" s="599">
        <v>36789</v>
      </c>
      <c r="R111" s="415">
        <v>16020</v>
      </c>
      <c r="S111" s="416">
        <v>7.12</v>
      </c>
      <c r="T111" s="416">
        <v>6</v>
      </c>
      <c r="U111" s="423">
        <v>1.1200000000000001</v>
      </c>
      <c r="V111" s="424">
        <f t="shared" si="98"/>
        <v>0</v>
      </c>
      <c r="W111" s="418">
        <f t="shared" si="99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 t="shared" si="100"/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101"/>
        <v>0</v>
      </c>
      <c r="AM111" s="418">
        <f t="shared" si="102"/>
        <v>0</v>
      </c>
      <c r="AN111" s="418">
        <f t="shared" si="103"/>
        <v>0</v>
      </c>
      <c r="AO111" s="418">
        <f t="shared" si="104"/>
        <v>0</v>
      </c>
      <c r="AP111" s="418">
        <f t="shared" si="105"/>
        <v>0</v>
      </c>
      <c r="AQ111" s="418">
        <f t="shared" si="106"/>
        <v>0</v>
      </c>
      <c r="AR111" s="68">
        <f t="shared" si="107"/>
        <v>0</v>
      </c>
      <c r="AS111" s="68">
        <f t="shared" si="108"/>
        <v>0</v>
      </c>
      <c r="AT111" s="418">
        <v>0</v>
      </c>
      <c r="AU111" s="418">
        <v>0</v>
      </c>
      <c r="AV111" s="418">
        <f t="shared" si="109"/>
        <v>0</v>
      </c>
      <c r="AW111" s="418">
        <f t="shared" si="110"/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 t="shared" si="111"/>
        <v>0</v>
      </c>
      <c r="BG111" s="419">
        <f t="shared" si="112"/>
        <v>0</v>
      </c>
      <c r="BH111" s="421">
        <f t="shared" si="113"/>
        <v>0</v>
      </c>
      <c r="BI111" s="780">
        <f>I111+AW111</f>
        <v>4975232</v>
      </c>
      <c r="BJ111" s="418">
        <f>J111+AF111</f>
        <v>3678941</v>
      </c>
      <c r="BK111" s="418">
        <f t="shared" ref="BK111:BL113" si="177">K111+AD111</f>
        <v>3346272</v>
      </c>
      <c r="BL111" s="418">
        <f t="shared" si="177"/>
        <v>332669</v>
      </c>
      <c r="BM111" s="418">
        <f>M111+AN111</f>
        <v>0</v>
      </c>
      <c r="BN111" s="418">
        <f t="shared" ref="BN111:BO113" si="178">N111+AL111</f>
        <v>0</v>
      </c>
      <c r="BO111" s="418">
        <f t="shared" si="178"/>
        <v>0</v>
      </c>
      <c r="BP111" s="418">
        <f t="shared" ref="BP111:BQ113" si="179">P111+AR111</f>
        <v>1243482</v>
      </c>
      <c r="BQ111" s="418">
        <f t="shared" si="179"/>
        <v>36789</v>
      </c>
      <c r="BR111" s="418">
        <f>R111+AV111</f>
        <v>16020</v>
      </c>
      <c r="BS111" s="419">
        <f>S111+BH111</f>
        <v>7.12</v>
      </c>
      <c r="BT111" s="419">
        <f t="shared" ref="BT111:BU113" si="180">T111+BF111</f>
        <v>6</v>
      </c>
      <c r="BU111" s="421">
        <f t="shared" si="180"/>
        <v>1.1200000000000001</v>
      </c>
      <c r="BV111" s="420"/>
      <c r="BW111" s="415"/>
      <c r="BX111" s="415"/>
      <c r="BY111" s="415"/>
      <c r="BZ111" s="415"/>
      <c r="CA111" s="510"/>
    </row>
    <row r="112" spans="1:79" ht="14.1" customHeight="1" x14ac:dyDescent="0.2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586</v>
      </c>
      <c r="F112" s="66">
        <v>3111</v>
      </c>
      <c r="G112" s="77" t="s">
        <v>291</v>
      </c>
      <c r="H112" s="67" t="s">
        <v>272</v>
      </c>
      <c r="I112" s="420">
        <v>0</v>
      </c>
      <c r="J112" s="415">
        <v>0</v>
      </c>
      <c r="K112" s="415">
        <v>0</v>
      </c>
      <c r="L112" s="415">
        <v>0</v>
      </c>
      <c r="M112" s="415">
        <v>0</v>
      </c>
      <c r="N112" s="415">
        <v>0</v>
      </c>
      <c r="O112" s="415">
        <v>0</v>
      </c>
      <c r="P112" s="599">
        <v>0</v>
      </c>
      <c r="Q112" s="599">
        <v>0</v>
      </c>
      <c r="R112" s="415">
        <v>0</v>
      </c>
      <c r="S112" s="416">
        <v>0</v>
      </c>
      <c r="T112" s="417">
        <v>0</v>
      </c>
      <c r="U112" s="423">
        <v>0</v>
      </c>
      <c r="V112" s="424">
        <f t="shared" si="98"/>
        <v>0</v>
      </c>
      <c r="W112" s="418">
        <f t="shared" si="99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 t="shared" si="100"/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 t="shared" si="101"/>
        <v>0</v>
      </c>
      <c r="AM112" s="418">
        <f t="shared" si="102"/>
        <v>0</v>
      </c>
      <c r="AN112" s="418">
        <f t="shared" si="103"/>
        <v>0</v>
      </c>
      <c r="AO112" s="418">
        <f t="shared" si="104"/>
        <v>0</v>
      </c>
      <c r="AP112" s="418">
        <f t="shared" si="105"/>
        <v>0</v>
      </c>
      <c r="AQ112" s="418">
        <f t="shared" si="106"/>
        <v>0</v>
      </c>
      <c r="AR112" s="68">
        <f t="shared" si="107"/>
        <v>0</v>
      </c>
      <c r="AS112" s="68">
        <f t="shared" si="108"/>
        <v>0</v>
      </c>
      <c r="AT112" s="418">
        <v>0</v>
      </c>
      <c r="AU112" s="418">
        <v>0</v>
      </c>
      <c r="AV112" s="418">
        <f t="shared" si="109"/>
        <v>0</v>
      </c>
      <c r="AW112" s="418">
        <f t="shared" si="110"/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111"/>
        <v>0</v>
      </c>
      <c r="BG112" s="419">
        <f t="shared" si="112"/>
        <v>0</v>
      </c>
      <c r="BH112" s="421">
        <f t="shared" si="113"/>
        <v>0</v>
      </c>
      <c r="BI112" s="780">
        <f>I112+AW112</f>
        <v>0</v>
      </c>
      <c r="BJ112" s="418">
        <f>J112+AF112</f>
        <v>0</v>
      </c>
      <c r="BK112" s="418">
        <f t="shared" si="177"/>
        <v>0</v>
      </c>
      <c r="BL112" s="418">
        <f t="shared" si="177"/>
        <v>0</v>
      </c>
      <c r="BM112" s="418">
        <f>M112+AN112</f>
        <v>0</v>
      </c>
      <c r="BN112" s="418">
        <f t="shared" si="178"/>
        <v>0</v>
      </c>
      <c r="BO112" s="418">
        <f t="shared" si="178"/>
        <v>0</v>
      </c>
      <c r="BP112" s="418">
        <f t="shared" si="179"/>
        <v>0</v>
      </c>
      <c r="BQ112" s="418">
        <f t="shared" si="179"/>
        <v>0</v>
      </c>
      <c r="BR112" s="418">
        <f>R112+AV112</f>
        <v>0</v>
      </c>
      <c r="BS112" s="419">
        <f>S112+BH112</f>
        <v>0</v>
      </c>
      <c r="BT112" s="419">
        <f t="shared" si="180"/>
        <v>0</v>
      </c>
      <c r="BU112" s="421">
        <f t="shared" si="180"/>
        <v>0</v>
      </c>
      <c r="BV112" s="420"/>
      <c r="BW112" s="415"/>
      <c r="BX112" s="415"/>
      <c r="BY112" s="415"/>
      <c r="BZ112" s="415"/>
      <c r="CA112" s="510"/>
    </row>
    <row r="113" spans="1:79" ht="14.1" customHeight="1" x14ac:dyDescent="0.2">
      <c r="A113" s="66">
        <v>27</v>
      </c>
      <c r="B113" s="63">
        <v>2443</v>
      </c>
      <c r="C113" s="64">
        <v>600079309</v>
      </c>
      <c r="D113" s="63">
        <v>72743051</v>
      </c>
      <c r="E113" s="65" t="s">
        <v>586</v>
      </c>
      <c r="F113" s="66">
        <v>3141</v>
      </c>
      <c r="G113" s="65" t="s">
        <v>294</v>
      </c>
      <c r="H113" s="67" t="s">
        <v>272</v>
      </c>
      <c r="I113" s="420">
        <v>523556</v>
      </c>
      <c r="J113" s="415">
        <v>386837</v>
      </c>
      <c r="K113" s="415">
        <v>0</v>
      </c>
      <c r="L113" s="750">
        <v>386837</v>
      </c>
      <c r="M113" s="415">
        <v>0</v>
      </c>
      <c r="N113" s="204">
        <v>0</v>
      </c>
      <c r="O113" s="204">
        <v>0</v>
      </c>
      <c r="P113" s="599">
        <v>130751</v>
      </c>
      <c r="Q113" s="599">
        <v>3868</v>
      </c>
      <c r="R113" s="605">
        <v>2100</v>
      </c>
      <c r="S113" s="416">
        <v>1.1599999999999999</v>
      </c>
      <c r="T113" s="607">
        <v>0</v>
      </c>
      <c r="U113" s="737">
        <v>1.1599999999999999</v>
      </c>
      <c r="V113" s="424">
        <f t="shared" si="98"/>
        <v>0</v>
      </c>
      <c r="W113" s="418">
        <f t="shared" si="99"/>
        <v>0</v>
      </c>
      <c r="X113" s="418">
        <v>0</v>
      </c>
      <c r="Y113" s="418">
        <v>0</v>
      </c>
      <c r="Z113" s="418">
        <v>0</v>
      </c>
      <c r="AA113" s="418">
        <v>194906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194906</v>
      </c>
      <c r="AF113" s="418">
        <f t="shared" si="100"/>
        <v>194906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si="101"/>
        <v>0</v>
      </c>
      <c r="AM113" s="418">
        <f t="shared" si="102"/>
        <v>0</v>
      </c>
      <c r="AN113" s="418">
        <f t="shared" si="103"/>
        <v>0</v>
      </c>
      <c r="AO113" s="418">
        <f t="shared" si="104"/>
        <v>0</v>
      </c>
      <c r="AP113" s="418">
        <f t="shared" si="105"/>
        <v>194906</v>
      </c>
      <c r="AQ113" s="418">
        <f t="shared" si="106"/>
        <v>194906</v>
      </c>
      <c r="AR113" s="68">
        <f t="shared" si="107"/>
        <v>65878</v>
      </c>
      <c r="AS113" s="68">
        <f t="shared" si="108"/>
        <v>1949</v>
      </c>
      <c r="AT113" s="418">
        <v>0</v>
      </c>
      <c r="AU113" s="418">
        <v>1020</v>
      </c>
      <c r="AV113" s="418">
        <f t="shared" si="109"/>
        <v>1020</v>
      </c>
      <c r="AW113" s="418">
        <f t="shared" si="110"/>
        <v>263753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0.57999999999999996</v>
      </c>
      <c r="BC113" s="419">
        <v>0</v>
      </c>
      <c r="BD113" s="419">
        <v>0</v>
      </c>
      <c r="BE113" s="419">
        <v>0</v>
      </c>
      <c r="BF113" s="419">
        <f t="shared" si="111"/>
        <v>0</v>
      </c>
      <c r="BG113" s="419">
        <f t="shared" si="112"/>
        <v>0.57999999999999996</v>
      </c>
      <c r="BH113" s="421">
        <f t="shared" si="113"/>
        <v>0.57999999999999996</v>
      </c>
      <c r="BI113" s="780">
        <f>I113+AW113</f>
        <v>787309</v>
      </c>
      <c r="BJ113" s="418">
        <f>J113+AF113</f>
        <v>581743</v>
      </c>
      <c r="BK113" s="418">
        <f t="shared" si="177"/>
        <v>0</v>
      </c>
      <c r="BL113" s="418">
        <f t="shared" si="177"/>
        <v>581743</v>
      </c>
      <c r="BM113" s="418">
        <f>M113+AN113</f>
        <v>0</v>
      </c>
      <c r="BN113" s="418">
        <f t="shared" si="178"/>
        <v>0</v>
      </c>
      <c r="BO113" s="418">
        <f t="shared" si="178"/>
        <v>0</v>
      </c>
      <c r="BP113" s="418">
        <f t="shared" si="179"/>
        <v>196629</v>
      </c>
      <c r="BQ113" s="418">
        <f t="shared" si="179"/>
        <v>5817</v>
      </c>
      <c r="BR113" s="418">
        <f>R113+AV113</f>
        <v>3120</v>
      </c>
      <c r="BS113" s="419">
        <f>S113+BH113</f>
        <v>1.7399999999999998</v>
      </c>
      <c r="BT113" s="419">
        <f t="shared" si="180"/>
        <v>0</v>
      </c>
      <c r="BU113" s="421">
        <f t="shared" si="180"/>
        <v>1.7399999999999998</v>
      </c>
      <c r="BV113" s="420"/>
      <c r="BW113" s="415"/>
      <c r="BX113" s="415"/>
      <c r="BY113" s="415"/>
      <c r="BZ113" s="415"/>
      <c r="CA113" s="510"/>
    </row>
    <row r="114" spans="1:79" ht="14.1" customHeight="1" x14ac:dyDescent="0.2">
      <c r="A114" s="72">
        <v>27</v>
      </c>
      <c r="B114" s="69">
        <v>2443</v>
      </c>
      <c r="C114" s="70">
        <v>600079309</v>
      </c>
      <c r="D114" s="69">
        <v>72743051</v>
      </c>
      <c r="E114" s="71" t="s">
        <v>587</v>
      </c>
      <c r="F114" s="72"/>
      <c r="G114" s="71"/>
      <c r="H114" s="73"/>
      <c r="I114" s="517">
        <v>5498788</v>
      </c>
      <c r="J114" s="74">
        <v>4065778</v>
      </c>
      <c r="K114" s="74">
        <v>3346272</v>
      </c>
      <c r="L114" s="74">
        <v>719506</v>
      </c>
      <c r="M114" s="74">
        <v>0</v>
      </c>
      <c r="N114" s="74">
        <v>0</v>
      </c>
      <c r="O114" s="74">
        <v>0</v>
      </c>
      <c r="P114" s="74">
        <v>1374233</v>
      </c>
      <c r="Q114" s="74">
        <v>40657</v>
      </c>
      <c r="R114" s="74">
        <v>18120</v>
      </c>
      <c r="S114" s="75">
        <v>8.2799999999999994</v>
      </c>
      <c r="T114" s="75">
        <v>6</v>
      </c>
      <c r="U114" s="658">
        <v>2.2800000000000002</v>
      </c>
      <c r="V114" s="517">
        <f t="shared" ref="V114:BU114" si="181">SUM(V111:V113)</f>
        <v>0</v>
      </c>
      <c r="W114" s="74">
        <f t="shared" si="181"/>
        <v>0</v>
      </c>
      <c r="X114" s="74">
        <f t="shared" si="181"/>
        <v>0</v>
      </c>
      <c r="Y114" s="74">
        <f t="shared" si="181"/>
        <v>0</v>
      </c>
      <c r="Z114" s="74">
        <f t="shared" si="181"/>
        <v>0</v>
      </c>
      <c r="AA114" s="74">
        <f t="shared" si="181"/>
        <v>194906</v>
      </c>
      <c r="AB114" s="74">
        <f t="shared" si="181"/>
        <v>0</v>
      </c>
      <c r="AC114" s="74">
        <f t="shared" si="181"/>
        <v>0</v>
      </c>
      <c r="AD114" s="74">
        <f t="shared" si="181"/>
        <v>0</v>
      </c>
      <c r="AE114" s="74">
        <f t="shared" si="181"/>
        <v>194906</v>
      </c>
      <c r="AF114" s="74">
        <f t="shared" si="181"/>
        <v>194906</v>
      </c>
      <c r="AG114" s="74">
        <f t="shared" si="181"/>
        <v>0</v>
      </c>
      <c r="AH114" s="74">
        <f t="shared" si="181"/>
        <v>0</v>
      </c>
      <c r="AI114" s="74">
        <f t="shared" si="181"/>
        <v>0</v>
      </c>
      <c r="AJ114" s="74">
        <f t="shared" si="181"/>
        <v>0</v>
      </c>
      <c r="AK114" s="74">
        <f t="shared" si="181"/>
        <v>0</v>
      </c>
      <c r="AL114" s="74">
        <f t="shared" si="181"/>
        <v>0</v>
      </c>
      <c r="AM114" s="74">
        <f t="shared" si="181"/>
        <v>0</v>
      </c>
      <c r="AN114" s="74">
        <f t="shared" si="181"/>
        <v>0</v>
      </c>
      <c r="AO114" s="74">
        <f t="shared" si="181"/>
        <v>0</v>
      </c>
      <c r="AP114" s="74">
        <f t="shared" si="181"/>
        <v>194906</v>
      </c>
      <c r="AQ114" s="74">
        <f t="shared" si="181"/>
        <v>194906</v>
      </c>
      <c r="AR114" s="74">
        <f t="shared" si="181"/>
        <v>65878</v>
      </c>
      <c r="AS114" s="74">
        <f t="shared" si="181"/>
        <v>1949</v>
      </c>
      <c r="AT114" s="74">
        <f t="shared" si="181"/>
        <v>0</v>
      </c>
      <c r="AU114" s="74">
        <f t="shared" si="181"/>
        <v>1020</v>
      </c>
      <c r="AV114" s="74">
        <f t="shared" si="181"/>
        <v>1020</v>
      </c>
      <c r="AW114" s="74">
        <f t="shared" si="181"/>
        <v>263753</v>
      </c>
      <c r="AX114" s="75">
        <f t="shared" si="181"/>
        <v>0</v>
      </c>
      <c r="AY114" s="75">
        <f t="shared" si="181"/>
        <v>0</v>
      </c>
      <c r="AZ114" s="75">
        <f t="shared" si="181"/>
        <v>0</v>
      </c>
      <c r="BA114" s="75">
        <f t="shared" si="181"/>
        <v>0</v>
      </c>
      <c r="BB114" s="75">
        <f t="shared" si="181"/>
        <v>0.57999999999999996</v>
      </c>
      <c r="BC114" s="75">
        <f t="shared" si="181"/>
        <v>0</v>
      </c>
      <c r="BD114" s="75">
        <f t="shared" si="181"/>
        <v>0</v>
      </c>
      <c r="BE114" s="75">
        <f t="shared" si="181"/>
        <v>0</v>
      </c>
      <c r="BF114" s="75">
        <f t="shared" si="181"/>
        <v>0</v>
      </c>
      <c r="BG114" s="75">
        <f t="shared" si="181"/>
        <v>0.57999999999999996</v>
      </c>
      <c r="BH114" s="76">
        <f t="shared" si="181"/>
        <v>0.57999999999999996</v>
      </c>
      <c r="BI114" s="799">
        <f t="shared" si="181"/>
        <v>5762541</v>
      </c>
      <c r="BJ114" s="74">
        <f t="shared" si="181"/>
        <v>4260684</v>
      </c>
      <c r="BK114" s="74">
        <f t="shared" si="181"/>
        <v>3346272</v>
      </c>
      <c r="BL114" s="74">
        <f t="shared" si="181"/>
        <v>914412</v>
      </c>
      <c r="BM114" s="74">
        <f t="shared" si="181"/>
        <v>0</v>
      </c>
      <c r="BN114" s="74">
        <f t="shared" si="181"/>
        <v>0</v>
      </c>
      <c r="BO114" s="74">
        <f t="shared" si="181"/>
        <v>0</v>
      </c>
      <c r="BP114" s="74">
        <f t="shared" si="181"/>
        <v>1440111</v>
      </c>
      <c r="BQ114" s="74">
        <f t="shared" si="181"/>
        <v>42606</v>
      </c>
      <c r="BR114" s="74">
        <f t="shared" si="181"/>
        <v>19140</v>
      </c>
      <c r="BS114" s="75">
        <f t="shared" si="181"/>
        <v>8.86</v>
      </c>
      <c r="BT114" s="75">
        <f t="shared" si="181"/>
        <v>6</v>
      </c>
      <c r="BU114" s="76">
        <f t="shared" si="181"/>
        <v>2.86</v>
      </c>
      <c r="BV114" s="809">
        <f t="shared" ref="BV114:CA114" si="182">SUM(BV111:BV113)</f>
        <v>0</v>
      </c>
      <c r="BW114" s="684">
        <f t="shared" si="182"/>
        <v>0</v>
      </c>
      <c r="BX114" s="684">
        <f t="shared" si="182"/>
        <v>0</v>
      </c>
      <c r="BY114" s="684">
        <f t="shared" si="182"/>
        <v>0</v>
      </c>
      <c r="BZ114" s="684">
        <f t="shared" si="182"/>
        <v>0</v>
      </c>
      <c r="CA114" s="810">
        <f t="shared" si="182"/>
        <v>0</v>
      </c>
    </row>
    <row r="115" spans="1:79" ht="14.1" customHeight="1" x14ac:dyDescent="0.2">
      <c r="A115" s="66">
        <v>28</v>
      </c>
      <c r="B115" s="63">
        <v>2425</v>
      </c>
      <c r="C115" s="64">
        <v>600079333</v>
      </c>
      <c r="D115" s="63">
        <v>72741864</v>
      </c>
      <c r="E115" s="65" t="s">
        <v>588</v>
      </c>
      <c r="F115" s="66">
        <v>3111</v>
      </c>
      <c r="G115" s="65" t="s">
        <v>290</v>
      </c>
      <c r="H115" s="67" t="s">
        <v>271</v>
      </c>
      <c r="I115" s="420">
        <v>3469135</v>
      </c>
      <c r="J115" s="415">
        <v>2564827</v>
      </c>
      <c r="K115" s="415">
        <v>2329707</v>
      </c>
      <c r="L115" s="415">
        <v>235120</v>
      </c>
      <c r="M115" s="415">
        <v>0</v>
      </c>
      <c r="N115" s="415">
        <v>0</v>
      </c>
      <c r="O115" s="415">
        <v>0</v>
      </c>
      <c r="P115" s="599">
        <v>866912</v>
      </c>
      <c r="Q115" s="599">
        <v>25648</v>
      </c>
      <c r="R115" s="415">
        <v>11748</v>
      </c>
      <c r="S115" s="416">
        <v>4.8001000000000005</v>
      </c>
      <c r="T115" s="416">
        <v>4</v>
      </c>
      <c r="U115" s="423">
        <v>0.80010000000000003</v>
      </c>
      <c r="V115" s="424">
        <f t="shared" si="98"/>
        <v>0</v>
      </c>
      <c r="W115" s="418">
        <f t="shared" si="99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 t="shared" si="100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101"/>
        <v>0</v>
      </c>
      <c r="AM115" s="418">
        <f t="shared" si="102"/>
        <v>0</v>
      </c>
      <c r="AN115" s="418">
        <f t="shared" si="103"/>
        <v>0</v>
      </c>
      <c r="AO115" s="418">
        <f t="shared" si="104"/>
        <v>0</v>
      </c>
      <c r="AP115" s="418">
        <f t="shared" si="105"/>
        <v>0</v>
      </c>
      <c r="AQ115" s="418">
        <f t="shared" si="106"/>
        <v>0</v>
      </c>
      <c r="AR115" s="68">
        <f t="shared" si="107"/>
        <v>0</v>
      </c>
      <c r="AS115" s="68">
        <f t="shared" si="108"/>
        <v>0</v>
      </c>
      <c r="AT115" s="418">
        <v>0</v>
      </c>
      <c r="AU115" s="418">
        <v>0</v>
      </c>
      <c r="AV115" s="418">
        <f t="shared" si="109"/>
        <v>0</v>
      </c>
      <c r="AW115" s="418">
        <f t="shared" si="110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111"/>
        <v>0</v>
      </c>
      <c r="BG115" s="419">
        <f t="shared" si="112"/>
        <v>0</v>
      </c>
      <c r="BH115" s="421">
        <f t="shared" si="113"/>
        <v>0</v>
      </c>
      <c r="BI115" s="780">
        <f>I115+AW115</f>
        <v>3469135</v>
      </c>
      <c r="BJ115" s="418">
        <f>J115+AF115</f>
        <v>2564827</v>
      </c>
      <c r="BK115" s="418">
        <f>K115+AD115</f>
        <v>2329707</v>
      </c>
      <c r="BL115" s="418">
        <f>L115+AE115</f>
        <v>235120</v>
      </c>
      <c r="BM115" s="418">
        <f>M115+AN115</f>
        <v>0</v>
      </c>
      <c r="BN115" s="418">
        <f>N115+AL115</f>
        <v>0</v>
      </c>
      <c r="BO115" s="418">
        <f>O115+AM115</f>
        <v>0</v>
      </c>
      <c r="BP115" s="418">
        <f>P115+AR115</f>
        <v>866912</v>
      </c>
      <c r="BQ115" s="418">
        <f>Q115+AS115</f>
        <v>25648</v>
      </c>
      <c r="BR115" s="418">
        <f>R115+AV115</f>
        <v>11748</v>
      </c>
      <c r="BS115" s="419">
        <f>S115+BH115</f>
        <v>4.8001000000000005</v>
      </c>
      <c r="BT115" s="419">
        <f>T115+BF115</f>
        <v>4</v>
      </c>
      <c r="BU115" s="421">
        <f>U115+BG115</f>
        <v>0.80010000000000003</v>
      </c>
      <c r="BV115" s="420"/>
      <c r="BW115" s="415"/>
      <c r="BX115" s="415"/>
      <c r="BY115" s="415"/>
      <c r="BZ115" s="415"/>
      <c r="CA115" s="510"/>
    </row>
    <row r="116" spans="1:79" ht="14.1" customHeight="1" x14ac:dyDescent="0.2">
      <c r="A116" s="66">
        <v>28</v>
      </c>
      <c r="B116" s="63">
        <v>2425</v>
      </c>
      <c r="C116" s="64">
        <v>600079333</v>
      </c>
      <c r="D116" s="63">
        <v>72741864</v>
      </c>
      <c r="E116" s="65" t="s">
        <v>588</v>
      </c>
      <c r="F116" s="66">
        <v>3141</v>
      </c>
      <c r="G116" s="65" t="s">
        <v>294</v>
      </c>
      <c r="H116" s="67" t="s">
        <v>272</v>
      </c>
      <c r="I116" s="420">
        <v>424099</v>
      </c>
      <c r="J116" s="415">
        <v>313471</v>
      </c>
      <c r="K116" s="415">
        <v>0</v>
      </c>
      <c r="L116" s="750">
        <v>313471</v>
      </c>
      <c r="M116" s="415">
        <v>0</v>
      </c>
      <c r="N116" s="204">
        <v>0</v>
      </c>
      <c r="O116" s="204">
        <v>0</v>
      </c>
      <c r="P116" s="599">
        <v>105953</v>
      </c>
      <c r="Q116" s="599">
        <v>3135</v>
      </c>
      <c r="R116" s="605">
        <v>1540</v>
      </c>
      <c r="S116" s="416">
        <v>0.94</v>
      </c>
      <c r="T116" s="607">
        <v>0</v>
      </c>
      <c r="U116" s="737">
        <v>0.94</v>
      </c>
      <c r="V116" s="424">
        <f t="shared" si="98"/>
        <v>0</v>
      </c>
      <c r="W116" s="418">
        <f t="shared" si="99"/>
        <v>0</v>
      </c>
      <c r="X116" s="418">
        <v>0</v>
      </c>
      <c r="Y116" s="418">
        <v>0</v>
      </c>
      <c r="Z116" s="418">
        <v>0</v>
      </c>
      <c r="AA116" s="418">
        <v>157496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157496</v>
      </c>
      <c r="AF116" s="418">
        <f t="shared" si="100"/>
        <v>157496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101"/>
        <v>0</v>
      </c>
      <c r="AM116" s="418">
        <f t="shared" si="102"/>
        <v>0</v>
      </c>
      <c r="AN116" s="418">
        <f t="shared" si="103"/>
        <v>0</v>
      </c>
      <c r="AO116" s="418">
        <f t="shared" si="104"/>
        <v>0</v>
      </c>
      <c r="AP116" s="418">
        <f t="shared" si="105"/>
        <v>157496</v>
      </c>
      <c r="AQ116" s="418">
        <f t="shared" si="106"/>
        <v>157496</v>
      </c>
      <c r="AR116" s="68">
        <f t="shared" si="107"/>
        <v>53234</v>
      </c>
      <c r="AS116" s="68">
        <f t="shared" si="108"/>
        <v>1575</v>
      </c>
      <c r="AT116" s="418">
        <v>0</v>
      </c>
      <c r="AU116" s="418">
        <v>748</v>
      </c>
      <c r="AV116" s="418">
        <f t="shared" si="109"/>
        <v>748</v>
      </c>
      <c r="AW116" s="418">
        <f t="shared" si="110"/>
        <v>213053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0.47</v>
      </c>
      <c r="BC116" s="419">
        <v>0</v>
      </c>
      <c r="BD116" s="419">
        <v>0</v>
      </c>
      <c r="BE116" s="419">
        <v>0</v>
      </c>
      <c r="BF116" s="419">
        <f t="shared" si="111"/>
        <v>0</v>
      </c>
      <c r="BG116" s="419">
        <f t="shared" si="112"/>
        <v>0.47</v>
      </c>
      <c r="BH116" s="421">
        <f t="shared" si="113"/>
        <v>0.47</v>
      </c>
      <c r="BI116" s="780">
        <f>I116+AW116</f>
        <v>637152</v>
      </c>
      <c r="BJ116" s="418">
        <f>J116+AF116</f>
        <v>470967</v>
      </c>
      <c r="BK116" s="418">
        <f>K116+AD116</f>
        <v>0</v>
      </c>
      <c r="BL116" s="418">
        <f>L116+AE116</f>
        <v>470967</v>
      </c>
      <c r="BM116" s="418">
        <f>M116+AN116</f>
        <v>0</v>
      </c>
      <c r="BN116" s="418">
        <f>N116+AL116</f>
        <v>0</v>
      </c>
      <c r="BO116" s="418">
        <f>O116+AM116</f>
        <v>0</v>
      </c>
      <c r="BP116" s="418">
        <f>P116+AR116</f>
        <v>159187</v>
      </c>
      <c r="BQ116" s="418">
        <f>Q116+AS116</f>
        <v>4710</v>
      </c>
      <c r="BR116" s="418">
        <f>R116+AV116</f>
        <v>2288</v>
      </c>
      <c r="BS116" s="419">
        <f>S116+BH116</f>
        <v>1.41</v>
      </c>
      <c r="BT116" s="419">
        <f>T116+BF116</f>
        <v>0</v>
      </c>
      <c r="BU116" s="421">
        <f>U116+BG116</f>
        <v>1.41</v>
      </c>
      <c r="BV116" s="420"/>
      <c r="BW116" s="415"/>
      <c r="BX116" s="415"/>
      <c r="BY116" s="415"/>
      <c r="BZ116" s="415"/>
      <c r="CA116" s="510"/>
    </row>
    <row r="117" spans="1:79" ht="14.1" customHeight="1" x14ac:dyDescent="0.2">
      <c r="A117" s="72">
        <v>28</v>
      </c>
      <c r="B117" s="69">
        <v>2425</v>
      </c>
      <c r="C117" s="70">
        <v>600079333</v>
      </c>
      <c r="D117" s="69">
        <v>72741864</v>
      </c>
      <c r="E117" s="71" t="s">
        <v>589</v>
      </c>
      <c r="F117" s="72"/>
      <c r="G117" s="71"/>
      <c r="H117" s="73"/>
      <c r="I117" s="517">
        <v>3893234</v>
      </c>
      <c r="J117" s="74">
        <v>2878298</v>
      </c>
      <c r="K117" s="74">
        <v>2329707</v>
      </c>
      <c r="L117" s="74">
        <v>548591</v>
      </c>
      <c r="M117" s="74">
        <v>0</v>
      </c>
      <c r="N117" s="74">
        <v>0</v>
      </c>
      <c r="O117" s="74">
        <v>0</v>
      </c>
      <c r="P117" s="74">
        <v>972865</v>
      </c>
      <c r="Q117" s="74">
        <v>28783</v>
      </c>
      <c r="R117" s="74">
        <v>13288</v>
      </c>
      <c r="S117" s="75">
        <v>5.7401</v>
      </c>
      <c r="T117" s="75">
        <v>4</v>
      </c>
      <c r="U117" s="658">
        <v>1.7401</v>
      </c>
      <c r="V117" s="517">
        <f t="shared" ref="V117:BU117" si="183">SUM(V115:V116)</f>
        <v>0</v>
      </c>
      <c r="W117" s="74">
        <f t="shared" si="183"/>
        <v>0</v>
      </c>
      <c r="X117" s="74">
        <f t="shared" si="183"/>
        <v>0</v>
      </c>
      <c r="Y117" s="74">
        <f t="shared" si="183"/>
        <v>0</v>
      </c>
      <c r="Z117" s="74">
        <f t="shared" si="183"/>
        <v>0</v>
      </c>
      <c r="AA117" s="74">
        <f t="shared" si="183"/>
        <v>157496</v>
      </c>
      <c r="AB117" s="74">
        <f t="shared" si="183"/>
        <v>0</v>
      </c>
      <c r="AC117" s="74">
        <f t="shared" si="183"/>
        <v>0</v>
      </c>
      <c r="AD117" s="74">
        <f t="shared" si="183"/>
        <v>0</v>
      </c>
      <c r="AE117" s="74">
        <f t="shared" si="183"/>
        <v>157496</v>
      </c>
      <c r="AF117" s="74">
        <f t="shared" si="183"/>
        <v>157496</v>
      </c>
      <c r="AG117" s="74">
        <f t="shared" si="183"/>
        <v>0</v>
      </c>
      <c r="AH117" s="74">
        <f t="shared" si="183"/>
        <v>0</v>
      </c>
      <c r="AI117" s="74">
        <f t="shared" si="183"/>
        <v>0</v>
      </c>
      <c r="AJ117" s="74">
        <f t="shared" si="183"/>
        <v>0</v>
      </c>
      <c r="AK117" s="74">
        <f t="shared" si="183"/>
        <v>0</v>
      </c>
      <c r="AL117" s="74">
        <f t="shared" si="183"/>
        <v>0</v>
      </c>
      <c r="AM117" s="74">
        <f t="shared" si="183"/>
        <v>0</v>
      </c>
      <c r="AN117" s="74">
        <f t="shared" si="183"/>
        <v>0</v>
      </c>
      <c r="AO117" s="74">
        <f t="shared" si="183"/>
        <v>0</v>
      </c>
      <c r="AP117" s="74">
        <f t="shared" si="183"/>
        <v>157496</v>
      </c>
      <c r="AQ117" s="74">
        <f t="shared" si="183"/>
        <v>157496</v>
      </c>
      <c r="AR117" s="74">
        <f t="shared" si="183"/>
        <v>53234</v>
      </c>
      <c r="AS117" s="74">
        <f t="shared" si="183"/>
        <v>1575</v>
      </c>
      <c r="AT117" s="74">
        <f t="shared" si="183"/>
        <v>0</v>
      </c>
      <c r="AU117" s="74">
        <f t="shared" si="183"/>
        <v>748</v>
      </c>
      <c r="AV117" s="74">
        <f t="shared" si="183"/>
        <v>748</v>
      </c>
      <c r="AW117" s="74">
        <f t="shared" si="183"/>
        <v>213053</v>
      </c>
      <c r="AX117" s="75">
        <f t="shared" si="183"/>
        <v>0</v>
      </c>
      <c r="AY117" s="75">
        <f t="shared" si="183"/>
        <v>0</v>
      </c>
      <c r="AZ117" s="75">
        <f t="shared" si="183"/>
        <v>0</v>
      </c>
      <c r="BA117" s="75">
        <f t="shared" si="183"/>
        <v>0</v>
      </c>
      <c r="BB117" s="75">
        <f t="shared" si="183"/>
        <v>0.47</v>
      </c>
      <c r="BC117" s="75">
        <f t="shared" si="183"/>
        <v>0</v>
      </c>
      <c r="BD117" s="75">
        <f t="shared" si="183"/>
        <v>0</v>
      </c>
      <c r="BE117" s="75">
        <f t="shared" si="183"/>
        <v>0</v>
      </c>
      <c r="BF117" s="75">
        <f t="shared" si="183"/>
        <v>0</v>
      </c>
      <c r="BG117" s="75">
        <f t="shared" si="183"/>
        <v>0.47</v>
      </c>
      <c r="BH117" s="76">
        <f t="shared" si="183"/>
        <v>0.47</v>
      </c>
      <c r="BI117" s="799">
        <f t="shared" si="183"/>
        <v>4106287</v>
      </c>
      <c r="BJ117" s="74">
        <f t="shared" si="183"/>
        <v>3035794</v>
      </c>
      <c r="BK117" s="74">
        <f t="shared" si="183"/>
        <v>2329707</v>
      </c>
      <c r="BL117" s="74">
        <f t="shared" si="183"/>
        <v>706087</v>
      </c>
      <c r="BM117" s="74">
        <f t="shared" si="183"/>
        <v>0</v>
      </c>
      <c r="BN117" s="74">
        <f t="shared" si="183"/>
        <v>0</v>
      </c>
      <c r="BO117" s="74">
        <f t="shared" si="183"/>
        <v>0</v>
      </c>
      <c r="BP117" s="74">
        <f t="shared" si="183"/>
        <v>1026099</v>
      </c>
      <c r="BQ117" s="74">
        <f t="shared" si="183"/>
        <v>30358</v>
      </c>
      <c r="BR117" s="74">
        <f t="shared" si="183"/>
        <v>14036</v>
      </c>
      <c r="BS117" s="75">
        <f t="shared" si="183"/>
        <v>6.2101000000000006</v>
      </c>
      <c r="BT117" s="75">
        <f t="shared" si="183"/>
        <v>4</v>
      </c>
      <c r="BU117" s="76">
        <f t="shared" si="183"/>
        <v>2.2100999999999997</v>
      </c>
      <c r="BV117" s="809">
        <f t="shared" ref="BV117:CA117" si="184">SUM(BV115:BV116)</f>
        <v>0</v>
      </c>
      <c r="BW117" s="684">
        <f t="shared" si="184"/>
        <v>0</v>
      </c>
      <c r="BX117" s="684">
        <f t="shared" si="184"/>
        <v>0</v>
      </c>
      <c r="BY117" s="684">
        <f t="shared" si="184"/>
        <v>0</v>
      </c>
      <c r="BZ117" s="684">
        <f t="shared" si="184"/>
        <v>0</v>
      </c>
      <c r="CA117" s="810">
        <f t="shared" si="184"/>
        <v>0</v>
      </c>
    </row>
    <row r="118" spans="1:79" ht="14.1" customHeight="1" x14ac:dyDescent="0.2">
      <c r="A118" s="66">
        <v>29</v>
      </c>
      <c r="B118" s="63">
        <v>2433</v>
      </c>
      <c r="C118" s="64">
        <v>600079643</v>
      </c>
      <c r="D118" s="63">
        <v>66113334</v>
      </c>
      <c r="E118" s="65" t="s">
        <v>590</v>
      </c>
      <c r="F118" s="66">
        <v>3111</v>
      </c>
      <c r="G118" s="65" t="s">
        <v>290</v>
      </c>
      <c r="H118" s="67" t="s">
        <v>271</v>
      </c>
      <c r="I118" s="420">
        <v>7028334</v>
      </c>
      <c r="J118" s="415">
        <v>5194987</v>
      </c>
      <c r="K118" s="415">
        <v>4751441</v>
      </c>
      <c r="L118" s="415">
        <v>443546</v>
      </c>
      <c r="M118" s="415">
        <v>0</v>
      </c>
      <c r="N118" s="415">
        <v>0</v>
      </c>
      <c r="O118" s="415">
        <v>0</v>
      </c>
      <c r="P118" s="599">
        <v>1755906</v>
      </c>
      <c r="Q118" s="599">
        <v>51950</v>
      </c>
      <c r="R118" s="415">
        <v>25491</v>
      </c>
      <c r="S118" s="416">
        <v>9.9125999999999994</v>
      </c>
      <c r="T118" s="416">
        <v>8.4192999999999998</v>
      </c>
      <c r="U118" s="423">
        <v>1.4933000000000001</v>
      </c>
      <c r="V118" s="424">
        <f t="shared" si="98"/>
        <v>0</v>
      </c>
      <c r="W118" s="418">
        <f t="shared" si="99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 t="shared" si="100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101"/>
        <v>0</v>
      </c>
      <c r="AM118" s="418">
        <f t="shared" si="102"/>
        <v>0</v>
      </c>
      <c r="AN118" s="418">
        <f t="shared" si="103"/>
        <v>0</v>
      </c>
      <c r="AO118" s="418">
        <f t="shared" si="104"/>
        <v>0</v>
      </c>
      <c r="AP118" s="418">
        <f t="shared" si="105"/>
        <v>0</v>
      </c>
      <c r="AQ118" s="418">
        <f t="shared" si="106"/>
        <v>0</v>
      </c>
      <c r="AR118" s="68">
        <f t="shared" si="107"/>
        <v>0</v>
      </c>
      <c r="AS118" s="68">
        <f t="shared" si="108"/>
        <v>0</v>
      </c>
      <c r="AT118" s="418">
        <v>0</v>
      </c>
      <c r="AU118" s="418">
        <v>0</v>
      </c>
      <c r="AV118" s="418">
        <f t="shared" si="109"/>
        <v>0</v>
      </c>
      <c r="AW118" s="418">
        <f t="shared" si="110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111"/>
        <v>0</v>
      </c>
      <c r="BG118" s="419">
        <f t="shared" si="112"/>
        <v>0</v>
      </c>
      <c r="BH118" s="421">
        <f t="shared" si="113"/>
        <v>0</v>
      </c>
      <c r="BI118" s="780">
        <f>I118+AW118</f>
        <v>7028334</v>
      </c>
      <c r="BJ118" s="418">
        <f>J118+AF118</f>
        <v>5194987</v>
      </c>
      <c r="BK118" s="418">
        <f t="shared" ref="BK118:BL120" si="185">K118+AD118</f>
        <v>4751441</v>
      </c>
      <c r="BL118" s="418">
        <f t="shared" si="185"/>
        <v>443546</v>
      </c>
      <c r="BM118" s="418">
        <f>M118+AN118</f>
        <v>0</v>
      </c>
      <c r="BN118" s="418">
        <f t="shared" ref="BN118:BO120" si="186">N118+AL118</f>
        <v>0</v>
      </c>
      <c r="BO118" s="418">
        <f t="shared" si="186"/>
        <v>0</v>
      </c>
      <c r="BP118" s="418">
        <f t="shared" ref="BP118:BQ120" si="187">P118+AR118</f>
        <v>1755906</v>
      </c>
      <c r="BQ118" s="418">
        <f t="shared" si="187"/>
        <v>51950</v>
      </c>
      <c r="BR118" s="418">
        <f>R118+AV118</f>
        <v>25491</v>
      </c>
      <c r="BS118" s="419">
        <f>S118+BH118</f>
        <v>9.9125999999999994</v>
      </c>
      <c r="BT118" s="419">
        <f t="shared" ref="BT118:BU120" si="188">T118+BF118</f>
        <v>8.4192999999999998</v>
      </c>
      <c r="BU118" s="421">
        <f t="shared" si="188"/>
        <v>1.4933000000000001</v>
      </c>
      <c r="BV118" s="420"/>
      <c r="BW118" s="415"/>
      <c r="BX118" s="415"/>
      <c r="BY118" s="415"/>
      <c r="BZ118" s="415"/>
      <c r="CA118" s="510"/>
    </row>
    <row r="119" spans="1:79" ht="14.1" customHeight="1" x14ac:dyDescent="0.2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590</v>
      </c>
      <c r="F119" s="66">
        <v>3111</v>
      </c>
      <c r="G119" s="65" t="s">
        <v>291</v>
      </c>
      <c r="H119" s="67" t="s">
        <v>272</v>
      </c>
      <c r="I119" s="420">
        <v>1499519</v>
      </c>
      <c r="J119" s="415">
        <v>1112403</v>
      </c>
      <c r="K119" s="415">
        <v>1112403</v>
      </c>
      <c r="L119" s="415">
        <v>0</v>
      </c>
      <c r="M119" s="415">
        <v>0</v>
      </c>
      <c r="N119" s="415">
        <v>0</v>
      </c>
      <c r="O119" s="415">
        <v>0</v>
      </c>
      <c r="P119" s="599">
        <v>375992</v>
      </c>
      <c r="Q119" s="599">
        <v>11124</v>
      </c>
      <c r="R119" s="415">
        <v>0</v>
      </c>
      <c r="S119" s="416">
        <v>3</v>
      </c>
      <c r="T119" s="417">
        <v>3</v>
      </c>
      <c r="U119" s="423">
        <v>0</v>
      </c>
      <c r="V119" s="424">
        <f t="shared" si="98"/>
        <v>0</v>
      </c>
      <c r="W119" s="418">
        <f t="shared" si="99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 t="shared" si="100"/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101"/>
        <v>0</v>
      </c>
      <c r="AM119" s="418">
        <f t="shared" si="102"/>
        <v>0</v>
      </c>
      <c r="AN119" s="418">
        <f t="shared" si="103"/>
        <v>0</v>
      </c>
      <c r="AO119" s="418">
        <f t="shared" si="104"/>
        <v>0</v>
      </c>
      <c r="AP119" s="418">
        <f t="shared" si="105"/>
        <v>0</v>
      </c>
      <c r="AQ119" s="418">
        <f t="shared" si="106"/>
        <v>0</v>
      </c>
      <c r="AR119" s="68">
        <f t="shared" si="107"/>
        <v>0</v>
      </c>
      <c r="AS119" s="68">
        <f t="shared" si="108"/>
        <v>0</v>
      </c>
      <c r="AT119" s="418">
        <v>0</v>
      </c>
      <c r="AU119" s="418">
        <v>0</v>
      </c>
      <c r="AV119" s="418">
        <f t="shared" si="109"/>
        <v>0</v>
      </c>
      <c r="AW119" s="418">
        <f t="shared" si="110"/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 t="shared" si="111"/>
        <v>0</v>
      </c>
      <c r="BG119" s="419">
        <f t="shared" si="112"/>
        <v>0</v>
      </c>
      <c r="BH119" s="421">
        <f t="shared" si="113"/>
        <v>0</v>
      </c>
      <c r="BI119" s="780">
        <f>I119+AW119</f>
        <v>1499519</v>
      </c>
      <c r="BJ119" s="418">
        <f>J119+AF119</f>
        <v>1112403</v>
      </c>
      <c r="BK119" s="418">
        <f t="shared" si="185"/>
        <v>1112403</v>
      </c>
      <c r="BL119" s="418">
        <f t="shared" si="185"/>
        <v>0</v>
      </c>
      <c r="BM119" s="418">
        <f>M119+AN119</f>
        <v>0</v>
      </c>
      <c r="BN119" s="418">
        <f t="shared" si="186"/>
        <v>0</v>
      </c>
      <c r="BO119" s="418">
        <f t="shared" si="186"/>
        <v>0</v>
      </c>
      <c r="BP119" s="418">
        <f t="shared" si="187"/>
        <v>375992</v>
      </c>
      <c r="BQ119" s="418">
        <f t="shared" si="187"/>
        <v>11124</v>
      </c>
      <c r="BR119" s="418">
        <f>R119+AV119</f>
        <v>0</v>
      </c>
      <c r="BS119" s="419">
        <f>S119+BH119</f>
        <v>3</v>
      </c>
      <c r="BT119" s="419">
        <f t="shared" si="188"/>
        <v>3</v>
      </c>
      <c r="BU119" s="421">
        <f t="shared" si="188"/>
        <v>0</v>
      </c>
      <c r="BV119" s="420"/>
      <c r="BW119" s="415"/>
      <c r="BX119" s="415"/>
      <c r="BY119" s="415"/>
      <c r="BZ119" s="415"/>
      <c r="CA119" s="510"/>
    </row>
    <row r="120" spans="1:79" ht="14.1" customHeight="1" x14ac:dyDescent="0.2">
      <c r="A120" s="66">
        <v>29</v>
      </c>
      <c r="B120" s="63">
        <v>2433</v>
      </c>
      <c r="C120" s="64">
        <v>600079643</v>
      </c>
      <c r="D120" s="63">
        <v>66113334</v>
      </c>
      <c r="E120" s="65" t="s">
        <v>590</v>
      </c>
      <c r="F120" s="66">
        <v>3141</v>
      </c>
      <c r="G120" s="65" t="s">
        <v>294</v>
      </c>
      <c r="H120" s="67" t="s">
        <v>272</v>
      </c>
      <c r="I120" s="420">
        <v>598948</v>
      </c>
      <c r="J120" s="415">
        <v>442428</v>
      </c>
      <c r="K120" s="415">
        <v>0</v>
      </c>
      <c r="L120" s="750">
        <v>442428</v>
      </c>
      <c r="M120" s="415">
        <v>0</v>
      </c>
      <c r="N120" s="204">
        <v>0</v>
      </c>
      <c r="O120" s="204">
        <v>0</v>
      </c>
      <c r="P120" s="599">
        <v>149541</v>
      </c>
      <c r="Q120" s="599">
        <v>4424</v>
      </c>
      <c r="R120" s="605">
        <v>2555</v>
      </c>
      <c r="S120" s="416">
        <v>1.3267</v>
      </c>
      <c r="T120" s="607">
        <v>0</v>
      </c>
      <c r="U120" s="737">
        <v>1.3267</v>
      </c>
      <c r="V120" s="424">
        <f t="shared" si="98"/>
        <v>0</v>
      </c>
      <c r="W120" s="418">
        <f t="shared" si="99"/>
        <v>0</v>
      </c>
      <c r="X120" s="418">
        <v>0</v>
      </c>
      <c r="Y120" s="418">
        <v>0</v>
      </c>
      <c r="Z120" s="418">
        <v>0</v>
      </c>
      <c r="AA120" s="418">
        <v>221441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221441</v>
      </c>
      <c r="AF120" s="418">
        <f t="shared" si="100"/>
        <v>221441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 t="shared" si="101"/>
        <v>0</v>
      </c>
      <c r="AM120" s="418">
        <f t="shared" si="102"/>
        <v>0</v>
      </c>
      <c r="AN120" s="418">
        <f t="shared" si="103"/>
        <v>0</v>
      </c>
      <c r="AO120" s="418">
        <f t="shared" si="104"/>
        <v>0</v>
      </c>
      <c r="AP120" s="418">
        <f t="shared" si="105"/>
        <v>221441</v>
      </c>
      <c r="AQ120" s="418">
        <f t="shared" si="106"/>
        <v>221441</v>
      </c>
      <c r="AR120" s="68">
        <f t="shared" si="107"/>
        <v>74847</v>
      </c>
      <c r="AS120" s="68">
        <f t="shared" si="108"/>
        <v>2214</v>
      </c>
      <c r="AT120" s="418">
        <v>0</v>
      </c>
      <c r="AU120" s="418">
        <v>1241</v>
      </c>
      <c r="AV120" s="418">
        <f t="shared" si="109"/>
        <v>1241</v>
      </c>
      <c r="AW120" s="418">
        <f t="shared" si="110"/>
        <v>299743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0.66</v>
      </c>
      <c r="BC120" s="419">
        <v>0</v>
      </c>
      <c r="BD120" s="419">
        <v>0</v>
      </c>
      <c r="BE120" s="419">
        <v>0</v>
      </c>
      <c r="BF120" s="419">
        <f t="shared" si="111"/>
        <v>0</v>
      </c>
      <c r="BG120" s="419">
        <f t="shared" si="112"/>
        <v>0.66</v>
      </c>
      <c r="BH120" s="421">
        <f t="shared" si="113"/>
        <v>0.66</v>
      </c>
      <c r="BI120" s="780">
        <f>I120+AW120</f>
        <v>898691</v>
      </c>
      <c r="BJ120" s="418">
        <f>J120+AF120</f>
        <v>663869</v>
      </c>
      <c r="BK120" s="418">
        <f t="shared" si="185"/>
        <v>0</v>
      </c>
      <c r="BL120" s="418">
        <f t="shared" si="185"/>
        <v>663869</v>
      </c>
      <c r="BM120" s="418">
        <f>M120+AN120</f>
        <v>0</v>
      </c>
      <c r="BN120" s="418">
        <f t="shared" si="186"/>
        <v>0</v>
      </c>
      <c r="BO120" s="418">
        <f t="shared" si="186"/>
        <v>0</v>
      </c>
      <c r="BP120" s="418">
        <f t="shared" si="187"/>
        <v>224388</v>
      </c>
      <c r="BQ120" s="418">
        <f t="shared" si="187"/>
        <v>6638</v>
      </c>
      <c r="BR120" s="418">
        <f>R120+AV120</f>
        <v>3796</v>
      </c>
      <c r="BS120" s="419">
        <f>S120+BH120</f>
        <v>1.9866999999999999</v>
      </c>
      <c r="BT120" s="419">
        <f t="shared" si="188"/>
        <v>0</v>
      </c>
      <c r="BU120" s="421">
        <f t="shared" si="188"/>
        <v>1.9866999999999999</v>
      </c>
      <c r="BV120" s="420"/>
      <c r="BW120" s="415"/>
      <c r="BX120" s="415"/>
      <c r="BY120" s="415"/>
      <c r="BZ120" s="415"/>
      <c r="CA120" s="510"/>
    </row>
    <row r="121" spans="1:79" ht="14.1" customHeight="1" x14ac:dyDescent="0.2">
      <c r="A121" s="72">
        <v>29</v>
      </c>
      <c r="B121" s="69">
        <v>2433</v>
      </c>
      <c r="C121" s="70">
        <v>600079643</v>
      </c>
      <c r="D121" s="69">
        <v>66113334</v>
      </c>
      <c r="E121" s="71" t="s">
        <v>591</v>
      </c>
      <c r="F121" s="72"/>
      <c r="G121" s="71"/>
      <c r="H121" s="73"/>
      <c r="I121" s="517">
        <v>9126801</v>
      </c>
      <c r="J121" s="74">
        <v>6749818</v>
      </c>
      <c r="K121" s="74">
        <v>5863844</v>
      </c>
      <c r="L121" s="74">
        <v>885974</v>
      </c>
      <c r="M121" s="74">
        <v>0</v>
      </c>
      <c r="N121" s="74">
        <v>0</v>
      </c>
      <c r="O121" s="74">
        <v>0</v>
      </c>
      <c r="P121" s="74">
        <v>2281439</v>
      </c>
      <c r="Q121" s="74">
        <v>67498</v>
      </c>
      <c r="R121" s="74">
        <v>28046</v>
      </c>
      <c r="S121" s="75">
        <v>14.2393</v>
      </c>
      <c r="T121" s="75">
        <v>11.4193</v>
      </c>
      <c r="U121" s="658">
        <v>2.8200000000000003</v>
      </c>
      <c r="V121" s="517">
        <f t="shared" ref="V121:BU121" si="189">SUM(V118:V120)</f>
        <v>0</v>
      </c>
      <c r="W121" s="74">
        <f t="shared" si="189"/>
        <v>0</v>
      </c>
      <c r="X121" s="74">
        <f t="shared" si="189"/>
        <v>0</v>
      </c>
      <c r="Y121" s="74">
        <f t="shared" si="189"/>
        <v>0</v>
      </c>
      <c r="Z121" s="74">
        <f t="shared" si="189"/>
        <v>0</v>
      </c>
      <c r="AA121" s="74">
        <f t="shared" si="189"/>
        <v>221441</v>
      </c>
      <c r="AB121" s="74">
        <f t="shared" si="189"/>
        <v>0</v>
      </c>
      <c r="AC121" s="74">
        <f t="shared" si="189"/>
        <v>0</v>
      </c>
      <c r="AD121" s="74">
        <f t="shared" si="189"/>
        <v>0</v>
      </c>
      <c r="AE121" s="74">
        <f t="shared" si="189"/>
        <v>221441</v>
      </c>
      <c r="AF121" s="74">
        <f t="shared" si="189"/>
        <v>221441</v>
      </c>
      <c r="AG121" s="74">
        <f t="shared" si="189"/>
        <v>0</v>
      </c>
      <c r="AH121" s="74">
        <f t="shared" si="189"/>
        <v>0</v>
      </c>
      <c r="AI121" s="74">
        <f t="shared" si="189"/>
        <v>0</v>
      </c>
      <c r="AJ121" s="74">
        <f t="shared" si="189"/>
        <v>0</v>
      </c>
      <c r="AK121" s="74">
        <f t="shared" si="189"/>
        <v>0</v>
      </c>
      <c r="AL121" s="74">
        <f t="shared" si="189"/>
        <v>0</v>
      </c>
      <c r="AM121" s="74">
        <f t="shared" si="189"/>
        <v>0</v>
      </c>
      <c r="AN121" s="74">
        <f t="shared" si="189"/>
        <v>0</v>
      </c>
      <c r="AO121" s="74">
        <f t="shared" si="189"/>
        <v>0</v>
      </c>
      <c r="AP121" s="74">
        <f t="shared" si="189"/>
        <v>221441</v>
      </c>
      <c r="AQ121" s="74">
        <f t="shared" si="189"/>
        <v>221441</v>
      </c>
      <c r="AR121" s="74">
        <f t="shared" si="189"/>
        <v>74847</v>
      </c>
      <c r="AS121" s="74">
        <f t="shared" si="189"/>
        <v>2214</v>
      </c>
      <c r="AT121" s="74">
        <f t="shared" si="189"/>
        <v>0</v>
      </c>
      <c r="AU121" s="74">
        <f t="shared" si="189"/>
        <v>1241</v>
      </c>
      <c r="AV121" s="74">
        <f t="shared" si="189"/>
        <v>1241</v>
      </c>
      <c r="AW121" s="74">
        <f t="shared" si="189"/>
        <v>299743</v>
      </c>
      <c r="AX121" s="75">
        <f t="shared" si="189"/>
        <v>0</v>
      </c>
      <c r="AY121" s="75">
        <f t="shared" si="189"/>
        <v>0</v>
      </c>
      <c r="AZ121" s="75">
        <f t="shared" si="189"/>
        <v>0</v>
      </c>
      <c r="BA121" s="75">
        <f t="shared" si="189"/>
        <v>0</v>
      </c>
      <c r="BB121" s="75">
        <f t="shared" si="189"/>
        <v>0.66</v>
      </c>
      <c r="BC121" s="75">
        <f t="shared" si="189"/>
        <v>0</v>
      </c>
      <c r="BD121" s="75">
        <f t="shared" si="189"/>
        <v>0</v>
      </c>
      <c r="BE121" s="75">
        <f t="shared" si="189"/>
        <v>0</v>
      </c>
      <c r="BF121" s="75">
        <f t="shared" si="189"/>
        <v>0</v>
      </c>
      <c r="BG121" s="75">
        <f t="shared" si="189"/>
        <v>0.66</v>
      </c>
      <c r="BH121" s="76">
        <f t="shared" si="189"/>
        <v>0.66</v>
      </c>
      <c r="BI121" s="799">
        <f t="shared" si="189"/>
        <v>9426544</v>
      </c>
      <c r="BJ121" s="74">
        <f t="shared" si="189"/>
        <v>6971259</v>
      </c>
      <c r="BK121" s="74">
        <f t="shared" si="189"/>
        <v>5863844</v>
      </c>
      <c r="BL121" s="74">
        <f t="shared" si="189"/>
        <v>1107415</v>
      </c>
      <c r="BM121" s="74">
        <f t="shared" si="189"/>
        <v>0</v>
      </c>
      <c r="BN121" s="74">
        <f t="shared" si="189"/>
        <v>0</v>
      </c>
      <c r="BO121" s="74">
        <f t="shared" si="189"/>
        <v>0</v>
      </c>
      <c r="BP121" s="74">
        <f t="shared" si="189"/>
        <v>2356286</v>
      </c>
      <c r="BQ121" s="74">
        <f t="shared" si="189"/>
        <v>69712</v>
      </c>
      <c r="BR121" s="74">
        <f t="shared" si="189"/>
        <v>29287</v>
      </c>
      <c r="BS121" s="75">
        <f t="shared" si="189"/>
        <v>14.8993</v>
      </c>
      <c r="BT121" s="75">
        <f t="shared" si="189"/>
        <v>11.4193</v>
      </c>
      <c r="BU121" s="76">
        <f t="shared" si="189"/>
        <v>3.48</v>
      </c>
      <c r="BV121" s="809">
        <f t="shared" ref="BV121:CA121" si="190">SUM(BV118:BV120)</f>
        <v>0</v>
      </c>
      <c r="BW121" s="684">
        <f t="shared" si="190"/>
        <v>0</v>
      </c>
      <c r="BX121" s="684">
        <f t="shared" si="190"/>
        <v>0</v>
      </c>
      <c r="BY121" s="684">
        <f t="shared" si="190"/>
        <v>0</v>
      </c>
      <c r="BZ121" s="684">
        <f t="shared" si="190"/>
        <v>0</v>
      </c>
      <c r="CA121" s="810">
        <f t="shared" si="190"/>
        <v>0</v>
      </c>
    </row>
    <row r="122" spans="1:79" ht="14.1" customHeight="1" x14ac:dyDescent="0.2">
      <c r="A122" s="66">
        <v>30</v>
      </c>
      <c r="B122" s="63">
        <v>2435</v>
      </c>
      <c r="C122" s="64">
        <v>600079341</v>
      </c>
      <c r="D122" s="63">
        <v>72743069</v>
      </c>
      <c r="E122" s="65" t="s">
        <v>592</v>
      </c>
      <c r="F122" s="66">
        <v>3111</v>
      </c>
      <c r="G122" s="65" t="s">
        <v>290</v>
      </c>
      <c r="H122" s="67" t="s">
        <v>271</v>
      </c>
      <c r="I122" s="420">
        <v>7186943</v>
      </c>
      <c r="J122" s="415">
        <v>5315153</v>
      </c>
      <c r="K122" s="415">
        <v>4839959</v>
      </c>
      <c r="L122" s="415">
        <v>475194</v>
      </c>
      <c r="M122" s="415">
        <v>0</v>
      </c>
      <c r="N122" s="415">
        <v>0</v>
      </c>
      <c r="O122" s="415">
        <v>0</v>
      </c>
      <c r="P122" s="599">
        <v>1796522</v>
      </c>
      <c r="Q122" s="599">
        <v>53152</v>
      </c>
      <c r="R122" s="415">
        <v>22116</v>
      </c>
      <c r="S122" s="416">
        <v>9.8780999999999999</v>
      </c>
      <c r="T122" s="416">
        <v>8.2579999999999991</v>
      </c>
      <c r="U122" s="423">
        <v>1.6200999999999999</v>
      </c>
      <c r="V122" s="424">
        <f t="shared" si="98"/>
        <v>0</v>
      </c>
      <c r="W122" s="418">
        <f t="shared" si="99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 t="shared" si="100"/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 t="shared" si="101"/>
        <v>0</v>
      </c>
      <c r="AM122" s="418">
        <f t="shared" si="102"/>
        <v>0</v>
      </c>
      <c r="AN122" s="418">
        <f t="shared" si="103"/>
        <v>0</v>
      </c>
      <c r="AO122" s="418">
        <f t="shared" si="104"/>
        <v>0</v>
      </c>
      <c r="AP122" s="418">
        <f t="shared" si="105"/>
        <v>0</v>
      </c>
      <c r="AQ122" s="418">
        <f t="shared" si="106"/>
        <v>0</v>
      </c>
      <c r="AR122" s="68">
        <f t="shared" si="107"/>
        <v>0</v>
      </c>
      <c r="AS122" s="68">
        <f t="shared" si="108"/>
        <v>0</v>
      </c>
      <c r="AT122" s="418">
        <v>0</v>
      </c>
      <c r="AU122" s="418">
        <v>0</v>
      </c>
      <c r="AV122" s="418">
        <f t="shared" si="109"/>
        <v>0</v>
      </c>
      <c r="AW122" s="418">
        <f t="shared" si="110"/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si="111"/>
        <v>0</v>
      </c>
      <c r="BG122" s="419">
        <f t="shared" si="112"/>
        <v>0</v>
      </c>
      <c r="BH122" s="421">
        <f t="shared" si="113"/>
        <v>0</v>
      </c>
      <c r="BI122" s="780">
        <f>I122+AW122</f>
        <v>7186943</v>
      </c>
      <c r="BJ122" s="418">
        <f>J122+AF122</f>
        <v>5315153</v>
      </c>
      <c r="BK122" s="418">
        <f t="shared" ref="BK122:BL125" si="191">K122+AD122</f>
        <v>4839959</v>
      </c>
      <c r="BL122" s="418">
        <f t="shared" si="191"/>
        <v>475194</v>
      </c>
      <c r="BM122" s="418">
        <f>M122+AN122</f>
        <v>0</v>
      </c>
      <c r="BN122" s="418">
        <f t="shared" ref="BN122:BO125" si="192">N122+AL122</f>
        <v>0</v>
      </c>
      <c r="BO122" s="418">
        <f t="shared" si="192"/>
        <v>0</v>
      </c>
      <c r="BP122" s="418">
        <f t="shared" ref="BP122:BQ125" si="193">P122+AR122</f>
        <v>1796522</v>
      </c>
      <c r="BQ122" s="418">
        <f t="shared" si="193"/>
        <v>53152</v>
      </c>
      <c r="BR122" s="418">
        <f>R122+AV122</f>
        <v>22116</v>
      </c>
      <c r="BS122" s="419">
        <f>S122+BH122</f>
        <v>9.8780999999999999</v>
      </c>
      <c r="BT122" s="419">
        <f t="shared" ref="BT122:BU125" si="194">T122+BF122</f>
        <v>8.2579999999999991</v>
      </c>
      <c r="BU122" s="421">
        <f t="shared" si="194"/>
        <v>1.6200999999999999</v>
      </c>
      <c r="BV122" s="420"/>
      <c r="BW122" s="415"/>
      <c r="BX122" s="415"/>
      <c r="BY122" s="415"/>
      <c r="BZ122" s="415"/>
      <c r="CA122" s="510"/>
    </row>
    <row r="123" spans="1:79" ht="14.1" customHeight="1" x14ac:dyDescent="0.2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592</v>
      </c>
      <c r="F123" s="66">
        <v>3111</v>
      </c>
      <c r="G123" s="43" t="s">
        <v>292</v>
      </c>
      <c r="H123" s="67" t="s">
        <v>271</v>
      </c>
      <c r="I123" s="420">
        <v>534617</v>
      </c>
      <c r="J123" s="415">
        <v>396600</v>
      </c>
      <c r="K123" s="415">
        <v>396600</v>
      </c>
      <c r="L123" s="415">
        <v>0</v>
      </c>
      <c r="M123" s="415">
        <v>0</v>
      </c>
      <c r="N123" s="415">
        <v>0</v>
      </c>
      <c r="O123" s="415">
        <v>0</v>
      </c>
      <c r="P123" s="599">
        <v>134051</v>
      </c>
      <c r="Q123" s="599">
        <v>3966</v>
      </c>
      <c r="R123" s="415">
        <v>0</v>
      </c>
      <c r="S123" s="416">
        <v>1</v>
      </c>
      <c r="T123" s="416">
        <v>1</v>
      </c>
      <c r="U123" s="423">
        <v>0</v>
      </c>
      <c r="V123" s="424">
        <f t="shared" si="98"/>
        <v>0</v>
      </c>
      <c r="W123" s="418">
        <f t="shared" si="99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0</v>
      </c>
      <c r="AF123" s="418">
        <f t="shared" si="100"/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 t="shared" si="101"/>
        <v>0</v>
      </c>
      <c r="AM123" s="418">
        <f t="shared" si="102"/>
        <v>0</v>
      </c>
      <c r="AN123" s="418">
        <f t="shared" si="103"/>
        <v>0</v>
      </c>
      <c r="AO123" s="418">
        <f t="shared" si="104"/>
        <v>0</v>
      </c>
      <c r="AP123" s="418">
        <f t="shared" si="105"/>
        <v>0</v>
      </c>
      <c r="AQ123" s="418">
        <f t="shared" si="106"/>
        <v>0</v>
      </c>
      <c r="AR123" s="68">
        <f t="shared" si="107"/>
        <v>0</v>
      </c>
      <c r="AS123" s="68">
        <f t="shared" si="108"/>
        <v>0</v>
      </c>
      <c r="AT123" s="418">
        <v>0</v>
      </c>
      <c r="AU123" s="418">
        <v>0</v>
      </c>
      <c r="AV123" s="418">
        <f t="shared" si="109"/>
        <v>0</v>
      </c>
      <c r="AW123" s="418">
        <f t="shared" si="110"/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111"/>
        <v>0</v>
      </c>
      <c r="BG123" s="419">
        <f t="shared" si="112"/>
        <v>0</v>
      </c>
      <c r="BH123" s="421">
        <f t="shared" si="113"/>
        <v>0</v>
      </c>
      <c r="BI123" s="780">
        <f>I123+AW123</f>
        <v>534617</v>
      </c>
      <c r="BJ123" s="418">
        <f>J123+AF123</f>
        <v>396600</v>
      </c>
      <c r="BK123" s="418">
        <f t="shared" si="191"/>
        <v>396600</v>
      </c>
      <c r="BL123" s="418">
        <f t="shared" si="191"/>
        <v>0</v>
      </c>
      <c r="BM123" s="418">
        <f>M123+AN123</f>
        <v>0</v>
      </c>
      <c r="BN123" s="418">
        <f t="shared" si="192"/>
        <v>0</v>
      </c>
      <c r="BO123" s="418">
        <f t="shared" si="192"/>
        <v>0</v>
      </c>
      <c r="BP123" s="418">
        <f t="shared" si="193"/>
        <v>134051</v>
      </c>
      <c r="BQ123" s="418">
        <f t="shared" si="193"/>
        <v>3966</v>
      </c>
      <c r="BR123" s="418">
        <f>R123+AV123</f>
        <v>0</v>
      </c>
      <c r="BS123" s="419">
        <f>S123+BH123</f>
        <v>1</v>
      </c>
      <c r="BT123" s="419">
        <f t="shared" si="194"/>
        <v>1</v>
      </c>
      <c r="BU123" s="421">
        <f t="shared" si="194"/>
        <v>0</v>
      </c>
      <c r="BV123" s="420"/>
      <c r="BW123" s="415"/>
      <c r="BX123" s="415"/>
      <c r="BY123" s="415"/>
      <c r="BZ123" s="415"/>
      <c r="CA123" s="510"/>
    </row>
    <row r="124" spans="1:79" ht="14.1" customHeight="1" x14ac:dyDescent="0.2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592</v>
      </c>
      <c r="F124" s="66">
        <v>3111</v>
      </c>
      <c r="G124" s="43" t="s">
        <v>291</v>
      </c>
      <c r="H124" s="67" t="s">
        <v>272</v>
      </c>
      <c r="I124" s="420">
        <v>499840</v>
      </c>
      <c r="J124" s="415">
        <v>370801</v>
      </c>
      <c r="K124" s="415">
        <v>370801</v>
      </c>
      <c r="L124" s="415">
        <v>0</v>
      </c>
      <c r="M124" s="415">
        <v>0</v>
      </c>
      <c r="N124" s="415">
        <v>0</v>
      </c>
      <c r="O124" s="415">
        <v>0</v>
      </c>
      <c r="P124" s="599">
        <v>125331</v>
      </c>
      <c r="Q124" s="599">
        <v>3708</v>
      </c>
      <c r="R124" s="415">
        <v>0</v>
      </c>
      <c r="S124" s="416">
        <v>1</v>
      </c>
      <c r="T124" s="417">
        <v>1</v>
      </c>
      <c r="U124" s="423">
        <v>0</v>
      </c>
      <c r="V124" s="424">
        <f t="shared" si="98"/>
        <v>0</v>
      </c>
      <c r="W124" s="418">
        <f t="shared" si="99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 t="shared" si="100"/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 t="shared" si="101"/>
        <v>0</v>
      </c>
      <c r="AM124" s="418">
        <f t="shared" si="102"/>
        <v>0</v>
      </c>
      <c r="AN124" s="418">
        <f t="shared" si="103"/>
        <v>0</v>
      </c>
      <c r="AO124" s="418">
        <f t="shared" si="104"/>
        <v>0</v>
      </c>
      <c r="AP124" s="418">
        <f t="shared" si="105"/>
        <v>0</v>
      </c>
      <c r="AQ124" s="418">
        <f t="shared" si="106"/>
        <v>0</v>
      </c>
      <c r="AR124" s="68">
        <f t="shared" si="107"/>
        <v>0</v>
      </c>
      <c r="AS124" s="68">
        <f t="shared" si="108"/>
        <v>0</v>
      </c>
      <c r="AT124" s="418">
        <v>0</v>
      </c>
      <c r="AU124" s="418">
        <v>0</v>
      </c>
      <c r="AV124" s="418">
        <f t="shared" si="109"/>
        <v>0</v>
      </c>
      <c r="AW124" s="418">
        <f t="shared" si="110"/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 t="shared" si="111"/>
        <v>0</v>
      </c>
      <c r="BG124" s="419">
        <f t="shared" si="112"/>
        <v>0</v>
      </c>
      <c r="BH124" s="421">
        <f t="shared" si="113"/>
        <v>0</v>
      </c>
      <c r="BI124" s="780">
        <f>I124+AW124</f>
        <v>499840</v>
      </c>
      <c r="BJ124" s="418">
        <f>J124+AF124</f>
        <v>370801</v>
      </c>
      <c r="BK124" s="418">
        <f t="shared" si="191"/>
        <v>370801</v>
      </c>
      <c r="BL124" s="418">
        <f t="shared" si="191"/>
        <v>0</v>
      </c>
      <c r="BM124" s="418">
        <f>M124+AN124</f>
        <v>0</v>
      </c>
      <c r="BN124" s="418">
        <f t="shared" si="192"/>
        <v>0</v>
      </c>
      <c r="BO124" s="418">
        <f t="shared" si="192"/>
        <v>0</v>
      </c>
      <c r="BP124" s="418">
        <f t="shared" si="193"/>
        <v>125331</v>
      </c>
      <c r="BQ124" s="418">
        <f t="shared" si="193"/>
        <v>3708</v>
      </c>
      <c r="BR124" s="418">
        <f>R124+AV124</f>
        <v>0</v>
      </c>
      <c r="BS124" s="419">
        <f>S124+BH124</f>
        <v>1</v>
      </c>
      <c r="BT124" s="419">
        <f t="shared" si="194"/>
        <v>1</v>
      </c>
      <c r="BU124" s="421">
        <f t="shared" si="194"/>
        <v>0</v>
      </c>
      <c r="BV124" s="420"/>
      <c r="BW124" s="415"/>
      <c r="BX124" s="415"/>
      <c r="BY124" s="415"/>
      <c r="BZ124" s="415"/>
      <c r="CA124" s="510"/>
    </row>
    <row r="125" spans="1:79" ht="14.1" customHeight="1" x14ac:dyDescent="0.2">
      <c r="A125" s="66">
        <v>30</v>
      </c>
      <c r="B125" s="63">
        <v>2435</v>
      </c>
      <c r="C125" s="64">
        <v>600079341</v>
      </c>
      <c r="D125" s="63">
        <v>72743069</v>
      </c>
      <c r="E125" s="65" t="s">
        <v>592</v>
      </c>
      <c r="F125" s="66">
        <v>3141</v>
      </c>
      <c r="G125" s="65" t="s">
        <v>294</v>
      </c>
      <c r="H125" s="67" t="s">
        <v>272</v>
      </c>
      <c r="I125" s="420">
        <v>598948</v>
      </c>
      <c r="J125" s="415">
        <v>442428</v>
      </c>
      <c r="K125" s="415">
        <v>0</v>
      </c>
      <c r="L125" s="750">
        <v>442428</v>
      </c>
      <c r="M125" s="415">
        <v>0</v>
      </c>
      <c r="N125" s="204">
        <v>0</v>
      </c>
      <c r="O125" s="204">
        <v>0</v>
      </c>
      <c r="P125" s="599">
        <v>149541</v>
      </c>
      <c r="Q125" s="599">
        <v>4424</v>
      </c>
      <c r="R125" s="605">
        <v>2555</v>
      </c>
      <c r="S125" s="416">
        <v>1.3267</v>
      </c>
      <c r="T125" s="607">
        <v>0</v>
      </c>
      <c r="U125" s="737">
        <v>1.3267</v>
      </c>
      <c r="V125" s="424">
        <f t="shared" si="98"/>
        <v>0</v>
      </c>
      <c r="W125" s="418">
        <f t="shared" si="99"/>
        <v>0</v>
      </c>
      <c r="X125" s="418">
        <v>0</v>
      </c>
      <c r="Y125" s="418">
        <v>0</v>
      </c>
      <c r="Z125" s="418">
        <v>0</v>
      </c>
      <c r="AA125" s="418">
        <v>221441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221441</v>
      </c>
      <c r="AF125" s="418">
        <f t="shared" si="100"/>
        <v>221441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 t="shared" si="101"/>
        <v>0</v>
      </c>
      <c r="AM125" s="418">
        <f t="shared" si="102"/>
        <v>0</v>
      </c>
      <c r="AN125" s="418">
        <f t="shared" si="103"/>
        <v>0</v>
      </c>
      <c r="AO125" s="418">
        <f t="shared" si="104"/>
        <v>0</v>
      </c>
      <c r="AP125" s="418">
        <f t="shared" si="105"/>
        <v>221441</v>
      </c>
      <c r="AQ125" s="418">
        <f t="shared" si="106"/>
        <v>221441</v>
      </c>
      <c r="AR125" s="68">
        <f t="shared" si="107"/>
        <v>74847</v>
      </c>
      <c r="AS125" s="68">
        <f t="shared" si="108"/>
        <v>2214</v>
      </c>
      <c r="AT125" s="418">
        <v>0</v>
      </c>
      <c r="AU125" s="418">
        <v>1241</v>
      </c>
      <c r="AV125" s="418">
        <f t="shared" si="109"/>
        <v>1241</v>
      </c>
      <c r="AW125" s="418">
        <f t="shared" si="110"/>
        <v>299743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0.66</v>
      </c>
      <c r="BC125" s="419">
        <v>0</v>
      </c>
      <c r="BD125" s="419">
        <v>0</v>
      </c>
      <c r="BE125" s="419">
        <v>0</v>
      </c>
      <c r="BF125" s="419">
        <f t="shared" si="111"/>
        <v>0</v>
      </c>
      <c r="BG125" s="419">
        <f t="shared" si="112"/>
        <v>0.66</v>
      </c>
      <c r="BH125" s="421">
        <f t="shared" si="113"/>
        <v>0.66</v>
      </c>
      <c r="BI125" s="780">
        <f>I125+AW125</f>
        <v>898691</v>
      </c>
      <c r="BJ125" s="418">
        <f>J125+AF125</f>
        <v>663869</v>
      </c>
      <c r="BK125" s="418">
        <f t="shared" si="191"/>
        <v>0</v>
      </c>
      <c r="BL125" s="418">
        <f t="shared" si="191"/>
        <v>663869</v>
      </c>
      <c r="BM125" s="418">
        <f>M125+AN125</f>
        <v>0</v>
      </c>
      <c r="BN125" s="418">
        <f t="shared" si="192"/>
        <v>0</v>
      </c>
      <c r="BO125" s="418">
        <f t="shared" si="192"/>
        <v>0</v>
      </c>
      <c r="BP125" s="418">
        <f t="shared" si="193"/>
        <v>224388</v>
      </c>
      <c r="BQ125" s="418">
        <f t="shared" si="193"/>
        <v>6638</v>
      </c>
      <c r="BR125" s="418">
        <f>R125+AV125</f>
        <v>3796</v>
      </c>
      <c r="BS125" s="419">
        <f>S125+BH125</f>
        <v>1.9866999999999999</v>
      </c>
      <c r="BT125" s="419">
        <f t="shared" si="194"/>
        <v>0</v>
      </c>
      <c r="BU125" s="421">
        <f t="shared" si="194"/>
        <v>1.9866999999999999</v>
      </c>
      <c r="BV125" s="420"/>
      <c r="BW125" s="415"/>
      <c r="BX125" s="415"/>
      <c r="BY125" s="415"/>
      <c r="BZ125" s="415"/>
      <c r="CA125" s="510"/>
    </row>
    <row r="126" spans="1:79" ht="14.1" customHeight="1" x14ac:dyDescent="0.2">
      <c r="A126" s="72">
        <v>30</v>
      </c>
      <c r="B126" s="69">
        <v>2435</v>
      </c>
      <c r="C126" s="70">
        <v>600079341</v>
      </c>
      <c r="D126" s="69">
        <v>72743069</v>
      </c>
      <c r="E126" s="71" t="s">
        <v>593</v>
      </c>
      <c r="F126" s="72"/>
      <c r="G126" s="71"/>
      <c r="H126" s="73"/>
      <c r="I126" s="517">
        <v>8820348</v>
      </c>
      <c r="J126" s="74">
        <v>6524982</v>
      </c>
      <c r="K126" s="74">
        <v>5607360</v>
      </c>
      <c r="L126" s="74">
        <v>917622</v>
      </c>
      <c r="M126" s="74">
        <v>0</v>
      </c>
      <c r="N126" s="74">
        <v>0</v>
      </c>
      <c r="O126" s="74">
        <v>0</v>
      </c>
      <c r="P126" s="74">
        <v>2205445</v>
      </c>
      <c r="Q126" s="74">
        <v>65250</v>
      </c>
      <c r="R126" s="74">
        <v>24671</v>
      </c>
      <c r="S126" s="75">
        <v>13.204800000000001</v>
      </c>
      <c r="T126" s="75">
        <v>10.257999999999999</v>
      </c>
      <c r="U126" s="658">
        <v>2.9467999999999996</v>
      </c>
      <c r="V126" s="517">
        <f t="shared" ref="V126:BU126" si="195">SUM(V122:V125)</f>
        <v>0</v>
      </c>
      <c r="W126" s="74">
        <f t="shared" si="195"/>
        <v>0</v>
      </c>
      <c r="X126" s="74">
        <f t="shared" si="195"/>
        <v>0</v>
      </c>
      <c r="Y126" s="74">
        <f t="shared" si="195"/>
        <v>0</v>
      </c>
      <c r="Z126" s="74">
        <f t="shared" si="195"/>
        <v>0</v>
      </c>
      <c r="AA126" s="74">
        <f t="shared" si="195"/>
        <v>221441</v>
      </c>
      <c r="AB126" s="74">
        <f t="shared" si="195"/>
        <v>0</v>
      </c>
      <c r="AC126" s="74">
        <f t="shared" si="195"/>
        <v>0</v>
      </c>
      <c r="AD126" s="74">
        <f t="shared" si="195"/>
        <v>0</v>
      </c>
      <c r="AE126" s="74">
        <f t="shared" si="195"/>
        <v>221441</v>
      </c>
      <c r="AF126" s="74">
        <f t="shared" si="195"/>
        <v>221441</v>
      </c>
      <c r="AG126" s="74">
        <f t="shared" si="195"/>
        <v>0</v>
      </c>
      <c r="AH126" s="74">
        <f t="shared" si="195"/>
        <v>0</v>
      </c>
      <c r="AI126" s="74">
        <f t="shared" si="195"/>
        <v>0</v>
      </c>
      <c r="AJ126" s="74">
        <f t="shared" si="195"/>
        <v>0</v>
      </c>
      <c r="AK126" s="74">
        <f t="shared" si="195"/>
        <v>0</v>
      </c>
      <c r="AL126" s="74">
        <f t="shared" si="195"/>
        <v>0</v>
      </c>
      <c r="AM126" s="74">
        <f t="shared" si="195"/>
        <v>0</v>
      </c>
      <c r="AN126" s="74">
        <f t="shared" si="195"/>
        <v>0</v>
      </c>
      <c r="AO126" s="74">
        <f t="shared" si="195"/>
        <v>0</v>
      </c>
      <c r="AP126" s="74">
        <f t="shared" si="195"/>
        <v>221441</v>
      </c>
      <c r="AQ126" s="74">
        <f t="shared" si="195"/>
        <v>221441</v>
      </c>
      <c r="AR126" s="74">
        <f t="shared" si="195"/>
        <v>74847</v>
      </c>
      <c r="AS126" s="74">
        <f t="shared" si="195"/>
        <v>2214</v>
      </c>
      <c r="AT126" s="74">
        <f t="shared" si="195"/>
        <v>0</v>
      </c>
      <c r="AU126" s="74">
        <f t="shared" si="195"/>
        <v>1241</v>
      </c>
      <c r="AV126" s="74">
        <f t="shared" si="195"/>
        <v>1241</v>
      </c>
      <c r="AW126" s="74">
        <f t="shared" si="195"/>
        <v>299743</v>
      </c>
      <c r="AX126" s="75">
        <f t="shared" si="195"/>
        <v>0</v>
      </c>
      <c r="AY126" s="75">
        <f t="shared" si="195"/>
        <v>0</v>
      </c>
      <c r="AZ126" s="75">
        <f t="shared" si="195"/>
        <v>0</v>
      </c>
      <c r="BA126" s="75">
        <f t="shared" si="195"/>
        <v>0</v>
      </c>
      <c r="BB126" s="75">
        <f t="shared" si="195"/>
        <v>0.66</v>
      </c>
      <c r="BC126" s="75">
        <f t="shared" si="195"/>
        <v>0</v>
      </c>
      <c r="BD126" s="75">
        <f t="shared" si="195"/>
        <v>0</v>
      </c>
      <c r="BE126" s="75">
        <f t="shared" si="195"/>
        <v>0</v>
      </c>
      <c r="BF126" s="75">
        <f t="shared" si="195"/>
        <v>0</v>
      </c>
      <c r="BG126" s="75">
        <f t="shared" si="195"/>
        <v>0.66</v>
      </c>
      <c r="BH126" s="76">
        <f t="shared" si="195"/>
        <v>0.66</v>
      </c>
      <c r="BI126" s="799">
        <f t="shared" si="195"/>
        <v>9120091</v>
      </c>
      <c r="BJ126" s="74">
        <f t="shared" si="195"/>
        <v>6746423</v>
      </c>
      <c r="BK126" s="74">
        <f t="shared" si="195"/>
        <v>5607360</v>
      </c>
      <c r="BL126" s="74">
        <f t="shared" si="195"/>
        <v>1139063</v>
      </c>
      <c r="BM126" s="74">
        <f t="shared" si="195"/>
        <v>0</v>
      </c>
      <c r="BN126" s="74">
        <f t="shared" si="195"/>
        <v>0</v>
      </c>
      <c r="BO126" s="74">
        <f t="shared" si="195"/>
        <v>0</v>
      </c>
      <c r="BP126" s="74">
        <f t="shared" si="195"/>
        <v>2280292</v>
      </c>
      <c r="BQ126" s="74">
        <f t="shared" si="195"/>
        <v>67464</v>
      </c>
      <c r="BR126" s="74">
        <f t="shared" si="195"/>
        <v>25912</v>
      </c>
      <c r="BS126" s="75">
        <f t="shared" si="195"/>
        <v>13.864799999999999</v>
      </c>
      <c r="BT126" s="75">
        <f t="shared" si="195"/>
        <v>10.257999999999999</v>
      </c>
      <c r="BU126" s="76">
        <f t="shared" si="195"/>
        <v>3.6067999999999998</v>
      </c>
      <c r="BV126" s="809">
        <f t="shared" ref="BV126:CA126" si="196">SUM(BV122:BV125)</f>
        <v>0</v>
      </c>
      <c r="BW126" s="684">
        <f t="shared" si="196"/>
        <v>0</v>
      </c>
      <c r="BX126" s="684">
        <f t="shared" si="196"/>
        <v>0</v>
      </c>
      <c r="BY126" s="684">
        <f t="shared" si="196"/>
        <v>0</v>
      </c>
      <c r="BZ126" s="684">
        <f t="shared" si="196"/>
        <v>0</v>
      </c>
      <c r="CA126" s="810">
        <f t="shared" si="196"/>
        <v>0</v>
      </c>
    </row>
    <row r="127" spans="1:79" ht="14.1" customHeight="1" x14ac:dyDescent="0.2">
      <c r="A127" s="66">
        <v>31</v>
      </c>
      <c r="B127" s="63">
        <v>2474</v>
      </c>
      <c r="C127" s="64">
        <v>600080307</v>
      </c>
      <c r="D127" s="63">
        <v>65635612</v>
      </c>
      <c r="E127" s="65" t="s">
        <v>594</v>
      </c>
      <c r="F127" s="66">
        <v>3111</v>
      </c>
      <c r="G127" s="65" t="s">
        <v>290</v>
      </c>
      <c r="H127" s="67" t="s">
        <v>271</v>
      </c>
      <c r="I127" s="420">
        <v>3544467</v>
      </c>
      <c r="J127" s="415">
        <v>2608008</v>
      </c>
      <c r="K127" s="415">
        <v>2481872</v>
      </c>
      <c r="L127" s="415">
        <v>126136</v>
      </c>
      <c r="M127" s="415">
        <v>12000</v>
      </c>
      <c r="N127" s="415">
        <v>5000</v>
      </c>
      <c r="O127" s="415">
        <v>7000</v>
      </c>
      <c r="P127" s="599">
        <v>885563</v>
      </c>
      <c r="Q127" s="599">
        <v>26080</v>
      </c>
      <c r="R127" s="415">
        <v>12816</v>
      </c>
      <c r="S127" s="416">
        <v>4.5134000000000007</v>
      </c>
      <c r="T127" s="416">
        <v>4</v>
      </c>
      <c r="U127" s="423">
        <v>0.51339999999999997</v>
      </c>
      <c r="V127" s="424">
        <f t="shared" si="98"/>
        <v>0</v>
      </c>
      <c r="W127" s="418">
        <f t="shared" si="99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 t="shared" ref="AD127:AD132" si="197">V127+X127+Y127+Z127+AB127</f>
        <v>0</v>
      </c>
      <c r="AE127" s="418">
        <f t="shared" ref="AE127:AE132" si="198">W127+AA127+AC127</f>
        <v>0</v>
      </c>
      <c r="AF127" s="418">
        <f t="shared" si="100"/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 t="shared" si="101"/>
        <v>0</v>
      </c>
      <c r="AM127" s="418">
        <f t="shared" si="102"/>
        <v>0</v>
      </c>
      <c r="AN127" s="418">
        <f t="shared" si="103"/>
        <v>0</v>
      </c>
      <c r="AO127" s="418">
        <f t="shared" si="104"/>
        <v>0</v>
      </c>
      <c r="AP127" s="418">
        <f t="shared" si="105"/>
        <v>0</v>
      </c>
      <c r="AQ127" s="418">
        <f t="shared" si="106"/>
        <v>0</v>
      </c>
      <c r="AR127" s="68">
        <f t="shared" si="107"/>
        <v>0</v>
      </c>
      <c r="AS127" s="68">
        <f t="shared" si="108"/>
        <v>0</v>
      </c>
      <c r="AT127" s="418">
        <v>0</v>
      </c>
      <c r="AU127" s="418">
        <v>0</v>
      </c>
      <c r="AV127" s="418">
        <f t="shared" si="109"/>
        <v>0</v>
      </c>
      <c r="AW127" s="418">
        <f t="shared" si="110"/>
        <v>0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</v>
      </c>
      <c r="BC127" s="419">
        <v>0</v>
      </c>
      <c r="BD127" s="419">
        <v>0</v>
      </c>
      <c r="BE127" s="419">
        <v>0</v>
      </c>
      <c r="BF127" s="419">
        <f t="shared" si="111"/>
        <v>0</v>
      </c>
      <c r="BG127" s="419">
        <f t="shared" si="112"/>
        <v>0</v>
      </c>
      <c r="BH127" s="421">
        <f t="shared" si="113"/>
        <v>0</v>
      </c>
      <c r="BI127" s="780">
        <f t="shared" ref="BI127:BI132" si="199">I127+AW127</f>
        <v>3544467</v>
      </c>
      <c r="BJ127" s="418">
        <f t="shared" ref="BJ127:BJ132" si="200">J127+AF127</f>
        <v>2608008</v>
      </c>
      <c r="BK127" s="418">
        <f t="shared" ref="BK127:BL132" si="201">K127+AD127</f>
        <v>2481872</v>
      </c>
      <c r="BL127" s="418">
        <f t="shared" si="201"/>
        <v>126136</v>
      </c>
      <c r="BM127" s="418">
        <f t="shared" ref="BM127:BM132" si="202">M127+AN127</f>
        <v>12000</v>
      </c>
      <c r="BN127" s="418">
        <f t="shared" ref="BN127:BO132" si="203">N127+AL127</f>
        <v>5000</v>
      </c>
      <c r="BO127" s="418">
        <f t="shared" si="203"/>
        <v>7000</v>
      </c>
      <c r="BP127" s="418">
        <f t="shared" ref="BP127:BQ132" si="204">P127+AR127</f>
        <v>885563</v>
      </c>
      <c r="BQ127" s="418">
        <f t="shared" si="204"/>
        <v>26080</v>
      </c>
      <c r="BR127" s="418">
        <f t="shared" ref="BR127:BR132" si="205">R127+AV127</f>
        <v>12816</v>
      </c>
      <c r="BS127" s="419">
        <f t="shared" ref="BS127:BS132" si="206">S127+BH127</f>
        <v>4.5134000000000007</v>
      </c>
      <c r="BT127" s="419">
        <f t="shared" ref="BT127:BU132" si="207">T127+BF127</f>
        <v>4</v>
      </c>
      <c r="BU127" s="421">
        <f t="shared" si="207"/>
        <v>0.51339999999999997</v>
      </c>
      <c r="BV127" s="420"/>
      <c r="BW127" s="415"/>
      <c r="BX127" s="415"/>
      <c r="BY127" s="415"/>
      <c r="BZ127" s="415"/>
      <c r="CA127" s="510"/>
    </row>
    <row r="128" spans="1:79" ht="14.1" customHeight="1" x14ac:dyDescent="0.2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594</v>
      </c>
      <c r="F128" s="66">
        <v>3113</v>
      </c>
      <c r="G128" s="65" t="s">
        <v>293</v>
      </c>
      <c r="H128" s="67" t="s">
        <v>271</v>
      </c>
      <c r="I128" s="420">
        <v>29397958</v>
      </c>
      <c r="J128" s="415">
        <v>21444375</v>
      </c>
      <c r="K128" s="415">
        <v>20016782</v>
      </c>
      <c r="L128" s="415">
        <v>1427593</v>
      </c>
      <c r="M128" s="415">
        <v>70000</v>
      </c>
      <c r="N128" s="415">
        <v>45000</v>
      </c>
      <c r="O128" s="415">
        <v>25000</v>
      </c>
      <c r="P128" s="599">
        <v>7271859</v>
      </c>
      <c r="Q128" s="599">
        <v>214444</v>
      </c>
      <c r="R128" s="415">
        <v>397280</v>
      </c>
      <c r="S128" s="416">
        <v>33.027700000000003</v>
      </c>
      <c r="T128" s="416">
        <v>28.805</v>
      </c>
      <c r="U128" s="423">
        <v>4.2227000000000006</v>
      </c>
      <c r="V128" s="424">
        <f t="shared" si="98"/>
        <v>0</v>
      </c>
      <c r="W128" s="418">
        <f t="shared" si="99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 t="shared" si="197"/>
        <v>0</v>
      </c>
      <c r="AE128" s="418">
        <f t="shared" si="198"/>
        <v>0</v>
      </c>
      <c r="AF128" s="418">
        <f t="shared" si="100"/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 t="shared" si="101"/>
        <v>0</v>
      </c>
      <c r="AM128" s="418">
        <f t="shared" si="102"/>
        <v>0</v>
      </c>
      <c r="AN128" s="418">
        <f t="shared" si="103"/>
        <v>0</v>
      </c>
      <c r="AO128" s="418">
        <f t="shared" si="104"/>
        <v>0</v>
      </c>
      <c r="AP128" s="418">
        <f t="shared" si="105"/>
        <v>0</v>
      </c>
      <c r="AQ128" s="418">
        <f t="shared" si="106"/>
        <v>0</v>
      </c>
      <c r="AR128" s="68">
        <f t="shared" si="107"/>
        <v>0</v>
      </c>
      <c r="AS128" s="68">
        <f t="shared" si="108"/>
        <v>0</v>
      </c>
      <c r="AT128" s="418">
        <v>0</v>
      </c>
      <c r="AU128" s="418">
        <v>0</v>
      </c>
      <c r="AV128" s="418">
        <f t="shared" si="109"/>
        <v>0</v>
      </c>
      <c r="AW128" s="418">
        <f t="shared" si="110"/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 t="shared" si="111"/>
        <v>0</v>
      </c>
      <c r="BG128" s="419">
        <f t="shared" si="112"/>
        <v>0</v>
      </c>
      <c r="BH128" s="421">
        <f t="shared" si="113"/>
        <v>0</v>
      </c>
      <c r="BI128" s="780">
        <f t="shared" si="199"/>
        <v>29397958</v>
      </c>
      <c r="BJ128" s="418">
        <f t="shared" si="200"/>
        <v>21444375</v>
      </c>
      <c r="BK128" s="418">
        <f t="shared" si="201"/>
        <v>20016782</v>
      </c>
      <c r="BL128" s="418">
        <f t="shared" si="201"/>
        <v>1427593</v>
      </c>
      <c r="BM128" s="418">
        <f t="shared" si="202"/>
        <v>70000</v>
      </c>
      <c r="BN128" s="418">
        <f t="shared" si="203"/>
        <v>45000</v>
      </c>
      <c r="BO128" s="418">
        <f t="shared" si="203"/>
        <v>25000</v>
      </c>
      <c r="BP128" s="418">
        <f t="shared" si="204"/>
        <v>7271859</v>
      </c>
      <c r="BQ128" s="418">
        <f t="shared" si="204"/>
        <v>214444</v>
      </c>
      <c r="BR128" s="418">
        <f t="shared" si="205"/>
        <v>397280</v>
      </c>
      <c r="BS128" s="419">
        <f t="shared" si="206"/>
        <v>33.027700000000003</v>
      </c>
      <c r="BT128" s="419">
        <f t="shared" si="207"/>
        <v>28.805</v>
      </c>
      <c r="BU128" s="421">
        <f t="shared" si="207"/>
        <v>4.2227000000000006</v>
      </c>
      <c r="BV128" s="420">
        <v>760272</v>
      </c>
      <c r="BW128" s="415">
        <v>564000</v>
      </c>
      <c r="BX128" s="415">
        <v>0</v>
      </c>
      <c r="BY128" s="415">
        <v>190632</v>
      </c>
      <c r="BZ128" s="415">
        <v>5640</v>
      </c>
      <c r="CA128" s="510">
        <v>1</v>
      </c>
    </row>
    <row r="129" spans="1:79" ht="14.1" customHeight="1" x14ac:dyDescent="0.2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594</v>
      </c>
      <c r="F129" s="66">
        <v>3113</v>
      </c>
      <c r="G129" s="77" t="s">
        <v>291</v>
      </c>
      <c r="H129" s="67" t="s">
        <v>272</v>
      </c>
      <c r="I129" s="420">
        <v>3523586</v>
      </c>
      <c r="J129" s="415">
        <v>2610226</v>
      </c>
      <c r="K129" s="415">
        <v>2610226</v>
      </c>
      <c r="L129" s="415">
        <v>0</v>
      </c>
      <c r="M129" s="415">
        <v>0</v>
      </c>
      <c r="N129" s="415">
        <v>0</v>
      </c>
      <c r="O129" s="415">
        <v>0</v>
      </c>
      <c r="P129" s="599">
        <v>882257</v>
      </c>
      <c r="Q129" s="599">
        <v>26103</v>
      </c>
      <c r="R129" s="415">
        <v>5000</v>
      </c>
      <c r="S129" s="416">
        <v>7.04</v>
      </c>
      <c r="T129" s="417">
        <v>7.04</v>
      </c>
      <c r="U129" s="423">
        <v>0</v>
      </c>
      <c r="V129" s="424">
        <f t="shared" si="98"/>
        <v>0</v>
      </c>
      <c r="W129" s="418">
        <f t="shared" si="99"/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 t="shared" si="197"/>
        <v>0</v>
      </c>
      <c r="AE129" s="418">
        <f t="shared" si="198"/>
        <v>0</v>
      </c>
      <c r="AF129" s="418">
        <f t="shared" si="100"/>
        <v>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 t="shared" si="101"/>
        <v>0</v>
      </c>
      <c r="AM129" s="418">
        <f t="shared" si="102"/>
        <v>0</v>
      </c>
      <c r="AN129" s="418">
        <f t="shared" si="103"/>
        <v>0</v>
      </c>
      <c r="AO129" s="418">
        <f t="shared" si="104"/>
        <v>0</v>
      </c>
      <c r="AP129" s="418">
        <f t="shared" si="105"/>
        <v>0</v>
      </c>
      <c r="AQ129" s="418">
        <f t="shared" si="106"/>
        <v>0</v>
      </c>
      <c r="AR129" s="68">
        <f t="shared" si="107"/>
        <v>0</v>
      </c>
      <c r="AS129" s="68">
        <f t="shared" si="108"/>
        <v>0</v>
      </c>
      <c r="AT129" s="418">
        <v>0</v>
      </c>
      <c r="AU129" s="418">
        <v>0</v>
      </c>
      <c r="AV129" s="418">
        <f t="shared" si="109"/>
        <v>0</v>
      </c>
      <c r="AW129" s="418">
        <f t="shared" si="110"/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 t="shared" si="111"/>
        <v>0</v>
      </c>
      <c r="BG129" s="419">
        <f t="shared" si="112"/>
        <v>0</v>
      </c>
      <c r="BH129" s="421">
        <f t="shared" si="113"/>
        <v>0</v>
      </c>
      <c r="BI129" s="780">
        <f t="shared" si="199"/>
        <v>3523586</v>
      </c>
      <c r="BJ129" s="418">
        <f t="shared" si="200"/>
        <v>2610226</v>
      </c>
      <c r="BK129" s="418">
        <f t="shared" si="201"/>
        <v>2610226</v>
      </c>
      <c r="BL129" s="418">
        <f t="shared" si="201"/>
        <v>0</v>
      </c>
      <c r="BM129" s="418">
        <f t="shared" si="202"/>
        <v>0</v>
      </c>
      <c r="BN129" s="418">
        <f t="shared" si="203"/>
        <v>0</v>
      </c>
      <c r="BO129" s="418">
        <f t="shared" si="203"/>
        <v>0</v>
      </c>
      <c r="BP129" s="418">
        <f t="shared" si="204"/>
        <v>882257</v>
      </c>
      <c r="BQ129" s="418">
        <f t="shared" si="204"/>
        <v>26103</v>
      </c>
      <c r="BR129" s="418">
        <f t="shared" si="205"/>
        <v>5000</v>
      </c>
      <c r="BS129" s="419">
        <f t="shared" si="206"/>
        <v>7.04</v>
      </c>
      <c r="BT129" s="419">
        <f t="shared" si="207"/>
        <v>7.04</v>
      </c>
      <c r="BU129" s="421">
        <f t="shared" si="207"/>
        <v>0</v>
      </c>
      <c r="BV129" s="420"/>
      <c r="BW129" s="415"/>
      <c r="BX129" s="415"/>
      <c r="BY129" s="415"/>
      <c r="BZ129" s="415"/>
      <c r="CA129" s="510"/>
    </row>
    <row r="130" spans="1:79" ht="14.1" customHeight="1" x14ac:dyDescent="0.2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594</v>
      </c>
      <c r="F130" s="66">
        <v>3141</v>
      </c>
      <c r="G130" s="65" t="s">
        <v>294</v>
      </c>
      <c r="H130" s="67" t="s">
        <v>272</v>
      </c>
      <c r="I130" s="420">
        <v>177852</v>
      </c>
      <c r="J130" s="415">
        <v>128158</v>
      </c>
      <c r="K130" s="415">
        <v>0</v>
      </c>
      <c r="L130" s="750">
        <v>128158</v>
      </c>
      <c r="M130" s="415">
        <v>3000</v>
      </c>
      <c r="N130" s="204">
        <v>0</v>
      </c>
      <c r="O130" s="204">
        <v>3000</v>
      </c>
      <c r="P130" s="599">
        <v>44331</v>
      </c>
      <c r="Q130" s="599">
        <v>1282</v>
      </c>
      <c r="R130" s="605">
        <v>1081</v>
      </c>
      <c r="S130" s="416">
        <v>0.39329999999999998</v>
      </c>
      <c r="T130" s="607">
        <v>0</v>
      </c>
      <c r="U130" s="737">
        <v>0.39329999999999998</v>
      </c>
      <c r="V130" s="424">
        <f t="shared" si="98"/>
        <v>0</v>
      </c>
      <c r="W130" s="418">
        <f t="shared" si="99"/>
        <v>0</v>
      </c>
      <c r="X130" s="418">
        <v>0</v>
      </c>
      <c r="Y130" s="418">
        <v>0</v>
      </c>
      <c r="Z130" s="418">
        <v>0</v>
      </c>
      <c r="AA130" s="418">
        <v>65996</v>
      </c>
      <c r="AB130" s="418">
        <v>0</v>
      </c>
      <c r="AC130" s="418">
        <v>0</v>
      </c>
      <c r="AD130" s="418">
        <f t="shared" si="197"/>
        <v>0</v>
      </c>
      <c r="AE130" s="418">
        <f t="shared" si="198"/>
        <v>65996</v>
      </c>
      <c r="AF130" s="418">
        <f t="shared" si="100"/>
        <v>65996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 t="shared" si="101"/>
        <v>0</v>
      </c>
      <c r="AM130" s="418">
        <f t="shared" si="102"/>
        <v>0</v>
      </c>
      <c r="AN130" s="418">
        <f t="shared" si="103"/>
        <v>0</v>
      </c>
      <c r="AO130" s="418">
        <f t="shared" si="104"/>
        <v>0</v>
      </c>
      <c r="AP130" s="418">
        <f t="shared" si="105"/>
        <v>65996</v>
      </c>
      <c r="AQ130" s="418">
        <f t="shared" si="106"/>
        <v>65996</v>
      </c>
      <c r="AR130" s="68">
        <f t="shared" si="107"/>
        <v>22307</v>
      </c>
      <c r="AS130" s="68">
        <f t="shared" si="108"/>
        <v>660</v>
      </c>
      <c r="AT130" s="418">
        <v>0</v>
      </c>
      <c r="AU130" s="418">
        <v>517</v>
      </c>
      <c r="AV130" s="418">
        <f t="shared" si="109"/>
        <v>517</v>
      </c>
      <c r="AW130" s="418">
        <f t="shared" si="110"/>
        <v>89480</v>
      </c>
      <c r="AX130" s="419">
        <v>0</v>
      </c>
      <c r="AY130" s="419">
        <v>0</v>
      </c>
      <c r="AZ130" s="419">
        <v>0</v>
      </c>
      <c r="BA130" s="419">
        <v>0</v>
      </c>
      <c r="BB130" s="419">
        <v>0.2</v>
      </c>
      <c r="BC130" s="419">
        <v>0</v>
      </c>
      <c r="BD130" s="419">
        <v>0</v>
      </c>
      <c r="BE130" s="419">
        <v>0</v>
      </c>
      <c r="BF130" s="419">
        <f t="shared" si="111"/>
        <v>0</v>
      </c>
      <c r="BG130" s="419">
        <f t="shared" si="112"/>
        <v>0.2</v>
      </c>
      <c r="BH130" s="421">
        <f t="shared" si="113"/>
        <v>0.2</v>
      </c>
      <c r="BI130" s="780">
        <f t="shared" si="199"/>
        <v>267332</v>
      </c>
      <c r="BJ130" s="418">
        <f t="shared" si="200"/>
        <v>194154</v>
      </c>
      <c r="BK130" s="418">
        <f t="shared" si="201"/>
        <v>0</v>
      </c>
      <c r="BL130" s="418">
        <f t="shared" si="201"/>
        <v>194154</v>
      </c>
      <c r="BM130" s="418">
        <f t="shared" si="202"/>
        <v>3000</v>
      </c>
      <c r="BN130" s="418">
        <f t="shared" si="203"/>
        <v>0</v>
      </c>
      <c r="BO130" s="418">
        <f t="shared" si="203"/>
        <v>3000</v>
      </c>
      <c r="BP130" s="418">
        <f t="shared" si="204"/>
        <v>66638</v>
      </c>
      <c r="BQ130" s="418">
        <f t="shared" si="204"/>
        <v>1942</v>
      </c>
      <c r="BR130" s="418">
        <f t="shared" si="205"/>
        <v>1598</v>
      </c>
      <c r="BS130" s="419">
        <f t="shared" si="206"/>
        <v>0.59329999999999994</v>
      </c>
      <c r="BT130" s="419">
        <f t="shared" si="207"/>
        <v>0</v>
      </c>
      <c r="BU130" s="421">
        <f t="shared" si="207"/>
        <v>0.59329999999999994</v>
      </c>
      <c r="BV130" s="420"/>
      <c r="BW130" s="415"/>
      <c r="BX130" s="415"/>
      <c r="BY130" s="415"/>
      <c r="BZ130" s="415"/>
      <c r="CA130" s="510"/>
    </row>
    <row r="131" spans="1:79" ht="14.1" customHeight="1" x14ac:dyDescent="0.2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594</v>
      </c>
      <c r="F131" s="66">
        <v>3143</v>
      </c>
      <c r="G131" s="77" t="s">
        <v>595</v>
      </c>
      <c r="H131" s="67" t="s">
        <v>271</v>
      </c>
      <c r="I131" s="420">
        <v>2055840</v>
      </c>
      <c r="J131" s="415">
        <v>1515178</v>
      </c>
      <c r="K131" s="415">
        <v>1515178</v>
      </c>
      <c r="L131" s="415">
        <v>0</v>
      </c>
      <c r="M131" s="415">
        <v>10000</v>
      </c>
      <c r="N131" s="415">
        <v>10000</v>
      </c>
      <c r="O131" s="415">
        <v>0</v>
      </c>
      <c r="P131" s="599">
        <v>515510</v>
      </c>
      <c r="Q131" s="599">
        <v>15152</v>
      </c>
      <c r="R131" s="415">
        <v>0</v>
      </c>
      <c r="S131" s="416">
        <v>3.036</v>
      </c>
      <c r="T131" s="416">
        <v>3.036</v>
      </c>
      <c r="U131" s="423">
        <v>0</v>
      </c>
      <c r="V131" s="424">
        <f t="shared" si="98"/>
        <v>0</v>
      </c>
      <c r="W131" s="418">
        <f t="shared" si="99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si="197"/>
        <v>0</v>
      </c>
      <c r="AE131" s="418">
        <f t="shared" si="198"/>
        <v>0</v>
      </c>
      <c r="AF131" s="418">
        <f t="shared" si="100"/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si="101"/>
        <v>0</v>
      </c>
      <c r="AM131" s="418">
        <f t="shared" si="102"/>
        <v>0</v>
      </c>
      <c r="AN131" s="418">
        <f t="shared" si="103"/>
        <v>0</v>
      </c>
      <c r="AO131" s="418">
        <f t="shared" si="104"/>
        <v>0</v>
      </c>
      <c r="AP131" s="418">
        <f t="shared" si="105"/>
        <v>0</v>
      </c>
      <c r="AQ131" s="418">
        <f t="shared" si="106"/>
        <v>0</v>
      </c>
      <c r="AR131" s="68">
        <f t="shared" si="107"/>
        <v>0</v>
      </c>
      <c r="AS131" s="68">
        <f t="shared" si="108"/>
        <v>0</v>
      </c>
      <c r="AT131" s="418">
        <v>0</v>
      </c>
      <c r="AU131" s="418">
        <v>0</v>
      </c>
      <c r="AV131" s="418">
        <f t="shared" si="109"/>
        <v>0</v>
      </c>
      <c r="AW131" s="418">
        <f t="shared" si="110"/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si="111"/>
        <v>0</v>
      </c>
      <c r="BG131" s="419">
        <f t="shared" si="112"/>
        <v>0</v>
      </c>
      <c r="BH131" s="421">
        <f t="shared" si="113"/>
        <v>0</v>
      </c>
      <c r="BI131" s="780">
        <f t="shared" si="199"/>
        <v>2055840</v>
      </c>
      <c r="BJ131" s="418">
        <f t="shared" si="200"/>
        <v>1515178</v>
      </c>
      <c r="BK131" s="418">
        <f t="shared" si="201"/>
        <v>1515178</v>
      </c>
      <c r="BL131" s="418">
        <f t="shared" si="201"/>
        <v>0</v>
      </c>
      <c r="BM131" s="418">
        <f t="shared" si="202"/>
        <v>10000</v>
      </c>
      <c r="BN131" s="418">
        <f t="shared" si="203"/>
        <v>10000</v>
      </c>
      <c r="BO131" s="418">
        <f t="shared" si="203"/>
        <v>0</v>
      </c>
      <c r="BP131" s="418">
        <f t="shared" si="204"/>
        <v>515510</v>
      </c>
      <c r="BQ131" s="418">
        <f t="shared" si="204"/>
        <v>15152</v>
      </c>
      <c r="BR131" s="418">
        <f t="shared" si="205"/>
        <v>0</v>
      </c>
      <c r="BS131" s="419">
        <f t="shared" si="206"/>
        <v>3.036</v>
      </c>
      <c r="BT131" s="419">
        <f t="shared" si="207"/>
        <v>3.036</v>
      </c>
      <c r="BU131" s="421">
        <f t="shared" si="207"/>
        <v>0</v>
      </c>
      <c r="BV131" s="420"/>
      <c r="BW131" s="415"/>
      <c r="BX131" s="415"/>
      <c r="BY131" s="415"/>
      <c r="BZ131" s="415"/>
      <c r="CA131" s="510"/>
    </row>
    <row r="132" spans="1:79" ht="14.1" customHeight="1" x14ac:dyDescent="0.2">
      <c r="A132" s="66">
        <v>31</v>
      </c>
      <c r="B132" s="63">
        <v>2474</v>
      </c>
      <c r="C132" s="64">
        <v>600080307</v>
      </c>
      <c r="D132" s="63">
        <v>65635612</v>
      </c>
      <c r="E132" s="65" t="s">
        <v>594</v>
      </c>
      <c r="F132" s="66">
        <v>3143</v>
      </c>
      <c r="G132" s="77" t="s">
        <v>596</v>
      </c>
      <c r="H132" s="67" t="s">
        <v>272</v>
      </c>
      <c r="I132" s="420">
        <v>51231</v>
      </c>
      <c r="J132" s="415">
        <v>36670</v>
      </c>
      <c r="K132" s="415">
        <v>0</v>
      </c>
      <c r="L132" s="605">
        <v>36670</v>
      </c>
      <c r="M132" s="415">
        <v>0</v>
      </c>
      <c r="N132" s="415">
        <v>0</v>
      </c>
      <c r="O132" s="415">
        <v>0</v>
      </c>
      <c r="P132" s="599">
        <v>12394</v>
      </c>
      <c r="Q132" s="599">
        <v>367</v>
      </c>
      <c r="R132" s="606">
        <v>1800</v>
      </c>
      <c r="S132" s="416">
        <v>0.1389</v>
      </c>
      <c r="T132" s="609">
        <v>0</v>
      </c>
      <c r="U132" s="737">
        <v>0.1389</v>
      </c>
      <c r="V132" s="424">
        <f t="shared" si="98"/>
        <v>0</v>
      </c>
      <c r="W132" s="418">
        <f t="shared" si="99"/>
        <v>0</v>
      </c>
      <c r="X132" s="418">
        <v>0</v>
      </c>
      <c r="Y132" s="418">
        <v>0</v>
      </c>
      <c r="Z132" s="418">
        <v>0</v>
      </c>
      <c r="AA132" s="418">
        <v>18330</v>
      </c>
      <c r="AB132" s="418">
        <v>0</v>
      </c>
      <c r="AC132" s="418">
        <v>0</v>
      </c>
      <c r="AD132" s="418">
        <f t="shared" si="197"/>
        <v>0</v>
      </c>
      <c r="AE132" s="418">
        <f t="shared" si="198"/>
        <v>18330</v>
      </c>
      <c r="AF132" s="418">
        <f t="shared" si="100"/>
        <v>18330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101"/>
        <v>0</v>
      </c>
      <c r="AM132" s="418">
        <f t="shared" si="102"/>
        <v>0</v>
      </c>
      <c r="AN132" s="418">
        <f t="shared" si="103"/>
        <v>0</v>
      </c>
      <c r="AO132" s="418">
        <f t="shared" si="104"/>
        <v>0</v>
      </c>
      <c r="AP132" s="418">
        <f t="shared" si="105"/>
        <v>18330</v>
      </c>
      <c r="AQ132" s="418">
        <f t="shared" si="106"/>
        <v>18330</v>
      </c>
      <c r="AR132" s="68">
        <f t="shared" si="107"/>
        <v>6196</v>
      </c>
      <c r="AS132" s="68">
        <f t="shared" si="108"/>
        <v>183</v>
      </c>
      <c r="AT132" s="418">
        <v>0</v>
      </c>
      <c r="AU132" s="418">
        <v>900</v>
      </c>
      <c r="AV132" s="418">
        <f t="shared" si="109"/>
        <v>900</v>
      </c>
      <c r="AW132" s="418">
        <f t="shared" si="110"/>
        <v>25609</v>
      </c>
      <c r="AX132" s="419">
        <v>0</v>
      </c>
      <c r="AY132" s="419">
        <v>0</v>
      </c>
      <c r="AZ132" s="419">
        <v>0</v>
      </c>
      <c r="BA132" s="419">
        <v>0</v>
      </c>
      <c r="BB132" s="419">
        <v>7.0000000000000007E-2</v>
      </c>
      <c r="BC132" s="419">
        <v>0</v>
      </c>
      <c r="BD132" s="419">
        <v>0</v>
      </c>
      <c r="BE132" s="419">
        <v>0</v>
      </c>
      <c r="BF132" s="419">
        <f t="shared" si="111"/>
        <v>0</v>
      </c>
      <c r="BG132" s="419">
        <f t="shared" si="112"/>
        <v>7.0000000000000007E-2</v>
      </c>
      <c r="BH132" s="421">
        <f t="shared" si="113"/>
        <v>7.0000000000000007E-2</v>
      </c>
      <c r="BI132" s="780">
        <f t="shared" si="199"/>
        <v>76840</v>
      </c>
      <c r="BJ132" s="418">
        <f t="shared" si="200"/>
        <v>55000</v>
      </c>
      <c r="BK132" s="418">
        <f t="shared" si="201"/>
        <v>0</v>
      </c>
      <c r="BL132" s="418">
        <f t="shared" si="201"/>
        <v>55000</v>
      </c>
      <c r="BM132" s="418">
        <f t="shared" si="202"/>
        <v>0</v>
      </c>
      <c r="BN132" s="418">
        <f t="shared" si="203"/>
        <v>0</v>
      </c>
      <c r="BO132" s="418">
        <f t="shared" si="203"/>
        <v>0</v>
      </c>
      <c r="BP132" s="418">
        <f t="shared" si="204"/>
        <v>18590</v>
      </c>
      <c r="BQ132" s="418">
        <f t="shared" si="204"/>
        <v>550</v>
      </c>
      <c r="BR132" s="418">
        <f t="shared" si="205"/>
        <v>2700</v>
      </c>
      <c r="BS132" s="419">
        <f t="shared" si="206"/>
        <v>0.2089</v>
      </c>
      <c r="BT132" s="419">
        <f t="shared" si="207"/>
        <v>0</v>
      </c>
      <c r="BU132" s="421">
        <f t="shared" si="207"/>
        <v>0.2089</v>
      </c>
      <c r="BV132" s="420"/>
      <c r="BW132" s="415"/>
      <c r="BX132" s="415"/>
      <c r="BY132" s="415"/>
      <c r="BZ132" s="415"/>
      <c r="CA132" s="510"/>
    </row>
    <row r="133" spans="1:79" ht="14.1" customHeight="1" x14ac:dyDescent="0.2">
      <c r="A133" s="72">
        <v>31</v>
      </c>
      <c r="B133" s="69">
        <v>2474</v>
      </c>
      <c r="C133" s="70">
        <v>600080307</v>
      </c>
      <c r="D133" s="69">
        <v>65635612</v>
      </c>
      <c r="E133" s="71" t="s">
        <v>597</v>
      </c>
      <c r="F133" s="72"/>
      <c r="G133" s="71"/>
      <c r="H133" s="73"/>
      <c r="I133" s="517">
        <v>38750934</v>
      </c>
      <c r="J133" s="74">
        <v>28342615</v>
      </c>
      <c r="K133" s="74">
        <v>26624058</v>
      </c>
      <c r="L133" s="74">
        <v>1718557</v>
      </c>
      <c r="M133" s="74">
        <v>95000</v>
      </c>
      <c r="N133" s="74">
        <v>60000</v>
      </c>
      <c r="O133" s="74">
        <v>35000</v>
      </c>
      <c r="P133" s="74">
        <v>9611914</v>
      </c>
      <c r="Q133" s="74">
        <v>283428</v>
      </c>
      <c r="R133" s="74">
        <v>417977</v>
      </c>
      <c r="S133" s="75">
        <v>48.149300000000004</v>
      </c>
      <c r="T133" s="75">
        <v>42.881</v>
      </c>
      <c r="U133" s="658">
        <v>5.2683</v>
      </c>
      <c r="V133" s="517">
        <f t="shared" ref="V133:BU133" si="208">SUM(V127:V132)</f>
        <v>0</v>
      </c>
      <c r="W133" s="74">
        <f t="shared" si="208"/>
        <v>0</v>
      </c>
      <c r="X133" s="74">
        <f t="shared" si="208"/>
        <v>0</v>
      </c>
      <c r="Y133" s="74">
        <f t="shared" si="208"/>
        <v>0</v>
      </c>
      <c r="Z133" s="74">
        <f t="shared" si="208"/>
        <v>0</v>
      </c>
      <c r="AA133" s="74">
        <f t="shared" si="208"/>
        <v>84326</v>
      </c>
      <c r="AB133" s="74">
        <f t="shared" si="208"/>
        <v>0</v>
      </c>
      <c r="AC133" s="74">
        <f t="shared" si="208"/>
        <v>0</v>
      </c>
      <c r="AD133" s="74">
        <f t="shared" si="208"/>
        <v>0</v>
      </c>
      <c r="AE133" s="74">
        <f t="shared" si="208"/>
        <v>84326</v>
      </c>
      <c r="AF133" s="74">
        <f t="shared" si="208"/>
        <v>84326</v>
      </c>
      <c r="AG133" s="74">
        <f t="shared" si="208"/>
        <v>0</v>
      </c>
      <c r="AH133" s="74">
        <f t="shared" si="208"/>
        <v>0</v>
      </c>
      <c r="AI133" s="74">
        <f t="shared" si="208"/>
        <v>0</v>
      </c>
      <c r="AJ133" s="74">
        <f t="shared" si="208"/>
        <v>0</v>
      </c>
      <c r="AK133" s="74">
        <f t="shared" si="208"/>
        <v>0</v>
      </c>
      <c r="AL133" s="74">
        <f t="shared" si="208"/>
        <v>0</v>
      </c>
      <c r="AM133" s="74">
        <f t="shared" si="208"/>
        <v>0</v>
      </c>
      <c r="AN133" s="74">
        <f t="shared" si="208"/>
        <v>0</v>
      </c>
      <c r="AO133" s="74">
        <f t="shared" si="208"/>
        <v>0</v>
      </c>
      <c r="AP133" s="74">
        <f t="shared" si="208"/>
        <v>84326</v>
      </c>
      <c r="AQ133" s="74">
        <f t="shared" si="208"/>
        <v>84326</v>
      </c>
      <c r="AR133" s="74">
        <f t="shared" si="208"/>
        <v>28503</v>
      </c>
      <c r="AS133" s="74">
        <f t="shared" si="208"/>
        <v>843</v>
      </c>
      <c r="AT133" s="74">
        <f t="shared" si="208"/>
        <v>0</v>
      </c>
      <c r="AU133" s="74">
        <f t="shared" si="208"/>
        <v>1417</v>
      </c>
      <c r="AV133" s="74">
        <f t="shared" si="208"/>
        <v>1417</v>
      </c>
      <c r="AW133" s="74">
        <f t="shared" si="208"/>
        <v>115089</v>
      </c>
      <c r="AX133" s="75">
        <f t="shared" si="208"/>
        <v>0</v>
      </c>
      <c r="AY133" s="75">
        <f t="shared" si="208"/>
        <v>0</v>
      </c>
      <c r="AZ133" s="75">
        <f t="shared" si="208"/>
        <v>0</v>
      </c>
      <c r="BA133" s="75">
        <f t="shared" si="208"/>
        <v>0</v>
      </c>
      <c r="BB133" s="75">
        <f t="shared" si="208"/>
        <v>0.27</v>
      </c>
      <c r="BC133" s="75">
        <f t="shared" si="208"/>
        <v>0</v>
      </c>
      <c r="BD133" s="75">
        <f t="shared" si="208"/>
        <v>0</v>
      </c>
      <c r="BE133" s="75">
        <f t="shared" si="208"/>
        <v>0</v>
      </c>
      <c r="BF133" s="75">
        <f t="shared" si="208"/>
        <v>0</v>
      </c>
      <c r="BG133" s="75">
        <f t="shared" si="208"/>
        <v>0.27</v>
      </c>
      <c r="BH133" s="76">
        <f t="shared" si="208"/>
        <v>0.27</v>
      </c>
      <c r="BI133" s="799">
        <f t="shared" si="208"/>
        <v>38866023</v>
      </c>
      <c r="BJ133" s="74">
        <f t="shared" si="208"/>
        <v>28426941</v>
      </c>
      <c r="BK133" s="74">
        <f t="shared" si="208"/>
        <v>26624058</v>
      </c>
      <c r="BL133" s="74">
        <f t="shared" si="208"/>
        <v>1802883</v>
      </c>
      <c r="BM133" s="74">
        <f t="shared" si="208"/>
        <v>95000</v>
      </c>
      <c r="BN133" s="74">
        <f t="shared" si="208"/>
        <v>60000</v>
      </c>
      <c r="BO133" s="74">
        <f t="shared" si="208"/>
        <v>35000</v>
      </c>
      <c r="BP133" s="74">
        <f t="shared" si="208"/>
        <v>9640417</v>
      </c>
      <c r="BQ133" s="74">
        <f t="shared" si="208"/>
        <v>284271</v>
      </c>
      <c r="BR133" s="74">
        <f t="shared" si="208"/>
        <v>419394</v>
      </c>
      <c r="BS133" s="75">
        <f t="shared" si="208"/>
        <v>48.4193</v>
      </c>
      <c r="BT133" s="75">
        <f t="shared" si="208"/>
        <v>42.881</v>
      </c>
      <c r="BU133" s="76">
        <f t="shared" si="208"/>
        <v>5.5383000000000004</v>
      </c>
      <c r="BV133" s="809">
        <f t="shared" ref="BV133:CA133" si="209">SUM(BV127:BV132)</f>
        <v>760272</v>
      </c>
      <c r="BW133" s="684">
        <f t="shared" si="209"/>
        <v>564000</v>
      </c>
      <c r="BX133" s="684">
        <f t="shared" si="209"/>
        <v>0</v>
      </c>
      <c r="BY133" s="684">
        <f t="shared" si="209"/>
        <v>190632</v>
      </c>
      <c r="BZ133" s="684">
        <f t="shared" si="209"/>
        <v>5640</v>
      </c>
      <c r="CA133" s="810">
        <f t="shared" si="209"/>
        <v>1</v>
      </c>
    </row>
    <row r="134" spans="1:79" ht="14.1" customHeight="1" x14ac:dyDescent="0.2">
      <c r="A134" s="66">
        <v>32</v>
      </c>
      <c r="B134" s="63">
        <v>2312</v>
      </c>
      <c r="C134" s="64">
        <v>600079899</v>
      </c>
      <c r="D134" s="63">
        <v>65642350</v>
      </c>
      <c r="E134" s="65" t="s">
        <v>598</v>
      </c>
      <c r="F134" s="66">
        <v>3113</v>
      </c>
      <c r="G134" s="65" t="s">
        <v>293</v>
      </c>
      <c r="H134" s="67" t="s">
        <v>271</v>
      </c>
      <c r="I134" s="420">
        <v>33071335</v>
      </c>
      <c r="J134" s="415">
        <v>24082148</v>
      </c>
      <c r="K134" s="415">
        <v>22541704</v>
      </c>
      <c r="L134" s="415">
        <v>1540444</v>
      </c>
      <c r="M134" s="415">
        <v>120000</v>
      </c>
      <c r="N134" s="415">
        <v>40000</v>
      </c>
      <c r="O134" s="415">
        <v>80000</v>
      </c>
      <c r="P134" s="599">
        <v>8180326</v>
      </c>
      <c r="Q134" s="599">
        <v>240822</v>
      </c>
      <c r="R134" s="415">
        <v>448039</v>
      </c>
      <c r="S134" s="416">
        <v>36.811699999999995</v>
      </c>
      <c r="T134" s="416">
        <v>32.151699999999998</v>
      </c>
      <c r="U134" s="423">
        <v>4.66</v>
      </c>
      <c r="V134" s="424">
        <f t="shared" si="98"/>
        <v>0</v>
      </c>
      <c r="W134" s="418">
        <f t="shared" si="99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 t="shared" ref="AD134:AD139" si="210">V134+X134+Y134+Z134+AB134</f>
        <v>0</v>
      </c>
      <c r="AE134" s="418">
        <f t="shared" ref="AE134:AE139" si="211">W134+AA134+AC134</f>
        <v>0</v>
      </c>
      <c r="AF134" s="418">
        <f t="shared" si="100"/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101"/>
        <v>0</v>
      </c>
      <c r="AM134" s="418">
        <f t="shared" si="102"/>
        <v>0</v>
      </c>
      <c r="AN134" s="418">
        <f t="shared" si="103"/>
        <v>0</v>
      </c>
      <c r="AO134" s="418">
        <f t="shared" si="104"/>
        <v>0</v>
      </c>
      <c r="AP134" s="418">
        <f t="shared" si="105"/>
        <v>0</v>
      </c>
      <c r="AQ134" s="418">
        <f t="shared" si="106"/>
        <v>0</v>
      </c>
      <c r="AR134" s="68">
        <f t="shared" si="107"/>
        <v>0</v>
      </c>
      <c r="AS134" s="68">
        <f t="shared" si="108"/>
        <v>0</v>
      </c>
      <c r="AT134" s="418">
        <v>0</v>
      </c>
      <c r="AU134" s="418">
        <v>0</v>
      </c>
      <c r="AV134" s="418">
        <f t="shared" si="109"/>
        <v>0</v>
      </c>
      <c r="AW134" s="418">
        <f t="shared" si="110"/>
        <v>0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</v>
      </c>
      <c r="BC134" s="419">
        <v>0</v>
      </c>
      <c r="BD134" s="419">
        <v>0</v>
      </c>
      <c r="BE134" s="419">
        <v>0</v>
      </c>
      <c r="BF134" s="419">
        <f t="shared" si="111"/>
        <v>0</v>
      </c>
      <c r="BG134" s="419">
        <f t="shared" si="112"/>
        <v>0</v>
      </c>
      <c r="BH134" s="421">
        <f t="shared" si="113"/>
        <v>0</v>
      </c>
      <c r="BI134" s="780">
        <f t="shared" ref="BI134:BI139" si="212">I134+AW134</f>
        <v>33071335</v>
      </c>
      <c r="BJ134" s="418">
        <f t="shared" ref="BJ134:BJ139" si="213">J134+AF134</f>
        <v>24082148</v>
      </c>
      <c r="BK134" s="418">
        <f t="shared" ref="BK134:BL139" si="214">K134+AD134</f>
        <v>22541704</v>
      </c>
      <c r="BL134" s="418">
        <f t="shared" si="214"/>
        <v>1540444</v>
      </c>
      <c r="BM134" s="418">
        <f t="shared" ref="BM134:BM139" si="215">M134+AN134</f>
        <v>120000</v>
      </c>
      <c r="BN134" s="418">
        <f t="shared" ref="BN134:BO139" si="216">N134+AL134</f>
        <v>40000</v>
      </c>
      <c r="BO134" s="418">
        <f t="shared" si="216"/>
        <v>80000</v>
      </c>
      <c r="BP134" s="418">
        <f t="shared" ref="BP134:BQ139" si="217">P134+AR134</f>
        <v>8180326</v>
      </c>
      <c r="BQ134" s="418">
        <f t="shared" si="217"/>
        <v>240822</v>
      </c>
      <c r="BR134" s="418">
        <f t="shared" ref="BR134:BR139" si="218">R134+AV134</f>
        <v>448039</v>
      </c>
      <c r="BS134" s="419">
        <f t="shared" ref="BS134:BS139" si="219">S134+BH134</f>
        <v>36.811699999999995</v>
      </c>
      <c r="BT134" s="419">
        <f t="shared" ref="BT134:BU139" si="220">T134+BF134</f>
        <v>32.151699999999998</v>
      </c>
      <c r="BU134" s="421">
        <f t="shared" si="220"/>
        <v>4.66</v>
      </c>
      <c r="BV134" s="420">
        <v>760272</v>
      </c>
      <c r="BW134" s="415">
        <v>564000</v>
      </c>
      <c r="BX134" s="415">
        <v>0</v>
      </c>
      <c r="BY134" s="415">
        <v>190632</v>
      </c>
      <c r="BZ134" s="415">
        <v>5640</v>
      </c>
      <c r="CA134" s="510">
        <v>1</v>
      </c>
    </row>
    <row r="135" spans="1:79" ht="14.1" customHeight="1" x14ac:dyDescent="0.2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598</v>
      </c>
      <c r="F135" s="66">
        <v>3113</v>
      </c>
      <c r="G135" s="77" t="s">
        <v>291</v>
      </c>
      <c r="H135" s="67" t="s">
        <v>272</v>
      </c>
      <c r="I135" s="420">
        <v>2720179</v>
      </c>
      <c r="J135" s="415">
        <v>2017195</v>
      </c>
      <c r="K135" s="415">
        <v>2017195</v>
      </c>
      <c r="L135" s="415">
        <v>0</v>
      </c>
      <c r="M135" s="415">
        <v>0</v>
      </c>
      <c r="N135" s="415">
        <v>0</v>
      </c>
      <c r="O135" s="415">
        <v>0</v>
      </c>
      <c r="P135" s="599">
        <v>681812</v>
      </c>
      <c r="Q135" s="599">
        <v>20172</v>
      </c>
      <c r="R135" s="415">
        <v>1000</v>
      </c>
      <c r="S135" s="416">
        <v>5.24</v>
      </c>
      <c r="T135" s="417">
        <v>5.24</v>
      </c>
      <c r="U135" s="423">
        <v>0</v>
      </c>
      <c r="V135" s="424">
        <f t="shared" si="98"/>
        <v>0</v>
      </c>
      <c r="W135" s="418">
        <f t="shared" si="99"/>
        <v>0</v>
      </c>
      <c r="X135" s="418">
        <v>-49514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210"/>
        <v>-49514</v>
      </c>
      <c r="AE135" s="418">
        <f t="shared" si="211"/>
        <v>0</v>
      </c>
      <c r="AF135" s="418">
        <f t="shared" si="100"/>
        <v>-49514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101"/>
        <v>0</v>
      </c>
      <c r="AM135" s="418">
        <f t="shared" si="102"/>
        <v>0</v>
      </c>
      <c r="AN135" s="418">
        <f t="shared" si="103"/>
        <v>0</v>
      </c>
      <c r="AO135" s="418">
        <f t="shared" si="104"/>
        <v>-49514</v>
      </c>
      <c r="AP135" s="418">
        <f t="shared" si="105"/>
        <v>0</v>
      </c>
      <c r="AQ135" s="418">
        <f t="shared" si="106"/>
        <v>-49514</v>
      </c>
      <c r="AR135" s="68">
        <f t="shared" si="107"/>
        <v>-16736</v>
      </c>
      <c r="AS135" s="68">
        <f t="shared" si="108"/>
        <v>-495</v>
      </c>
      <c r="AT135" s="418">
        <v>0</v>
      </c>
      <c r="AU135" s="418">
        <v>0</v>
      </c>
      <c r="AV135" s="418">
        <f t="shared" si="109"/>
        <v>0</v>
      </c>
      <c r="AW135" s="418">
        <f t="shared" si="110"/>
        <v>-66745</v>
      </c>
      <c r="AX135" s="419">
        <v>0</v>
      </c>
      <c r="AY135" s="419">
        <v>0</v>
      </c>
      <c r="AZ135" s="419">
        <v>-0.1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111"/>
        <v>-0.1</v>
      </c>
      <c r="BG135" s="419">
        <f t="shared" si="112"/>
        <v>0</v>
      </c>
      <c r="BH135" s="421">
        <f t="shared" si="113"/>
        <v>-0.1</v>
      </c>
      <c r="BI135" s="780">
        <f t="shared" si="212"/>
        <v>2653434</v>
      </c>
      <c r="BJ135" s="418">
        <f t="shared" si="213"/>
        <v>1967681</v>
      </c>
      <c r="BK135" s="418">
        <f t="shared" si="214"/>
        <v>1967681</v>
      </c>
      <c r="BL135" s="418">
        <f t="shared" si="214"/>
        <v>0</v>
      </c>
      <c r="BM135" s="418">
        <f t="shared" si="215"/>
        <v>0</v>
      </c>
      <c r="BN135" s="418">
        <f t="shared" si="216"/>
        <v>0</v>
      </c>
      <c r="BO135" s="418">
        <f t="shared" si="216"/>
        <v>0</v>
      </c>
      <c r="BP135" s="418">
        <f t="shared" si="217"/>
        <v>665076</v>
      </c>
      <c r="BQ135" s="418">
        <f t="shared" si="217"/>
        <v>19677</v>
      </c>
      <c r="BR135" s="418">
        <f t="shared" si="218"/>
        <v>1000</v>
      </c>
      <c r="BS135" s="419">
        <f t="shared" si="219"/>
        <v>5.1400000000000006</v>
      </c>
      <c r="BT135" s="419">
        <f t="shared" si="220"/>
        <v>5.1400000000000006</v>
      </c>
      <c r="BU135" s="421">
        <f t="shared" si="220"/>
        <v>0</v>
      </c>
      <c r="BV135" s="420"/>
      <c r="BW135" s="415"/>
      <c r="BX135" s="415"/>
      <c r="BY135" s="415"/>
      <c r="BZ135" s="415"/>
      <c r="CA135" s="510"/>
    </row>
    <row r="136" spans="1:79" ht="14.1" customHeight="1" x14ac:dyDescent="0.2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598</v>
      </c>
      <c r="F136" s="66">
        <v>3141</v>
      </c>
      <c r="G136" s="65" t="s">
        <v>294</v>
      </c>
      <c r="H136" s="67" t="s">
        <v>272</v>
      </c>
      <c r="I136" s="420">
        <v>1812309</v>
      </c>
      <c r="J136" s="415">
        <v>1313920</v>
      </c>
      <c r="K136" s="415">
        <v>0</v>
      </c>
      <c r="L136" s="750">
        <v>1313920</v>
      </c>
      <c r="M136" s="415">
        <v>20000</v>
      </c>
      <c r="N136" s="204">
        <v>0</v>
      </c>
      <c r="O136" s="204">
        <v>20000</v>
      </c>
      <c r="P136" s="599">
        <v>450865</v>
      </c>
      <c r="Q136" s="599">
        <v>13139</v>
      </c>
      <c r="R136" s="605">
        <v>14385</v>
      </c>
      <c r="S136" s="416">
        <v>4</v>
      </c>
      <c r="T136" s="607">
        <v>0</v>
      </c>
      <c r="U136" s="737">
        <v>4</v>
      </c>
      <c r="V136" s="424">
        <f t="shared" si="98"/>
        <v>0</v>
      </c>
      <c r="W136" s="418">
        <f t="shared" si="99"/>
        <v>0</v>
      </c>
      <c r="X136" s="418">
        <v>0</v>
      </c>
      <c r="Y136" s="418">
        <v>0</v>
      </c>
      <c r="Z136" s="418">
        <v>0</v>
      </c>
      <c r="AA136" s="418">
        <v>668471</v>
      </c>
      <c r="AB136" s="418">
        <v>0</v>
      </c>
      <c r="AC136" s="418">
        <v>0</v>
      </c>
      <c r="AD136" s="418">
        <f t="shared" si="210"/>
        <v>0</v>
      </c>
      <c r="AE136" s="418">
        <f t="shared" si="211"/>
        <v>668471</v>
      </c>
      <c r="AF136" s="418">
        <f t="shared" si="100"/>
        <v>668471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101"/>
        <v>0</v>
      </c>
      <c r="AM136" s="418">
        <f t="shared" si="102"/>
        <v>0</v>
      </c>
      <c r="AN136" s="418">
        <f t="shared" si="103"/>
        <v>0</v>
      </c>
      <c r="AO136" s="418">
        <f t="shared" si="104"/>
        <v>0</v>
      </c>
      <c r="AP136" s="418">
        <f t="shared" si="105"/>
        <v>668471</v>
      </c>
      <c r="AQ136" s="418">
        <f t="shared" si="106"/>
        <v>668471</v>
      </c>
      <c r="AR136" s="68">
        <f t="shared" si="107"/>
        <v>225943</v>
      </c>
      <c r="AS136" s="68">
        <f t="shared" si="108"/>
        <v>6685</v>
      </c>
      <c r="AT136" s="418">
        <v>0</v>
      </c>
      <c r="AU136" s="418">
        <v>6987</v>
      </c>
      <c r="AV136" s="418">
        <f t="shared" si="109"/>
        <v>6987</v>
      </c>
      <c r="AW136" s="418">
        <f t="shared" si="110"/>
        <v>908086</v>
      </c>
      <c r="AX136" s="419">
        <v>0</v>
      </c>
      <c r="AY136" s="419">
        <v>0</v>
      </c>
      <c r="AZ136" s="419">
        <v>0</v>
      </c>
      <c r="BA136" s="419">
        <v>0</v>
      </c>
      <c r="BB136" s="419">
        <v>2</v>
      </c>
      <c r="BC136" s="419">
        <v>0</v>
      </c>
      <c r="BD136" s="419">
        <v>0</v>
      </c>
      <c r="BE136" s="419">
        <v>0</v>
      </c>
      <c r="BF136" s="419">
        <f t="shared" si="111"/>
        <v>0</v>
      </c>
      <c r="BG136" s="419">
        <f t="shared" si="112"/>
        <v>2</v>
      </c>
      <c r="BH136" s="421">
        <f t="shared" si="113"/>
        <v>2</v>
      </c>
      <c r="BI136" s="780">
        <f t="shared" si="212"/>
        <v>2720395</v>
      </c>
      <c r="BJ136" s="418">
        <f t="shared" si="213"/>
        <v>1982391</v>
      </c>
      <c r="BK136" s="418">
        <f t="shared" si="214"/>
        <v>0</v>
      </c>
      <c r="BL136" s="418">
        <f t="shared" si="214"/>
        <v>1982391</v>
      </c>
      <c r="BM136" s="418">
        <f t="shared" si="215"/>
        <v>20000</v>
      </c>
      <c r="BN136" s="418">
        <f t="shared" si="216"/>
        <v>0</v>
      </c>
      <c r="BO136" s="418">
        <f t="shared" si="216"/>
        <v>20000</v>
      </c>
      <c r="BP136" s="418">
        <f t="shared" si="217"/>
        <v>676808</v>
      </c>
      <c r="BQ136" s="418">
        <f t="shared" si="217"/>
        <v>19824</v>
      </c>
      <c r="BR136" s="418">
        <f t="shared" si="218"/>
        <v>21372</v>
      </c>
      <c r="BS136" s="419">
        <f t="shared" si="219"/>
        <v>6</v>
      </c>
      <c r="BT136" s="419">
        <f t="shared" si="220"/>
        <v>0</v>
      </c>
      <c r="BU136" s="421">
        <f t="shared" si="220"/>
        <v>6</v>
      </c>
      <c r="BV136" s="420"/>
      <c r="BW136" s="415"/>
      <c r="BX136" s="415"/>
      <c r="BY136" s="415"/>
      <c r="BZ136" s="415"/>
      <c r="CA136" s="510"/>
    </row>
    <row r="137" spans="1:79" ht="14.1" customHeight="1" x14ac:dyDescent="0.2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598</v>
      </c>
      <c r="F137" s="66">
        <v>3143</v>
      </c>
      <c r="G137" s="77" t="s">
        <v>595</v>
      </c>
      <c r="H137" s="67" t="s">
        <v>271</v>
      </c>
      <c r="I137" s="420">
        <v>3839603</v>
      </c>
      <c r="J137" s="415">
        <v>2848370</v>
      </c>
      <c r="K137" s="415">
        <v>2848370</v>
      </c>
      <c r="L137" s="415">
        <v>0</v>
      </c>
      <c r="M137" s="415">
        <v>0</v>
      </c>
      <c r="N137" s="415">
        <v>0</v>
      </c>
      <c r="O137" s="415">
        <v>0</v>
      </c>
      <c r="P137" s="599">
        <v>962749</v>
      </c>
      <c r="Q137" s="599">
        <v>28484</v>
      </c>
      <c r="R137" s="415">
        <v>0</v>
      </c>
      <c r="S137" s="416">
        <v>5.5</v>
      </c>
      <c r="T137" s="416">
        <v>5.5</v>
      </c>
      <c r="U137" s="423">
        <v>0</v>
      </c>
      <c r="V137" s="424">
        <f t="shared" si="98"/>
        <v>0</v>
      </c>
      <c r="W137" s="418">
        <f t="shared" si="99"/>
        <v>0</v>
      </c>
      <c r="X137" s="418">
        <v>0</v>
      </c>
      <c r="Y137" s="418">
        <v>0</v>
      </c>
      <c r="Z137" s="418">
        <v>0</v>
      </c>
      <c r="AA137" s="418">
        <v>0</v>
      </c>
      <c r="AB137" s="418">
        <v>0</v>
      </c>
      <c r="AC137" s="418">
        <v>0</v>
      </c>
      <c r="AD137" s="418">
        <f t="shared" si="210"/>
        <v>0</v>
      </c>
      <c r="AE137" s="418">
        <f t="shared" si="211"/>
        <v>0</v>
      </c>
      <c r="AF137" s="418">
        <f t="shared" si="100"/>
        <v>0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 t="shared" si="101"/>
        <v>0</v>
      </c>
      <c r="AM137" s="418">
        <f t="shared" si="102"/>
        <v>0</v>
      </c>
      <c r="AN137" s="418">
        <f t="shared" si="103"/>
        <v>0</v>
      </c>
      <c r="AO137" s="418">
        <f t="shared" si="104"/>
        <v>0</v>
      </c>
      <c r="AP137" s="418">
        <f t="shared" si="105"/>
        <v>0</v>
      </c>
      <c r="AQ137" s="418">
        <f t="shared" si="106"/>
        <v>0</v>
      </c>
      <c r="AR137" s="68">
        <f t="shared" si="107"/>
        <v>0</v>
      </c>
      <c r="AS137" s="68">
        <f t="shared" si="108"/>
        <v>0</v>
      </c>
      <c r="AT137" s="418">
        <v>0</v>
      </c>
      <c r="AU137" s="418">
        <v>0</v>
      </c>
      <c r="AV137" s="418">
        <f t="shared" si="109"/>
        <v>0</v>
      </c>
      <c r="AW137" s="418">
        <f t="shared" si="110"/>
        <v>0</v>
      </c>
      <c r="AX137" s="419">
        <v>0</v>
      </c>
      <c r="AY137" s="419">
        <v>0</v>
      </c>
      <c r="AZ137" s="419">
        <v>0</v>
      </c>
      <c r="BA137" s="419">
        <v>0</v>
      </c>
      <c r="BB137" s="419">
        <v>0</v>
      </c>
      <c r="BC137" s="419">
        <v>0</v>
      </c>
      <c r="BD137" s="419">
        <v>0</v>
      </c>
      <c r="BE137" s="419">
        <v>0</v>
      </c>
      <c r="BF137" s="419">
        <f t="shared" si="111"/>
        <v>0</v>
      </c>
      <c r="BG137" s="419">
        <f t="shared" si="112"/>
        <v>0</v>
      </c>
      <c r="BH137" s="421">
        <f t="shared" si="113"/>
        <v>0</v>
      </c>
      <c r="BI137" s="780">
        <f t="shared" si="212"/>
        <v>3839603</v>
      </c>
      <c r="BJ137" s="418">
        <f t="shared" si="213"/>
        <v>2848370</v>
      </c>
      <c r="BK137" s="418">
        <f t="shared" si="214"/>
        <v>2848370</v>
      </c>
      <c r="BL137" s="418">
        <f t="shared" si="214"/>
        <v>0</v>
      </c>
      <c r="BM137" s="418">
        <f t="shared" si="215"/>
        <v>0</v>
      </c>
      <c r="BN137" s="418">
        <f t="shared" si="216"/>
        <v>0</v>
      </c>
      <c r="BO137" s="418">
        <f t="shared" si="216"/>
        <v>0</v>
      </c>
      <c r="BP137" s="418">
        <f t="shared" si="217"/>
        <v>962749</v>
      </c>
      <c r="BQ137" s="418">
        <f t="shared" si="217"/>
        <v>28484</v>
      </c>
      <c r="BR137" s="418">
        <f t="shared" si="218"/>
        <v>0</v>
      </c>
      <c r="BS137" s="419">
        <f t="shared" si="219"/>
        <v>5.5</v>
      </c>
      <c r="BT137" s="419">
        <f t="shared" si="220"/>
        <v>5.5</v>
      </c>
      <c r="BU137" s="421">
        <f t="shared" si="220"/>
        <v>0</v>
      </c>
      <c r="BV137" s="420"/>
      <c r="BW137" s="415"/>
      <c r="BX137" s="415"/>
      <c r="BY137" s="415"/>
      <c r="BZ137" s="415"/>
      <c r="CA137" s="510"/>
    </row>
    <row r="138" spans="1:79" ht="14.1" customHeight="1" x14ac:dyDescent="0.2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598</v>
      </c>
      <c r="F138" s="66">
        <v>3143</v>
      </c>
      <c r="G138" s="77" t="s">
        <v>596</v>
      </c>
      <c r="H138" s="67" t="s">
        <v>272</v>
      </c>
      <c r="I138" s="420">
        <v>88115</v>
      </c>
      <c r="J138" s="415">
        <v>63070</v>
      </c>
      <c r="K138" s="415">
        <v>0</v>
      </c>
      <c r="L138" s="605">
        <v>63070</v>
      </c>
      <c r="M138" s="415">
        <v>0</v>
      </c>
      <c r="N138" s="415">
        <v>0</v>
      </c>
      <c r="O138" s="415">
        <v>0</v>
      </c>
      <c r="P138" s="599">
        <v>21318</v>
      </c>
      <c r="Q138" s="599">
        <v>631</v>
      </c>
      <c r="R138" s="606">
        <v>3096</v>
      </c>
      <c r="S138" s="416">
        <v>0.2389</v>
      </c>
      <c r="T138" s="609">
        <v>0</v>
      </c>
      <c r="U138" s="737">
        <v>0.2389</v>
      </c>
      <c r="V138" s="424">
        <f t="shared" si="98"/>
        <v>0</v>
      </c>
      <c r="W138" s="418">
        <f t="shared" si="99"/>
        <v>0</v>
      </c>
      <c r="X138" s="418">
        <v>0</v>
      </c>
      <c r="Y138" s="418">
        <v>0</v>
      </c>
      <c r="Z138" s="418">
        <v>0</v>
      </c>
      <c r="AA138" s="418">
        <v>31530</v>
      </c>
      <c r="AB138" s="418">
        <v>0</v>
      </c>
      <c r="AC138" s="418">
        <v>0</v>
      </c>
      <c r="AD138" s="418">
        <f t="shared" si="210"/>
        <v>0</v>
      </c>
      <c r="AE138" s="418">
        <f t="shared" si="211"/>
        <v>31530</v>
      </c>
      <c r="AF138" s="418">
        <f t="shared" si="100"/>
        <v>31530</v>
      </c>
      <c r="AG138" s="418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si="101"/>
        <v>0</v>
      </c>
      <c r="AM138" s="418">
        <f t="shared" si="102"/>
        <v>0</v>
      </c>
      <c r="AN138" s="418">
        <f t="shared" si="103"/>
        <v>0</v>
      </c>
      <c r="AO138" s="418">
        <f t="shared" si="104"/>
        <v>0</v>
      </c>
      <c r="AP138" s="418">
        <f t="shared" si="105"/>
        <v>31530</v>
      </c>
      <c r="AQ138" s="418">
        <f t="shared" si="106"/>
        <v>31530</v>
      </c>
      <c r="AR138" s="68">
        <f t="shared" si="107"/>
        <v>10657</v>
      </c>
      <c r="AS138" s="68">
        <f t="shared" si="108"/>
        <v>315</v>
      </c>
      <c r="AT138" s="418">
        <v>0</v>
      </c>
      <c r="AU138" s="418">
        <v>1548</v>
      </c>
      <c r="AV138" s="418">
        <f t="shared" si="109"/>
        <v>1548</v>
      </c>
      <c r="AW138" s="418">
        <f t="shared" si="110"/>
        <v>44050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0.12</v>
      </c>
      <c r="BC138" s="419">
        <v>0</v>
      </c>
      <c r="BD138" s="419">
        <v>0</v>
      </c>
      <c r="BE138" s="419">
        <v>0</v>
      </c>
      <c r="BF138" s="419">
        <f t="shared" si="111"/>
        <v>0</v>
      </c>
      <c r="BG138" s="419">
        <f t="shared" si="112"/>
        <v>0.12</v>
      </c>
      <c r="BH138" s="421">
        <f t="shared" si="113"/>
        <v>0.12</v>
      </c>
      <c r="BI138" s="780">
        <f t="shared" si="212"/>
        <v>132165</v>
      </c>
      <c r="BJ138" s="418">
        <f t="shared" si="213"/>
        <v>94600</v>
      </c>
      <c r="BK138" s="418">
        <f t="shared" si="214"/>
        <v>0</v>
      </c>
      <c r="BL138" s="418">
        <f t="shared" si="214"/>
        <v>94600</v>
      </c>
      <c r="BM138" s="418">
        <f t="shared" si="215"/>
        <v>0</v>
      </c>
      <c r="BN138" s="418">
        <f t="shared" si="216"/>
        <v>0</v>
      </c>
      <c r="BO138" s="418">
        <f t="shared" si="216"/>
        <v>0</v>
      </c>
      <c r="BP138" s="418">
        <f t="shared" si="217"/>
        <v>31975</v>
      </c>
      <c r="BQ138" s="418">
        <f t="shared" si="217"/>
        <v>946</v>
      </c>
      <c r="BR138" s="418">
        <f t="shared" si="218"/>
        <v>4644</v>
      </c>
      <c r="BS138" s="419">
        <f t="shared" si="219"/>
        <v>0.3589</v>
      </c>
      <c r="BT138" s="419">
        <f t="shared" si="220"/>
        <v>0</v>
      </c>
      <c r="BU138" s="421">
        <f t="shared" si="220"/>
        <v>0.3589</v>
      </c>
      <c r="BV138" s="420"/>
      <c r="BW138" s="415"/>
      <c r="BX138" s="415"/>
      <c r="BY138" s="415"/>
      <c r="BZ138" s="415"/>
      <c r="CA138" s="510"/>
    </row>
    <row r="139" spans="1:79" ht="14.1" customHeight="1" x14ac:dyDescent="0.2">
      <c r="A139" s="66">
        <v>32</v>
      </c>
      <c r="B139" s="63">
        <v>2312</v>
      </c>
      <c r="C139" s="64">
        <v>600079899</v>
      </c>
      <c r="D139" s="63">
        <v>65642350</v>
      </c>
      <c r="E139" s="65" t="s">
        <v>598</v>
      </c>
      <c r="F139" s="66">
        <v>3231</v>
      </c>
      <c r="G139" s="65" t="s">
        <v>295</v>
      </c>
      <c r="H139" s="67" t="s">
        <v>271</v>
      </c>
      <c r="I139" s="420">
        <v>15574807</v>
      </c>
      <c r="J139" s="415">
        <v>11430643</v>
      </c>
      <c r="K139" s="415">
        <v>11027275</v>
      </c>
      <c r="L139" s="415">
        <v>403368</v>
      </c>
      <c r="M139" s="415">
        <v>110000</v>
      </c>
      <c r="N139" s="415">
        <v>110000</v>
      </c>
      <c r="O139" s="415">
        <v>0</v>
      </c>
      <c r="P139" s="599">
        <v>3900737</v>
      </c>
      <c r="Q139" s="599">
        <v>114306</v>
      </c>
      <c r="R139" s="415">
        <v>19121</v>
      </c>
      <c r="S139" s="416">
        <v>18.609999999999996</v>
      </c>
      <c r="T139" s="416">
        <v>17.479999999999997</v>
      </c>
      <c r="U139" s="423">
        <v>1.1299999999999999</v>
      </c>
      <c r="V139" s="424">
        <f t="shared" si="98"/>
        <v>0</v>
      </c>
      <c r="W139" s="418">
        <f t="shared" si="99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210"/>
        <v>0</v>
      </c>
      <c r="AE139" s="418">
        <f t="shared" si="211"/>
        <v>0</v>
      </c>
      <c r="AF139" s="418">
        <f t="shared" si="100"/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101"/>
        <v>0</v>
      </c>
      <c r="AM139" s="418">
        <f t="shared" si="102"/>
        <v>0</v>
      </c>
      <c r="AN139" s="418">
        <f t="shared" si="103"/>
        <v>0</v>
      </c>
      <c r="AO139" s="418">
        <f t="shared" si="104"/>
        <v>0</v>
      </c>
      <c r="AP139" s="418">
        <f t="shared" si="105"/>
        <v>0</v>
      </c>
      <c r="AQ139" s="418">
        <f t="shared" si="106"/>
        <v>0</v>
      </c>
      <c r="AR139" s="68">
        <f t="shared" si="107"/>
        <v>0</v>
      </c>
      <c r="AS139" s="68">
        <f t="shared" si="108"/>
        <v>0</v>
      </c>
      <c r="AT139" s="418">
        <v>0</v>
      </c>
      <c r="AU139" s="418">
        <v>0</v>
      </c>
      <c r="AV139" s="418">
        <f t="shared" si="109"/>
        <v>0</v>
      </c>
      <c r="AW139" s="418">
        <f t="shared" si="110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111"/>
        <v>0</v>
      </c>
      <c r="BG139" s="419">
        <f t="shared" si="112"/>
        <v>0</v>
      </c>
      <c r="BH139" s="421">
        <f t="shared" si="113"/>
        <v>0</v>
      </c>
      <c r="BI139" s="780">
        <f t="shared" si="212"/>
        <v>15574807</v>
      </c>
      <c r="BJ139" s="418">
        <f t="shared" si="213"/>
        <v>11430643</v>
      </c>
      <c r="BK139" s="418">
        <f t="shared" si="214"/>
        <v>11027275</v>
      </c>
      <c r="BL139" s="418">
        <f t="shared" si="214"/>
        <v>403368</v>
      </c>
      <c r="BM139" s="418">
        <f t="shared" si="215"/>
        <v>110000</v>
      </c>
      <c r="BN139" s="418">
        <f t="shared" si="216"/>
        <v>110000</v>
      </c>
      <c r="BO139" s="418">
        <f t="shared" si="216"/>
        <v>0</v>
      </c>
      <c r="BP139" s="418">
        <f t="shared" si="217"/>
        <v>3900737</v>
      </c>
      <c r="BQ139" s="418">
        <f t="shared" si="217"/>
        <v>114306</v>
      </c>
      <c r="BR139" s="418">
        <f t="shared" si="218"/>
        <v>19121</v>
      </c>
      <c r="BS139" s="419">
        <f t="shared" si="219"/>
        <v>18.609999999999996</v>
      </c>
      <c r="BT139" s="419">
        <f t="shared" si="220"/>
        <v>17.479999999999997</v>
      </c>
      <c r="BU139" s="421">
        <f t="shared" si="220"/>
        <v>1.1299999999999999</v>
      </c>
      <c r="BV139" s="420"/>
      <c r="BW139" s="415"/>
      <c r="BX139" s="415"/>
      <c r="BY139" s="415"/>
      <c r="BZ139" s="415"/>
      <c r="CA139" s="510"/>
    </row>
    <row r="140" spans="1:79" ht="14.1" customHeight="1" x14ac:dyDescent="0.2">
      <c r="A140" s="72">
        <v>32</v>
      </c>
      <c r="B140" s="69">
        <v>2312</v>
      </c>
      <c r="C140" s="70">
        <v>600079899</v>
      </c>
      <c r="D140" s="69">
        <v>65642350</v>
      </c>
      <c r="E140" s="71" t="s">
        <v>599</v>
      </c>
      <c r="F140" s="72"/>
      <c r="G140" s="71"/>
      <c r="H140" s="73"/>
      <c r="I140" s="518">
        <v>57106348</v>
      </c>
      <c r="J140" s="78">
        <v>41755346</v>
      </c>
      <c r="K140" s="78">
        <v>38434544</v>
      </c>
      <c r="L140" s="78">
        <v>3320802</v>
      </c>
      <c r="M140" s="78">
        <v>250000</v>
      </c>
      <c r="N140" s="78">
        <v>150000</v>
      </c>
      <c r="O140" s="78">
        <v>100000</v>
      </c>
      <c r="P140" s="78">
        <v>14197807</v>
      </c>
      <c r="Q140" s="78">
        <v>417554</v>
      </c>
      <c r="R140" s="78">
        <v>485641</v>
      </c>
      <c r="S140" s="79">
        <v>70.400599999999997</v>
      </c>
      <c r="T140" s="79">
        <v>60.371699999999997</v>
      </c>
      <c r="U140" s="659">
        <v>10.0289</v>
      </c>
      <c r="V140" s="518">
        <f t="shared" ref="V140:BU140" si="221">SUM(V134:V139)</f>
        <v>0</v>
      </c>
      <c r="W140" s="78">
        <f t="shared" si="221"/>
        <v>0</v>
      </c>
      <c r="X140" s="78">
        <f t="shared" si="221"/>
        <v>-49514</v>
      </c>
      <c r="Y140" s="78">
        <f t="shared" si="221"/>
        <v>0</v>
      </c>
      <c r="Z140" s="78">
        <f t="shared" si="221"/>
        <v>0</v>
      </c>
      <c r="AA140" s="78">
        <f t="shared" si="221"/>
        <v>700001</v>
      </c>
      <c r="AB140" s="78">
        <f t="shared" si="221"/>
        <v>0</v>
      </c>
      <c r="AC140" s="78">
        <f t="shared" si="221"/>
        <v>0</v>
      </c>
      <c r="AD140" s="78">
        <f t="shared" si="221"/>
        <v>-49514</v>
      </c>
      <c r="AE140" s="78">
        <f t="shared" si="221"/>
        <v>700001</v>
      </c>
      <c r="AF140" s="78">
        <f t="shared" si="221"/>
        <v>650487</v>
      </c>
      <c r="AG140" s="78">
        <f t="shared" si="221"/>
        <v>0</v>
      </c>
      <c r="AH140" s="78">
        <f t="shared" si="221"/>
        <v>0</v>
      </c>
      <c r="AI140" s="78">
        <f t="shared" si="221"/>
        <v>0</v>
      </c>
      <c r="AJ140" s="78">
        <f t="shared" si="221"/>
        <v>0</v>
      </c>
      <c r="AK140" s="78">
        <f t="shared" si="221"/>
        <v>0</v>
      </c>
      <c r="AL140" s="78">
        <f t="shared" si="221"/>
        <v>0</v>
      </c>
      <c r="AM140" s="78">
        <f t="shared" si="221"/>
        <v>0</v>
      </c>
      <c r="AN140" s="78">
        <f t="shared" si="221"/>
        <v>0</v>
      </c>
      <c r="AO140" s="78">
        <f t="shared" si="221"/>
        <v>-49514</v>
      </c>
      <c r="AP140" s="78">
        <f t="shared" si="221"/>
        <v>700001</v>
      </c>
      <c r="AQ140" s="78">
        <f t="shared" si="221"/>
        <v>650487</v>
      </c>
      <c r="AR140" s="78">
        <f t="shared" si="221"/>
        <v>219864</v>
      </c>
      <c r="AS140" s="78">
        <f t="shared" si="221"/>
        <v>6505</v>
      </c>
      <c r="AT140" s="78">
        <f t="shared" si="221"/>
        <v>0</v>
      </c>
      <c r="AU140" s="78">
        <f t="shared" si="221"/>
        <v>8535</v>
      </c>
      <c r="AV140" s="78">
        <f t="shared" si="221"/>
        <v>8535</v>
      </c>
      <c r="AW140" s="78">
        <f t="shared" si="221"/>
        <v>885391</v>
      </c>
      <c r="AX140" s="79">
        <f t="shared" si="221"/>
        <v>0</v>
      </c>
      <c r="AY140" s="79">
        <f t="shared" si="221"/>
        <v>0</v>
      </c>
      <c r="AZ140" s="79">
        <f t="shared" si="221"/>
        <v>-0.1</v>
      </c>
      <c r="BA140" s="79">
        <f t="shared" si="221"/>
        <v>0</v>
      </c>
      <c r="BB140" s="79">
        <f t="shared" si="221"/>
        <v>2.12</v>
      </c>
      <c r="BC140" s="79">
        <f t="shared" si="221"/>
        <v>0</v>
      </c>
      <c r="BD140" s="79">
        <f t="shared" si="221"/>
        <v>0</v>
      </c>
      <c r="BE140" s="79">
        <f t="shared" si="221"/>
        <v>0</v>
      </c>
      <c r="BF140" s="79">
        <f t="shared" si="221"/>
        <v>-0.1</v>
      </c>
      <c r="BG140" s="79">
        <f t="shared" si="221"/>
        <v>2.12</v>
      </c>
      <c r="BH140" s="80">
        <f t="shared" si="221"/>
        <v>2.02</v>
      </c>
      <c r="BI140" s="800">
        <f t="shared" si="221"/>
        <v>57991739</v>
      </c>
      <c r="BJ140" s="78">
        <f t="shared" si="221"/>
        <v>42405833</v>
      </c>
      <c r="BK140" s="78">
        <f t="shared" si="221"/>
        <v>38385030</v>
      </c>
      <c r="BL140" s="78">
        <f t="shared" si="221"/>
        <v>4020803</v>
      </c>
      <c r="BM140" s="78">
        <f t="shared" si="221"/>
        <v>250000</v>
      </c>
      <c r="BN140" s="78">
        <f t="shared" si="221"/>
        <v>150000</v>
      </c>
      <c r="BO140" s="78">
        <f t="shared" si="221"/>
        <v>100000</v>
      </c>
      <c r="BP140" s="78">
        <f t="shared" si="221"/>
        <v>14417671</v>
      </c>
      <c r="BQ140" s="78">
        <f t="shared" si="221"/>
        <v>424059</v>
      </c>
      <c r="BR140" s="78">
        <f t="shared" si="221"/>
        <v>494176</v>
      </c>
      <c r="BS140" s="79">
        <f t="shared" si="221"/>
        <v>72.420599999999993</v>
      </c>
      <c r="BT140" s="79">
        <f t="shared" si="221"/>
        <v>60.271699999999996</v>
      </c>
      <c r="BU140" s="80">
        <f t="shared" si="221"/>
        <v>12.148900000000001</v>
      </c>
      <c r="BV140" s="811">
        <f t="shared" ref="BV140:CA140" si="222">SUM(BV134:BV139)</f>
        <v>760272</v>
      </c>
      <c r="BW140" s="685">
        <f t="shared" si="222"/>
        <v>564000</v>
      </c>
      <c r="BX140" s="685">
        <f t="shared" si="222"/>
        <v>0</v>
      </c>
      <c r="BY140" s="685">
        <f t="shared" si="222"/>
        <v>190632</v>
      </c>
      <c r="BZ140" s="685">
        <f t="shared" si="222"/>
        <v>5640</v>
      </c>
      <c r="CA140" s="812">
        <f t="shared" si="222"/>
        <v>1</v>
      </c>
    </row>
    <row r="141" spans="1:79" ht="14.1" customHeight="1" x14ac:dyDescent="0.2">
      <c r="A141" s="66">
        <v>33</v>
      </c>
      <c r="B141" s="63">
        <v>2479</v>
      </c>
      <c r="C141" s="64">
        <v>600080340</v>
      </c>
      <c r="D141" s="63">
        <v>65100280</v>
      </c>
      <c r="E141" s="65" t="s">
        <v>600</v>
      </c>
      <c r="F141" s="66">
        <v>3113</v>
      </c>
      <c r="G141" s="65" t="s">
        <v>293</v>
      </c>
      <c r="H141" s="67" t="s">
        <v>271</v>
      </c>
      <c r="I141" s="420">
        <v>39920688</v>
      </c>
      <c r="J141" s="415">
        <v>29135236</v>
      </c>
      <c r="K141" s="415">
        <v>27237220</v>
      </c>
      <c r="L141" s="415">
        <v>1898016</v>
      </c>
      <c r="M141" s="415">
        <v>50000</v>
      </c>
      <c r="N141" s="415">
        <v>50000</v>
      </c>
      <c r="O141" s="415">
        <v>0</v>
      </c>
      <c r="P141" s="599">
        <v>9864610</v>
      </c>
      <c r="Q141" s="599">
        <v>291353</v>
      </c>
      <c r="R141" s="415">
        <v>579489</v>
      </c>
      <c r="S141" s="416">
        <v>45.353099999999998</v>
      </c>
      <c r="T141" s="416">
        <v>39.634</v>
      </c>
      <c r="U141" s="423">
        <v>5.7191000000000001</v>
      </c>
      <c r="V141" s="424">
        <f t="shared" si="98"/>
        <v>0</v>
      </c>
      <c r="W141" s="418">
        <f t="shared" si="99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>V141+X141+Y141+Z141+AB141</f>
        <v>0</v>
      </c>
      <c r="AE141" s="418">
        <f>W141+AA141+AC141</f>
        <v>0</v>
      </c>
      <c r="AF141" s="418">
        <f t="shared" si="100"/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101"/>
        <v>0</v>
      </c>
      <c r="AM141" s="418">
        <f t="shared" si="102"/>
        <v>0</v>
      </c>
      <c r="AN141" s="418">
        <f t="shared" si="103"/>
        <v>0</v>
      </c>
      <c r="AO141" s="418">
        <f t="shared" si="104"/>
        <v>0</v>
      </c>
      <c r="AP141" s="418">
        <f t="shared" si="105"/>
        <v>0</v>
      </c>
      <c r="AQ141" s="418">
        <f t="shared" si="106"/>
        <v>0</v>
      </c>
      <c r="AR141" s="68">
        <f t="shared" si="107"/>
        <v>0</v>
      </c>
      <c r="AS141" s="68">
        <f t="shared" si="108"/>
        <v>0</v>
      </c>
      <c r="AT141" s="418">
        <v>0</v>
      </c>
      <c r="AU141" s="418">
        <v>0</v>
      </c>
      <c r="AV141" s="418">
        <f t="shared" si="109"/>
        <v>0</v>
      </c>
      <c r="AW141" s="418">
        <f t="shared" si="110"/>
        <v>0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</v>
      </c>
      <c r="BC141" s="419">
        <v>0</v>
      </c>
      <c r="BD141" s="419">
        <v>0</v>
      </c>
      <c r="BE141" s="419">
        <v>0</v>
      </c>
      <c r="BF141" s="419">
        <f t="shared" si="111"/>
        <v>0</v>
      </c>
      <c r="BG141" s="419">
        <f t="shared" si="112"/>
        <v>0</v>
      </c>
      <c r="BH141" s="421">
        <f t="shared" si="113"/>
        <v>0</v>
      </c>
      <c r="BI141" s="780">
        <f>I141+AW141</f>
        <v>39920688</v>
      </c>
      <c r="BJ141" s="418">
        <f>J141+AF141</f>
        <v>29135236</v>
      </c>
      <c r="BK141" s="418">
        <f t="shared" ref="BK141:BL145" si="223">K141+AD141</f>
        <v>27237220</v>
      </c>
      <c r="BL141" s="418">
        <f t="shared" si="223"/>
        <v>1898016</v>
      </c>
      <c r="BM141" s="418">
        <f>M141+AN141</f>
        <v>50000</v>
      </c>
      <c r="BN141" s="418">
        <f t="shared" ref="BN141:BO145" si="224">N141+AL141</f>
        <v>50000</v>
      </c>
      <c r="BO141" s="418">
        <f t="shared" si="224"/>
        <v>0</v>
      </c>
      <c r="BP141" s="418">
        <f t="shared" ref="BP141:BQ145" si="225">P141+AR141</f>
        <v>9864610</v>
      </c>
      <c r="BQ141" s="418">
        <f t="shared" si="225"/>
        <v>291353</v>
      </c>
      <c r="BR141" s="418">
        <f>R141+AV141</f>
        <v>579489</v>
      </c>
      <c r="BS141" s="419">
        <f>S141+BH141</f>
        <v>45.353099999999998</v>
      </c>
      <c r="BT141" s="419">
        <f t="shared" ref="BT141:BU145" si="226">T141+BF141</f>
        <v>39.634</v>
      </c>
      <c r="BU141" s="421">
        <f t="shared" si="226"/>
        <v>5.7191000000000001</v>
      </c>
      <c r="BV141" s="420">
        <v>760272</v>
      </c>
      <c r="BW141" s="415">
        <v>564000</v>
      </c>
      <c r="BX141" s="415">
        <v>0</v>
      </c>
      <c r="BY141" s="415">
        <v>190632</v>
      </c>
      <c r="BZ141" s="415">
        <v>5640</v>
      </c>
      <c r="CA141" s="510">
        <v>1</v>
      </c>
    </row>
    <row r="142" spans="1:79" ht="14.1" customHeight="1" x14ac:dyDescent="0.2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600</v>
      </c>
      <c r="F142" s="66">
        <v>3113</v>
      </c>
      <c r="G142" s="77" t="s">
        <v>291</v>
      </c>
      <c r="H142" s="67" t="s">
        <v>272</v>
      </c>
      <c r="I142" s="420">
        <v>5324321</v>
      </c>
      <c r="J142" s="415">
        <v>3949793</v>
      </c>
      <c r="K142" s="415">
        <v>3949793</v>
      </c>
      <c r="L142" s="415">
        <v>0</v>
      </c>
      <c r="M142" s="415">
        <v>0</v>
      </c>
      <c r="N142" s="415">
        <v>0</v>
      </c>
      <c r="O142" s="415">
        <v>0</v>
      </c>
      <c r="P142" s="599">
        <v>1335030</v>
      </c>
      <c r="Q142" s="599">
        <v>39498</v>
      </c>
      <c r="R142" s="415">
        <v>0</v>
      </c>
      <c r="S142" s="416">
        <v>10.320000000000002</v>
      </c>
      <c r="T142" s="417">
        <v>10.320000000000002</v>
      </c>
      <c r="U142" s="423">
        <v>0</v>
      </c>
      <c r="V142" s="424">
        <f t="shared" ref="V142:V205" si="227">AG142*-1</f>
        <v>0</v>
      </c>
      <c r="W142" s="418">
        <f t="shared" ref="W142:W205" si="228">AH142*-1</f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>V142+X142+Y142+Z142+AB142</f>
        <v>0</v>
      </c>
      <c r="AE142" s="418">
        <f>W142+AA142+AC142</f>
        <v>0</v>
      </c>
      <c r="AF142" s="418">
        <f t="shared" ref="AF142:AF205" si="229">SUM(AD142:AE142)</f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ref="AL142:AL205" si="230">AG142+AI142+AJ142</f>
        <v>0</v>
      </c>
      <c r="AM142" s="418">
        <f t="shared" ref="AM142:AM205" si="231">AH142+AK142</f>
        <v>0</v>
      </c>
      <c r="AN142" s="418">
        <f t="shared" ref="AN142:AN205" si="232">SUM(AL142:AM142)</f>
        <v>0</v>
      </c>
      <c r="AO142" s="418">
        <f t="shared" ref="AO142:AO205" si="233">AD142+AL142</f>
        <v>0</v>
      </c>
      <c r="AP142" s="418">
        <f t="shared" ref="AP142:AP205" si="234">AE142+AM142</f>
        <v>0</v>
      </c>
      <c r="AQ142" s="418">
        <f t="shared" ref="AQ142:AQ205" si="235">SUM(AO142:AP142)</f>
        <v>0</v>
      </c>
      <c r="AR142" s="68">
        <f t="shared" ref="AR142:AR205" si="236">ROUND((AF142+AG142+AH142+AI142)*33.8%,0)</f>
        <v>0</v>
      </c>
      <c r="AS142" s="68">
        <f t="shared" ref="AS142:AS205" si="237">ROUND(AF142*1%,0)</f>
        <v>0</v>
      </c>
      <c r="AT142" s="418">
        <v>0</v>
      </c>
      <c r="AU142" s="418">
        <v>0</v>
      </c>
      <c r="AV142" s="418">
        <f t="shared" ref="AV142:AV205" si="238">AT142+AU142</f>
        <v>0</v>
      </c>
      <c r="AW142" s="418">
        <f t="shared" ref="AW142:AW205" si="239">AQ142+AR142+AS142+AV142</f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ref="BF142:BF205" si="240">AX142+AZ142+BA142+BC142+BD142</f>
        <v>0</v>
      </c>
      <c r="BG142" s="419">
        <f t="shared" ref="BG142:BG205" si="241">AY142+BB142+BE142</f>
        <v>0</v>
      </c>
      <c r="BH142" s="421">
        <f t="shared" ref="BH142:BH205" si="242">SUM(BF142:BG142)</f>
        <v>0</v>
      </c>
      <c r="BI142" s="780">
        <f>I142+AW142</f>
        <v>5324321</v>
      </c>
      <c r="BJ142" s="418">
        <f>J142+AF142</f>
        <v>3949793</v>
      </c>
      <c r="BK142" s="418">
        <f t="shared" si="223"/>
        <v>3949793</v>
      </c>
      <c r="BL142" s="418">
        <f t="shared" si="223"/>
        <v>0</v>
      </c>
      <c r="BM142" s="418">
        <f>M142+AN142</f>
        <v>0</v>
      </c>
      <c r="BN142" s="418">
        <f t="shared" si="224"/>
        <v>0</v>
      </c>
      <c r="BO142" s="418">
        <f t="shared" si="224"/>
        <v>0</v>
      </c>
      <c r="BP142" s="418">
        <f t="shared" si="225"/>
        <v>1335030</v>
      </c>
      <c r="BQ142" s="418">
        <f t="shared" si="225"/>
        <v>39498</v>
      </c>
      <c r="BR142" s="418">
        <f>R142+AV142</f>
        <v>0</v>
      </c>
      <c r="BS142" s="419">
        <f>S142+BH142</f>
        <v>10.320000000000002</v>
      </c>
      <c r="BT142" s="419">
        <f t="shared" si="226"/>
        <v>10.320000000000002</v>
      </c>
      <c r="BU142" s="421">
        <f t="shared" si="226"/>
        <v>0</v>
      </c>
      <c r="BV142" s="420"/>
      <c r="BW142" s="415"/>
      <c r="BX142" s="415"/>
      <c r="BY142" s="415"/>
      <c r="BZ142" s="415"/>
      <c r="CA142" s="510"/>
    </row>
    <row r="143" spans="1:79" ht="14.1" customHeight="1" x14ac:dyDescent="0.2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600</v>
      </c>
      <c r="F143" s="66">
        <v>3141</v>
      </c>
      <c r="G143" s="65" t="s">
        <v>294</v>
      </c>
      <c r="H143" s="67" t="s">
        <v>272</v>
      </c>
      <c r="I143" s="420">
        <v>2366573</v>
      </c>
      <c r="J143" s="415">
        <v>1740766</v>
      </c>
      <c r="K143" s="415">
        <v>0</v>
      </c>
      <c r="L143" s="750">
        <v>1740766</v>
      </c>
      <c r="M143" s="415">
        <v>0</v>
      </c>
      <c r="N143" s="204">
        <v>0</v>
      </c>
      <c r="O143" s="204">
        <v>0</v>
      </c>
      <c r="P143" s="599">
        <v>588379</v>
      </c>
      <c r="Q143" s="599">
        <v>17408</v>
      </c>
      <c r="R143" s="605">
        <v>20020</v>
      </c>
      <c r="S143" s="416">
        <v>5.22</v>
      </c>
      <c r="T143" s="607">
        <v>0</v>
      </c>
      <c r="U143" s="737">
        <v>5.22</v>
      </c>
      <c r="V143" s="424">
        <f t="shared" si="227"/>
        <v>0</v>
      </c>
      <c r="W143" s="418">
        <f t="shared" si="228"/>
        <v>0</v>
      </c>
      <c r="X143" s="418">
        <v>0</v>
      </c>
      <c r="Y143" s="418">
        <v>0</v>
      </c>
      <c r="Z143" s="418">
        <v>0</v>
      </c>
      <c r="AA143" s="418">
        <v>869432</v>
      </c>
      <c r="AB143" s="418">
        <v>0</v>
      </c>
      <c r="AC143" s="418">
        <v>0</v>
      </c>
      <c r="AD143" s="418">
        <f>V143+X143+Y143+Z143+AB143</f>
        <v>0</v>
      </c>
      <c r="AE143" s="418">
        <f>W143+AA143+AC143</f>
        <v>869432</v>
      </c>
      <c r="AF143" s="418">
        <f t="shared" si="229"/>
        <v>869432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30"/>
        <v>0</v>
      </c>
      <c r="AM143" s="418">
        <f t="shared" si="231"/>
        <v>0</v>
      </c>
      <c r="AN143" s="418">
        <f t="shared" si="232"/>
        <v>0</v>
      </c>
      <c r="AO143" s="418">
        <f t="shared" si="233"/>
        <v>0</v>
      </c>
      <c r="AP143" s="418">
        <f t="shared" si="234"/>
        <v>869432</v>
      </c>
      <c r="AQ143" s="418">
        <f t="shared" si="235"/>
        <v>869432</v>
      </c>
      <c r="AR143" s="68">
        <f t="shared" si="236"/>
        <v>293868</v>
      </c>
      <c r="AS143" s="68">
        <f t="shared" si="237"/>
        <v>8694</v>
      </c>
      <c r="AT143" s="418">
        <v>0</v>
      </c>
      <c r="AU143" s="418">
        <v>9724</v>
      </c>
      <c r="AV143" s="418">
        <f t="shared" si="238"/>
        <v>9724</v>
      </c>
      <c r="AW143" s="418">
        <f t="shared" si="239"/>
        <v>1181718</v>
      </c>
      <c r="AX143" s="419">
        <v>0</v>
      </c>
      <c r="AY143" s="419">
        <v>0</v>
      </c>
      <c r="AZ143" s="419">
        <v>0</v>
      </c>
      <c r="BA143" s="419">
        <v>0</v>
      </c>
      <c r="BB143" s="419">
        <v>2.61</v>
      </c>
      <c r="BC143" s="419">
        <v>0</v>
      </c>
      <c r="BD143" s="419">
        <v>0</v>
      </c>
      <c r="BE143" s="419">
        <v>0</v>
      </c>
      <c r="BF143" s="419">
        <f t="shared" si="240"/>
        <v>0</v>
      </c>
      <c r="BG143" s="419">
        <f t="shared" si="241"/>
        <v>2.61</v>
      </c>
      <c r="BH143" s="421">
        <f t="shared" si="242"/>
        <v>2.61</v>
      </c>
      <c r="BI143" s="780">
        <f>I143+AW143</f>
        <v>3548291</v>
      </c>
      <c r="BJ143" s="418">
        <f>J143+AF143</f>
        <v>2610198</v>
      </c>
      <c r="BK143" s="418">
        <f t="shared" si="223"/>
        <v>0</v>
      </c>
      <c r="BL143" s="418">
        <f t="shared" si="223"/>
        <v>2610198</v>
      </c>
      <c r="BM143" s="418">
        <f>M143+AN143</f>
        <v>0</v>
      </c>
      <c r="BN143" s="418">
        <f t="shared" si="224"/>
        <v>0</v>
      </c>
      <c r="BO143" s="418">
        <f t="shared" si="224"/>
        <v>0</v>
      </c>
      <c r="BP143" s="418">
        <f t="shared" si="225"/>
        <v>882247</v>
      </c>
      <c r="BQ143" s="418">
        <f t="shared" si="225"/>
        <v>26102</v>
      </c>
      <c r="BR143" s="418">
        <f>R143+AV143</f>
        <v>29744</v>
      </c>
      <c r="BS143" s="419">
        <f>S143+BH143</f>
        <v>7.83</v>
      </c>
      <c r="BT143" s="419">
        <f t="shared" si="226"/>
        <v>0</v>
      </c>
      <c r="BU143" s="421">
        <f t="shared" si="226"/>
        <v>7.83</v>
      </c>
      <c r="BV143" s="420"/>
      <c r="BW143" s="415"/>
      <c r="BX143" s="415"/>
      <c r="BY143" s="415"/>
      <c r="BZ143" s="415"/>
      <c r="CA143" s="510"/>
    </row>
    <row r="144" spans="1:79" ht="14.1" customHeight="1" x14ac:dyDescent="0.2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600</v>
      </c>
      <c r="F144" s="66">
        <v>3143</v>
      </c>
      <c r="G144" s="77" t="s">
        <v>595</v>
      </c>
      <c r="H144" s="67" t="s">
        <v>271</v>
      </c>
      <c r="I144" s="420">
        <v>4270721</v>
      </c>
      <c r="J144" s="415">
        <v>3164717</v>
      </c>
      <c r="K144" s="415">
        <v>3164717</v>
      </c>
      <c r="L144" s="415">
        <v>0</v>
      </c>
      <c r="M144" s="415">
        <v>3500</v>
      </c>
      <c r="N144" s="415">
        <v>3500</v>
      </c>
      <c r="O144" s="415">
        <v>0</v>
      </c>
      <c r="P144" s="599">
        <v>1070857</v>
      </c>
      <c r="Q144" s="599">
        <v>31647</v>
      </c>
      <c r="R144" s="415">
        <v>0</v>
      </c>
      <c r="S144" s="416">
        <v>6.07</v>
      </c>
      <c r="T144" s="416">
        <v>6.07</v>
      </c>
      <c r="U144" s="423">
        <v>0</v>
      </c>
      <c r="V144" s="424">
        <f t="shared" si="227"/>
        <v>0</v>
      </c>
      <c r="W144" s="418">
        <f t="shared" si="228"/>
        <v>0</v>
      </c>
      <c r="X144" s="418">
        <v>0</v>
      </c>
      <c r="Y144" s="418">
        <v>0</v>
      </c>
      <c r="Z144" s="418">
        <v>0</v>
      </c>
      <c r="AA144" s="418">
        <v>0</v>
      </c>
      <c r="AB144" s="418">
        <v>0</v>
      </c>
      <c r="AC144" s="418">
        <v>0</v>
      </c>
      <c r="AD144" s="418">
        <f>V144+X144+Y144+Z144+AB144</f>
        <v>0</v>
      </c>
      <c r="AE144" s="418">
        <f>W144+AA144+AC144</f>
        <v>0</v>
      </c>
      <c r="AF144" s="418">
        <f t="shared" si="229"/>
        <v>0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230"/>
        <v>0</v>
      </c>
      <c r="AM144" s="418">
        <f t="shared" si="231"/>
        <v>0</v>
      </c>
      <c r="AN144" s="418">
        <f t="shared" si="232"/>
        <v>0</v>
      </c>
      <c r="AO144" s="418">
        <f t="shared" si="233"/>
        <v>0</v>
      </c>
      <c r="AP144" s="418">
        <f t="shared" si="234"/>
        <v>0</v>
      </c>
      <c r="AQ144" s="418">
        <f t="shared" si="235"/>
        <v>0</v>
      </c>
      <c r="AR144" s="68">
        <f t="shared" si="236"/>
        <v>0</v>
      </c>
      <c r="AS144" s="68">
        <f t="shared" si="237"/>
        <v>0</v>
      </c>
      <c r="AT144" s="418">
        <v>0</v>
      </c>
      <c r="AU144" s="418">
        <v>0</v>
      </c>
      <c r="AV144" s="418">
        <f t="shared" si="238"/>
        <v>0</v>
      </c>
      <c r="AW144" s="418">
        <f t="shared" si="239"/>
        <v>0</v>
      </c>
      <c r="AX144" s="419">
        <v>0</v>
      </c>
      <c r="AY144" s="419">
        <v>0</v>
      </c>
      <c r="AZ144" s="419">
        <v>0</v>
      </c>
      <c r="BA144" s="419">
        <v>0</v>
      </c>
      <c r="BB144" s="419">
        <v>0</v>
      </c>
      <c r="BC144" s="419">
        <v>0</v>
      </c>
      <c r="BD144" s="419">
        <v>0</v>
      </c>
      <c r="BE144" s="419">
        <v>0</v>
      </c>
      <c r="BF144" s="419">
        <f t="shared" si="240"/>
        <v>0</v>
      </c>
      <c r="BG144" s="419">
        <f t="shared" si="241"/>
        <v>0</v>
      </c>
      <c r="BH144" s="421">
        <f t="shared" si="242"/>
        <v>0</v>
      </c>
      <c r="BI144" s="780">
        <f>I144+AW144</f>
        <v>4270721</v>
      </c>
      <c r="BJ144" s="418">
        <f>J144+AF144</f>
        <v>3164717</v>
      </c>
      <c r="BK144" s="418">
        <f t="shared" si="223"/>
        <v>3164717</v>
      </c>
      <c r="BL144" s="418">
        <f t="shared" si="223"/>
        <v>0</v>
      </c>
      <c r="BM144" s="418">
        <f>M144+AN144</f>
        <v>3500</v>
      </c>
      <c r="BN144" s="418">
        <f t="shared" si="224"/>
        <v>3500</v>
      </c>
      <c r="BO144" s="418">
        <f t="shared" si="224"/>
        <v>0</v>
      </c>
      <c r="BP144" s="418">
        <f t="shared" si="225"/>
        <v>1070857</v>
      </c>
      <c r="BQ144" s="418">
        <f t="shared" si="225"/>
        <v>31647</v>
      </c>
      <c r="BR144" s="418">
        <f>R144+AV144</f>
        <v>0</v>
      </c>
      <c r="BS144" s="419">
        <f>S144+BH144</f>
        <v>6.07</v>
      </c>
      <c r="BT144" s="419">
        <f t="shared" si="226"/>
        <v>6.07</v>
      </c>
      <c r="BU144" s="421">
        <f t="shared" si="226"/>
        <v>0</v>
      </c>
      <c r="BV144" s="420"/>
      <c r="BW144" s="415"/>
      <c r="BX144" s="415"/>
      <c r="BY144" s="415"/>
      <c r="BZ144" s="415"/>
      <c r="CA144" s="510"/>
    </row>
    <row r="145" spans="1:79" ht="14.1" customHeight="1" x14ac:dyDescent="0.2">
      <c r="A145" s="66">
        <v>33</v>
      </c>
      <c r="B145" s="63">
        <v>2479</v>
      </c>
      <c r="C145" s="64">
        <v>600080340</v>
      </c>
      <c r="D145" s="63">
        <v>65100280</v>
      </c>
      <c r="E145" s="65" t="s">
        <v>600</v>
      </c>
      <c r="F145" s="66">
        <v>3143</v>
      </c>
      <c r="G145" s="77" t="s">
        <v>596</v>
      </c>
      <c r="H145" s="67" t="s">
        <v>272</v>
      </c>
      <c r="I145" s="420">
        <v>102461</v>
      </c>
      <c r="J145" s="415">
        <v>73339</v>
      </c>
      <c r="K145" s="415">
        <v>0</v>
      </c>
      <c r="L145" s="605">
        <v>73339</v>
      </c>
      <c r="M145" s="415">
        <v>0</v>
      </c>
      <c r="N145" s="415">
        <v>0</v>
      </c>
      <c r="O145" s="415">
        <v>0</v>
      </c>
      <c r="P145" s="599">
        <v>24789</v>
      </c>
      <c r="Q145" s="599">
        <v>733</v>
      </c>
      <c r="R145" s="606">
        <v>3600</v>
      </c>
      <c r="S145" s="416">
        <v>0.27779999999999999</v>
      </c>
      <c r="T145" s="609">
        <v>0</v>
      </c>
      <c r="U145" s="737">
        <v>0.27779999999999999</v>
      </c>
      <c r="V145" s="424">
        <f t="shared" si="227"/>
        <v>0</v>
      </c>
      <c r="W145" s="418">
        <f t="shared" si="228"/>
        <v>0</v>
      </c>
      <c r="X145" s="418">
        <v>0</v>
      </c>
      <c r="Y145" s="418">
        <v>0</v>
      </c>
      <c r="Z145" s="418">
        <v>0</v>
      </c>
      <c r="AA145" s="418">
        <v>36661</v>
      </c>
      <c r="AB145" s="418">
        <v>0</v>
      </c>
      <c r="AC145" s="418">
        <v>0</v>
      </c>
      <c r="AD145" s="418">
        <f>V145+X145+Y145+Z145+AB145</f>
        <v>0</v>
      </c>
      <c r="AE145" s="418">
        <f>W145+AA145+AC145</f>
        <v>36661</v>
      </c>
      <c r="AF145" s="418">
        <f t="shared" si="229"/>
        <v>36661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si="230"/>
        <v>0</v>
      </c>
      <c r="AM145" s="418">
        <f t="shared" si="231"/>
        <v>0</v>
      </c>
      <c r="AN145" s="418">
        <f t="shared" si="232"/>
        <v>0</v>
      </c>
      <c r="AO145" s="418">
        <f t="shared" si="233"/>
        <v>0</v>
      </c>
      <c r="AP145" s="418">
        <f t="shared" si="234"/>
        <v>36661</v>
      </c>
      <c r="AQ145" s="418">
        <f t="shared" si="235"/>
        <v>36661</v>
      </c>
      <c r="AR145" s="68">
        <f t="shared" si="236"/>
        <v>12391</v>
      </c>
      <c r="AS145" s="68">
        <f t="shared" si="237"/>
        <v>367</v>
      </c>
      <c r="AT145" s="418">
        <v>0</v>
      </c>
      <c r="AU145" s="418">
        <v>1800</v>
      </c>
      <c r="AV145" s="418">
        <f t="shared" si="238"/>
        <v>1800</v>
      </c>
      <c r="AW145" s="418">
        <f t="shared" si="239"/>
        <v>51219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0.14000000000000001</v>
      </c>
      <c r="BC145" s="419">
        <v>0</v>
      </c>
      <c r="BD145" s="419">
        <v>0</v>
      </c>
      <c r="BE145" s="419">
        <v>0</v>
      </c>
      <c r="BF145" s="419">
        <f t="shared" si="240"/>
        <v>0</v>
      </c>
      <c r="BG145" s="419">
        <f t="shared" si="241"/>
        <v>0.14000000000000001</v>
      </c>
      <c r="BH145" s="421">
        <f t="shared" si="242"/>
        <v>0.14000000000000001</v>
      </c>
      <c r="BI145" s="780">
        <f>I145+AW145</f>
        <v>153680</v>
      </c>
      <c r="BJ145" s="418">
        <f>J145+AF145</f>
        <v>110000</v>
      </c>
      <c r="BK145" s="418">
        <f t="shared" si="223"/>
        <v>0</v>
      </c>
      <c r="BL145" s="418">
        <f t="shared" si="223"/>
        <v>110000</v>
      </c>
      <c r="BM145" s="418">
        <f>M145+AN145</f>
        <v>0</v>
      </c>
      <c r="BN145" s="418">
        <f t="shared" si="224"/>
        <v>0</v>
      </c>
      <c r="BO145" s="418">
        <f t="shared" si="224"/>
        <v>0</v>
      </c>
      <c r="BP145" s="418">
        <f t="shared" si="225"/>
        <v>37180</v>
      </c>
      <c r="BQ145" s="418">
        <f t="shared" si="225"/>
        <v>1100</v>
      </c>
      <c r="BR145" s="418">
        <f>R145+AV145</f>
        <v>5400</v>
      </c>
      <c r="BS145" s="419">
        <f>S145+BH145</f>
        <v>0.4178</v>
      </c>
      <c r="BT145" s="419">
        <f t="shared" si="226"/>
        <v>0</v>
      </c>
      <c r="BU145" s="421">
        <f t="shared" si="226"/>
        <v>0.4178</v>
      </c>
      <c r="BV145" s="420"/>
      <c r="BW145" s="415"/>
      <c r="BX145" s="415"/>
      <c r="BY145" s="415"/>
      <c r="BZ145" s="415"/>
      <c r="CA145" s="510"/>
    </row>
    <row r="146" spans="1:79" ht="14.1" customHeight="1" x14ac:dyDescent="0.2">
      <c r="A146" s="72">
        <v>33</v>
      </c>
      <c r="B146" s="69">
        <v>2479</v>
      </c>
      <c r="C146" s="70">
        <v>600080340</v>
      </c>
      <c r="D146" s="69">
        <v>65100280</v>
      </c>
      <c r="E146" s="71" t="s">
        <v>601</v>
      </c>
      <c r="F146" s="72"/>
      <c r="G146" s="71"/>
      <c r="H146" s="73"/>
      <c r="I146" s="517">
        <v>51984764</v>
      </c>
      <c r="J146" s="74">
        <v>38063851</v>
      </c>
      <c r="K146" s="74">
        <v>34351730</v>
      </c>
      <c r="L146" s="74">
        <v>3712121</v>
      </c>
      <c r="M146" s="74">
        <v>53500</v>
      </c>
      <c r="N146" s="74">
        <v>53500</v>
      </c>
      <c r="O146" s="74">
        <v>0</v>
      </c>
      <c r="P146" s="74">
        <v>12883665</v>
      </c>
      <c r="Q146" s="74">
        <v>380639</v>
      </c>
      <c r="R146" s="74">
        <v>603109</v>
      </c>
      <c r="S146" s="75">
        <v>67.240899999999996</v>
      </c>
      <c r="T146" s="75">
        <v>56.024000000000001</v>
      </c>
      <c r="U146" s="658">
        <v>11.216899999999999</v>
      </c>
      <c r="V146" s="517">
        <f t="shared" ref="V146:BU146" si="243">SUM(V141:V145)</f>
        <v>0</v>
      </c>
      <c r="W146" s="74">
        <f t="shared" si="243"/>
        <v>0</v>
      </c>
      <c r="X146" s="74">
        <f t="shared" si="243"/>
        <v>0</v>
      </c>
      <c r="Y146" s="74">
        <f t="shared" si="243"/>
        <v>0</v>
      </c>
      <c r="Z146" s="74">
        <f t="shared" si="243"/>
        <v>0</v>
      </c>
      <c r="AA146" s="74">
        <f t="shared" si="243"/>
        <v>906093</v>
      </c>
      <c r="AB146" s="74">
        <f t="shared" si="243"/>
        <v>0</v>
      </c>
      <c r="AC146" s="74">
        <f t="shared" si="243"/>
        <v>0</v>
      </c>
      <c r="AD146" s="74">
        <f t="shared" si="243"/>
        <v>0</v>
      </c>
      <c r="AE146" s="74">
        <f t="shared" si="243"/>
        <v>906093</v>
      </c>
      <c r="AF146" s="74">
        <f t="shared" si="243"/>
        <v>906093</v>
      </c>
      <c r="AG146" s="74">
        <f t="shared" si="243"/>
        <v>0</v>
      </c>
      <c r="AH146" s="74">
        <f t="shared" si="243"/>
        <v>0</v>
      </c>
      <c r="AI146" s="74">
        <f t="shared" si="243"/>
        <v>0</v>
      </c>
      <c r="AJ146" s="74">
        <f t="shared" si="243"/>
        <v>0</v>
      </c>
      <c r="AK146" s="74">
        <f t="shared" si="243"/>
        <v>0</v>
      </c>
      <c r="AL146" s="74">
        <f t="shared" si="243"/>
        <v>0</v>
      </c>
      <c r="AM146" s="74">
        <f t="shared" si="243"/>
        <v>0</v>
      </c>
      <c r="AN146" s="74">
        <f t="shared" si="243"/>
        <v>0</v>
      </c>
      <c r="AO146" s="74">
        <f t="shared" si="243"/>
        <v>0</v>
      </c>
      <c r="AP146" s="74">
        <f t="shared" si="243"/>
        <v>906093</v>
      </c>
      <c r="AQ146" s="74">
        <f t="shared" si="243"/>
        <v>906093</v>
      </c>
      <c r="AR146" s="74">
        <f t="shared" si="243"/>
        <v>306259</v>
      </c>
      <c r="AS146" s="74">
        <f t="shared" si="243"/>
        <v>9061</v>
      </c>
      <c r="AT146" s="74">
        <f t="shared" si="243"/>
        <v>0</v>
      </c>
      <c r="AU146" s="74">
        <f t="shared" si="243"/>
        <v>11524</v>
      </c>
      <c r="AV146" s="74">
        <f t="shared" si="243"/>
        <v>11524</v>
      </c>
      <c r="AW146" s="74">
        <f t="shared" si="243"/>
        <v>1232937</v>
      </c>
      <c r="AX146" s="75">
        <f t="shared" si="243"/>
        <v>0</v>
      </c>
      <c r="AY146" s="75">
        <f t="shared" si="243"/>
        <v>0</v>
      </c>
      <c r="AZ146" s="75">
        <f t="shared" si="243"/>
        <v>0</v>
      </c>
      <c r="BA146" s="75">
        <f t="shared" si="243"/>
        <v>0</v>
      </c>
      <c r="BB146" s="75">
        <f t="shared" si="243"/>
        <v>2.75</v>
      </c>
      <c r="BC146" s="75">
        <f t="shared" si="243"/>
        <v>0</v>
      </c>
      <c r="BD146" s="75">
        <f t="shared" si="243"/>
        <v>0</v>
      </c>
      <c r="BE146" s="75">
        <f t="shared" si="243"/>
        <v>0</v>
      </c>
      <c r="BF146" s="75">
        <f t="shared" si="243"/>
        <v>0</v>
      </c>
      <c r="BG146" s="75">
        <f t="shared" si="243"/>
        <v>2.75</v>
      </c>
      <c r="BH146" s="76">
        <f t="shared" si="243"/>
        <v>2.75</v>
      </c>
      <c r="BI146" s="799">
        <f t="shared" si="243"/>
        <v>53217701</v>
      </c>
      <c r="BJ146" s="74">
        <f t="shared" si="243"/>
        <v>38969944</v>
      </c>
      <c r="BK146" s="74">
        <f t="shared" si="243"/>
        <v>34351730</v>
      </c>
      <c r="BL146" s="74">
        <f t="shared" si="243"/>
        <v>4618214</v>
      </c>
      <c r="BM146" s="74">
        <f t="shared" si="243"/>
        <v>53500</v>
      </c>
      <c r="BN146" s="74">
        <f t="shared" si="243"/>
        <v>53500</v>
      </c>
      <c r="BO146" s="74">
        <f t="shared" si="243"/>
        <v>0</v>
      </c>
      <c r="BP146" s="74">
        <f t="shared" si="243"/>
        <v>13189924</v>
      </c>
      <c r="BQ146" s="74">
        <f t="shared" si="243"/>
        <v>389700</v>
      </c>
      <c r="BR146" s="74">
        <f t="shared" si="243"/>
        <v>614633</v>
      </c>
      <c r="BS146" s="75">
        <f t="shared" si="243"/>
        <v>69.990899999999996</v>
      </c>
      <c r="BT146" s="75">
        <f t="shared" si="243"/>
        <v>56.024000000000001</v>
      </c>
      <c r="BU146" s="76">
        <f t="shared" si="243"/>
        <v>13.966899999999999</v>
      </c>
      <c r="BV146" s="809">
        <f t="shared" ref="BV146:CA146" si="244">SUM(BV141:BV145)</f>
        <v>760272</v>
      </c>
      <c r="BW146" s="684">
        <f t="shared" si="244"/>
        <v>564000</v>
      </c>
      <c r="BX146" s="684">
        <f t="shared" si="244"/>
        <v>0</v>
      </c>
      <c r="BY146" s="684">
        <f t="shared" si="244"/>
        <v>190632</v>
      </c>
      <c r="BZ146" s="684">
        <f t="shared" si="244"/>
        <v>5640</v>
      </c>
      <c r="CA146" s="810">
        <f t="shared" si="244"/>
        <v>1</v>
      </c>
    </row>
    <row r="147" spans="1:79" ht="14.1" customHeight="1" x14ac:dyDescent="0.2">
      <c r="A147" s="66">
        <v>34</v>
      </c>
      <c r="B147" s="63">
        <v>2475</v>
      </c>
      <c r="C147" s="64">
        <v>600080331</v>
      </c>
      <c r="D147" s="63">
        <v>65642368</v>
      </c>
      <c r="E147" s="65" t="s">
        <v>602</v>
      </c>
      <c r="F147" s="66">
        <v>3113</v>
      </c>
      <c r="G147" s="65" t="s">
        <v>293</v>
      </c>
      <c r="H147" s="67" t="s">
        <v>271</v>
      </c>
      <c r="I147" s="420">
        <v>44240647</v>
      </c>
      <c r="J147" s="415">
        <v>32205288</v>
      </c>
      <c r="K147" s="415">
        <v>30239324</v>
      </c>
      <c r="L147" s="415">
        <v>1965964</v>
      </c>
      <c r="M147" s="415">
        <v>160000</v>
      </c>
      <c r="N147" s="415">
        <v>150000</v>
      </c>
      <c r="O147" s="415">
        <v>10000</v>
      </c>
      <c r="P147" s="599">
        <v>10939467</v>
      </c>
      <c r="Q147" s="599">
        <v>322052</v>
      </c>
      <c r="R147" s="415">
        <v>613840</v>
      </c>
      <c r="S147" s="416">
        <v>48.3977</v>
      </c>
      <c r="T147" s="416">
        <v>42.331000000000003</v>
      </c>
      <c r="U147" s="423">
        <v>6.0667</v>
      </c>
      <c r="V147" s="424">
        <f t="shared" si="227"/>
        <v>0</v>
      </c>
      <c r="W147" s="418">
        <f t="shared" si="228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 t="shared" si="229"/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230"/>
        <v>0</v>
      </c>
      <c r="AM147" s="418">
        <f t="shared" si="231"/>
        <v>0</v>
      </c>
      <c r="AN147" s="418">
        <f t="shared" si="232"/>
        <v>0</v>
      </c>
      <c r="AO147" s="418">
        <f t="shared" si="233"/>
        <v>0</v>
      </c>
      <c r="AP147" s="418">
        <f t="shared" si="234"/>
        <v>0</v>
      </c>
      <c r="AQ147" s="418">
        <f t="shared" si="235"/>
        <v>0</v>
      </c>
      <c r="AR147" s="68">
        <f t="shared" si="236"/>
        <v>0</v>
      </c>
      <c r="AS147" s="68">
        <f t="shared" si="237"/>
        <v>0</v>
      </c>
      <c r="AT147" s="418">
        <v>0</v>
      </c>
      <c r="AU147" s="418">
        <v>0</v>
      </c>
      <c r="AV147" s="418">
        <f t="shared" si="238"/>
        <v>0</v>
      </c>
      <c r="AW147" s="418">
        <f t="shared" si="239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240"/>
        <v>0</v>
      </c>
      <c r="BG147" s="419">
        <f t="shared" si="241"/>
        <v>0</v>
      </c>
      <c r="BH147" s="421">
        <f t="shared" si="242"/>
        <v>0</v>
      </c>
      <c r="BI147" s="780">
        <f>I147+AW147</f>
        <v>44240647</v>
      </c>
      <c r="BJ147" s="418">
        <f>J147+AF147</f>
        <v>32205288</v>
      </c>
      <c r="BK147" s="418">
        <f t="shared" ref="BK147:BL151" si="245">K147+AD147</f>
        <v>30239324</v>
      </c>
      <c r="BL147" s="418">
        <f t="shared" si="245"/>
        <v>1965964</v>
      </c>
      <c r="BM147" s="418">
        <f>M147+AN147</f>
        <v>160000</v>
      </c>
      <c r="BN147" s="418">
        <f t="shared" ref="BN147:BO151" si="246">N147+AL147</f>
        <v>150000</v>
      </c>
      <c r="BO147" s="418">
        <f t="shared" si="246"/>
        <v>10000</v>
      </c>
      <c r="BP147" s="418">
        <f t="shared" ref="BP147:BQ151" si="247">P147+AR147</f>
        <v>10939467</v>
      </c>
      <c r="BQ147" s="418">
        <f t="shared" si="247"/>
        <v>322052</v>
      </c>
      <c r="BR147" s="418">
        <f>R147+AV147</f>
        <v>613840</v>
      </c>
      <c r="BS147" s="419">
        <f>S147+BH147</f>
        <v>48.3977</v>
      </c>
      <c r="BT147" s="419">
        <f t="shared" ref="BT147:BU151" si="248">T147+BF147</f>
        <v>42.331000000000003</v>
      </c>
      <c r="BU147" s="421">
        <f t="shared" si="248"/>
        <v>6.0667</v>
      </c>
      <c r="BV147" s="420">
        <v>836299</v>
      </c>
      <c r="BW147" s="415">
        <v>620400</v>
      </c>
      <c r="BX147" s="415">
        <v>0</v>
      </c>
      <c r="BY147" s="415">
        <v>209695</v>
      </c>
      <c r="BZ147" s="415">
        <v>6204</v>
      </c>
      <c r="CA147" s="510">
        <v>1.1000000000000001</v>
      </c>
    </row>
    <row r="148" spans="1:79" ht="14.1" customHeight="1" x14ac:dyDescent="0.2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602</v>
      </c>
      <c r="F148" s="66">
        <v>3113</v>
      </c>
      <c r="G148" s="77" t="s">
        <v>291</v>
      </c>
      <c r="H148" s="67" t="s">
        <v>272</v>
      </c>
      <c r="I148" s="420">
        <v>4943105</v>
      </c>
      <c r="J148" s="415">
        <v>3666992</v>
      </c>
      <c r="K148" s="415">
        <v>3666992</v>
      </c>
      <c r="L148" s="415">
        <v>0</v>
      </c>
      <c r="M148" s="415">
        <v>0</v>
      </c>
      <c r="N148" s="415">
        <v>0</v>
      </c>
      <c r="O148" s="415">
        <v>0</v>
      </c>
      <c r="P148" s="599">
        <v>1239443</v>
      </c>
      <c r="Q148" s="599">
        <v>36670</v>
      </c>
      <c r="R148" s="415">
        <v>0</v>
      </c>
      <c r="S148" s="416">
        <v>9.8500000000000014</v>
      </c>
      <c r="T148" s="417">
        <v>9.8500000000000014</v>
      </c>
      <c r="U148" s="423">
        <v>0</v>
      </c>
      <c r="V148" s="424">
        <f t="shared" si="227"/>
        <v>0</v>
      </c>
      <c r="W148" s="418">
        <f t="shared" si="228"/>
        <v>0</v>
      </c>
      <c r="X148" s="418">
        <v>-61893</v>
      </c>
      <c r="Y148" s="418">
        <v>0</v>
      </c>
      <c r="Z148" s="418">
        <v>0</v>
      </c>
      <c r="AA148" s="418">
        <v>0</v>
      </c>
      <c r="AB148" s="418">
        <v>0</v>
      </c>
      <c r="AC148" s="418">
        <v>0</v>
      </c>
      <c r="AD148" s="418">
        <f>V148+X148+Y148+Z148+AB148</f>
        <v>-61893</v>
      </c>
      <c r="AE148" s="418">
        <f>W148+AA148+AC148</f>
        <v>0</v>
      </c>
      <c r="AF148" s="418">
        <f t="shared" si="229"/>
        <v>-61893</v>
      </c>
      <c r="AG148" s="418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 t="shared" si="230"/>
        <v>0</v>
      </c>
      <c r="AM148" s="418">
        <f t="shared" si="231"/>
        <v>0</v>
      </c>
      <c r="AN148" s="418">
        <f t="shared" si="232"/>
        <v>0</v>
      </c>
      <c r="AO148" s="418">
        <f t="shared" si="233"/>
        <v>-61893</v>
      </c>
      <c r="AP148" s="418">
        <f t="shared" si="234"/>
        <v>0</v>
      </c>
      <c r="AQ148" s="418">
        <f t="shared" si="235"/>
        <v>-61893</v>
      </c>
      <c r="AR148" s="68">
        <f t="shared" si="236"/>
        <v>-20920</v>
      </c>
      <c r="AS148" s="68">
        <f t="shared" si="237"/>
        <v>-619</v>
      </c>
      <c r="AT148" s="418">
        <v>2000</v>
      </c>
      <c r="AU148" s="418">
        <v>0</v>
      </c>
      <c r="AV148" s="418">
        <f t="shared" si="238"/>
        <v>2000</v>
      </c>
      <c r="AW148" s="418">
        <f t="shared" si="239"/>
        <v>-81432</v>
      </c>
      <c r="AX148" s="419">
        <v>0</v>
      </c>
      <c r="AY148" s="419">
        <v>0</v>
      </c>
      <c r="AZ148" s="419">
        <v>-0.13</v>
      </c>
      <c r="BA148" s="419">
        <v>0</v>
      </c>
      <c r="BB148" s="419">
        <v>0</v>
      </c>
      <c r="BC148" s="419">
        <v>0</v>
      </c>
      <c r="BD148" s="419">
        <v>0</v>
      </c>
      <c r="BE148" s="419">
        <v>0</v>
      </c>
      <c r="BF148" s="419">
        <f t="shared" si="240"/>
        <v>-0.13</v>
      </c>
      <c r="BG148" s="419">
        <f t="shared" si="241"/>
        <v>0</v>
      </c>
      <c r="BH148" s="421">
        <f t="shared" si="242"/>
        <v>-0.13</v>
      </c>
      <c r="BI148" s="780">
        <f>I148+AW148</f>
        <v>4861673</v>
      </c>
      <c r="BJ148" s="418">
        <f>J148+AF148</f>
        <v>3605099</v>
      </c>
      <c r="BK148" s="418">
        <f t="shared" si="245"/>
        <v>3605099</v>
      </c>
      <c r="BL148" s="418">
        <f t="shared" si="245"/>
        <v>0</v>
      </c>
      <c r="BM148" s="418">
        <f>M148+AN148</f>
        <v>0</v>
      </c>
      <c r="BN148" s="418">
        <f t="shared" si="246"/>
        <v>0</v>
      </c>
      <c r="BO148" s="418">
        <f t="shared" si="246"/>
        <v>0</v>
      </c>
      <c r="BP148" s="418">
        <f t="shared" si="247"/>
        <v>1218523</v>
      </c>
      <c r="BQ148" s="418">
        <f t="shared" si="247"/>
        <v>36051</v>
      </c>
      <c r="BR148" s="418">
        <f>R148+AV148</f>
        <v>2000</v>
      </c>
      <c r="BS148" s="419">
        <f>S148+BH148</f>
        <v>9.7200000000000006</v>
      </c>
      <c r="BT148" s="419">
        <f t="shared" si="248"/>
        <v>9.7200000000000006</v>
      </c>
      <c r="BU148" s="421">
        <f t="shared" si="248"/>
        <v>0</v>
      </c>
      <c r="BV148" s="420"/>
      <c r="BW148" s="415"/>
      <c r="BX148" s="415"/>
      <c r="BY148" s="415"/>
      <c r="BZ148" s="415"/>
      <c r="CA148" s="510"/>
    </row>
    <row r="149" spans="1:79" ht="14.1" customHeight="1" x14ac:dyDescent="0.2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603</v>
      </c>
      <c r="F149" s="66">
        <v>3141</v>
      </c>
      <c r="G149" s="65" t="s">
        <v>294</v>
      </c>
      <c r="H149" s="67" t="s">
        <v>272</v>
      </c>
      <c r="I149" s="420">
        <v>1042636</v>
      </c>
      <c r="J149" s="415">
        <v>757569</v>
      </c>
      <c r="K149" s="415">
        <v>0</v>
      </c>
      <c r="L149" s="750">
        <v>757569</v>
      </c>
      <c r="M149" s="415">
        <v>5000</v>
      </c>
      <c r="N149" s="204">
        <v>0</v>
      </c>
      <c r="O149" s="204">
        <v>5000</v>
      </c>
      <c r="P149" s="599">
        <v>257748</v>
      </c>
      <c r="Q149" s="599">
        <v>7576</v>
      </c>
      <c r="R149" s="605">
        <v>14743</v>
      </c>
      <c r="S149" s="416">
        <v>2.2867000000000002</v>
      </c>
      <c r="T149" s="607">
        <v>0</v>
      </c>
      <c r="U149" s="737">
        <v>2.2867000000000002</v>
      </c>
      <c r="V149" s="424">
        <f t="shared" si="227"/>
        <v>0</v>
      </c>
      <c r="W149" s="418">
        <f t="shared" si="228"/>
        <v>0</v>
      </c>
      <c r="X149" s="418">
        <v>0</v>
      </c>
      <c r="Y149" s="418">
        <v>0</v>
      </c>
      <c r="Z149" s="418">
        <v>0</v>
      </c>
      <c r="AA149" s="418">
        <v>381369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381369</v>
      </c>
      <c r="AF149" s="418">
        <f t="shared" si="229"/>
        <v>381369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si="230"/>
        <v>0</v>
      </c>
      <c r="AM149" s="418">
        <f t="shared" si="231"/>
        <v>0</v>
      </c>
      <c r="AN149" s="418">
        <f t="shared" si="232"/>
        <v>0</v>
      </c>
      <c r="AO149" s="418">
        <f t="shared" si="233"/>
        <v>0</v>
      </c>
      <c r="AP149" s="418">
        <f t="shared" si="234"/>
        <v>381369</v>
      </c>
      <c r="AQ149" s="418">
        <f t="shared" si="235"/>
        <v>381369</v>
      </c>
      <c r="AR149" s="68">
        <f t="shared" si="236"/>
        <v>128903</v>
      </c>
      <c r="AS149" s="68">
        <f t="shared" si="237"/>
        <v>3814</v>
      </c>
      <c r="AT149" s="418">
        <v>0</v>
      </c>
      <c r="AU149" s="418">
        <v>7051</v>
      </c>
      <c r="AV149" s="418">
        <f t="shared" si="238"/>
        <v>7051</v>
      </c>
      <c r="AW149" s="418">
        <f t="shared" si="239"/>
        <v>521137</v>
      </c>
      <c r="AX149" s="419">
        <v>0</v>
      </c>
      <c r="AY149" s="419">
        <v>0</v>
      </c>
      <c r="AZ149" s="419">
        <v>0</v>
      </c>
      <c r="BA149" s="419">
        <v>0</v>
      </c>
      <c r="BB149" s="419">
        <v>1.1399999999999999</v>
      </c>
      <c r="BC149" s="419">
        <v>0</v>
      </c>
      <c r="BD149" s="419">
        <v>0</v>
      </c>
      <c r="BE149" s="419">
        <v>0</v>
      </c>
      <c r="BF149" s="419">
        <f t="shared" si="240"/>
        <v>0</v>
      </c>
      <c r="BG149" s="419">
        <f t="shared" si="241"/>
        <v>1.1399999999999999</v>
      </c>
      <c r="BH149" s="421">
        <f t="shared" si="242"/>
        <v>1.1399999999999999</v>
      </c>
      <c r="BI149" s="780">
        <f>I149+AW149</f>
        <v>1563773</v>
      </c>
      <c r="BJ149" s="418">
        <f>J149+AF149</f>
        <v>1138938</v>
      </c>
      <c r="BK149" s="418">
        <f t="shared" si="245"/>
        <v>0</v>
      </c>
      <c r="BL149" s="418">
        <f t="shared" si="245"/>
        <v>1138938</v>
      </c>
      <c r="BM149" s="418">
        <f>M149+AN149</f>
        <v>5000</v>
      </c>
      <c r="BN149" s="418">
        <f t="shared" si="246"/>
        <v>0</v>
      </c>
      <c r="BO149" s="418">
        <f t="shared" si="246"/>
        <v>5000</v>
      </c>
      <c r="BP149" s="418">
        <f t="shared" si="247"/>
        <v>386651</v>
      </c>
      <c r="BQ149" s="418">
        <f t="shared" si="247"/>
        <v>11390</v>
      </c>
      <c r="BR149" s="418">
        <f>R149+AV149</f>
        <v>21794</v>
      </c>
      <c r="BS149" s="419">
        <f>S149+BH149</f>
        <v>3.4267000000000003</v>
      </c>
      <c r="BT149" s="419">
        <f t="shared" si="248"/>
        <v>0</v>
      </c>
      <c r="BU149" s="421">
        <f t="shared" si="248"/>
        <v>3.4267000000000003</v>
      </c>
      <c r="BV149" s="420"/>
      <c r="BW149" s="415"/>
      <c r="BX149" s="415"/>
      <c r="BY149" s="415"/>
      <c r="BZ149" s="415"/>
      <c r="CA149" s="510"/>
    </row>
    <row r="150" spans="1:79" ht="14.1" customHeight="1" x14ac:dyDescent="0.2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602</v>
      </c>
      <c r="F150" s="66">
        <v>3143</v>
      </c>
      <c r="G150" s="77" t="s">
        <v>595</v>
      </c>
      <c r="H150" s="67" t="s">
        <v>271</v>
      </c>
      <c r="I150" s="420">
        <v>4389047</v>
      </c>
      <c r="J150" s="415">
        <v>3255969</v>
      </c>
      <c r="K150" s="415">
        <v>3255969</v>
      </c>
      <c r="L150" s="415">
        <v>0</v>
      </c>
      <c r="M150" s="415">
        <v>0</v>
      </c>
      <c r="N150" s="415">
        <v>0</v>
      </c>
      <c r="O150" s="415">
        <v>0</v>
      </c>
      <c r="P150" s="599">
        <v>1100518</v>
      </c>
      <c r="Q150" s="599">
        <v>32560</v>
      </c>
      <c r="R150" s="415">
        <v>0</v>
      </c>
      <c r="S150" s="416">
        <v>6.25</v>
      </c>
      <c r="T150" s="416">
        <v>6.25</v>
      </c>
      <c r="U150" s="423">
        <v>0</v>
      </c>
      <c r="V150" s="424">
        <f t="shared" si="227"/>
        <v>0</v>
      </c>
      <c r="W150" s="418">
        <f t="shared" si="228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>V150+X150+Y150+Z150+AB150</f>
        <v>0</v>
      </c>
      <c r="AE150" s="418">
        <f>W150+AA150+AC150</f>
        <v>0</v>
      </c>
      <c r="AF150" s="418">
        <f t="shared" si="229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230"/>
        <v>0</v>
      </c>
      <c r="AM150" s="418">
        <f t="shared" si="231"/>
        <v>0</v>
      </c>
      <c r="AN150" s="418">
        <f t="shared" si="232"/>
        <v>0</v>
      </c>
      <c r="AO150" s="418">
        <f t="shared" si="233"/>
        <v>0</v>
      </c>
      <c r="AP150" s="418">
        <f t="shared" si="234"/>
        <v>0</v>
      </c>
      <c r="AQ150" s="418">
        <f t="shared" si="235"/>
        <v>0</v>
      </c>
      <c r="AR150" s="68">
        <f t="shared" si="236"/>
        <v>0</v>
      </c>
      <c r="AS150" s="68">
        <f t="shared" si="237"/>
        <v>0</v>
      </c>
      <c r="AT150" s="418">
        <v>0</v>
      </c>
      <c r="AU150" s="418">
        <v>0</v>
      </c>
      <c r="AV150" s="418">
        <f t="shared" si="238"/>
        <v>0</v>
      </c>
      <c r="AW150" s="418">
        <f t="shared" si="239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</v>
      </c>
      <c r="BC150" s="419">
        <v>0</v>
      </c>
      <c r="BD150" s="419">
        <v>0</v>
      </c>
      <c r="BE150" s="419">
        <v>0</v>
      </c>
      <c r="BF150" s="419">
        <f t="shared" si="240"/>
        <v>0</v>
      </c>
      <c r="BG150" s="419">
        <f t="shared" si="241"/>
        <v>0</v>
      </c>
      <c r="BH150" s="421">
        <f t="shared" si="242"/>
        <v>0</v>
      </c>
      <c r="BI150" s="780">
        <f>I150+AW150</f>
        <v>4389047</v>
      </c>
      <c r="BJ150" s="418">
        <f>J150+AF150</f>
        <v>3255969</v>
      </c>
      <c r="BK150" s="418">
        <f t="shared" si="245"/>
        <v>3255969</v>
      </c>
      <c r="BL150" s="418">
        <f t="shared" si="245"/>
        <v>0</v>
      </c>
      <c r="BM150" s="418">
        <f>M150+AN150</f>
        <v>0</v>
      </c>
      <c r="BN150" s="418">
        <f t="shared" si="246"/>
        <v>0</v>
      </c>
      <c r="BO150" s="418">
        <f t="shared" si="246"/>
        <v>0</v>
      </c>
      <c r="BP150" s="418">
        <f t="shared" si="247"/>
        <v>1100518</v>
      </c>
      <c r="BQ150" s="418">
        <f t="shared" si="247"/>
        <v>32560</v>
      </c>
      <c r="BR150" s="418">
        <f>R150+AV150</f>
        <v>0</v>
      </c>
      <c r="BS150" s="419">
        <f>S150+BH150</f>
        <v>6.25</v>
      </c>
      <c r="BT150" s="419">
        <f t="shared" si="248"/>
        <v>6.25</v>
      </c>
      <c r="BU150" s="421">
        <f t="shared" si="248"/>
        <v>0</v>
      </c>
      <c r="BV150" s="420"/>
      <c r="BW150" s="415"/>
      <c r="BX150" s="415"/>
      <c r="BY150" s="415"/>
      <c r="BZ150" s="415"/>
      <c r="CA150" s="510"/>
    </row>
    <row r="151" spans="1:79" ht="14.1" customHeight="1" x14ac:dyDescent="0.2">
      <c r="A151" s="66">
        <v>34</v>
      </c>
      <c r="B151" s="63">
        <v>2475</v>
      </c>
      <c r="C151" s="64">
        <v>600080331</v>
      </c>
      <c r="D151" s="63">
        <v>65642368</v>
      </c>
      <c r="E151" s="65" t="s">
        <v>602</v>
      </c>
      <c r="F151" s="66">
        <v>3143</v>
      </c>
      <c r="G151" s="77" t="s">
        <v>596</v>
      </c>
      <c r="H151" s="67" t="s">
        <v>272</v>
      </c>
      <c r="I151" s="420">
        <v>99364</v>
      </c>
      <c r="J151" s="415">
        <v>71122</v>
      </c>
      <c r="K151" s="415">
        <v>0</v>
      </c>
      <c r="L151" s="605">
        <v>71122</v>
      </c>
      <c r="M151" s="415">
        <v>0</v>
      </c>
      <c r="N151" s="415">
        <v>0</v>
      </c>
      <c r="O151" s="415">
        <v>0</v>
      </c>
      <c r="P151" s="599">
        <v>24039</v>
      </c>
      <c r="Q151" s="599">
        <v>711</v>
      </c>
      <c r="R151" s="606">
        <v>3492</v>
      </c>
      <c r="S151" s="416">
        <v>0.26939999999999997</v>
      </c>
      <c r="T151" s="609">
        <v>0</v>
      </c>
      <c r="U151" s="737">
        <v>0.26939999999999997</v>
      </c>
      <c r="V151" s="424">
        <f t="shared" si="227"/>
        <v>0</v>
      </c>
      <c r="W151" s="418">
        <f t="shared" si="228"/>
        <v>0</v>
      </c>
      <c r="X151" s="418">
        <v>0</v>
      </c>
      <c r="Y151" s="418">
        <v>0</v>
      </c>
      <c r="Z151" s="418">
        <v>0</v>
      </c>
      <c r="AA151" s="418">
        <v>35578</v>
      </c>
      <c r="AB151" s="418">
        <v>0</v>
      </c>
      <c r="AC151" s="418">
        <v>0</v>
      </c>
      <c r="AD151" s="418">
        <f>V151+X151+Y151+Z151+AB151</f>
        <v>0</v>
      </c>
      <c r="AE151" s="418">
        <f>W151+AA151+AC151</f>
        <v>35578</v>
      </c>
      <c r="AF151" s="418">
        <f t="shared" si="229"/>
        <v>35578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si="230"/>
        <v>0</v>
      </c>
      <c r="AM151" s="418">
        <f t="shared" si="231"/>
        <v>0</v>
      </c>
      <c r="AN151" s="418">
        <f t="shared" si="232"/>
        <v>0</v>
      </c>
      <c r="AO151" s="418">
        <f t="shared" si="233"/>
        <v>0</v>
      </c>
      <c r="AP151" s="418">
        <f t="shared" si="234"/>
        <v>35578</v>
      </c>
      <c r="AQ151" s="418">
        <f t="shared" si="235"/>
        <v>35578</v>
      </c>
      <c r="AR151" s="68">
        <f t="shared" si="236"/>
        <v>12025</v>
      </c>
      <c r="AS151" s="68">
        <f t="shared" si="237"/>
        <v>356</v>
      </c>
      <c r="AT151" s="418">
        <v>0</v>
      </c>
      <c r="AU151" s="418">
        <v>1746</v>
      </c>
      <c r="AV151" s="418">
        <f t="shared" si="238"/>
        <v>1746</v>
      </c>
      <c r="AW151" s="418">
        <f t="shared" si="239"/>
        <v>49705</v>
      </c>
      <c r="AX151" s="419">
        <v>0</v>
      </c>
      <c r="AY151" s="419">
        <v>0</v>
      </c>
      <c r="AZ151" s="419">
        <v>0</v>
      </c>
      <c r="BA151" s="419">
        <v>0</v>
      </c>
      <c r="BB151" s="419">
        <v>0.13</v>
      </c>
      <c r="BC151" s="419">
        <v>0</v>
      </c>
      <c r="BD151" s="419">
        <v>0</v>
      </c>
      <c r="BE151" s="419">
        <v>0</v>
      </c>
      <c r="BF151" s="419">
        <f t="shared" si="240"/>
        <v>0</v>
      </c>
      <c r="BG151" s="419">
        <f t="shared" si="241"/>
        <v>0.13</v>
      </c>
      <c r="BH151" s="421">
        <f t="shared" si="242"/>
        <v>0.13</v>
      </c>
      <c r="BI151" s="780">
        <f>I151+AW151</f>
        <v>149069</v>
      </c>
      <c r="BJ151" s="418">
        <f>J151+AF151</f>
        <v>106700</v>
      </c>
      <c r="BK151" s="418">
        <f t="shared" si="245"/>
        <v>0</v>
      </c>
      <c r="BL151" s="418">
        <f t="shared" si="245"/>
        <v>106700</v>
      </c>
      <c r="BM151" s="418">
        <f>M151+AN151</f>
        <v>0</v>
      </c>
      <c r="BN151" s="418">
        <f t="shared" si="246"/>
        <v>0</v>
      </c>
      <c r="BO151" s="418">
        <f t="shared" si="246"/>
        <v>0</v>
      </c>
      <c r="BP151" s="418">
        <f t="shared" si="247"/>
        <v>36064</v>
      </c>
      <c r="BQ151" s="418">
        <f t="shared" si="247"/>
        <v>1067</v>
      </c>
      <c r="BR151" s="418">
        <f>R151+AV151</f>
        <v>5238</v>
      </c>
      <c r="BS151" s="419">
        <f>S151+BH151</f>
        <v>0.39939999999999998</v>
      </c>
      <c r="BT151" s="419">
        <f t="shared" si="248"/>
        <v>0</v>
      </c>
      <c r="BU151" s="421">
        <f t="shared" si="248"/>
        <v>0.39939999999999998</v>
      </c>
      <c r="BV151" s="420"/>
      <c r="BW151" s="415"/>
      <c r="BX151" s="415"/>
      <c r="BY151" s="415"/>
      <c r="BZ151" s="415"/>
      <c r="CA151" s="510"/>
    </row>
    <row r="152" spans="1:79" ht="14.1" customHeight="1" x14ac:dyDescent="0.2">
      <c r="A152" s="72">
        <v>34</v>
      </c>
      <c r="B152" s="69">
        <v>2475</v>
      </c>
      <c r="C152" s="70">
        <v>600080331</v>
      </c>
      <c r="D152" s="69">
        <v>65642368</v>
      </c>
      <c r="E152" s="71" t="s">
        <v>604</v>
      </c>
      <c r="F152" s="72"/>
      <c r="G152" s="71"/>
      <c r="H152" s="73"/>
      <c r="I152" s="517">
        <v>54714799</v>
      </c>
      <c r="J152" s="74">
        <v>39956940</v>
      </c>
      <c r="K152" s="74">
        <v>37162285</v>
      </c>
      <c r="L152" s="74">
        <v>2794655</v>
      </c>
      <c r="M152" s="74">
        <v>165000</v>
      </c>
      <c r="N152" s="74">
        <v>150000</v>
      </c>
      <c r="O152" s="74">
        <v>15000</v>
      </c>
      <c r="P152" s="74">
        <v>13561215</v>
      </c>
      <c r="Q152" s="74">
        <v>399569</v>
      </c>
      <c r="R152" s="74">
        <v>632075</v>
      </c>
      <c r="S152" s="75">
        <v>67.05380000000001</v>
      </c>
      <c r="T152" s="75">
        <v>58.431000000000004</v>
      </c>
      <c r="U152" s="658">
        <v>8.6227999999999998</v>
      </c>
      <c r="V152" s="517">
        <f t="shared" ref="V152:BU152" si="249">SUM(V147:V151)</f>
        <v>0</v>
      </c>
      <c r="W152" s="74">
        <f t="shared" si="249"/>
        <v>0</v>
      </c>
      <c r="X152" s="74">
        <f t="shared" si="249"/>
        <v>-61893</v>
      </c>
      <c r="Y152" s="74">
        <f t="shared" si="249"/>
        <v>0</v>
      </c>
      <c r="Z152" s="74">
        <f t="shared" si="249"/>
        <v>0</v>
      </c>
      <c r="AA152" s="74">
        <f t="shared" si="249"/>
        <v>416947</v>
      </c>
      <c r="AB152" s="74">
        <f t="shared" si="249"/>
        <v>0</v>
      </c>
      <c r="AC152" s="74">
        <f t="shared" si="249"/>
        <v>0</v>
      </c>
      <c r="AD152" s="74">
        <f t="shared" si="249"/>
        <v>-61893</v>
      </c>
      <c r="AE152" s="74">
        <f t="shared" si="249"/>
        <v>416947</v>
      </c>
      <c r="AF152" s="74">
        <f t="shared" si="249"/>
        <v>355054</v>
      </c>
      <c r="AG152" s="74">
        <f t="shared" si="249"/>
        <v>0</v>
      </c>
      <c r="AH152" s="74">
        <f t="shared" si="249"/>
        <v>0</v>
      </c>
      <c r="AI152" s="74">
        <f t="shared" si="249"/>
        <v>0</v>
      </c>
      <c r="AJ152" s="74">
        <f t="shared" si="249"/>
        <v>0</v>
      </c>
      <c r="AK152" s="74">
        <f t="shared" si="249"/>
        <v>0</v>
      </c>
      <c r="AL152" s="74">
        <f t="shared" si="249"/>
        <v>0</v>
      </c>
      <c r="AM152" s="74">
        <f t="shared" si="249"/>
        <v>0</v>
      </c>
      <c r="AN152" s="74">
        <f t="shared" si="249"/>
        <v>0</v>
      </c>
      <c r="AO152" s="74">
        <f t="shared" si="249"/>
        <v>-61893</v>
      </c>
      <c r="AP152" s="74">
        <f t="shared" si="249"/>
        <v>416947</v>
      </c>
      <c r="AQ152" s="74">
        <f t="shared" si="249"/>
        <v>355054</v>
      </c>
      <c r="AR152" s="74">
        <f t="shared" si="249"/>
        <v>120008</v>
      </c>
      <c r="AS152" s="74">
        <f t="shared" si="249"/>
        <v>3551</v>
      </c>
      <c r="AT152" s="74">
        <f t="shared" si="249"/>
        <v>2000</v>
      </c>
      <c r="AU152" s="74">
        <f t="shared" si="249"/>
        <v>8797</v>
      </c>
      <c r="AV152" s="74">
        <f t="shared" si="249"/>
        <v>10797</v>
      </c>
      <c r="AW152" s="74">
        <f t="shared" si="249"/>
        <v>489410</v>
      </c>
      <c r="AX152" s="75">
        <f t="shared" si="249"/>
        <v>0</v>
      </c>
      <c r="AY152" s="75">
        <f t="shared" si="249"/>
        <v>0</v>
      </c>
      <c r="AZ152" s="75">
        <f t="shared" si="249"/>
        <v>-0.13</v>
      </c>
      <c r="BA152" s="75">
        <f t="shared" si="249"/>
        <v>0</v>
      </c>
      <c r="BB152" s="75">
        <f t="shared" si="249"/>
        <v>1.27</v>
      </c>
      <c r="BC152" s="75">
        <f t="shared" si="249"/>
        <v>0</v>
      </c>
      <c r="BD152" s="75">
        <f t="shared" si="249"/>
        <v>0</v>
      </c>
      <c r="BE152" s="75">
        <f t="shared" si="249"/>
        <v>0</v>
      </c>
      <c r="BF152" s="75">
        <f t="shared" si="249"/>
        <v>-0.13</v>
      </c>
      <c r="BG152" s="75">
        <f t="shared" si="249"/>
        <v>1.27</v>
      </c>
      <c r="BH152" s="76">
        <f t="shared" si="249"/>
        <v>1.1399999999999997</v>
      </c>
      <c r="BI152" s="799">
        <f t="shared" si="249"/>
        <v>55204209</v>
      </c>
      <c r="BJ152" s="74">
        <f t="shared" si="249"/>
        <v>40311994</v>
      </c>
      <c r="BK152" s="74">
        <f t="shared" si="249"/>
        <v>37100392</v>
      </c>
      <c r="BL152" s="74">
        <f t="shared" si="249"/>
        <v>3211602</v>
      </c>
      <c r="BM152" s="74">
        <f t="shared" si="249"/>
        <v>165000</v>
      </c>
      <c r="BN152" s="74">
        <f t="shared" si="249"/>
        <v>150000</v>
      </c>
      <c r="BO152" s="74">
        <f t="shared" si="249"/>
        <v>15000</v>
      </c>
      <c r="BP152" s="74">
        <f t="shared" si="249"/>
        <v>13681223</v>
      </c>
      <c r="BQ152" s="74">
        <f t="shared" si="249"/>
        <v>403120</v>
      </c>
      <c r="BR152" s="74">
        <f t="shared" si="249"/>
        <v>642872</v>
      </c>
      <c r="BS152" s="75">
        <f t="shared" si="249"/>
        <v>68.193799999999996</v>
      </c>
      <c r="BT152" s="75">
        <f t="shared" si="249"/>
        <v>58.301000000000002</v>
      </c>
      <c r="BU152" s="76">
        <f t="shared" si="249"/>
        <v>9.8928000000000011</v>
      </c>
      <c r="BV152" s="809">
        <f t="shared" ref="BV152:CA152" si="250">SUM(BV147:BV151)</f>
        <v>836299</v>
      </c>
      <c r="BW152" s="684">
        <f t="shared" si="250"/>
        <v>620400</v>
      </c>
      <c r="BX152" s="684">
        <f t="shared" si="250"/>
        <v>0</v>
      </c>
      <c r="BY152" s="684">
        <f t="shared" si="250"/>
        <v>209695</v>
      </c>
      <c r="BZ152" s="684">
        <f t="shared" si="250"/>
        <v>6204</v>
      </c>
      <c r="CA152" s="810">
        <f t="shared" si="250"/>
        <v>1.1000000000000001</v>
      </c>
    </row>
    <row r="153" spans="1:79" ht="14.1" customHeight="1" x14ac:dyDescent="0.2">
      <c r="A153" s="66">
        <v>35</v>
      </c>
      <c r="B153" s="63">
        <v>2476</v>
      </c>
      <c r="C153" s="64">
        <v>600080170</v>
      </c>
      <c r="D153" s="63">
        <v>64040364</v>
      </c>
      <c r="E153" s="65" t="s">
        <v>605</v>
      </c>
      <c r="F153" s="66">
        <v>3113</v>
      </c>
      <c r="G153" s="65" t="s">
        <v>293</v>
      </c>
      <c r="H153" s="67" t="s">
        <v>271</v>
      </c>
      <c r="I153" s="420">
        <v>43879311</v>
      </c>
      <c r="J153" s="415">
        <v>32063821</v>
      </c>
      <c r="K153" s="415">
        <v>29985752</v>
      </c>
      <c r="L153" s="415">
        <v>2078069</v>
      </c>
      <c r="M153" s="415">
        <v>20000</v>
      </c>
      <c r="N153" s="415">
        <v>10000</v>
      </c>
      <c r="O153" s="415">
        <v>10000</v>
      </c>
      <c r="P153" s="599">
        <v>10844332</v>
      </c>
      <c r="Q153" s="599">
        <v>320638</v>
      </c>
      <c r="R153" s="415">
        <v>630520</v>
      </c>
      <c r="S153" s="416">
        <v>49.676000000000002</v>
      </c>
      <c r="T153" s="416">
        <v>43.236000000000004</v>
      </c>
      <c r="U153" s="423">
        <v>6.4399999999999995</v>
      </c>
      <c r="V153" s="424">
        <f t="shared" si="227"/>
        <v>0</v>
      </c>
      <c r="W153" s="418">
        <f t="shared" si="228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>V153+X153+Y153+Z153+AB153</f>
        <v>0</v>
      </c>
      <c r="AE153" s="418">
        <f>W153+AA153+AC153</f>
        <v>0</v>
      </c>
      <c r="AF153" s="418">
        <f t="shared" si="229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230"/>
        <v>0</v>
      </c>
      <c r="AM153" s="418">
        <f t="shared" si="231"/>
        <v>0</v>
      </c>
      <c r="AN153" s="418">
        <f t="shared" si="232"/>
        <v>0</v>
      </c>
      <c r="AO153" s="418">
        <f t="shared" si="233"/>
        <v>0</v>
      </c>
      <c r="AP153" s="418">
        <f t="shared" si="234"/>
        <v>0</v>
      </c>
      <c r="AQ153" s="418">
        <f t="shared" si="235"/>
        <v>0</v>
      </c>
      <c r="AR153" s="68">
        <f t="shared" si="236"/>
        <v>0</v>
      </c>
      <c r="AS153" s="68">
        <f t="shared" si="237"/>
        <v>0</v>
      </c>
      <c r="AT153" s="418">
        <v>0</v>
      </c>
      <c r="AU153" s="418">
        <v>0</v>
      </c>
      <c r="AV153" s="418">
        <f t="shared" si="238"/>
        <v>0</v>
      </c>
      <c r="AW153" s="418">
        <f t="shared" si="239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 t="shared" si="240"/>
        <v>0</v>
      </c>
      <c r="BG153" s="419">
        <f t="shared" si="241"/>
        <v>0</v>
      </c>
      <c r="BH153" s="421">
        <f t="shared" si="242"/>
        <v>0</v>
      </c>
      <c r="BI153" s="780">
        <f>I153+AW153</f>
        <v>43879311</v>
      </c>
      <c r="BJ153" s="418">
        <f>J153+AF153</f>
        <v>32063821</v>
      </c>
      <c r="BK153" s="418">
        <f t="shared" ref="BK153:BL157" si="251">K153+AD153</f>
        <v>29985752</v>
      </c>
      <c r="BL153" s="418">
        <f t="shared" si="251"/>
        <v>2078069</v>
      </c>
      <c r="BM153" s="418">
        <f>M153+AN153</f>
        <v>20000</v>
      </c>
      <c r="BN153" s="418">
        <f t="shared" ref="BN153:BO157" si="252">N153+AL153</f>
        <v>10000</v>
      </c>
      <c r="BO153" s="418">
        <f t="shared" si="252"/>
        <v>10000</v>
      </c>
      <c r="BP153" s="418">
        <f t="shared" ref="BP153:BQ157" si="253">P153+AR153</f>
        <v>10844332</v>
      </c>
      <c r="BQ153" s="418">
        <f t="shared" si="253"/>
        <v>320638</v>
      </c>
      <c r="BR153" s="418">
        <f>R153+AV153</f>
        <v>630520</v>
      </c>
      <c r="BS153" s="419">
        <f>S153+BH153</f>
        <v>49.676000000000002</v>
      </c>
      <c r="BT153" s="419">
        <f t="shared" ref="BT153:BU157" si="254">T153+BF153</f>
        <v>43.236000000000004</v>
      </c>
      <c r="BU153" s="421">
        <f t="shared" si="254"/>
        <v>6.4399999999999995</v>
      </c>
      <c r="BV153" s="420">
        <v>760272</v>
      </c>
      <c r="BW153" s="415">
        <v>564000</v>
      </c>
      <c r="BX153" s="415">
        <v>0</v>
      </c>
      <c r="BY153" s="415">
        <v>190632</v>
      </c>
      <c r="BZ153" s="415">
        <v>5640</v>
      </c>
      <c r="CA153" s="510">
        <v>1</v>
      </c>
    </row>
    <row r="154" spans="1:79" ht="14.1" customHeight="1" x14ac:dyDescent="0.2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605</v>
      </c>
      <c r="F154" s="66">
        <v>3113</v>
      </c>
      <c r="G154" s="77" t="s">
        <v>291</v>
      </c>
      <c r="H154" s="67" t="s">
        <v>272</v>
      </c>
      <c r="I154" s="420">
        <v>5027193</v>
      </c>
      <c r="J154" s="415">
        <v>3728630</v>
      </c>
      <c r="K154" s="415">
        <v>3728630</v>
      </c>
      <c r="L154" s="415">
        <v>0</v>
      </c>
      <c r="M154" s="415">
        <v>0</v>
      </c>
      <c r="N154" s="415">
        <v>0</v>
      </c>
      <c r="O154" s="415">
        <v>0</v>
      </c>
      <c r="P154" s="599">
        <v>1260277</v>
      </c>
      <c r="Q154" s="599">
        <v>37286</v>
      </c>
      <c r="R154" s="415">
        <v>1000</v>
      </c>
      <c r="S154" s="416">
        <v>10.06</v>
      </c>
      <c r="T154" s="417">
        <v>10.06</v>
      </c>
      <c r="U154" s="423">
        <v>0</v>
      </c>
      <c r="V154" s="424">
        <f t="shared" si="227"/>
        <v>0</v>
      </c>
      <c r="W154" s="418">
        <f t="shared" si="228"/>
        <v>0</v>
      </c>
      <c r="X154" s="418">
        <v>107280</v>
      </c>
      <c r="Y154" s="418">
        <v>0</v>
      </c>
      <c r="Z154" s="418">
        <v>0</v>
      </c>
      <c r="AA154" s="418">
        <v>0</v>
      </c>
      <c r="AB154" s="418">
        <v>0</v>
      </c>
      <c r="AC154" s="418">
        <v>0</v>
      </c>
      <c r="AD154" s="418">
        <f>V154+X154+Y154+Z154+AB154</f>
        <v>107280</v>
      </c>
      <c r="AE154" s="418">
        <f>W154+AA154+AC154</f>
        <v>0</v>
      </c>
      <c r="AF154" s="418">
        <f t="shared" si="229"/>
        <v>107280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230"/>
        <v>0</v>
      </c>
      <c r="AM154" s="418">
        <f t="shared" si="231"/>
        <v>0</v>
      </c>
      <c r="AN154" s="418">
        <f t="shared" si="232"/>
        <v>0</v>
      </c>
      <c r="AO154" s="418">
        <f t="shared" si="233"/>
        <v>107280</v>
      </c>
      <c r="AP154" s="418">
        <f t="shared" si="234"/>
        <v>0</v>
      </c>
      <c r="AQ154" s="418">
        <f t="shared" si="235"/>
        <v>107280</v>
      </c>
      <c r="AR154" s="68">
        <f t="shared" si="236"/>
        <v>36261</v>
      </c>
      <c r="AS154" s="68">
        <f t="shared" si="237"/>
        <v>1073</v>
      </c>
      <c r="AT154" s="418">
        <v>0</v>
      </c>
      <c r="AU154" s="418">
        <v>0</v>
      </c>
      <c r="AV154" s="418">
        <f t="shared" si="238"/>
        <v>0</v>
      </c>
      <c r="AW154" s="418">
        <f t="shared" si="239"/>
        <v>144614</v>
      </c>
      <c r="AX154" s="419">
        <v>0</v>
      </c>
      <c r="AY154" s="419">
        <v>0</v>
      </c>
      <c r="AZ154" s="419">
        <v>0.22</v>
      </c>
      <c r="BA154" s="419">
        <v>0</v>
      </c>
      <c r="BB154" s="419">
        <v>0</v>
      </c>
      <c r="BC154" s="419">
        <v>0</v>
      </c>
      <c r="BD154" s="419">
        <v>0</v>
      </c>
      <c r="BE154" s="419">
        <v>0</v>
      </c>
      <c r="BF154" s="419">
        <f t="shared" si="240"/>
        <v>0.22</v>
      </c>
      <c r="BG154" s="419">
        <f t="shared" si="241"/>
        <v>0</v>
      </c>
      <c r="BH154" s="421">
        <f t="shared" si="242"/>
        <v>0.22</v>
      </c>
      <c r="BI154" s="780">
        <f>I154+AW154</f>
        <v>5171807</v>
      </c>
      <c r="BJ154" s="418">
        <f>J154+AF154</f>
        <v>3835910</v>
      </c>
      <c r="BK154" s="418">
        <f t="shared" si="251"/>
        <v>3835910</v>
      </c>
      <c r="BL154" s="418">
        <f t="shared" si="251"/>
        <v>0</v>
      </c>
      <c r="BM154" s="418">
        <f>M154+AN154</f>
        <v>0</v>
      </c>
      <c r="BN154" s="418">
        <f t="shared" si="252"/>
        <v>0</v>
      </c>
      <c r="BO154" s="418">
        <f t="shared" si="252"/>
        <v>0</v>
      </c>
      <c r="BP154" s="418">
        <f t="shared" si="253"/>
        <v>1296538</v>
      </c>
      <c r="BQ154" s="418">
        <f t="shared" si="253"/>
        <v>38359</v>
      </c>
      <c r="BR154" s="418">
        <f>R154+AV154</f>
        <v>1000</v>
      </c>
      <c r="BS154" s="419">
        <f>S154+BH154</f>
        <v>10.280000000000001</v>
      </c>
      <c r="BT154" s="419">
        <f t="shared" si="254"/>
        <v>10.280000000000001</v>
      </c>
      <c r="BU154" s="421">
        <f t="shared" si="254"/>
        <v>0</v>
      </c>
      <c r="BV154" s="420"/>
      <c r="BW154" s="415"/>
      <c r="BX154" s="415"/>
      <c r="BY154" s="415"/>
      <c r="BZ154" s="415"/>
      <c r="CA154" s="510"/>
    </row>
    <row r="155" spans="1:79" ht="14.1" customHeight="1" x14ac:dyDescent="0.2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605</v>
      </c>
      <c r="F155" s="66">
        <v>3141</v>
      </c>
      <c r="G155" s="65" t="s">
        <v>294</v>
      </c>
      <c r="H155" s="67" t="s">
        <v>272</v>
      </c>
      <c r="I155" s="420">
        <v>2351363</v>
      </c>
      <c r="J155" s="415">
        <v>1719661</v>
      </c>
      <c r="K155" s="415">
        <v>0</v>
      </c>
      <c r="L155" s="750">
        <v>1719661</v>
      </c>
      <c r="M155" s="415">
        <v>10000</v>
      </c>
      <c r="N155" s="204">
        <v>0</v>
      </c>
      <c r="O155" s="204">
        <v>10000</v>
      </c>
      <c r="P155" s="599">
        <v>584625</v>
      </c>
      <c r="Q155" s="599">
        <v>17197</v>
      </c>
      <c r="R155" s="605">
        <v>19880</v>
      </c>
      <c r="S155" s="416">
        <v>5.1867000000000001</v>
      </c>
      <c r="T155" s="607">
        <v>0</v>
      </c>
      <c r="U155" s="737">
        <v>5.1867000000000001</v>
      </c>
      <c r="V155" s="424">
        <f t="shared" si="227"/>
        <v>0</v>
      </c>
      <c r="W155" s="418">
        <f t="shared" si="228"/>
        <v>0</v>
      </c>
      <c r="X155" s="418">
        <v>0</v>
      </c>
      <c r="Y155" s="418">
        <v>0</v>
      </c>
      <c r="Z155" s="418">
        <v>0</v>
      </c>
      <c r="AA155" s="418">
        <v>865884</v>
      </c>
      <c r="AB155" s="418">
        <v>0</v>
      </c>
      <c r="AC155" s="418">
        <v>0</v>
      </c>
      <c r="AD155" s="418">
        <f>V155+X155+Y155+Z155+AB155</f>
        <v>0</v>
      </c>
      <c r="AE155" s="418">
        <f>W155+AA155+AC155</f>
        <v>865884</v>
      </c>
      <c r="AF155" s="418">
        <f t="shared" si="229"/>
        <v>865884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 t="shared" si="230"/>
        <v>0</v>
      </c>
      <c r="AM155" s="418">
        <f t="shared" si="231"/>
        <v>0</v>
      </c>
      <c r="AN155" s="418">
        <f t="shared" si="232"/>
        <v>0</v>
      </c>
      <c r="AO155" s="418">
        <f t="shared" si="233"/>
        <v>0</v>
      </c>
      <c r="AP155" s="418">
        <f t="shared" si="234"/>
        <v>865884</v>
      </c>
      <c r="AQ155" s="418">
        <f t="shared" si="235"/>
        <v>865884</v>
      </c>
      <c r="AR155" s="68">
        <f t="shared" si="236"/>
        <v>292669</v>
      </c>
      <c r="AS155" s="68">
        <f t="shared" si="237"/>
        <v>8659</v>
      </c>
      <c r="AT155" s="418">
        <v>0</v>
      </c>
      <c r="AU155" s="418">
        <v>9656</v>
      </c>
      <c r="AV155" s="418">
        <f t="shared" si="238"/>
        <v>9656</v>
      </c>
      <c r="AW155" s="418">
        <f t="shared" si="239"/>
        <v>1176868</v>
      </c>
      <c r="AX155" s="419">
        <v>0</v>
      </c>
      <c r="AY155" s="419">
        <v>0</v>
      </c>
      <c r="AZ155" s="419">
        <v>0</v>
      </c>
      <c r="BA155" s="419">
        <v>0</v>
      </c>
      <c r="BB155" s="419">
        <v>2.59</v>
      </c>
      <c r="BC155" s="419">
        <v>0</v>
      </c>
      <c r="BD155" s="419">
        <v>0</v>
      </c>
      <c r="BE155" s="419">
        <v>0</v>
      </c>
      <c r="BF155" s="419">
        <f t="shared" si="240"/>
        <v>0</v>
      </c>
      <c r="BG155" s="419">
        <f t="shared" si="241"/>
        <v>2.59</v>
      </c>
      <c r="BH155" s="421">
        <f t="shared" si="242"/>
        <v>2.59</v>
      </c>
      <c r="BI155" s="780">
        <f>I155+AW155</f>
        <v>3528231</v>
      </c>
      <c r="BJ155" s="418">
        <f>J155+AF155</f>
        <v>2585545</v>
      </c>
      <c r="BK155" s="418">
        <f t="shared" si="251"/>
        <v>0</v>
      </c>
      <c r="BL155" s="418">
        <f t="shared" si="251"/>
        <v>2585545</v>
      </c>
      <c r="BM155" s="418">
        <f>M155+AN155</f>
        <v>10000</v>
      </c>
      <c r="BN155" s="418">
        <f t="shared" si="252"/>
        <v>0</v>
      </c>
      <c r="BO155" s="418">
        <f t="shared" si="252"/>
        <v>10000</v>
      </c>
      <c r="BP155" s="418">
        <f t="shared" si="253"/>
        <v>877294</v>
      </c>
      <c r="BQ155" s="418">
        <f t="shared" si="253"/>
        <v>25856</v>
      </c>
      <c r="BR155" s="418">
        <f>R155+AV155</f>
        <v>29536</v>
      </c>
      <c r="BS155" s="419">
        <f>S155+BH155</f>
        <v>7.7766999999999999</v>
      </c>
      <c r="BT155" s="419">
        <f t="shared" si="254"/>
        <v>0</v>
      </c>
      <c r="BU155" s="421">
        <f t="shared" si="254"/>
        <v>7.7766999999999999</v>
      </c>
      <c r="BV155" s="420"/>
      <c r="BW155" s="415"/>
      <c r="BX155" s="415"/>
      <c r="BY155" s="415"/>
      <c r="BZ155" s="415"/>
      <c r="CA155" s="510"/>
    </row>
    <row r="156" spans="1:79" ht="14.1" customHeight="1" x14ac:dyDescent="0.2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605</v>
      </c>
      <c r="F156" s="66">
        <v>3143</v>
      </c>
      <c r="G156" s="77" t="s">
        <v>595</v>
      </c>
      <c r="H156" s="67" t="s">
        <v>271</v>
      </c>
      <c r="I156" s="420">
        <v>4269742</v>
      </c>
      <c r="J156" s="415">
        <v>3167464</v>
      </c>
      <c r="K156" s="415">
        <v>3167464</v>
      </c>
      <c r="L156" s="415">
        <v>0</v>
      </c>
      <c r="M156" s="415">
        <v>0</v>
      </c>
      <c r="N156" s="415">
        <v>0</v>
      </c>
      <c r="O156" s="415">
        <v>0</v>
      </c>
      <c r="P156" s="599">
        <v>1070603</v>
      </c>
      <c r="Q156" s="599">
        <v>31675</v>
      </c>
      <c r="R156" s="415">
        <v>0</v>
      </c>
      <c r="S156" s="416">
        <v>6.0713999999999997</v>
      </c>
      <c r="T156" s="416">
        <v>6.0713999999999997</v>
      </c>
      <c r="U156" s="423">
        <v>0</v>
      </c>
      <c r="V156" s="424">
        <f t="shared" si="227"/>
        <v>0</v>
      </c>
      <c r="W156" s="418">
        <f t="shared" si="228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0</v>
      </c>
      <c r="AF156" s="418">
        <f t="shared" si="229"/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 t="shared" si="230"/>
        <v>0</v>
      </c>
      <c r="AM156" s="418">
        <f t="shared" si="231"/>
        <v>0</v>
      </c>
      <c r="AN156" s="418">
        <f t="shared" si="232"/>
        <v>0</v>
      </c>
      <c r="AO156" s="418">
        <f t="shared" si="233"/>
        <v>0</v>
      </c>
      <c r="AP156" s="418">
        <f t="shared" si="234"/>
        <v>0</v>
      </c>
      <c r="AQ156" s="418">
        <f t="shared" si="235"/>
        <v>0</v>
      </c>
      <c r="AR156" s="68">
        <f t="shared" si="236"/>
        <v>0</v>
      </c>
      <c r="AS156" s="68">
        <f t="shared" si="237"/>
        <v>0</v>
      </c>
      <c r="AT156" s="418">
        <v>0</v>
      </c>
      <c r="AU156" s="418">
        <v>0</v>
      </c>
      <c r="AV156" s="418">
        <f t="shared" si="238"/>
        <v>0</v>
      </c>
      <c r="AW156" s="418">
        <f t="shared" si="239"/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 t="shared" si="240"/>
        <v>0</v>
      </c>
      <c r="BG156" s="419">
        <f t="shared" si="241"/>
        <v>0</v>
      </c>
      <c r="BH156" s="421">
        <f t="shared" si="242"/>
        <v>0</v>
      </c>
      <c r="BI156" s="780">
        <f>I156+AW156</f>
        <v>4269742</v>
      </c>
      <c r="BJ156" s="418">
        <f>J156+AF156</f>
        <v>3167464</v>
      </c>
      <c r="BK156" s="418">
        <f t="shared" si="251"/>
        <v>3167464</v>
      </c>
      <c r="BL156" s="418">
        <f t="shared" si="251"/>
        <v>0</v>
      </c>
      <c r="BM156" s="418">
        <f>M156+AN156</f>
        <v>0</v>
      </c>
      <c r="BN156" s="418">
        <f t="shared" si="252"/>
        <v>0</v>
      </c>
      <c r="BO156" s="418">
        <f t="shared" si="252"/>
        <v>0</v>
      </c>
      <c r="BP156" s="418">
        <f t="shared" si="253"/>
        <v>1070603</v>
      </c>
      <c r="BQ156" s="418">
        <f t="shared" si="253"/>
        <v>31675</v>
      </c>
      <c r="BR156" s="418">
        <f>R156+AV156</f>
        <v>0</v>
      </c>
      <c r="BS156" s="419">
        <f>S156+BH156</f>
        <v>6.0713999999999997</v>
      </c>
      <c r="BT156" s="419">
        <f t="shared" si="254"/>
        <v>6.0713999999999997</v>
      </c>
      <c r="BU156" s="421">
        <f t="shared" si="254"/>
        <v>0</v>
      </c>
      <c r="BV156" s="420"/>
      <c r="BW156" s="415"/>
      <c r="BX156" s="415"/>
      <c r="BY156" s="415"/>
      <c r="BZ156" s="415"/>
      <c r="CA156" s="510"/>
    </row>
    <row r="157" spans="1:79" ht="14.1" customHeight="1" x14ac:dyDescent="0.2">
      <c r="A157" s="66">
        <v>35</v>
      </c>
      <c r="B157" s="63">
        <v>2476</v>
      </c>
      <c r="C157" s="64">
        <v>600080170</v>
      </c>
      <c r="D157" s="63">
        <v>64040364</v>
      </c>
      <c r="E157" s="65" t="s">
        <v>605</v>
      </c>
      <c r="F157" s="66">
        <v>3143</v>
      </c>
      <c r="G157" s="77" t="s">
        <v>596</v>
      </c>
      <c r="H157" s="67" t="s">
        <v>272</v>
      </c>
      <c r="I157" s="420">
        <v>104490</v>
      </c>
      <c r="J157" s="415">
        <v>74791</v>
      </c>
      <c r="K157" s="415">
        <v>0</v>
      </c>
      <c r="L157" s="605">
        <v>74791</v>
      </c>
      <c r="M157" s="415">
        <v>0</v>
      </c>
      <c r="N157" s="415">
        <v>0</v>
      </c>
      <c r="O157" s="415">
        <v>0</v>
      </c>
      <c r="P157" s="599">
        <v>25279</v>
      </c>
      <c r="Q157" s="599">
        <v>748</v>
      </c>
      <c r="R157" s="606">
        <v>3672</v>
      </c>
      <c r="S157" s="416">
        <v>0.2833</v>
      </c>
      <c r="T157" s="609">
        <v>0</v>
      </c>
      <c r="U157" s="737">
        <v>0.2833</v>
      </c>
      <c r="V157" s="424">
        <f t="shared" si="227"/>
        <v>0</v>
      </c>
      <c r="W157" s="418">
        <f t="shared" si="228"/>
        <v>0</v>
      </c>
      <c r="X157" s="418">
        <v>0</v>
      </c>
      <c r="Y157" s="418">
        <v>0</v>
      </c>
      <c r="Z157" s="418">
        <v>0</v>
      </c>
      <c r="AA157" s="418">
        <v>37409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37409</v>
      </c>
      <c r="AF157" s="418">
        <f t="shared" si="229"/>
        <v>37409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 t="shared" si="230"/>
        <v>0</v>
      </c>
      <c r="AM157" s="418">
        <f t="shared" si="231"/>
        <v>0</v>
      </c>
      <c r="AN157" s="418">
        <f t="shared" si="232"/>
        <v>0</v>
      </c>
      <c r="AO157" s="418">
        <f t="shared" si="233"/>
        <v>0</v>
      </c>
      <c r="AP157" s="418">
        <f t="shared" si="234"/>
        <v>37409</v>
      </c>
      <c r="AQ157" s="418">
        <f t="shared" si="235"/>
        <v>37409</v>
      </c>
      <c r="AR157" s="68">
        <f t="shared" si="236"/>
        <v>12644</v>
      </c>
      <c r="AS157" s="68">
        <f t="shared" si="237"/>
        <v>374</v>
      </c>
      <c r="AT157" s="418">
        <v>0</v>
      </c>
      <c r="AU157" s="418">
        <v>1836</v>
      </c>
      <c r="AV157" s="418">
        <f t="shared" si="238"/>
        <v>1836</v>
      </c>
      <c r="AW157" s="418">
        <f t="shared" si="239"/>
        <v>52263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0.14000000000000001</v>
      </c>
      <c r="BC157" s="419">
        <v>0</v>
      </c>
      <c r="BD157" s="419">
        <v>0</v>
      </c>
      <c r="BE157" s="419">
        <v>0</v>
      </c>
      <c r="BF157" s="419">
        <f t="shared" si="240"/>
        <v>0</v>
      </c>
      <c r="BG157" s="419">
        <f t="shared" si="241"/>
        <v>0.14000000000000001</v>
      </c>
      <c r="BH157" s="421">
        <f t="shared" si="242"/>
        <v>0.14000000000000001</v>
      </c>
      <c r="BI157" s="780">
        <f>I157+AW157</f>
        <v>156753</v>
      </c>
      <c r="BJ157" s="418">
        <f>J157+AF157</f>
        <v>112200</v>
      </c>
      <c r="BK157" s="418">
        <f t="shared" si="251"/>
        <v>0</v>
      </c>
      <c r="BL157" s="418">
        <f t="shared" si="251"/>
        <v>112200</v>
      </c>
      <c r="BM157" s="418">
        <f>M157+AN157</f>
        <v>0</v>
      </c>
      <c r="BN157" s="418">
        <f t="shared" si="252"/>
        <v>0</v>
      </c>
      <c r="BO157" s="418">
        <f t="shared" si="252"/>
        <v>0</v>
      </c>
      <c r="BP157" s="418">
        <f t="shared" si="253"/>
        <v>37923</v>
      </c>
      <c r="BQ157" s="418">
        <f t="shared" si="253"/>
        <v>1122</v>
      </c>
      <c r="BR157" s="418">
        <f>R157+AV157</f>
        <v>5508</v>
      </c>
      <c r="BS157" s="419">
        <f>S157+BH157</f>
        <v>0.42330000000000001</v>
      </c>
      <c r="BT157" s="419">
        <f t="shared" si="254"/>
        <v>0</v>
      </c>
      <c r="BU157" s="421">
        <f t="shared" si="254"/>
        <v>0.42330000000000001</v>
      </c>
      <c r="BV157" s="420"/>
      <c r="BW157" s="415"/>
      <c r="BX157" s="415"/>
      <c r="BY157" s="415"/>
      <c r="BZ157" s="415"/>
      <c r="CA157" s="510"/>
    </row>
    <row r="158" spans="1:79" ht="14.1" customHeight="1" x14ac:dyDescent="0.2">
      <c r="A158" s="72">
        <v>35</v>
      </c>
      <c r="B158" s="69">
        <v>2476</v>
      </c>
      <c r="C158" s="70">
        <v>600080170</v>
      </c>
      <c r="D158" s="69">
        <v>64040364</v>
      </c>
      <c r="E158" s="71" t="s">
        <v>606</v>
      </c>
      <c r="F158" s="72"/>
      <c r="G158" s="71"/>
      <c r="H158" s="73"/>
      <c r="I158" s="517">
        <v>55632099</v>
      </c>
      <c r="J158" s="74">
        <v>40754367</v>
      </c>
      <c r="K158" s="74">
        <v>36881846</v>
      </c>
      <c r="L158" s="74">
        <v>3872521</v>
      </c>
      <c r="M158" s="74">
        <v>30000</v>
      </c>
      <c r="N158" s="74">
        <v>10000</v>
      </c>
      <c r="O158" s="74">
        <v>20000</v>
      </c>
      <c r="P158" s="74">
        <v>13785116</v>
      </c>
      <c r="Q158" s="74">
        <v>407544</v>
      </c>
      <c r="R158" s="74">
        <v>655072</v>
      </c>
      <c r="S158" s="75">
        <v>71.2774</v>
      </c>
      <c r="T158" s="75">
        <v>59.367400000000004</v>
      </c>
      <c r="U158" s="658">
        <v>11.91</v>
      </c>
      <c r="V158" s="517">
        <f t="shared" ref="V158:BU158" si="255">SUM(V153:V157)</f>
        <v>0</v>
      </c>
      <c r="W158" s="74">
        <f t="shared" si="255"/>
        <v>0</v>
      </c>
      <c r="X158" s="74">
        <f t="shared" si="255"/>
        <v>107280</v>
      </c>
      <c r="Y158" s="74">
        <f t="shared" si="255"/>
        <v>0</v>
      </c>
      <c r="Z158" s="74">
        <f t="shared" si="255"/>
        <v>0</v>
      </c>
      <c r="AA158" s="74">
        <f t="shared" si="255"/>
        <v>903293</v>
      </c>
      <c r="AB158" s="74">
        <f t="shared" si="255"/>
        <v>0</v>
      </c>
      <c r="AC158" s="74">
        <f t="shared" si="255"/>
        <v>0</v>
      </c>
      <c r="AD158" s="74">
        <f t="shared" si="255"/>
        <v>107280</v>
      </c>
      <c r="AE158" s="74">
        <f t="shared" si="255"/>
        <v>903293</v>
      </c>
      <c r="AF158" s="74">
        <f t="shared" si="255"/>
        <v>1010573</v>
      </c>
      <c r="AG158" s="74">
        <f t="shared" si="255"/>
        <v>0</v>
      </c>
      <c r="AH158" s="74">
        <f t="shared" si="255"/>
        <v>0</v>
      </c>
      <c r="AI158" s="74">
        <f t="shared" si="255"/>
        <v>0</v>
      </c>
      <c r="AJ158" s="74">
        <f t="shared" si="255"/>
        <v>0</v>
      </c>
      <c r="AK158" s="74">
        <f t="shared" si="255"/>
        <v>0</v>
      </c>
      <c r="AL158" s="74">
        <f t="shared" si="255"/>
        <v>0</v>
      </c>
      <c r="AM158" s="74">
        <f t="shared" si="255"/>
        <v>0</v>
      </c>
      <c r="AN158" s="74">
        <f t="shared" si="255"/>
        <v>0</v>
      </c>
      <c r="AO158" s="74">
        <f t="shared" si="255"/>
        <v>107280</v>
      </c>
      <c r="AP158" s="74">
        <f t="shared" si="255"/>
        <v>903293</v>
      </c>
      <c r="AQ158" s="74">
        <f t="shared" si="255"/>
        <v>1010573</v>
      </c>
      <c r="AR158" s="74">
        <f t="shared" si="255"/>
        <v>341574</v>
      </c>
      <c r="AS158" s="74">
        <f t="shared" si="255"/>
        <v>10106</v>
      </c>
      <c r="AT158" s="74">
        <f t="shared" si="255"/>
        <v>0</v>
      </c>
      <c r="AU158" s="74">
        <f t="shared" si="255"/>
        <v>11492</v>
      </c>
      <c r="AV158" s="74">
        <f t="shared" si="255"/>
        <v>11492</v>
      </c>
      <c r="AW158" s="74">
        <f t="shared" si="255"/>
        <v>1373745</v>
      </c>
      <c r="AX158" s="75">
        <f t="shared" si="255"/>
        <v>0</v>
      </c>
      <c r="AY158" s="75">
        <f t="shared" si="255"/>
        <v>0</v>
      </c>
      <c r="AZ158" s="75">
        <f t="shared" si="255"/>
        <v>0.22</v>
      </c>
      <c r="BA158" s="75">
        <f t="shared" si="255"/>
        <v>0</v>
      </c>
      <c r="BB158" s="75">
        <f t="shared" si="255"/>
        <v>2.73</v>
      </c>
      <c r="BC158" s="75">
        <f t="shared" si="255"/>
        <v>0</v>
      </c>
      <c r="BD158" s="75">
        <f t="shared" si="255"/>
        <v>0</v>
      </c>
      <c r="BE158" s="75">
        <f t="shared" si="255"/>
        <v>0</v>
      </c>
      <c r="BF158" s="75">
        <f t="shared" si="255"/>
        <v>0.22</v>
      </c>
      <c r="BG158" s="75">
        <f t="shared" si="255"/>
        <v>2.73</v>
      </c>
      <c r="BH158" s="76">
        <f t="shared" si="255"/>
        <v>2.95</v>
      </c>
      <c r="BI158" s="799">
        <f t="shared" si="255"/>
        <v>57005844</v>
      </c>
      <c r="BJ158" s="74">
        <f t="shared" si="255"/>
        <v>41764940</v>
      </c>
      <c r="BK158" s="74">
        <f t="shared" si="255"/>
        <v>36989126</v>
      </c>
      <c r="BL158" s="74">
        <f t="shared" si="255"/>
        <v>4775814</v>
      </c>
      <c r="BM158" s="74">
        <f t="shared" si="255"/>
        <v>30000</v>
      </c>
      <c r="BN158" s="74">
        <f t="shared" si="255"/>
        <v>10000</v>
      </c>
      <c r="BO158" s="74">
        <f t="shared" si="255"/>
        <v>20000</v>
      </c>
      <c r="BP158" s="74">
        <f t="shared" si="255"/>
        <v>14126690</v>
      </c>
      <c r="BQ158" s="74">
        <f t="shared" si="255"/>
        <v>417650</v>
      </c>
      <c r="BR158" s="74">
        <f t="shared" si="255"/>
        <v>666564</v>
      </c>
      <c r="BS158" s="75">
        <f t="shared" si="255"/>
        <v>74.227400000000003</v>
      </c>
      <c r="BT158" s="75">
        <f t="shared" si="255"/>
        <v>59.587400000000002</v>
      </c>
      <c r="BU158" s="76">
        <f t="shared" si="255"/>
        <v>14.639999999999999</v>
      </c>
      <c r="BV158" s="809">
        <f t="shared" ref="BV158:CA158" si="256">SUM(BV153:BV157)</f>
        <v>760272</v>
      </c>
      <c r="BW158" s="684">
        <f t="shared" si="256"/>
        <v>564000</v>
      </c>
      <c r="BX158" s="684">
        <f t="shared" si="256"/>
        <v>0</v>
      </c>
      <c r="BY158" s="684">
        <f t="shared" si="256"/>
        <v>190632</v>
      </c>
      <c r="BZ158" s="684">
        <f t="shared" si="256"/>
        <v>5640</v>
      </c>
      <c r="CA158" s="810">
        <f t="shared" si="256"/>
        <v>1</v>
      </c>
    </row>
    <row r="159" spans="1:79" ht="14.1" customHeight="1" x14ac:dyDescent="0.2">
      <c r="A159" s="66">
        <v>36</v>
      </c>
      <c r="B159" s="63">
        <v>2477</v>
      </c>
      <c r="C159" s="64">
        <v>600079872</v>
      </c>
      <c r="D159" s="63">
        <v>68975147</v>
      </c>
      <c r="E159" s="65" t="s">
        <v>607</v>
      </c>
      <c r="F159" s="66">
        <v>3113</v>
      </c>
      <c r="G159" s="65" t="s">
        <v>293</v>
      </c>
      <c r="H159" s="67" t="s">
        <v>271</v>
      </c>
      <c r="I159" s="420">
        <v>46434517</v>
      </c>
      <c r="J159" s="415">
        <v>33832247</v>
      </c>
      <c r="K159" s="415">
        <v>31867169</v>
      </c>
      <c r="L159" s="415">
        <v>1965078</v>
      </c>
      <c r="M159" s="415">
        <v>110000</v>
      </c>
      <c r="N159" s="415">
        <v>30000</v>
      </c>
      <c r="O159" s="415">
        <v>80000</v>
      </c>
      <c r="P159" s="599">
        <v>11472480</v>
      </c>
      <c r="Q159" s="599">
        <v>338322</v>
      </c>
      <c r="R159" s="415">
        <v>681468</v>
      </c>
      <c r="S159" s="416">
        <v>51.546900000000001</v>
      </c>
      <c r="T159" s="416">
        <v>45.587900000000005</v>
      </c>
      <c r="U159" s="423">
        <v>5.9589999999999996</v>
      </c>
      <c r="V159" s="424">
        <f t="shared" si="227"/>
        <v>0</v>
      </c>
      <c r="W159" s="418">
        <f t="shared" si="228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418">
        <f t="shared" si="229"/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 t="shared" si="230"/>
        <v>0</v>
      </c>
      <c r="AM159" s="418">
        <f t="shared" si="231"/>
        <v>0</v>
      </c>
      <c r="AN159" s="418">
        <f t="shared" si="232"/>
        <v>0</v>
      </c>
      <c r="AO159" s="418">
        <f t="shared" si="233"/>
        <v>0</v>
      </c>
      <c r="AP159" s="418">
        <f t="shared" si="234"/>
        <v>0</v>
      </c>
      <c r="AQ159" s="418">
        <f t="shared" si="235"/>
        <v>0</v>
      </c>
      <c r="AR159" s="68">
        <f t="shared" si="236"/>
        <v>0</v>
      </c>
      <c r="AS159" s="68">
        <f t="shared" si="237"/>
        <v>0</v>
      </c>
      <c r="AT159" s="418">
        <v>0</v>
      </c>
      <c r="AU159" s="418">
        <v>0</v>
      </c>
      <c r="AV159" s="418">
        <f t="shared" si="238"/>
        <v>0</v>
      </c>
      <c r="AW159" s="418">
        <f t="shared" si="239"/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 t="shared" si="240"/>
        <v>0</v>
      </c>
      <c r="BG159" s="419">
        <f t="shared" si="241"/>
        <v>0</v>
      </c>
      <c r="BH159" s="421">
        <f t="shared" si="242"/>
        <v>0</v>
      </c>
      <c r="BI159" s="780">
        <f>I159+AW159</f>
        <v>46434517</v>
      </c>
      <c r="BJ159" s="418">
        <f>J159+AF159</f>
        <v>33832247</v>
      </c>
      <c r="BK159" s="418">
        <f t="shared" ref="BK159:BL162" si="257">K159+AD159</f>
        <v>31867169</v>
      </c>
      <c r="BL159" s="418">
        <f t="shared" si="257"/>
        <v>1965078</v>
      </c>
      <c r="BM159" s="418">
        <f>M159+AN159</f>
        <v>110000</v>
      </c>
      <c r="BN159" s="418">
        <f t="shared" ref="BN159:BO162" si="258">N159+AL159</f>
        <v>30000</v>
      </c>
      <c r="BO159" s="418">
        <f t="shared" si="258"/>
        <v>80000</v>
      </c>
      <c r="BP159" s="418">
        <f t="shared" ref="BP159:BQ162" si="259">P159+AR159</f>
        <v>11472480</v>
      </c>
      <c r="BQ159" s="418">
        <f t="shared" si="259"/>
        <v>338322</v>
      </c>
      <c r="BR159" s="418">
        <f>R159+AV159</f>
        <v>681468</v>
      </c>
      <c r="BS159" s="419">
        <f>S159+BH159</f>
        <v>51.546900000000001</v>
      </c>
      <c r="BT159" s="419">
        <f t="shared" ref="BT159:BU162" si="260">T159+BF159</f>
        <v>45.587900000000005</v>
      </c>
      <c r="BU159" s="421">
        <f t="shared" si="260"/>
        <v>5.9589999999999996</v>
      </c>
      <c r="BV159" s="420">
        <v>152054</v>
      </c>
      <c r="BW159" s="415">
        <v>112800</v>
      </c>
      <c r="BX159" s="415">
        <v>0</v>
      </c>
      <c r="BY159" s="415">
        <v>38126</v>
      </c>
      <c r="BZ159" s="415">
        <v>1128</v>
      </c>
      <c r="CA159" s="510">
        <v>0.2</v>
      </c>
    </row>
    <row r="160" spans="1:79" ht="14.1" customHeight="1" x14ac:dyDescent="0.2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607</v>
      </c>
      <c r="F160" s="66">
        <v>3113</v>
      </c>
      <c r="G160" s="77" t="s">
        <v>291</v>
      </c>
      <c r="H160" s="67" t="s">
        <v>272</v>
      </c>
      <c r="I160" s="420">
        <v>4047841</v>
      </c>
      <c r="J160" s="415">
        <v>3002849</v>
      </c>
      <c r="K160" s="415">
        <v>3002849</v>
      </c>
      <c r="L160" s="415">
        <v>0</v>
      </c>
      <c r="M160" s="415">
        <v>0</v>
      </c>
      <c r="N160" s="415">
        <v>0</v>
      </c>
      <c r="O160" s="415">
        <v>0</v>
      </c>
      <c r="P160" s="599">
        <v>1014963</v>
      </c>
      <c r="Q160" s="599">
        <v>30029</v>
      </c>
      <c r="R160" s="415">
        <v>0</v>
      </c>
      <c r="S160" s="416">
        <v>7.54</v>
      </c>
      <c r="T160" s="417">
        <v>7.54</v>
      </c>
      <c r="U160" s="423">
        <v>0</v>
      </c>
      <c r="V160" s="424">
        <f t="shared" si="227"/>
        <v>0</v>
      </c>
      <c r="W160" s="418">
        <f t="shared" si="228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 t="shared" si="229"/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 t="shared" si="230"/>
        <v>0</v>
      </c>
      <c r="AM160" s="418">
        <f t="shared" si="231"/>
        <v>0</v>
      </c>
      <c r="AN160" s="418">
        <f t="shared" si="232"/>
        <v>0</v>
      </c>
      <c r="AO160" s="418">
        <f t="shared" si="233"/>
        <v>0</v>
      </c>
      <c r="AP160" s="418">
        <f t="shared" si="234"/>
        <v>0</v>
      </c>
      <c r="AQ160" s="418">
        <f t="shared" si="235"/>
        <v>0</v>
      </c>
      <c r="AR160" s="68">
        <f t="shared" si="236"/>
        <v>0</v>
      </c>
      <c r="AS160" s="68">
        <f t="shared" si="237"/>
        <v>0</v>
      </c>
      <c r="AT160" s="418">
        <v>0</v>
      </c>
      <c r="AU160" s="418">
        <v>0</v>
      </c>
      <c r="AV160" s="418">
        <f t="shared" si="238"/>
        <v>0</v>
      </c>
      <c r="AW160" s="418">
        <f t="shared" si="239"/>
        <v>0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</v>
      </c>
      <c r="BC160" s="419">
        <v>0</v>
      </c>
      <c r="BD160" s="419">
        <v>0</v>
      </c>
      <c r="BE160" s="419">
        <v>0</v>
      </c>
      <c r="BF160" s="419">
        <f t="shared" si="240"/>
        <v>0</v>
      </c>
      <c r="BG160" s="419">
        <f t="shared" si="241"/>
        <v>0</v>
      </c>
      <c r="BH160" s="421">
        <f t="shared" si="242"/>
        <v>0</v>
      </c>
      <c r="BI160" s="780">
        <f>I160+AW160</f>
        <v>4047841</v>
      </c>
      <c r="BJ160" s="418">
        <f>J160+AF160</f>
        <v>3002849</v>
      </c>
      <c r="BK160" s="418">
        <f t="shared" si="257"/>
        <v>3002849</v>
      </c>
      <c r="BL160" s="418">
        <f t="shared" si="257"/>
        <v>0</v>
      </c>
      <c r="BM160" s="418">
        <f>M160+AN160</f>
        <v>0</v>
      </c>
      <c r="BN160" s="418">
        <f t="shared" si="258"/>
        <v>0</v>
      </c>
      <c r="BO160" s="418">
        <f t="shared" si="258"/>
        <v>0</v>
      </c>
      <c r="BP160" s="418">
        <f t="shared" si="259"/>
        <v>1014963</v>
      </c>
      <c r="BQ160" s="418">
        <f t="shared" si="259"/>
        <v>30029</v>
      </c>
      <c r="BR160" s="418">
        <f>R160+AV160</f>
        <v>0</v>
      </c>
      <c r="BS160" s="419">
        <f>S160+BH160</f>
        <v>7.54</v>
      </c>
      <c r="BT160" s="419">
        <f t="shared" si="260"/>
        <v>7.54</v>
      </c>
      <c r="BU160" s="421">
        <f t="shared" si="260"/>
        <v>0</v>
      </c>
      <c r="BV160" s="420"/>
      <c r="BW160" s="415"/>
      <c r="BX160" s="415"/>
      <c r="BY160" s="415"/>
      <c r="BZ160" s="415"/>
      <c r="CA160" s="510"/>
    </row>
    <row r="161" spans="1:79" ht="14.1" customHeight="1" x14ac:dyDescent="0.2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607</v>
      </c>
      <c r="F161" s="66">
        <v>3143</v>
      </c>
      <c r="G161" s="77" t="s">
        <v>595</v>
      </c>
      <c r="H161" s="67" t="s">
        <v>271</v>
      </c>
      <c r="I161" s="420">
        <v>4475221</v>
      </c>
      <c r="J161" s="415">
        <v>3319897</v>
      </c>
      <c r="K161" s="415">
        <v>3319897</v>
      </c>
      <c r="L161" s="415">
        <v>0</v>
      </c>
      <c r="M161" s="415">
        <v>0</v>
      </c>
      <c r="N161" s="415">
        <v>0</v>
      </c>
      <c r="O161" s="415">
        <v>0</v>
      </c>
      <c r="P161" s="599">
        <v>1122125</v>
      </c>
      <c r="Q161" s="599">
        <v>33199</v>
      </c>
      <c r="R161" s="415">
        <v>0</v>
      </c>
      <c r="S161" s="416">
        <v>6.1570999999999998</v>
      </c>
      <c r="T161" s="416">
        <v>6.1570999999999998</v>
      </c>
      <c r="U161" s="423">
        <v>0</v>
      </c>
      <c r="V161" s="424">
        <f t="shared" si="227"/>
        <v>0</v>
      </c>
      <c r="W161" s="418">
        <f t="shared" si="228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0</v>
      </c>
      <c r="AF161" s="418">
        <f t="shared" si="229"/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 t="shared" si="230"/>
        <v>0</v>
      </c>
      <c r="AM161" s="418">
        <f t="shared" si="231"/>
        <v>0</v>
      </c>
      <c r="AN161" s="418">
        <f t="shared" si="232"/>
        <v>0</v>
      </c>
      <c r="AO161" s="418">
        <f t="shared" si="233"/>
        <v>0</v>
      </c>
      <c r="AP161" s="418">
        <f t="shared" si="234"/>
        <v>0</v>
      </c>
      <c r="AQ161" s="418">
        <f t="shared" si="235"/>
        <v>0</v>
      </c>
      <c r="AR161" s="68">
        <f t="shared" si="236"/>
        <v>0</v>
      </c>
      <c r="AS161" s="68">
        <f t="shared" si="237"/>
        <v>0</v>
      </c>
      <c r="AT161" s="418">
        <v>0</v>
      </c>
      <c r="AU161" s="418">
        <v>0</v>
      </c>
      <c r="AV161" s="418">
        <f t="shared" si="238"/>
        <v>0</v>
      </c>
      <c r="AW161" s="418">
        <f t="shared" si="239"/>
        <v>0</v>
      </c>
      <c r="AX161" s="419">
        <v>0</v>
      </c>
      <c r="AY161" s="419">
        <v>0</v>
      </c>
      <c r="AZ161" s="419">
        <v>0</v>
      </c>
      <c r="BA161" s="419">
        <v>0</v>
      </c>
      <c r="BB161" s="419">
        <v>0</v>
      </c>
      <c r="BC161" s="419">
        <v>0</v>
      </c>
      <c r="BD161" s="419">
        <v>0</v>
      </c>
      <c r="BE161" s="419">
        <v>0</v>
      </c>
      <c r="BF161" s="419">
        <f t="shared" si="240"/>
        <v>0</v>
      </c>
      <c r="BG161" s="419">
        <f t="shared" si="241"/>
        <v>0</v>
      </c>
      <c r="BH161" s="421">
        <f t="shared" si="242"/>
        <v>0</v>
      </c>
      <c r="BI161" s="780">
        <f>I161+AW161</f>
        <v>4475221</v>
      </c>
      <c r="BJ161" s="418">
        <f>J161+AF161</f>
        <v>3319897</v>
      </c>
      <c r="BK161" s="418">
        <f t="shared" si="257"/>
        <v>3319897</v>
      </c>
      <c r="BL161" s="418">
        <f t="shared" si="257"/>
        <v>0</v>
      </c>
      <c r="BM161" s="418">
        <f>M161+AN161</f>
        <v>0</v>
      </c>
      <c r="BN161" s="418">
        <f t="shared" si="258"/>
        <v>0</v>
      </c>
      <c r="BO161" s="418">
        <f t="shared" si="258"/>
        <v>0</v>
      </c>
      <c r="BP161" s="418">
        <f t="shared" si="259"/>
        <v>1122125</v>
      </c>
      <c r="BQ161" s="418">
        <f t="shared" si="259"/>
        <v>33199</v>
      </c>
      <c r="BR161" s="418">
        <f>R161+AV161</f>
        <v>0</v>
      </c>
      <c r="BS161" s="419">
        <f>S161+BH161</f>
        <v>6.1570999999999998</v>
      </c>
      <c r="BT161" s="419">
        <f t="shared" si="260"/>
        <v>6.1570999999999998</v>
      </c>
      <c r="BU161" s="421">
        <f t="shared" si="260"/>
        <v>0</v>
      </c>
      <c r="BV161" s="420"/>
      <c r="BW161" s="415"/>
      <c r="BX161" s="415"/>
      <c r="BY161" s="415"/>
      <c r="BZ161" s="415"/>
      <c r="CA161" s="510"/>
    </row>
    <row r="162" spans="1:79" ht="14.1" customHeight="1" x14ac:dyDescent="0.2">
      <c r="A162" s="66">
        <v>36</v>
      </c>
      <c r="B162" s="63">
        <v>2477</v>
      </c>
      <c r="C162" s="64">
        <v>600079872</v>
      </c>
      <c r="D162" s="63">
        <v>68975147</v>
      </c>
      <c r="E162" s="65" t="s">
        <v>607</v>
      </c>
      <c r="F162" s="66">
        <v>3143</v>
      </c>
      <c r="G162" s="77" t="s">
        <v>596</v>
      </c>
      <c r="H162" s="67" t="s">
        <v>272</v>
      </c>
      <c r="I162" s="420">
        <v>105007</v>
      </c>
      <c r="J162" s="415">
        <v>75161</v>
      </c>
      <c r="K162" s="415">
        <v>0</v>
      </c>
      <c r="L162" s="605">
        <v>75161</v>
      </c>
      <c r="M162" s="415">
        <v>0</v>
      </c>
      <c r="N162" s="415">
        <v>0</v>
      </c>
      <c r="O162" s="415">
        <v>0</v>
      </c>
      <c r="P162" s="599">
        <v>25404</v>
      </c>
      <c r="Q162" s="599">
        <v>752</v>
      </c>
      <c r="R162" s="606">
        <v>3690</v>
      </c>
      <c r="S162" s="416">
        <v>0.28470000000000001</v>
      </c>
      <c r="T162" s="609">
        <v>0</v>
      </c>
      <c r="U162" s="737">
        <v>0.28470000000000001</v>
      </c>
      <c r="V162" s="424">
        <f t="shared" si="227"/>
        <v>0</v>
      </c>
      <c r="W162" s="418">
        <f t="shared" si="228"/>
        <v>0</v>
      </c>
      <c r="X162" s="418">
        <v>0</v>
      </c>
      <c r="Y162" s="418">
        <v>0</v>
      </c>
      <c r="Z162" s="418">
        <v>0</v>
      </c>
      <c r="AA162" s="418">
        <v>37589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37589</v>
      </c>
      <c r="AF162" s="418">
        <f t="shared" si="229"/>
        <v>37589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 t="shared" si="230"/>
        <v>0</v>
      </c>
      <c r="AM162" s="418">
        <f t="shared" si="231"/>
        <v>0</v>
      </c>
      <c r="AN162" s="418">
        <f t="shared" si="232"/>
        <v>0</v>
      </c>
      <c r="AO162" s="418">
        <f t="shared" si="233"/>
        <v>0</v>
      </c>
      <c r="AP162" s="418">
        <f t="shared" si="234"/>
        <v>37589</v>
      </c>
      <c r="AQ162" s="418">
        <f t="shared" si="235"/>
        <v>37589</v>
      </c>
      <c r="AR162" s="68">
        <f t="shared" si="236"/>
        <v>12705</v>
      </c>
      <c r="AS162" s="68">
        <f t="shared" si="237"/>
        <v>376</v>
      </c>
      <c r="AT162" s="418">
        <v>0</v>
      </c>
      <c r="AU162" s="418">
        <v>1845</v>
      </c>
      <c r="AV162" s="418">
        <f t="shared" si="238"/>
        <v>1845</v>
      </c>
      <c r="AW162" s="418">
        <f t="shared" si="239"/>
        <v>52515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0.14000000000000001</v>
      </c>
      <c r="BC162" s="419">
        <v>0</v>
      </c>
      <c r="BD162" s="419">
        <v>0</v>
      </c>
      <c r="BE162" s="419">
        <v>0</v>
      </c>
      <c r="BF162" s="419">
        <f t="shared" si="240"/>
        <v>0</v>
      </c>
      <c r="BG162" s="419">
        <f t="shared" si="241"/>
        <v>0.14000000000000001</v>
      </c>
      <c r="BH162" s="421">
        <f t="shared" si="242"/>
        <v>0.14000000000000001</v>
      </c>
      <c r="BI162" s="780">
        <f>I162+AW162</f>
        <v>157522</v>
      </c>
      <c r="BJ162" s="418">
        <f>J162+AF162</f>
        <v>112750</v>
      </c>
      <c r="BK162" s="418">
        <f t="shared" si="257"/>
        <v>0</v>
      </c>
      <c r="BL162" s="418">
        <f t="shared" si="257"/>
        <v>112750</v>
      </c>
      <c r="BM162" s="418">
        <f>M162+AN162</f>
        <v>0</v>
      </c>
      <c r="BN162" s="418">
        <f t="shared" si="258"/>
        <v>0</v>
      </c>
      <c r="BO162" s="418">
        <f t="shared" si="258"/>
        <v>0</v>
      </c>
      <c r="BP162" s="418">
        <f t="shared" si="259"/>
        <v>38109</v>
      </c>
      <c r="BQ162" s="418">
        <f t="shared" si="259"/>
        <v>1128</v>
      </c>
      <c r="BR162" s="418">
        <f>R162+AV162</f>
        <v>5535</v>
      </c>
      <c r="BS162" s="419">
        <f>S162+BH162</f>
        <v>0.42470000000000002</v>
      </c>
      <c r="BT162" s="419">
        <f t="shared" si="260"/>
        <v>0</v>
      </c>
      <c r="BU162" s="421">
        <f t="shared" si="260"/>
        <v>0.42470000000000002</v>
      </c>
      <c r="BV162" s="420"/>
      <c r="BW162" s="415"/>
      <c r="BX162" s="415"/>
      <c r="BY162" s="415"/>
      <c r="BZ162" s="415"/>
      <c r="CA162" s="510"/>
    </row>
    <row r="163" spans="1:79" ht="14.1" customHeight="1" x14ac:dyDescent="0.2">
      <c r="A163" s="72">
        <v>36</v>
      </c>
      <c r="B163" s="69">
        <v>2477</v>
      </c>
      <c r="C163" s="70">
        <v>600079872</v>
      </c>
      <c r="D163" s="69">
        <v>68975147</v>
      </c>
      <c r="E163" s="71" t="s">
        <v>608</v>
      </c>
      <c r="F163" s="72"/>
      <c r="G163" s="71"/>
      <c r="H163" s="73"/>
      <c r="I163" s="517">
        <v>55062586</v>
      </c>
      <c r="J163" s="74">
        <v>40230154</v>
      </c>
      <c r="K163" s="74">
        <v>38189915</v>
      </c>
      <c r="L163" s="74">
        <v>2040239</v>
      </c>
      <c r="M163" s="74">
        <v>110000</v>
      </c>
      <c r="N163" s="74">
        <v>30000</v>
      </c>
      <c r="O163" s="74">
        <v>80000</v>
      </c>
      <c r="P163" s="74">
        <v>13634972</v>
      </c>
      <c r="Q163" s="74">
        <v>402302</v>
      </c>
      <c r="R163" s="74">
        <v>685158</v>
      </c>
      <c r="S163" s="75">
        <v>65.528700000000001</v>
      </c>
      <c r="T163" s="75">
        <v>59.285000000000004</v>
      </c>
      <c r="U163" s="658">
        <v>6.2436999999999996</v>
      </c>
      <c r="V163" s="517">
        <f t="shared" ref="V163:BU163" si="261">SUM(V159:V162)</f>
        <v>0</v>
      </c>
      <c r="W163" s="74">
        <f t="shared" si="261"/>
        <v>0</v>
      </c>
      <c r="X163" s="74">
        <f t="shared" si="261"/>
        <v>0</v>
      </c>
      <c r="Y163" s="74">
        <f t="shared" si="261"/>
        <v>0</v>
      </c>
      <c r="Z163" s="74">
        <f t="shared" si="261"/>
        <v>0</v>
      </c>
      <c r="AA163" s="74">
        <f t="shared" si="261"/>
        <v>37589</v>
      </c>
      <c r="AB163" s="74">
        <f t="shared" si="261"/>
        <v>0</v>
      </c>
      <c r="AC163" s="74">
        <f t="shared" si="261"/>
        <v>0</v>
      </c>
      <c r="AD163" s="74">
        <f t="shared" si="261"/>
        <v>0</v>
      </c>
      <c r="AE163" s="74">
        <f t="shared" si="261"/>
        <v>37589</v>
      </c>
      <c r="AF163" s="74">
        <f t="shared" si="261"/>
        <v>37589</v>
      </c>
      <c r="AG163" s="74">
        <f t="shared" si="261"/>
        <v>0</v>
      </c>
      <c r="AH163" s="74">
        <f t="shared" si="261"/>
        <v>0</v>
      </c>
      <c r="AI163" s="74">
        <f t="shared" si="261"/>
        <v>0</v>
      </c>
      <c r="AJ163" s="74">
        <f t="shared" si="261"/>
        <v>0</v>
      </c>
      <c r="AK163" s="74">
        <f t="shared" si="261"/>
        <v>0</v>
      </c>
      <c r="AL163" s="74">
        <f t="shared" si="261"/>
        <v>0</v>
      </c>
      <c r="AM163" s="74">
        <f t="shared" si="261"/>
        <v>0</v>
      </c>
      <c r="AN163" s="74">
        <f t="shared" si="261"/>
        <v>0</v>
      </c>
      <c r="AO163" s="74">
        <f t="shared" si="261"/>
        <v>0</v>
      </c>
      <c r="AP163" s="74">
        <f t="shared" si="261"/>
        <v>37589</v>
      </c>
      <c r="AQ163" s="74">
        <f t="shared" si="261"/>
        <v>37589</v>
      </c>
      <c r="AR163" s="74">
        <f t="shared" si="261"/>
        <v>12705</v>
      </c>
      <c r="AS163" s="74">
        <f t="shared" si="261"/>
        <v>376</v>
      </c>
      <c r="AT163" s="74">
        <f t="shared" si="261"/>
        <v>0</v>
      </c>
      <c r="AU163" s="74">
        <f t="shared" si="261"/>
        <v>1845</v>
      </c>
      <c r="AV163" s="74">
        <f t="shared" si="261"/>
        <v>1845</v>
      </c>
      <c r="AW163" s="74">
        <f t="shared" si="261"/>
        <v>52515</v>
      </c>
      <c r="AX163" s="75">
        <f t="shared" si="261"/>
        <v>0</v>
      </c>
      <c r="AY163" s="75">
        <f t="shared" si="261"/>
        <v>0</v>
      </c>
      <c r="AZ163" s="75">
        <f t="shared" si="261"/>
        <v>0</v>
      </c>
      <c r="BA163" s="75">
        <f t="shared" si="261"/>
        <v>0</v>
      </c>
      <c r="BB163" s="75">
        <f t="shared" si="261"/>
        <v>0.14000000000000001</v>
      </c>
      <c r="BC163" s="75">
        <f t="shared" si="261"/>
        <v>0</v>
      </c>
      <c r="BD163" s="75">
        <f t="shared" si="261"/>
        <v>0</v>
      </c>
      <c r="BE163" s="75">
        <f t="shared" si="261"/>
        <v>0</v>
      </c>
      <c r="BF163" s="75">
        <f t="shared" si="261"/>
        <v>0</v>
      </c>
      <c r="BG163" s="75">
        <f t="shared" si="261"/>
        <v>0.14000000000000001</v>
      </c>
      <c r="BH163" s="76">
        <f t="shared" si="261"/>
        <v>0.14000000000000001</v>
      </c>
      <c r="BI163" s="799">
        <f t="shared" si="261"/>
        <v>55115101</v>
      </c>
      <c r="BJ163" s="74">
        <f t="shared" si="261"/>
        <v>40267743</v>
      </c>
      <c r="BK163" s="74">
        <f t="shared" si="261"/>
        <v>38189915</v>
      </c>
      <c r="BL163" s="74">
        <f t="shared" si="261"/>
        <v>2077828</v>
      </c>
      <c r="BM163" s="74">
        <f t="shared" si="261"/>
        <v>110000</v>
      </c>
      <c r="BN163" s="74">
        <f t="shared" si="261"/>
        <v>30000</v>
      </c>
      <c r="BO163" s="74">
        <f t="shared" si="261"/>
        <v>80000</v>
      </c>
      <c r="BP163" s="74">
        <f t="shared" si="261"/>
        <v>13647677</v>
      </c>
      <c r="BQ163" s="74">
        <f t="shared" si="261"/>
        <v>402678</v>
      </c>
      <c r="BR163" s="74">
        <f t="shared" si="261"/>
        <v>687003</v>
      </c>
      <c r="BS163" s="75">
        <f t="shared" si="261"/>
        <v>65.668700000000001</v>
      </c>
      <c r="BT163" s="75">
        <f t="shared" si="261"/>
        <v>59.285000000000004</v>
      </c>
      <c r="BU163" s="76">
        <f t="shared" si="261"/>
        <v>6.3836999999999993</v>
      </c>
      <c r="BV163" s="809">
        <f t="shared" ref="BV163:CA163" si="262">SUM(BV159:BV162)</f>
        <v>152054</v>
      </c>
      <c r="BW163" s="684">
        <f t="shared" si="262"/>
        <v>112800</v>
      </c>
      <c r="BX163" s="684">
        <f t="shared" si="262"/>
        <v>0</v>
      </c>
      <c r="BY163" s="684">
        <f t="shared" si="262"/>
        <v>38126</v>
      </c>
      <c r="BZ163" s="684">
        <f t="shared" si="262"/>
        <v>1128</v>
      </c>
      <c r="CA163" s="810">
        <f t="shared" si="262"/>
        <v>0.2</v>
      </c>
    </row>
    <row r="164" spans="1:79" ht="14.1" customHeight="1" x14ac:dyDescent="0.2">
      <c r="A164" s="66">
        <v>37</v>
      </c>
      <c r="B164" s="63">
        <v>2470</v>
      </c>
      <c r="C164" s="64">
        <v>600080013</v>
      </c>
      <c r="D164" s="63">
        <v>72741554</v>
      </c>
      <c r="E164" s="65" t="s">
        <v>609</v>
      </c>
      <c r="F164" s="66">
        <v>3113</v>
      </c>
      <c r="G164" s="65" t="s">
        <v>293</v>
      </c>
      <c r="H164" s="67" t="s">
        <v>271</v>
      </c>
      <c r="I164" s="420">
        <v>41110788</v>
      </c>
      <c r="J164" s="415">
        <v>29859318</v>
      </c>
      <c r="K164" s="415">
        <v>28338874</v>
      </c>
      <c r="L164" s="415">
        <v>1520444</v>
      </c>
      <c r="M164" s="415">
        <v>240000</v>
      </c>
      <c r="N164" s="415">
        <v>140000</v>
      </c>
      <c r="O164" s="415">
        <v>100000</v>
      </c>
      <c r="P164" s="599">
        <v>10173569</v>
      </c>
      <c r="Q164" s="599">
        <v>298594</v>
      </c>
      <c r="R164" s="415">
        <v>539307</v>
      </c>
      <c r="S164" s="416">
        <v>41.104700000000001</v>
      </c>
      <c r="T164" s="416">
        <v>36.5047</v>
      </c>
      <c r="U164" s="423">
        <v>4.5999999999999996</v>
      </c>
      <c r="V164" s="424">
        <f t="shared" si="227"/>
        <v>0</v>
      </c>
      <c r="W164" s="418">
        <f t="shared" si="228"/>
        <v>0</v>
      </c>
      <c r="X164" s="418">
        <v>0</v>
      </c>
      <c r="Y164" s="418">
        <v>0</v>
      </c>
      <c r="Z164" s="418">
        <v>0</v>
      </c>
      <c r="AA164" s="418">
        <v>0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0</v>
      </c>
      <c r="AF164" s="418">
        <f t="shared" si="229"/>
        <v>0</v>
      </c>
      <c r="AG164" s="418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 t="shared" si="230"/>
        <v>0</v>
      </c>
      <c r="AM164" s="418">
        <f t="shared" si="231"/>
        <v>0</v>
      </c>
      <c r="AN164" s="418">
        <f t="shared" si="232"/>
        <v>0</v>
      </c>
      <c r="AO164" s="418">
        <f t="shared" si="233"/>
        <v>0</v>
      </c>
      <c r="AP164" s="418">
        <f t="shared" si="234"/>
        <v>0</v>
      </c>
      <c r="AQ164" s="418">
        <f t="shared" si="235"/>
        <v>0</v>
      </c>
      <c r="AR164" s="68">
        <f t="shared" si="236"/>
        <v>0</v>
      </c>
      <c r="AS164" s="68">
        <f t="shared" si="237"/>
        <v>0</v>
      </c>
      <c r="AT164" s="418">
        <v>0</v>
      </c>
      <c r="AU164" s="418">
        <v>0</v>
      </c>
      <c r="AV164" s="418">
        <f t="shared" si="238"/>
        <v>0</v>
      </c>
      <c r="AW164" s="418">
        <f t="shared" si="239"/>
        <v>0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</v>
      </c>
      <c r="BC164" s="419">
        <v>0</v>
      </c>
      <c r="BD164" s="419">
        <v>0</v>
      </c>
      <c r="BE164" s="419">
        <v>0</v>
      </c>
      <c r="BF164" s="419">
        <f t="shared" si="240"/>
        <v>0</v>
      </c>
      <c r="BG164" s="419">
        <f t="shared" si="241"/>
        <v>0</v>
      </c>
      <c r="BH164" s="421">
        <f t="shared" si="242"/>
        <v>0</v>
      </c>
      <c r="BI164" s="780">
        <f>I164+AW164</f>
        <v>41110788</v>
      </c>
      <c r="BJ164" s="418">
        <f>J164+AF164</f>
        <v>29859318</v>
      </c>
      <c r="BK164" s="418">
        <f t="shared" ref="BK164:BL168" si="263">K164+AD164</f>
        <v>28338874</v>
      </c>
      <c r="BL164" s="418">
        <f t="shared" si="263"/>
        <v>1520444</v>
      </c>
      <c r="BM164" s="418">
        <f>M164+AN164</f>
        <v>240000</v>
      </c>
      <c r="BN164" s="418">
        <f t="shared" ref="BN164:BO168" si="264">N164+AL164</f>
        <v>140000</v>
      </c>
      <c r="BO164" s="418">
        <f t="shared" si="264"/>
        <v>100000</v>
      </c>
      <c r="BP164" s="418">
        <f t="shared" ref="BP164:BQ168" si="265">P164+AR164</f>
        <v>10173569</v>
      </c>
      <c r="BQ164" s="418">
        <f t="shared" si="265"/>
        <v>298594</v>
      </c>
      <c r="BR164" s="418">
        <f>R164+AV164</f>
        <v>539307</v>
      </c>
      <c r="BS164" s="419">
        <f>S164+BH164</f>
        <v>41.104700000000001</v>
      </c>
      <c r="BT164" s="419">
        <f t="shared" ref="BT164:BU168" si="266">T164+BF164</f>
        <v>36.5047</v>
      </c>
      <c r="BU164" s="421">
        <f t="shared" si="266"/>
        <v>4.5999999999999996</v>
      </c>
      <c r="BV164" s="420">
        <v>760272</v>
      </c>
      <c r="BW164" s="415">
        <v>564000</v>
      </c>
      <c r="BX164" s="415">
        <v>0</v>
      </c>
      <c r="BY164" s="415">
        <v>190632</v>
      </c>
      <c r="BZ164" s="415">
        <v>5640</v>
      </c>
      <c r="CA164" s="510">
        <v>1</v>
      </c>
    </row>
    <row r="165" spans="1:79" ht="14.1" customHeight="1" x14ac:dyDescent="0.2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609</v>
      </c>
      <c r="F165" s="66">
        <v>3113</v>
      </c>
      <c r="G165" s="77" t="s">
        <v>291</v>
      </c>
      <c r="H165" s="67" t="s">
        <v>272</v>
      </c>
      <c r="I165" s="420">
        <v>819188</v>
      </c>
      <c r="J165" s="415">
        <v>607706</v>
      </c>
      <c r="K165" s="415">
        <v>607706</v>
      </c>
      <c r="L165" s="415">
        <v>0</v>
      </c>
      <c r="M165" s="415">
        <v>0</v>
      </c>
      <c r="N165" s="415">
        <v>0</v>
      </c>
      <c r="O165" s="415">
        <v>0</v>
      </c>
      <c r="P165" s="599">
        <v>205405</v>
      </c>
      <c r="Q165" s="599">
        <v>6077</v>
      </c>
      <c r="R165" s="415">
        <v>0</v>
      </c>
      <c r="S165" s="416">
        <v>1.6400000000000001</v>
      </c>
      <c r="T165" s="417">
        <v>1.6400000000000001</v>
      </c>
      <c r="U165" s="423">
        <v>0</v>
      </c>
      <c r="V165" s="424">
        <f t="shared" si="227"/>
        <v>0</v>
      </c>
      <c r="W165" s="418">
        <f t="shared" si="228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0</v>
      </c>
      <c r="AF165" s="418">
        <f t="shared" si="229"/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 t="shared" si="230"/>
        <v>0</v>
      </c>
      <c r="AM165" s="418">
        <f t="shared" si="231"/>
        <v>0</v>
      </c>
      <c r="AN165" s="418">
        <f t="shared" si="232"/>
        <v>0</v>
      </c>
      <c r="AO165" s="418">
        <f t="shared" si="233"/>
        <v>0</v>
      </c>
      <c r="AP165" s="418">
        <f t="shared" si="234"/>
        <v>0</v>
      </c>
      <c r="AQ165" s="418">
        <f t="shared" si="235"/>
        <v>0</v>
      </c>
      <c r="AR165" s="68">
        <f t="shared" si="236"/>
        <v>0</v>
      </c>
      <c r="AS165" s="68">
        <f t="shared" si="237"/>
        <v>0</v>
      </c>
      <c r="AT165" s="418">
        <v>1500</v>
      </c>
      <c r="AU165" s="418">
        <v>0</v>
      </c>
      <c r="AV165" s="418">
        <f t="shared" si="238"/>
        <v>1500</v>
      </c>
      <c r="AW165" s="418">
        <f t="shared" si="239"/>
        <v>1500</v>
      </c>
      <c r="AX165" s="419">
        <v>0</v>
      </c>
      <c r="AY165" s="419">
        <v>0</v>
      </c>
      <c r="AZ165" s="419">
        <v>0</v>
      </c>
      <c r="BA165" s="419">
        <v>0</v>
      </c>
      <c r="BB165" s="419">
        <v>0</v>
      </c>
      <c r="BC165" s="419">
        <v>0</v>
      </c>
      <c r="BD165" s="419">
        <v>0</v>
      </c>
      <c r="BE165" s="419">
        <v>0</v>
      </c>
      <c r="BF165" s="419">
        <f t="shared" si="240"/>
        <v>0</v>
      </c>
      <c r="BG165" s="419">
        <f t="shared" si="241"/>
        <v>0</v>
      </c>
      <c r="BH165" s="421">
        <f t="shared" si="242"/>
        <v>0</v>
      </c>
      <c r="BI165" s="780">
        <f>I165+AW165</f>
        <v>820688</v>
      </c>
      <c r="BJ165" s="418">
        <f>J165+AF165</f>
        <v>607706</v>
      </c>
      <c r="BK165" s="418">
        <f t="shared" si="263"/>
        <v>607706</v>
      </c>
      <c r="BL165" s="418">
        <f t="shared" si="263"/>
        <v>0</v>
      </c>
      <c r="BM165" s="418">
        <f>M165+AN165</f>
        <v>0</v>
      </c>
      <c r="BN165" s="418">
        <f t="shared" si="264"/>
        <v>0</v>
      </c>
      <c r="BO165" s="418">
        <f t="shared" si="264"/>
        <v>0</v>
      </c>
      <c r="BP165" s="418">
        <f t="shared" si="265"/>
        <v>205405</v>
      </c>
      <c r="BQ165" s="418">
        <f t="shared" si="265"/>
        <v>6077</v>
      </c>
      <c r="BR165" s="418">
        <f>R165+AV165</f>
        <v>1500</v>
      </c>
      <c r="BS165" s="419">
        <f>S165+BH165</f>
        <v>1.6400000000000001</v>
      </c>
      <c r="BT165" s="419">
        <f t="shared" si="266"/>
        <v>1.6400000000000001</v>
      </c>
      <c r="BU165" s="421">
        <f t="shared" si="266"/>
        <v>0</v>
      </c>
      <c r="BV165" s="420"/>
      <c r="BW165" s="415"/>
      <c r="BX165" s="415"/>
      <c r="BY165" s="415"/>
      <c r="BZ165" s="415"/>
      <c r="CA165" s="510"/>
    </row>
    <row r="166" spans="1:79" ht="14.1" customHeight="1" x14ac:dyDescent="0.2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609</v>
      </c>
      <c r="F166" s="66">
        <v>3141</v>
      </c>
      <c r="G166" s="77" t="s">
        <v>294</v>
      </c>
      <c r="H166" s="67" t="s">
        <v>272</v>
      </c>
      <c r="I166" s="420">
        <v>2304720</v>
      </c>
      <c r="J166" s="415">
        <v>1566313</v>
      </c>
      <c r="K166" s="415">
        <v>0</v>
      </c>
      <c r="L166" s="750">
        <v>1566313</v>
      </c>
      <c r="M166" s="415">
        <v>130000</v>
      </c>
      <c r="N166" s="204">
        <v>0</v>
      </c>
      <c r="O166" s="204">
        <v>130000</v>
      </c>
      <c r="P166" s="599">
        <v>573354</v>
      </c>
      <c r="Q166" s="599">
        <v>15663</v>
      </c>
      <c r="R166" s="605">
        <v>19390</v>
      </c>
      <c r="S166" s="416">
        <v>4.7866999999999997</v>
      </c>
      <c r="T166" s="607">
        <v>0</v>
      </c>
      <c r="U166" s="737">
        <v>4.7866999999999997</v>
      </c>
      <c r="V166" s="424">
        <f t="shared" si="227"/>
        <v>0</v>
      </c>
      <c r="W166" s="418">
        <f t="shared" si="228"/>
        <v>0</v>
      </c>
      <c r="X166" s="418">
        <v>0</v>
      </c>
      <c r="Y166" s="418">
        <v>0</v>
      </c>
      <c r="Z166" s="418">
        <v>0</v>
      </c>
      <c r="AA166" s="418">
        <v>847783</v>
      </c>
      <c r="AB166" s="418">
        <v>0</v>
      </c>
      <c r="AC166" s="418">
        <v>0</v>
      </c>
      <c r="AD166" s="418">
        <f>V166+X166+Y166+Z166+AB166</f>
        <v>0</v>
      </c>
      <c r="AE166" s="418">
        <f>W166+AA166+AC166</f>
        <v>847783</v>
      </c>
      <c r="AF166" s="418">
        <f t="shared" si="229"/>
        <v>847783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 t="shared" si="230"/>
        <v>0</v>
      </c>
      <c r="AM166" s="418">
        <f t="shared" si="231"/>
        <v>0</v>
      </c>
      <c r="AN166" s="418">
        <f t="shared" si="232"/>
        <v>0</v>
      </c>
      <c r="AO166" s="418">
        <f t="shared" si="233"/>
        <v>0</v>
      </c>
      <c r="AP166" s="418">
        <f t="shared" si="234"/>
        <v>847783</v>
      </c>
      <c r="AQ166" s="418">
        <f t="shared" si="235"/>
        <v>847783</v>
      </c>
      <c r="AR166" s="68">
        <f t="shared" si="236"/>
        <v>286551</v>
      </c>
      <c r="AS166" s="68">
        <f t="shared" si="237"/>
        <v>8478</v>
      </c>
      <c r="AT166" s="418">
        <v>0</v>
      </c>
      <c r="AU166" s="418">
        <v>9418</v>
      </c>
      <c r="AV166" s="418">
        <f t="shared" si="238"/>
        <v>9418</v>
      </c>
      <c r="AW166" s="418">
        <f t="shared" si="239"/>
        <v>1152230</v>
      </c>
      <c r="AX166" s="419">
        <v>0</v>
      </c>
      <c r="AY166" s="419">
        <v>0</v>
      </c>
      <c r="AZ166" s="419">
        <v>0</v>
      </c>
      <c r="BA166" s="419">
        <v>0</v>
      </c>
      <c r="BB166" s="419">
        <v>2.54</v>
      </c>
      <c r="BC166" s="419">
        <v>0</v>
      </c>
      <c r="BD166" s="419">
        <v>0</v>
      </c>
      <c r="BE166" s="419">
        <v>0</v>
      </c>
      <c r="BF166" s="419">
        <f t="shared" si="240"/>
        <v>0</v>
      </c>
      <c r="BG166" s="419">
        <f t="shared" si="241"/>
        <v>2.54</v>
      </c>
      <c r="BH166" s="421">
        <f t="shared" si="242"/>
        <v>2.54</v>
      </c>
      <c r="BI166" s="780">
        <f>I166+AW166</f>
        <v>3456950</v>
      </c>
      <c r="BJ166" s="418">
        <f>J166+AF166</f>
        <v>2414096</v>
      </c>
      <c r="BK166" s="418">
        <f t="shared" si="263"/>
        <v>0</v>
      </c>
      <c r="BL166" s="418">
        <f t="shared" si="263"/>
        <v>2414096</v>
      </c>
      <c r="BM166" s="418">
        <f>M166+AN166</f>
        <v>130000</v>
      </c>
      <c r="BN166" s="418">
        <f t="shared" si="264"/>
        <v>0</v>
      </c>
      <c r="BO166" s="418">
        <f t="shared" si="264"/>
        <v>130000</v>
      </c>
      <c r="BP166" s="418">
        <f t="shared" si="265"/>
        <v>859905</v>
      </c>
      <c r="BQ166" s="418">
        <f t="shared" si="265"/>
        <v>24141</v>
      </c>
      <c r="BR166" s="418">
        <f>R166+AV166</f>
        <v>28808</v>
      </c>
      <c r="BS166" s="419">
        <f>S166+BH166</f>
        <v>7.3266999999999998</v>
      </c>
      <c r="BT166" s="419">
        <f t="shared" si="266"/>
        <v>0</v>
      </c>
      <c r="BU166" s="421">
        <f t="shared" si="266"/>
        <v>7.3266999999999998</v>
      </c>
      <c r="BV166" s="420"/>
      <c r="BW166" s="415"/>
      <c r="BX166" s="415"/>
      <c r="BY166" s="415"/>
      <c r="BZ166" s="415"/>
      <c r="CA166" s="510"/>
    </row>
    <row r="167" spans="1:79" ht="14.1" customHeight="1" x14ac:dyDescent="0.2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609</v>
      </c>
      <c r="F167" s="66">
        <v>3143</v>
      </c>
      <c r="G167" s="77" t="s">
        <v>595</v>
      </c>
      <c r="H167" s="67" t="s">
        <v>271</v>
      </c>
      <c r="I167" s="420">
        <v>6586866</v>
      </c>
      <c r="J167" s="415">
        <v>4856622</v>
      </c>
      <c r="K167" s="415">
        <v>4856622</v>
      </c>
      <c r="L167" s="415">
        <v>0</v>
      </c>
      <c r="M167" s="415">
        <v>30000</v>
      </c>
      <c r="N167" s="415">
        <v>30000</v>
      </c>
      <c r="O167" s="415">
        <v>0</v>
      </c>
      <c r="P167" s="599">
        <v>1651678</v>
      </c>
      <c r="Q167" s="599">
        <v>48566</v>
      </c>
      <c r="R167" s="415">
        <v>0</v>
      </c>
      <c r="S167" s="416">
        <v>9.8946000000000005</v>
      </c>
      <c r="T167" s="416">
        <v>9.8946000000000005</v>
      </c>
      <c r="U167" s="423">
        <v>0</v>
      </c>
      <c r="V167" s="424">
        <f t="shared" si="227"/>
        <v>0</v>
      </c>
      <c r="W167" s="418">
        <f t="shared" si="228"/>
        <v>0</v>
      </c>
      <c r="X167" s="418">
        <v>0</v>
      </c>
      <c r="Y167" s="418">
        <v>0</v>
      </c>
      <c r="Z167" s="418">
        <v>0</v>
      </c>
      <c r="AA167" s="418">
        <v>0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0</v>
      </c>
      <c r="AF167" s="418">
        <f t="shared" si="229"/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 t="shared" si="230"/>
        <v>0</v>
      </c>
      <c r="AM167" s="418">
        <f t="shared" si="231"/>
        <v>0</v>
      </c>
      <c r="AN167" s="418">
        <f t="shared" si="232"/>
        <v>0</v>
      </c>
      <c r="AO167" s="418">
        <f t="shared" si="233"/>
        <v>0</v>
      </c>
      <c r="AP167" s="418">
        <f t="shared" si="234"/>
        <v>0</v>
      </c>
      <c r="AQ167" s="418">
        <f t="shared" si="235"/>
        <v>0</v>
      </c>
      <c r="AR167" s="68">
        <f t="shared" si="236"/>
        <v>0</v>
      </c>
      <c r="AS167" s="68">
        <f t="shared" si="237"/>
        <v>0</v>
      </c>
      <c r="AT167" s="418">
        <v>0</v>
      </c>
      <c r="AU167" s="418">
        <v>0</v>
      </c>
      <c r="AV167" s="418">
        <f t="shared" si="238"/>
        <v>0</v>
      </c>
      <c r="AW167" s="418">
        <f t="shared" si="239"/>
        <v>0</v>
      </c>
      <c r="AX167" s="419">
        <v>0</v>
      </c>
      <c r="AY167" s="419">
        <v>0</v>
      </c>
      <c r="AZ167" s="419">
        <v>0</v>
      </c>
      <c r="BA167" s="419">
        <v>0</v>
      </c>
      <c r="BB167" s="419">
        <v>0</v>
      </c>
      <c r="BC167" s="419">
        <v>0</v>
      </c>
      <c r="BD167" s="419">
        <v>0</v>
      </c>
      <c r="BE167" s="419">
        <v>0</v>
      </c>
      <c r="BF167" s="419">
        <f t="shared" si="240"/>
        <v>0</v>
      </c>
      <c r="BG167" s="419">
        <f t="shared" si="241"/>
        <v>0</v>
      </c>
      <c r="BH167" s="421">
        <f t="shared" si="242"/>
        <v>0</v>
      </c>
      <c r="BI167" s="780">
        <f>I167+AW167</f>
        <v>6586866</v>
      </c>
      <c r="BJ167" s="418">
        <f>J167+AF167</f>
        <v>4856622</v>
      </c>
      <c r="BK167" s="418">
        <f t="shared" si="263"/>
        <v>4856622</v>
      </c>
      <c r="BL167" s="418">
        <f t="shared" si="263"/>
        <v>0</v>
      </c>
      <c r="BM167" s="418">
        <f>M167+AN167</f>
        <v>30000</v>
      </c>
      <c r="BN167" s="418">
        <f t="shared" si="264"/>
        <v>30000</v>
      </c>
      <c r="BO167" s="418">
        <f t="shared" si="264"/>
        <v>0</v>
      </c>
      <c r="BP167" s="418">
        <f t="shared" si="265"/>
        <v>1651678</v>
      </c>
      <c r="BQ167" s="418">
        <f t="shared" si="265"/>
        <v>48566</v>
      </c>
      <c r="BR167" s="418">
        <f>R167+AV167</f>
        <v>0</v>
      </c>
      <c r="BS167" s="419">
        <f>S167+BH167</f>
        <v>9.8946000000000005</v>
      </c>
      <c r="BT167" s="419">
        <f t="shared" si="266"/>
        <v>9.8946000000000005</v>
      </c>
      <c r="BU167" s="421">
        <f t="shared" si="266"/>
        <v>0</v>
      </c>
      <c r="BV167" s="420"/>
      <c r="BW167" s="415"/>
      <c r="BX167" s="415"/>
      <c r="BY167" s="415"/>
      <c r="BZ167" s="415"/>
      <c r="CA167" s="510"/>
    </row>
    <row r="168" spans="1:79" ht="14.1" customHeight="1" x14ac:dyDescent="0.2">
      <c r="A168" s="66">
        <v>37</v>
      </c>
      <c r="B168" s="63">
        <v>2470</v>
      </c>
      <c r="C168" s="64">
        <v>600080013</v>
      </c>
      <c r="D168" s="63">
        <v>72741554</v>
      </c>
      <c r="E168" s="65" t="s">
        <v>609</v>
      </c>
      <c r="F168" s="66">
        <v>3143</v>
      </c>
      <c r="G168" s="77" t="s">
        <v>596</v>
      </c>
      <c r="H168" s="67" t="s">
        <v>272</v>
      </c>
      <c r="I168" s="420">
        <v>140377</v>
      </c>
      <c r="J168" s="415">
        <v>100478</v>
      </c>
      <c r="K168" s="415">
        <v>0</v>
      </c>
      <c r="L168" s="605">
        <v>100478</v>
      </c>
      <c r="M168" s="415">
        <v>0</v>
      </c>
      <c r="N168" s="415">
        <v>0</v>
      </c>
      <c r="O168" s="415">
        <v>0</v>
      </c>
      <c r="P168" s="599">
        <v>33962</v>
      </c>
      <c r="Q168" s="599">
        <v>1005</v>
      </c>
      <c r="R168" s="606">
        <v>4932</v>
      </c>
      <c r="S168" s="416">
        <v>0.38059999999999999</v>
      </c>
      <c r="T168" s="609">
        <v>0</v>
      </c>
      <c r="U168" s="737">
        <v>0.38059999999999999</v>
      </c>
      <c r="V168" s="424">
        <f t="shared" si="227"/>
        <v>0</v>
      </c>
      <c r="W168" s="418">
        <f t="shared" si="228"/>
        <v>0</v>
      </c>
      <c r="X168" s="418">
        <v>0</v>
      </c>
      <c r="Y168" s="418">
        <v>0</v>
      </c>
      <c r="Z168" s="418">
        <v>0</v>
      </c>
      <c r="AA168" s="418">
        <v>50222</v>
      </c>
      <c r="AB168" s="418">
        <v>0</v>
      </c>
      <c r="AC168" s="418">
        <v>0</v>
      </c>
      <c r="AD168" s="418">
        <f>V168+X168+Y168+Z168+AB168</f>
        <v>0</v>
      </c>
      <c r="AE168" s="418">
        <f>W168+AA168+AC168</f>
        <v>50222</v>
      </c>
      <c r="AF168" s="418">
        <f t="shared" si="229"/>
        <v>50222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 t="shared" si="230"/>
        <v>0</v>
      </c>
      <c r="AM168" s="418">
        <f t="shared" si="231"/>
        <v>0</v>
      </c>
      <c r="AN168" s="418">
        <f t="shared" si="232"/>
        <v>0</v>
      </c>
      <c r="AO168" s="418">
        <f t="shared" si="233"/>
        <v>0</v>
      </c>
      <c r="AP168" s="418">
        <f t="shared" si="234"/>
        <v>50222</v>
      </c>
      <c r="AQ168" s="418">
        <f t="shared" si="235"/>
        <v>50222</v>
      </c>
      <c r="AR168" s="68">
        <f t="shared" si="236"/>
        <v>16975</v>
      </c>
      <c r="AS168" s="68">
        <f t="shared" si="237"/>
        <v>502</v>
      </c>
      <c r="AT168" s="418">
        <v>0</v>
      </c>
      <c r="AU168" s="418">
        <v>2466</v>
      </c>
      <c r="AV168" s="418">
        <f t="shared" si="238"/>
        <v>2466</v>
      </c>
      <c r="AW168" s="418">
        <f t="shared" si="239"/>
        <v>70165</v>
      </c>
      <c r="AX168" s="419">
        <v>0</v>
      </c>
      <c r="AY168" s="419">
        <v>0</v>
      </c>
      <c r="AZ168" s="419">
        <v>0</v>
      </c>
      <c r="BA168" s="419">
        <v>0</v>
      </c>
      <c r="BB168" s="419">
        <v>0.19</v>
      </c>
      <c r="BC168" s="419">
        <v>0</v>
      </c>
      <c r="BD168" s="419">
        <v>0</v>
      </c>
      <c r="BE168" s="419">
        <v>0</v>
      </c>
      <c r="BF168" s="419">
        <f t="shared" si="240"/>
        <v>0</v>
      </c>
      <c r="BG168" s="419">
        <f t="shared" si="241"/>
        <v>0.19</v>
      </c>
      <c r="BH168" s="421">
        <f t="shared" si="242"/>
        <v>0.19</v>
      </c>
      <c r="BI168" s="780">
        <f>I168+AW168</f>
        <v>210542</v>
      </c>
      <c r="BJ168" s="418">
        <f>J168+AF168</f>
        <v>150700</v>
      </c>
      <c r="BK168" s="418">
        <f t="shared" si="263"/>
        <v>0</v>
      </c>
      <c r="BL168" s="418">
        <f t="shared" si="263"/>
        <v>150700</v>
      </c>
      <c r="BM168" s="418">
        <f>M168+AN168</f>
        <v>0</v>
      </c>
      <c r="BN168" s="418">
        <f t="shared" si="264"/>
        <v>0</v>
      </c>
      <c r="BO168" s="418">
        <f t="shared" si="264"/>
        <v>0</v>
      </c>
      <c r="BP168" s="418">
        <f t="shared" si="265"/>
        <v>50937</v>
      </c>
      <c r="BQ168" s="418">
        <f t="shared" si="265"/>
        <v>1507</v>
      </c>
      <c r="BR168" s="418">
        <f>R168+AV168</f>
        <v>7398</v>
      </c>
      <c r="BS168" s="419">
        <f>S168+BH168</f>
        <v>0.5706</v>
      </c>
      <c r="BT168" s="419">
        <f t="shared" si="266"/>
        <v>0</v>
      </c>
      <c r="BU168" s="421">
        <f t="shared" si="266"/>
        <v>0.5706</v>
      </c>
      <c r="BV168" s="420"/>
      <c r="BW168" s="415"/>
      <c r="BX168" s="415"/>
      <c r="BY168" s="415"/>
      <c r="BZ168" s="415"/>
      <c r="CA168" s="510"/>
    </row>
    <row r="169" spans="1:79" ht="14.1" customHeight="1" x14ac:dyDescent="0.2">
      <c r="A169" s="72">
        <v>37</v>
      </c>
      <c r="B169" s="69">
        <v>2470</v>
      </c>
      <c r="C169" s="70">
        <v>600080013</v>
      </c>
      <c r="D169" s="69">
        <v>72741554</v>
      </c>
      <c r="E169" s="71" t="s">
        <v>610</v>
      </c>
      <c r="F169" s="72"/>
      <c r="G169" s="71"/>
      <c r="H169" s="73"/>
      <c r="I169" s="517">
        <v>50961939</v>
      </c>
      <c r="J169" s="74">
        <v>36990437</v>
      </c>
      <c r="K169" s="74">
        <v>33803202</v>
      </c>
      <c r="L169" s="74">
        <v>3187235</v>
      </c>
      <c r="M169" s="74">
        <v>400000</v>
      </c>
      <c r="N169" s="74">
        <v>170000</v>
      </c>
      <c r="O169" s="74">
        <v>230000</v>
      </c>
      <c r="P169" s="74">
        <v>12637968</v>
      </c>
      <c r="Q169" s="74">
        <v>369905</v>
      </c>
      <c r="R169" s="74">
        <v>563629</v>
      </c>
      <c r="S169" s="75">
        <v>57.806600000000003</v>
      </c>
      <c r="T169" s="75">
        <v>48.039299999999997</v>
      </c>
      <c r="U169" s="658">
        <v>9.7672999999999988</v>
      </c>
      <c r="V169" s="517">
        <f t="shared" ref="V169:BU169" si="267">SUM(V164:V168)</f>
        <v>0</v>
      </c>
      <c r="W169" s="74">
        <f t="shared" si="267"/>
        <v>0</v>
      </c>
      <c r="X169" s="74">
        <f t="shared" si="267"/>
        <v>0</v>
      </c>
      <c r="Y169" s="74">
        <f t="shared" si="267"/>
        <v>0</v>
      </c>
      <c r="Z169" s="74">
        <f t="shared" si="267"/>
        <v>0</v>
      </c>
      <c r="AA169" s="74">
        <f t="shared" si="267"/>
        <v>898005</v>
      </c>
      <c r="AB169" s="74">
        <f t="shared" si="267"/>
        <v>0</v>
      </c>
      <c r="AC169" s="74">
        <f t="shared" si="267"/>
        <v>0</v>
      </c>
      <c r="AD169" s="74">
        <f t="shared" si="267"/>
        <v>0</v>
      </c>
      <c r="AE169" s="74">
        <f t="shared" si="267"/>
        <v>898005</v>
      </c>
      <c r="AF169" s="74">
        <f t="shared" si="267"/>
        <v>898005</v>
      </c>
      <c r="AG169" s="74">
        <f t="shared" si="267"/>
        <v>0</v>
      </c>
      <c r="AH169" s="74">
        <f t="shared" si="267"/>
        <v>0</v>
      </c>
      <c r="AI169" s="74">
        <f t="shared" si="267"/>
        <v>0</v>
      </c>
      <c r="AJ169" s="74">
        <f t="shared" si="267"/>
        <v>0</v>
      </c>
      <c r="AK169" s="74">
        <f t="shared" si="267"/>
        <v>0</v>
      </c>
      <c r="AL169" s="74">
        <f t="shared" si="267"/>
        <v>0</v>
      </c>
      <c r="AM169" s="74">
        <f t="shared" si="267"/>
        <v>0</v>
      </c>
      <c r="AN169" s="74">
        <f t="shared" si="267"/>
        <v>0</v>
      </c>
      <c r="AO169" s="74">
        <f t="shared" si="267"/>
        <v>0</v>
      </c>
      <c r="AP169" s="74">
        <f t="shared" si="267"/>
        <v>898005</v>
      </c>
      <c r="AQ169" s="74">
        <f t="shared" si="267"/>
        <v>898005</v>
      </c>
      <c r="AR169" s="74">
        <f t="shared" si="267"/>
        <v>303526</v>
      </c>
      <c r="AS169" s="74">
        <f t="shared" si="267"/>
        <v>8980</v>
      </c>
      <c r="AT169" s="74">
        <f t="shared" si="267"/>
        <v>1500</v>
      </c>
      <c r="AU169" s="74">
        <f t="shared" si="267"/>
        <v>11884</v>
      </c>
      <c r="AV169" s="74">
        <f t="shared" si="267"/>
        <v>13384</v>
      </c>
      <c r="AW169" s="74">
        <f t="shared" si="267"/>
        <v>1223895</v>
      </c>
      <c r="AX169" s="75">
        <f t="shared" si="267"/>
        <v>0</v>
      </c>
      <c r="AY169" s="75">
        <f t="shared" si="267"/>
        <v>0</v>
      </c>
      <c r="AZ169" s="75">
        <f t="shared" si="267"/>
        <v>0</v>
      </c>
      <c r="BA169" s="75">
        <f t="shared" si="267"/>
        <v>0</v>
      </c>
      <c r="BB169" s="75">
        <f t="shared" si="267"/>
        <v>2.73</v>
      </c>
      <c r="BC169" s="75">
        <f t="shared" si="267"/>
        <v>0</v>
      </c>
      <c r="BD169" s="75">
        <f t="shared" si="267"/>
        <v>0</v>
      </c>
      <c r="BE169" s="75">
        <f t="shared" si="267"/>
        <v>0</v>
      </c>
      <c r="BF169" s="75">
        <f t="shared" si="267"/>
        <v>0</v>
      </c>
      <c r="BG169" s="75">
        <f t="shared" si="267"/>
        <v>2.73</v>
      </c>
      <c r="BH169" s="76">
        <f t="shared" si="267"/>
        <v>2.73</v>
      </c>
      <c r="BI169" s="799">
        <f t="shared" si="267"/>
        <v>52185834</v>
      </c>
      <c r="BJ169" s="74">
        <f t="shared" si="267"/>
        <v>37888442</v>
      </c>
      <c r="BK169" s="74">
        <f t="shared" si="267"/>
        <v>33803202</v>
      </c>
      <c r="BL169" s="74">
        <f t="shared" si="267"/>
        <v>4085240</v>
      </c>
      <c r="BM169" s="74">
        <f t="shared" si="267"/>
        <v>400000</v>
      </c>
      <c r="BN169" s="74">
        <f t="shared" si="267"/>
        <v>170000</v>
      </c>
      <c r="BO169" s="74">
        <f t="shared" si="267"/>
        <v>230000</v>
      </c>
      <c r="BP169" s="74">
        <f t="shared" si="267"/>
        <v>12941494</v>
      </c>
      <c r="BQ169" s="74">
        <f t="shared" si="267"/>
        <v>378885</v>
      </c>
      <c r="BR169" s="74">
        <f t="shared" si="267"/>
        <v>577013</v>
      </c>
      <c r="BS169" s="75">
        <f t="shared" si="267"/>
        <v>60.536600000000007</v>
      </c>
      <c r="BT169" s="75">
        <f t="shared" si="267"/>
        <v>48.039299999999997</v>
      </c>
      <c r="BU169" s="76">
        <f t="shared" si="267"/>
        <v>12.497300000000001</v>
      </c>
      <c r="BV169" s="809">
        <f t="shared" ref="BV169:CA169" si="268">SUM(BV164:BV168)</f>
        <v>760272</v>
      </c>
      <c r="BW169" s="684">
        <f t="shared" si="268"/>
        <v>564000</v>
      </c>
      <c r="BX169" s="684">
        <f t="shared" si="268"/>
        <v>0</v>
      </c>
      <c r="BY169" s="684">
        <f t="shared" si="268"/>
        <v>190632</v>
      </c>
      <c r="BZ169" s="684">
        <f t="shared" si="268"/>
        <v>5640</v>
      </c>
      <c r="CA169" s="810">
        <f t="shared" si="268"/>
        <v>1</v>
      </c>
    </row>
    <row r="170" spans="1:79" ht="14.1" customHeight="1" x14ac:dyDescent="0.2">
      <c r="A170" s="66">
        <v>38</v>
      </c>
      <c r="B170" s="63">
        <v>2307</v>
      </c>
      <c r="C170" s="64">
        <v>600079911</v>
      </c>
      <c r="D170" s="63">
        <v>72743212</v>
      </c>
      <c r="E170" s="65" t="s">
        <v>611</v>
      </c>
      <c r="F170" s="66">
        <v>3113</v>
      </c>
      <c r="G170" s="65" t="s">
        <v>293</v>
      </c>
      <c r="H170" s="67" t="s">
        <v>271</v>
      </c>
      <c r="I170" s="420">
        <v>42862564</v>
      </c>
      <c r="J170" s="415">
        <v>31117185</v>
      </c>
      <c r="K170" s="415">
        <v>29061116</v>
      </c>
      <c r="L170" s="415">
        <v>2056069</v>
      </c>
      <c r="M170" s="415">
        <v>203000</v>
      </c>
      <c r="N170" s="415">
        <v>171000</v>
      </c>
      <c r="O170" s="415">
        <v>32000</v>
      </c>
      <c r="P170" s="599">
        <v>10586222</v>
      </c>
      <c r="Q170" s="599">
        <v>311171</v>
      </c>
      <c r="R170" s="415">
        <v>644986</v>
      </c>
      <c r="S170" s="416">
        <v>47.1143</v>
      </c>
      <c r="T170" s="416">
        <v>40.774300000000004</v>
      </c>
      <c r="U170" s="423">
        <v>6.34</v>
      </c>
      <c r="V170" s="424">
        <f t="shared" si="227"/>
        <v>0</v>
      </c>
      <c r="W170" s="418">
        <f t="shared" si="228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>V170+X170+Y170+Z170+AB170</f>
        <v>0</v>
      </c>
      <c r="AE170" s="418">
        <f>W170+AA170+AC170</f>
        <v>0</v>
      </c>
      <c r="AF170" s="418">
        <f t="shared" si="229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230"/>
        <v>0</v>
      </c>
      <c r="AM170" s="418">
        <f t="shared" si="231"/>
        <v>0</v>
      </c>
      <c r="AN170" s="418">
        <f t="shared" si="232"/>
        <v>0</v>
      </c>
      <c r="AO170" s="418">
        <f t="shared" si="233"/>
        <v>0</v>
      </c>
      <c r="AP170" s="418">
        <f t="shared" si="234"/>
        <v>0</v>
      </c>
      <c r="AQ170" s="418">
        <f t="shared" si="235"/>
        <v>0</v>
      </c>
      <c r="AR170" s="68">
        <f t="shared" si="236"/>
        <v>0</v>
      </c>
      <c r="AS170" s="68">
        <f t="shared" si="237"/>
        <v>0</v>
      </c>
      <c r="AT170" s="418">
        <v>0</v>
      </c>
      <c r="AU170" s="418">
        <v>0</v>
      </c>
      <c r="AV170" s="418">
        <f t="shared" si="238"/>
        <v>0</v>
      </c>
      <c r="AW170" s="418">
        <f t="shared" si="239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9">
        <v>0</v>
      </c>
      <c r="BC170" s="419">
        <v>0</v>
      </c>
      <c r="BD170" s="419">
        <v>0</v>
      </c>
      <c r="BE170" s="419">
        <v>0</v>
      </c>
      <c r="BF170" s="419">
        <f t="shared" si="240"/>
        <v>0</v>
      </c>
      <c r="BG170" s="419">
        <f t="shared" si="241"/>
        <v>0</v>
      </c>
      <c r="BH170" s="421">
        <f t="shared" si="242"/>
        <v>0</v>
      </c>
      <c r="BI170" s="780">
        <f>I170+AW170</f>
        <v>42862564</v>
      </c>
      <c r="BJ170" s="418">
        <f>J170+AF170</f>
        <v>31117185</v>
      </c>
      <c r="BK170" s="418">
        <f t="shared" ref="BK170:BL174" si="269">K170+AD170</f>
        <v>29061116</v>
      </c>
      <c r="BL170" s="418">
        <f t="shared" si="269"/>
        <v>2056069</v>
      </c>
      <c r="BM170" s="418">
        <f>M170+AN170</f>
        <v>203000</v>
      </c>
      <c r="BN170" s="418">
        <f t="shared" ref="BN170:BO174" si="270">N170+AL170</f>
        <v>171000</v>
      </c>
      <c r="BO170" s="418">
        <f t="shared" si="270"/>
        <v>32000</v>
      </c>
      <c r="BP170" s="418">
        <f t="shared" ref="BP170:BQ174" si="271">P170+AR170</f>
        <v>10586222</v>
      </c>
      <c r="BQ170" s="418">
        <f t="shared" si="271"/>
        <v>311171</v>
      </c>
      <c r="BR170" s="418">
        <f>R170+AV170</f>
        <v>644986</v>
      </c>
      <c r="BS170" s="419">
        <f>S170+BH170</f>
        <v>47.1143</v>
      </c>
      <c r="BT170" s="419">
        <f t="shared" ref="BT170:BU174" si="272">T170+BF170</f>
        <v>40.774300000000004</v>
      </c>
      <c r="BU170" s="421">
        <f t="shared" si="272"/>
        <v>6.34</v>
      </c>
      <c r="BV170" s="420">
        <v>304109</v>
      </c>
      <c r="BW170" s="415">
        <v>225600</v>
      </c>
      <c r="BX170" s="415">
        <v>0</v>
      </c>
      <c r="BY170" s="415">
        <v>76253</v>
      </c>
      <c r="BZ170" s="415">
        <v>2256</v>
      </c>
      <c r="CA170" s="510">
        <v>0.4</v>
      </c>
    </row>
    <row r="171" spans="1:79" ht="14.1" customHeight="1" x14ac:dyDescent="0.2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611</v>
      </c>
      <c r="F171" s="66">
        <v>3113</v>
      </c>
      <c r="G171" s="77" t="s">
        <v>291</v>
      </c>
      <c r="H171" s="67" t="s">
        <v>272</v>
      </c>
      <c r="I171" s="420">
        <v>2999542</v>
      </c>
      <c r="J171" s="415">
        <v>2224809</v>
      </c>
      <c r="K171" s="415">
        <v>2224809</v>
      </c>
      <c r="L171" s="415">
        <v>0</v>
      </c>
      <c r="M171" s="415">
        <v>0</v>
      </c>
      <c r="N171" s="415">
        <v>0</v>
      </c>
      <c r="O171" s="415">
        <v>0</v>
      </c>
      <c r="P171" s="599">
        <v>751985</v>
      </c>
      <c r="Q171" s="599">
        <v>22248</v>
      </c>
      <c r="R171" s="415">
        <v>500</v>
      </c>
      <c r="S171" s="416">
        <v>6</v>
      </c>
      <c r="T171" s="417">
        <v>6</v>
      </c>
      <c r="U171" s="423">
        <v>0</v>
      </c>
      <c r="V171" s="424">
        <f t="shared" si="227"/>
        <v>0</v>
      </c>
      <c r="W171" s="418">
        <f t="shared" si="228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>V171+X171+Y171+Z171+AB171</f>
        <v>0</v>
      </c>
      <c r="AE171" s="418">
        <f>W171+AA171+AC171</f>
        <v>0</v>
      </c>
      <c r="AF171" s="418">
        <f t="shared" si="229"/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 t="shared" si="230"/>
        <v>0</v>
      </c>
      <c r="AM171" s="418">
        <f t="shared" si="231"/>
        <v>0</v>
      </c>
      <c r="AN171" s="418">
        <f t="shared" si="232"/>
        <v>0</v>
      </c>
      <c r="AO171" s="418">
        <f t="shared" si="233"/>
        <v>0</v>
      </c>
      <c r="AP171" s="418">
        <f t="shared" si="234"/>
        <v>0</v>
      </c>
      <c r="AQ171" s="418">
        <f t="shared" si="235"/>
        <v>0</v>
      </c>
      <c r="AR171" s="68">
        <f t="shared" si="236"/>
        <v>0</v>
      </c>
      <c r="AS171" s="68">
        <f t="shared" si="237"/>
        <v>0</v>
      </c>
      <c r="AT171" s="418">
        <v>0</v>
      </c>
      <c r="AU171" s="418">
        <v>0</v>
      </c>
      <c r="AV171" s="418">
        <f t="shared" si="238"/>
        <v>0</v>
      </c>
      <c r="AW171" s="418">
        <f t="shared" si="239"/>
        <v>0</v>
      </c>
      <c r="AX171" s="419">
        <v>0</v>
      </c>
      <c r="AY171" s="419">
        <v>0</v>
      </c>
      <c r="AZ171" s="419">
        <v>0</v>
      </c>
      <c r="BA171" s="419">
        <v>0</v>
      </c>
      <c r="BB171" s="419">
        <v>0</v>
      </c>
      <c r="BC171" s="419">
        <v>0</v>
      </c>
      <c r="BD171" s="419">
        <v>0</v>
      </c>
      <c r="BE171" s="419">
        <v>0</v>
      </c>
      <c r="BF171" s="419">
        <f t="shared" si="240"/>
        <v>0</v>
      </c>
      <c r="BG171" s="419">
        <f t="shared" si="241"/>
        <v>0</v>
      </c>
      <c r="BH171" s="421">
        <f t="shared" si="242"/>
        <v>0</v>
      </c>
      <c r="BI171" s="780">
        <f>I171+AW171</f>
        <v>2999542</v>
      </c>
      <c r="BJ171" s="418">
        <f>J171+AF171</f>
        <v>2224809</v>
      </c>
      <c r="BK171" s="418">
        <f t="shared" si="269"/>
        <v>2224809</v>
      </c>
      <c r="BL171" s="418">
        <f t="shared" si="269"/>
        <v>0</v>
      </c>
      <c r="BM171" s="418">
        <f>M171+AN171</f>
        <v>0</v>
      </c>
      <c r="BN171" s="418">
        <f t="shared" si="270"/>
        <v>0</v>
      </c>
      <c r="BO171" s="418">
        <f t="shared" si="270"/>
        <v>0</v>
      </c>
      <c r="BP171" s="418">
        <f t="shared" si="271"/>
        <v>751985</v>
      </c>
      <c r="BQ171" s="418">
        <f t="shared" si="271"/>
        <v>22248</v>
      </c>
      <c r="BR171" s="418">
        <f>R171+AV171</f>
        <v>500</v>
      </c>
      <c r="BS171" s="419">
        <f>S171+BH171</f>
        <v>6</v>
      </c>
      <c r="BT171" s="419">
        <f t="shared" si="272"/>
        <v>6</v>
      </c>
      <c r="BU171" s="421">
        <f t="shared" si="272"/>
        <v>0</v>
      </c>
      <c r="BV171" s="420"/>
      <c r="BW171" s="415"/>
      <c r="BX171" s="415"/>
      <c r="BY171" s="415"/>
      <c r="BZ171" s="415"/>
      <c r="CA171" s="510"/>
    </row>
    <row r="172" spans="1:79" ht="14.1" customHeight="1" x14ac:dyDescent="0.2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611</v>
      </c>
      <c r="F172" s="66">
        <v>3143</v>
      </c>
      <c r="G172" s="77" t="s">
        <v>595</v>
      </c>
      <c r="H172" s="67" t="s">
        <v>271</v>
      </c>
      <c r="I172" s="420">
        <v>3848249</v>
      </c>
      <c r="J172" s="415">
        <v>2854784</v>
      </c>
      <c r="K172" s="415">
        <v>2854784</v>
      </c>
      <c r="L172" s="415">
        <v>0</v>
      </c>
      <c r="M172" s="415">
        <v>0</v>
      </c>
      <c r="N172" s="415">
        <v>0</v>
      </c>
      <c r="O172" s="415">
        <v>0</v>
      </c>
      <c r="P172" s="599">
        <v>964917</v>
      </c>
      <c r="Q172" s="599">
        <v>28548</v>
      </c>
      <c r="R172" s="415">
        <v>0</v>
      </c>
      <c r="S172" s="416">
        <v>5.4107000000000003</v>
      </c>
      <c r="T172" s="416">
        <v>5.4107000000000003</v>
      </c>
      <c r="U172" s="423">
        <v>0</v>
      </c>
      <c r="V172" s="424">
        <f t="shared" si="227"/>
        <v>0</v>
      </c>
      <c r="W172" s="418">
        <f t="shared" si="228"/>
        <v>0</v>
      </c>
      <c r="X172" s="418">
        <v>0</v>
      </c>
      <c r="Y172" s="418">
        <v>0</v>
      </c>
      <c r="Z172" s="418">
        <v>0</v>
      </c>
      <c r="AA172" s="418">
        <v>0</v>
      </c>
      <c r="AB172" s="418">
        <v>0</v>
      </c>
      <c r="AC172" s="418">
        <v>0</v>
      </c>
      <c r="AD172" s="418">
        <f>V172+X172+Y172+Z172+AB172</f>
        <v>0</v>
      </c>
      <c r="AE172" s="418">
        <f>W172+AA172+AC172</f>
        <v>0</v>
      </c>
      <c r="AF172" s="418">
        <f t="shared" si="229"/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si="230"/>
        <v>0</v>
      </c>
      <c r="AM172" s="418">
        <f t="shared" si="231"/>
        <v>0</v>
      </c>
      <c r="AN172" s="418">
        <f t="shared" si="232"/>
        <v>0</v>
      </c>
      <c r="AO172" s="418">
        <f t="shared" si="233"/>
        <v>0</v>
      </c>
      <c r="AP172" s="418">
        <f t="shared" si="234"/>
        <v>0</v>
      </c>
      <c r="AQ172" s="418">
        <f t="shared" si="235"/>
        <v>0</v>
      </c>
      <c r="AR172" s="68">
        <f t="shared" si="236"/>
        <v>0</v>
      </c>
      <c r="AS172" s="68">
        <f t="shared" si="237"/>
        <v>0</v>
      </c>
      <c r="AT172" s="418">
        <v>0</v>
      </c>
      <c r="AU172" s="418">
        <v>0</v>
      </c>
      <c r="AV172" s="418">
        <f t="shared" si="238"/>
        <v>0</v>
      </c>
      <c r="AW172" s="418">
        <f t="shared" si="239"/>
        <v>0</v>
      </c>
      <c r="AX172" s="419">
        <v>0</v>
      </c>
      <c r="AY172" s="419">
        <v>0</v>
      </c>
      <c r="AZ172" s="419">
        <v>0</v>
      </c>
      <c r="BA172" s="419">
        <v>0</v>
      </c>
      <c r="BB172" s="419">
        <v>0</v>
      </c>
      <c r="BC172" s="419">
        <v>0</v>
      </c>
      <c r="BD172" s="419">
        <v>0</v>
      </c>
      <c r="BE172" s="419">
        <v>0</v>
      </c>
      <c r="BF172" s="419">
        <f t="shared" si="240"/>
        <v>0</v>
      </c>
      <c r="BG172" s="419">
        <f t="shared" si="241"/>
        <v>0</v>
      </c>
      <c r="BH172" s="421">
        <f t="shared" si="242"/>
        <v>0</v>
      </c>
      <c r="BI172" s="780">
        <f>I172+AW172</f>
        <v>3848249</v>
      </c>
      <c r="BJ172" s="418">
        <f>J172+AF172</f>
        <v>2854784</v>
      </c>
      <c r="BK172" s="418">
        <f t="shared" si="269"/>
        <v>2854784</v>
      </c>
      <c r="BL172" s="418">
        <f t="shared" si="269"/>
        <v>0</v>
      </c>
      <c r="BM172" s="418">
        <f>M172+AN172</f>
        <v>0</v>
      </c>
      <c r="BN172" s="418">
        <f t="shared" si="270"/>
        <v>0</v>
      </c>
      <c r="BO172" s="418">
        <f t="shared" si="270"/>
        <v>0</v>
      </c>
      <c r="BP172" s="418">
        <f t="shared" si="271"/>
        <v>964917</v>
      </c>
      <c r="BQ172" s="418">
        <f t="shared" si="271"/>
        <v>28548</v>
      </c>
      <c r="BR172" s="418">
        <f>R172+AV172</f>
        <v>0</v>
      </c>
      <c r="BS172" s="419">
        <f>S172+BH172</f>
        <v>5.4107000000000003</v>
      </c>
      <c r="BT172" s="419">
        <f t="shared" si="272"/>
        <v>5.4107000000000003</v>
      </c>
      <c r="BU172" s="421">
        <f t="shared" si="272"/>
        <v>0</v>
      </c>
      <c r="BV172" s="420"/>
      <c r="BW172" s="415"/>
      <c r="BX172" s="415"/>
      <c r="BY172" s="415"/>
      <c r="BZ172" s="415"/>
      <c r="CA172" s="510"/>
    </row>
    <row r="173" spans="1:79" ht="14.1" customHeight="1" x14ac:dyDescent="0.2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611</v>
      </c>
      <c r="F173" s="66">
        <v>3143</v>
      </c>
      <c r="G173" s="77" t="s">
        <v>596</v>
      </c>
      <c r="H173" s="67" t="s">
        <v>272</v>
      </c>
      <c r="I173" s="420">
        <v>92208</v>
      </c>
      <c r="J173" s="415">
        <v>66000</v>
      </c>
      <c r="K173" s="415">
        <v>0</v>
      </c>
      <c r="L173" s="605">
        <v>66000</v>
      </c>
      <c r="M173" s="415">
        <v>0</v>
      </c>
      <c r="N173" s="415">
        <v>0</v>
      </c>
      <c r="O173" s="415">
        <v>0</v>
      </c>
      <c r="P173" s="599">
        <v>22308</v>
      </c>
      <c r="Q173" s="599">
        <v>660</v>
      </c>
      <c r="R173" s="606">
        <v>3240</v>
      </c>
      <c r="S173" s="416">
        <v>0.25</v>
      </c>
      <c r="T173" s="609">
        <v>0</v>
      </c>
      <c r="U173" s="737">
        <v>0.25</v>
      </c>
      <c r="V173" s="424">
        <f t="shared" si="227"/>
        <v>0</v>
      </c>
      <c r="W173" s="418">
        <f t="shared" si="228"/>
        <v>0</v>
      </c>
      <c r="X173" s="418">
        <v>0</v>
      </c>
      <c r="Y173" s="418">
        <v>0</v>
      </c>
      <c r="Z173" s="418">
        <v>0</v>
      </c>
      <c r="AA173" s="418">
        <v>39059</v>
      </c>
      <c r="AB173" s="418">
        <v>0</v>
      </c>
      <c r="AC173" s="418">
        <v>0</v>
      </c>
      <c r="AD173" s="418">
        <f>V173+X173+Y173+Z173+AB173</f>
        <v>0</v>
      </c>
      <c r="AE173" s="418">
        <f>W173+AA173+AC173</f>
        <v>39059</v>
      </c>
      <c r="AF173" s="418">
        <f t="shared" si="229"/>
        <v>39059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230"/>
        <v>0</v>
      </c>
      <c r="AM173" s="418">
        <f t="shared" si="231"/>
        <v>0</v>
      </c>
      <c r="AN173" s="418">
        <f t="shared" si="232"/>
        <v>0</v>
      </c>
      <c r="AO173" s="418">
        <f t="shared" si="233"/>
        <v>0</v>
      </c>
      <c r="AP173" s="418">
        <f t="shared" si="234"/>
        <v>39059</v>
      </c>
      <c r="AQ173" s="418">
        <f t="shared" si="235"/>
        <v>39059</v>
      </c>
      <c r="AR173" s="68">
        <f t="shared" si="236"/>
        <v>13202</v>
      </c>
      <c r="AS173" s="68">
        <f t="shared" si="237"/>
        <v>391</v>
      </c>
      <c r="AT173" s="418">
        <v>0</v>
      </c>
      <c r="AU173" s="418">
        <v>1818</v>
      </c>
      <c r="AV173" s="418">
        <f t="shared" si="238"/>
        <v>1818</v>
      </c>
      <c r="AW173" s="418">
        <f t="shared" si="239"/>
        <v>54470</v>
      </c>
      <c r="AX173" s="419">
        <v>0</v>
      </c>
      <c r="AY173" s="419">
        <v>0</v>
      </c>
      <c r="AZ173" s="419">
        <v>0</v>
      </c>
      <c r="BA173" s="419">
        <v>0</v>
      </c>
      <c r="BB173" s="419">
        <v>0.15</v>
      </c>
      <c r="BC173" s="419">
        <v>0</v>
      </c>
      <c r="BD173" s="419">
        <v>0</v>
      </c>
      <c r="BE173" s="419">
        <v>0</v>
      </c>
      <c r="BF173" s="419">
        <f t="shared" si="240"/>
        <v>0</v>
      </c>
      <c r="BG173" s="419">
        <f t="shared" si="241"/>
        <v>0.15</v>
      </c>
      <c r="BH173" s="421">
        <f t="shared" si="242"/>
        <v>0.15</v>
      </c>
      <c r="BI173" s="780">
        <f>I173+AW173</f>
        <v>146678</v>
      </c>
      <c r="BJ173" s="418">
        <f>J173+AF173</f>
        <v>105059</v>
      </c>
      <c r="BK173" s="418">
        <f t="shared" si="269"/>
        <v>0</v>
      </c>
      <c r="BL173" s="418">
        <f t="shared" si="269"/>
        <v>105059</v>
      </c>
      <c r="BM173" s="418">
        <f>M173+AN173</f>
        <v>0</v>
      </c>
      <c r="BN173" s="418">
        <f t="shared" si="270"/>
        <v>0</v>
      </c>
      <c r="BO173" s="418">
        <f t="shared" si="270"/>
        <v>0</v>
      </c>
      <c r="BP173" s="418">
        <f t="shared" si="271"/>
        <v>35510</v>
      </c>
      <c r="BQ173" s="418">
        <f t="shared" si="271"/>
        <v>1051</v>
      </c>
      <c r="BR173" s="418">
        <f>R173+AV173</f>
        <v>5058</v>
      </c>
      <c r="BS173" s="419">
        <f>S173+BH173</f>
        <v>0.4</v>
      </c>
      <c r="BT173" s="419">
        <f t="shared" si="272"/>
        <v>0</v>
      </c>
      <c r="BU173" s="421">
        <f t="shared" si="272"/>
        <v>0.4</v>
      </c>
      <c r="BV173" s="420"/>
      <c r="BW173" s="415"/>
      <c r="BX173" s="415"/>
      <c r="BY173" s="415"/>
      <c r="BZ173" s="415"/>
      <c r="CA173" s="510"/>
    </row>
    <row r="174" spans="1:79" ht="14.1" customHeight="1" x14ac:dyDescent="0.2">
      <c r="A174" s="66">
        <v>38</v>
      </c>
      <c r="B174" s="63">
        <v>2307</v>
      </c>
      <c r="C174" s="64">
        <v>600079911</v>
      </c>
      <c r="D174" s="63">
        <v>72743212</v>
      </c>
      <c r="E174" s="65" t="s">
        <v>611</v>
      </c>
      <c r="F174" s="66">
        <v>3143</v>
      </c>
      <c r="G174" s="77" t="s">
        <v>296</v>
      </c>
      <c r="H174" s="67" t="s">
        <v>272</v>
      </c>
      <c r="I174" s="420">
        <v>411702</v>
      </c>
      <c r="J174" s="415">
        <v>305123</v>
      </c>
      <c r="K174" s="415">
        <v>293032</v>
      </c>
      <c r="L174" s="415">
        <v>12091</v>
      </c>
      <c r="M174" s="415">
        <v>0</v>
      </c>
      <c r="N174" s="415">
        <v>0</v>
      </c>
      <c r="O174" s="415">
        <v>0</v>
      </c>
      <c r="P174" s="599">
        <v>103132</v>
      </c>
      <c r="Q174" s="599">
        <v>3051</v>
      </c>
      <c r="R174" s="415">
        <v>396</v>
      </c>
      <c r="S174" s="416">
        <v>0.63</v>
      </c>
      <c r="T174" s="417">
        <v>0.57999999999999996</v>
      </c>
      <c r="U174" s="423">
        <v>0.05</v>
      </c>
      <c r="V174" s="424">
        <f t="shared" si="227"/>
        <v>0</v>
      </c>
      <c r="W174" s="418">
        <f t="shared" si="228"/>
        <v>0</v>
      </c>
      <c r="X174" s="418">
        <v>0</v>
      </c>
      <c r="Y174" s="418">
        <v>0</v>
      </c>
      <c r="Z174" s="418">
        <v>0</v>
      </c>
      <c r="AA174" s="418">
        <v>0</v>
      </c>
      <c r="AB174" s="418">
        <v>0</v>
      </c>
      <c r="AC174" s="418">
        <v>0</v>
      </c>
      <c r="AD174" s="418">
        <f>V174+X174+Y174+Z174+AB174</f>
        <v>0</v>
      </c>
      <c r="AE174" s="418">
        <f>W174+AA174+AC174</f>
        <v>0</v>
      </c>
      <c r="AF174" s="418">
        <f t="shared" si="229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30"/>
        <v>0</v>
      </c>
      <c r="AM174" s="418">
        <f t="shared" si="231"/>
        <v>0</v>
      </c>
      <c r="AN174" s="418">
        <f t="shared" si="232"/>
        <v>0</v>
      </c>
      <c r="AO174" s="418">
        <f t="shared" si="233"/>
        <v>0</v>
      </c>
      <c r="AP174" s="418">
        <f t="shared" si="234"/>
        <v>0</v>
      </c>
      <c r="AQ174" s="418">
        <f t="shared" si="235"/>
        <v>0</v>
      </c>
      <c r="AR174" s="68">
        <f t="shared" si="236"/>
        <v>0</v>
      </c>
      <c r="AS174" s="68">
        <f t="shared" si="237"/>
        <v>0</v>
      </c>
      <c r="AT174" s="418">
        <v>0</v>
      </c>
      <c r="AU174" s="418">
        <v>0</v>
      </c>
      <c r="AV174" s="418">
        <f t="shared" si="238"/>
        <v>0</v>
      </c>
      <c r="AW174" s="418">
        <f t="shared" si="239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9">
        <v>0</v>
      </c>
      <c r="BC174" s="419">
        <v>0</v>
      </c>
      <c r="BD174" s="419">
        <v>0</v>
      </c>
      <c r="BE174" s="419">
        <v>0</v>
      </c>
      <c r="BF174" s="419">
        <f t="shared" si="240"/>
        <v>0</v>
      </c>
      <c r="BG174" s="419">
        <f t="shared" si="241"/>
        <v>0</v>
      </c>
      <c r="BH174" s="421">
        <f t="shared" si="242"/>
        <v>0</v>
      </c>
      <c r="BI174" s="780">
        <f>I174+AW174</f>
        <v>411702</v>
      </c>
      <c r="BJ174" s="418">
        <f>J174+AF174</f>
        <v>305123</v>
      </c>
      <c r="BK174" s="418">
        <f t="shared" si="269"/>
        <v>293032</v>
      </c>
      <c r="BL174" s="418">
        <f t="shared" si="269"/>
        <v>12091</v>
      </c>
      <c r="BM174" s="418">
        <f>M174+AN174</f>
        <v>0</v>
      </c>
      <c r="BN174" s="418">
        <f t="shared" si="270"/>
        <v>0</v>
      </c>
      <c r="BO174" s="418">
        <f t="shared" si="270"/>
        <v>0</v>
      </c>
      <c r="BP174" s="418">
        <f t="shared" si="271"/>
        <v>103132</v>
      </c>
      <c r="BQ174" s="418">
        <f t="shared" si="271"/>
        <v>3051</v>
      </c>
      <c r="BR174" s="418">
        <f>R174+AV174</f>
        <v>396</v>
      </c>
      <c r="BS174" s="419">
        <f>S174+BH174</f>
        <v>0.63</v>
      </c>
      <c r="BT174" s="419">
        <f t="shared" si="272"/>
        <v>0.57999999999999996</v>
      </c>
      <c r="BU174" s="421">
        <f t="shared" si="272"/>
        <v>0.05</v>
      </c>
      <c r="BV174" s="420"/>
      <c r="BW174" s="415"/>
      <c r="BX174" s="415"/>
      <c r="BY174" s="415"/>
      <c r="BZ174" s="415"/>
      <c r="CA174" s="510"/>
    </row>
    <row r="175" spans="1:79" ht="14.1" customHeight="1" x14ac:dyDescent="0.2">
      <c r="A175" s="72">
        <v>38</v>
      </c>
      <c r="B175" s="69">
        <v>2307</v>
      </c>
      <c r="C175" s="70">
        <v>600079911</v>
      </c>
      <c r="D175" s="69">
        <v>72743212</v>
      </c>
      <c r="E175" s="71" t="s">
        <v>612</v>
      </c>
      <c r="F175" s="72"/>
      <c r="G175" s="71"/>
      <c r="H175" s="73"/>
      <c r="I175" s="517">
        <v>50214265</v>
      </c>
      <c r="J175" s="74">
        <v>36567901</v>
      </c>
      <c r="K175" s="74">
        <v>34433741</v>
      </c>
      <c r="L175" s="74">
        <v>2134160</v>
      </c>
      <c r="M175" s="74">
        <v>203000</v>
      </c>
      <c r="N175" s="74">
        <v>171000</v>
      </c>
      <c r="O175" s="74">
        <v>32000</v>
      </c>
      <c r="P175" s="74">
        <v>12428564</v>
      </c>
      <c r="Q175" s="74">
        <v>365678</v>
      </c>
      <c r="R175" s="74">
        <v>649122</v>
      </c>
      <c r="S175" s="75">
        <v>59.405000000000001</v>
      </c>
      <c r="T175" s="75">
        <v>52.765000000000001</v>
      </c>
      <c r="U175" s="658">
        <v>6.64</v>
      </c>
      <c r="V175" s="517">
        <f t="shared" ref="V175:BU175" si="273">SUM(V170:V174)</f>
        <v>0</v>
      </c>
      <c r="W175" s="74">
        <f t="shared" si="273"/>
        <v>0</v>
      </c>
      <c r="X175" s="74">
        <f t="shared" si="273"/>
        <v>0</v>
      </c>
      <c r="Y175" s="74">
        <f t="shared" si="273"/>
        <v>0</v>
      </c>
      <c r="Z175" s="74">
        <f t="shared" si="273"/>
        <v>0</v>
      </c>
      <c r="AA175" s="74">
        <f t="shared" si="273"/>
        <v>39059</v>
      </c>
      <c r="AB175" s="74">
        <f t="shared" si="273"/>
        <v>0</v>
      </c>
      <c r="AC175" s="74">
        <f t="shared" si="273"/>
        <v>0</v>
      </c>
      <c r="AD175" s="74">
        <f t="shared" si="273"/>
        <v>0</v>
      </c>
      <c r="AE175" s="74">
        <f t="shared" si="273"/>
        <v>39059</v>
      </c>
      <c r="AF175" s="74">
        <f t="shared" si="273"/>
        <v>39059</v>
      </c>
      <c r="AG175" s="74">
        <f t="shared" si="273"/>
        <v>0</v>
      </c>
      <c r="AH175" s="74">
        <f t="shared" si="273"/>
        <v>0</v>
      </c>
      <c r="AI175" s="74">
        <f t="shared" si="273"/>
        <v>0</v>
      </c>
      <c r="AJ175" s="74">
        <f t="shared" si="273"/>
        <v>0</v>
      </c>
      <c r="AK175" s="74">
        <f t="shared" si="273"/>
        <v>0</v>
      </c>
      <c r="AL175" s="74">
        <f t="shared" si="273"/>
        <v>0</v>
      </c>
      <c r="AM175" s="74">
        <f t="shared" si="273"/>
        <v>0</v>
      </c>
      <c r="AN175" s="74">
        <f t="shared" si="273"/>
        <v>0</v>
      </c>
      <c r="AO175" s="74">
        <f t="shared" si="273"/>
        <v>0</v>
      </c>
      <c r="AP175" s="74">
        <f t="shared" si="273"/>
        <v>39059</v>
      </c>
      <c r="AQ175" s="74">
        <f t="shared" si="273"/>
        <v>39059</v>
      </c>
      <c r="AR175" s="74">
        <f t="shared" si="273"/>
        <v>13202</v>
      </c>
      <c r="AS175" s="74">
        <f t="shared" si="273"/>
        <v>391</v>
      </c>
      <c r="AT175" s="74">
        <f t="shared" si="273"/>
        <v>0</v>
      </c>
      <c r="AU175" s="74">
        <f t="shared" si="273"/>
        <v>1818</v>
      </c>
      <c r="AV175" s="74">
        <f t="shared" si="273"/>
        <v>1818</v>
      </c>
      <c r="AW175" s="74">
        <f t="shared" si="273"/>
        <v>54470</v>
      </c>
      <c r="AX175" s="75">
        <f t="shared" si="273"/>
        <v>0</v>
      </c>
      <c r="AY175" s="75">
        <f t="shared" si="273"/>
        <v>0</v>
      </c>
      <c r="AZ175" s="75">
        <f t="shared" si="273"/>
        <v>0</v>
      </c>
      <c r="BA175" s="75">
        <f t="shared" si="273"/>
        <v>0</v>
      </c>
      <c r="BB175" s="75">
        <f t="shared" si="273"/>
        <v>0.15</v>
      </c>
      <c r="BC175" s="75">
        <f t="shared" si="273"/>
        <v>0</v>
      </c>
      <c r="BD175" s="75">
        <f t="shared" si="273"/>
        <v>0</v>
      </c>
      <c r="BE175" s="75">
        <f t="shared" si="273"/>
        <v>0</v>
      </c>
      <c r="BF175" s="75">
        <f t="shared" si="273"/>
        <v>0</v>
      </c>
      <c r="BG175" s="75">
        <f t="shared" si="273"/>
        <v>0.15</v>
      </c>
      <c r="BH175" s="76">
        <f t="shared" si="273"/>
        <v>0.15</v>
      </c>
      <c r="BI175" s="799">
        <f t="shared" si="273"/>
        <v>50268735</v>
      </c>
      <c r="BJ175" s="74">
        <f t="shared" si="273"/>
        <v>36606960</v>
      </c>
      <c r="BK175" s="74">
        <f t="shared" si="273"/>
        <v>34433741</v>
      </c>
      <c r="BL175" s="74">
        <f t="shared" si="273"/>
        <v>2173219</v>
      </c>
      <c r="BM175" s="74">
        <f t="shared" si="273"/>
        <v>203000</v>
      </c>
      <c r="BN175" s="74">
        <f t="shared" si="273"/>
        <v>171000</v>
      </c>
      <c r="BO175" s="74">
        <f t="shared" si="273"/>
        <v>32000</v>
      </c>
      <c r="BP175" s="74">
        <f t="shared" si="273"/>
        <v>12441766</v>
      </c>
      <c r="BQ175" s="74">
        <f t="shared" si="273"/>
        <v>366069</v>
      </c>
      <c r="BR175" s="74">
        <f t="shared" si="273"/>
        <v>650940</v>
      </c>
      <c r="BS175" s="75">
        <f t="shared" si="273"/>
        <v>59.555</v>
      </c>
      <c r="BT175" s="75">
        <f t="shared" si="273"/>
        <v>52.765000000000001</v>
      </c>
      <c r="BU175" s="76">
        <f t="shared" si="273"/>
        <v>6.79</v>
      </c>
      <c r="BV175" s="809">
        <f t="shared" ref="BV175:CA175" si="274">SUM(BV170:BV174)</f>
        <v>304109</v>
      </c>
      <c r="BW175" s="684">
        <f t="shared" si="274"/>
        <v>225600</v>
      </c>
      <c r="BX175" s="684">
        <f t="shared" si="274"/>
        <v>0</v>
      </c>
      <c r="BY175" s="684">
        <f t="shared" si="274"/>
        <v>76253</v>
      </c>
      <c r="BZ175" s="684">
        <f t="shared" si="274"/>
        <v>2256</v>
      </c>
      <c r="CA175" s="810">
        <f t="shared" si="274"/>
        <v>0.4</v>
      </c>
    </row>
    <row r="176" spans="1:79" ht="14.1" customHeight="1" x14ac:dyDescent="0.2">
      <c r="A176" s="66">
        <v>39</v>
      </c>
      <c r="B176" s="63">
        <v>2478</v>
      </c>
      <c r="C176" s="64">
        <v>600079929</v>
      </c>
      <c r="D176" s="63">
        <v>72743379</v>
      </c>
      <c r="E176" s="65" t="s">
        <v>613</v>
      </c>
      <c r="F176" s="66">
        <v>3113</v>
      </c>
      <c r="G176" s="65" t="s">
        <v>293</v>
      </c>
      <c r="H176" s="67" t="s">
        <v>271</v>
      </c>
      <c r="I176" s="420">
        <v>39647410</v>
      </c>
      <c r="J176" s="415">
        <v>28687566</v>
      </c>
      <c r="K176" s="415">
        <v>26815449</v>
      </c>
      <c r="L176" s="415">
        <v>1872117</v>
      </c>
      <c r="M176" s="415">
        <v>325779</v>
      </c>
      <c r="N176" s="415">
        <v>323779</v>
      </c>
      <c r="O176" s="415">
        <v>2000</v>
      </c>
      <c r="P176" s="599">
        <v>9806511</v>
      </c>
      <c r="Q176" s="599">
        <v>286876</v>
      </c>
      <c r="R176" s="415">
        <v>540678</v>
      </c>
      <c r="S176" s="416">
        <v>44.433900000000001</v>
      </c>
      <c r="T176" s="416">
        <v>38.768000000000001</v>
      </c>
      <c r="U176" s="423">
        <v>5.6659000000000006</v>
      </c>
      <c r="V176" s="424">
        <f t="shared" si="227"/>
        <v>0</v>
      </c>
      <c r="W176" s="418">
        <f t="shared" si="228"/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>V176+X176+Y176+Z176+AB176</f>
        <v>0</v>
      </c>
      <c r="AE176" s="418">
        <f>W176+AA176+AC176</f>
        <v>0</v>
      </c>
      <c r="AF176" s="418">
        <f t="shared" si="229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230"/>
        <v>0</v>
      </c>
      <c r="AM176" s="418">
        <f t="shared" si="231"/>
        <v>0</v>
      </c>
      <c r="AN176" s="418">
        <f t="shared" si="232"/>
        <v>0</v>
      </c>
      <c r="AO176" s="418">
        <f t="shared" si="233"/>
        <v>0</v>
      </c>
      <c r="AP176" s="418">
        <f t="shared" si="234"/>
        <v>0</v>
      </c>
      <c r="AQ176" s="418">
        <f t="shared" si="235"/>
        <v>0</v>
      </c>
      <c r="AR176" s="68">
        <f t="shared" si="236"/>
        <v>0</v>
      </c>
      <c r="AS176" s="68">
        <f t="shared" si="237"/>
        <v>0</v>
      </c>
      <c r="AT176" s="418">
        <v>0</v>
      </c>
      <c r="AU176" s="418">
        <v>0</v>
      </c>
      <c r="AV176" s="418">
        <f t="shared" si="238"/>
        <v>0</v>
      </c>
      <c r="AW176" s="418">
        <f t="shared" si="239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9">
        <v>0</v>
      </c>
      <c r="BC176" s="419">
        <v>0</v>
      </c>
      <c r="BD176" s="419">
        <v>0</v>
      </c>
      <c r="BE176" s="419">
        <v>0</v>
      </c>
      <c r="BF176" s="419">
        <f t="shared" si="240"/>
        <v>0</v>
      </c>
      <c r="BG176" s="419">
        <f t="shared" si="241"/>
        <v>0</v>
      </c>
      <c r="BH176" s="421">
        <f t="shared" si="242"/>
        <v>0</v>
      </c>
      <c r="BI176" s="780">
        <f>I176+AW176</f>
        <v>39647410</v>
      </c>
      <c r="BJ176" s="418">
        <f>J176+AF176</f>
        <v>28687566</v>
      </c>
      <c r="BK176" s="418">
        <f t="shared" ref="BK176:BL180" si="275">K176+AD176</f>
        <v>26815449</v>
      </c>
      <c r="BL176" s="418">
        <f t="shared" si="275"/>
        <v>1872117</v>
      </c>
      <c r="BM176" s="418">
        <f>M176+AN176</f>
        <v>325779</v>
      </c>
      <c r="BN176" s="418">
        <f t="shared" ref="BN176:BO180" si="276">N176+AL176</f>
        <v>323779</v>
      </c>
      <c r="BO176" s="418">
        <f t="shared" si="276"/>
        <v>2000</v>
      </c>
      <c r="BP176" s="418">
        <f t="shared" ref="BP176:BQ180" si="277">P176+AR176</f>
        <v>9806511</v>
      </c>
      <c r="BQ176" s="418">
        <f t="shared" si="277"/>
        <v>286876</v>
      </c>
      <c r="BR176" s="418">
        <f>R176+AV176</f>
        <v>540678</v>
      </c>
      <c r="BS176" s="419">
        <f>S176+BH176</f>
        <v>44.433900000000001</v>
      </c>
      <c r="BT176" s="419">
        <f t="shared" ref="BT176:BU180" si="278">T176+BF176</f>
        <v>38.768000000000001</v>
      </c>
      <c r="BU176" s="421">
        <f t="shared" si="278"/>
        <v>5.6659000000000006</v>
      </c>
      <c r="BV176" s="420">
        <v>760272</v>
      </c>
      <c r="BW176" s="415">
        <v>564000</v>
      </c>
      <c r="BX176" s="415">
        <v>0</v>
      </c>
      <c r="BY176" s="415">
        <v>190632</v>
      </c>
      <c r="BZ176" s="415">
        <v>5640</v>
      </c>
      <c r="CA176" s="510">
        <v>1</v>
      </c>
    </row>
    <row r="177" spans="1:79" ht="14.1" customHeight="1" x14ac:dyDescent="0.2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613</v>
      </c>
      <c r="F177" s="66">
        <v>3113</v>
      </c>
      <c r="G177" s="77" t="s">
        <v>291</v>
      </c>
      <c r="H177" s="67" t="s">
        <v>272</v>
      </c>
      <c r="I177" s="420">
        <v>6799934</v>
      </c>
      <c r="J177" s="415">
        <v>5041494</v>
      </c>
      <c r="K177" s="415">
        <v>5041494</v>
      </c>
      <c r="L177" s="415">
        <v>0</v>
      </c>
      <c r="M177" s="415">
        <v>0</v>
      </c>
      <c r="N177" s="415">
        <v>0</v>
      </c>
      <c r="O177" s="415">
        <v>0</v>
      </c>
      <c r="P177" s="599">
        <v>1704025</v>
      </c>
      <c r="Q177" s="599">
        <v>50415</v>
      </c>
      <c r="R177" s="415">
        <v>4000</v>
      </c>
      <c r="S177" s="416">
        <v>13.299999999999999</v>
      </c>
      <c r="T177" s="417">
        <v>13.299999999999999</v>
      </c>
      <c r="U177" s="423">
        <v>0</v>
      </c>
      <c r="V177" s="424">
        <f t="shared" si="227"/>
        <v>0</v>
      </c>
      <c r="W177" s="418">
        <f t="shared" si="228"/>
        <v>0</v>
      </c>
      <c r="X177" s="418">
        <v>0</v>
      </c>
      <c r="Y177" s="418">
        <v>0</v>
      </c>
      <c r="Z177" s="418">
        <v>0</v>
      </c>
      <c r="AA177" s="418">
        <v>0</v>
      </c>
      <c r="AB177" s="418">
        <v>0</v>
      </c>
      <c r="AC177" s="418">
        <v>0</v>
      </c>
      <c r="AD177" s="418">
        <f>V177+X177+Y177+Z177+AB177</f>
        <v>0</v>
      </c>
      <c r="AE177" s="418">
        <f>W177+AA177+AC177</f>
        <v>0</v>
      </c>
      <c r="AF177" s="418">
        <f t="shared" si="229"/>
        <v>0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230"/>
        <v>0</v>
      </c>
      <c r="AM177" s="418">
        <f t="shared" si="231"/>
        <v>0</v>
      </c>
      <c r="AN177" s="418">
        <f t="shared" si="232"/>
        <v>0</v>
      </c>
      <c r="AO177" s="418">
        <f t="shared" si="233"/>
        <v>0</v>
      </c>
      <c r="AP177" s="418">
        <f t="shared" si="234"/>
        <v>0</v>
      </c>
      <c r="AQ177" s="418">
        <f t="shared" si="235"/>
        <v>0</v>
      </c>
      <c r="AR177" s="68">
        <f t="shared" si="236"/>
        <v>0</v>
      </c>
      <c r="AS177" s="68">
        <f t="shared" si="237"/>
        <v>0</v>
      </c>
      <c r="AT177" s="418">
        <v>0</v>
      </c>
      <c r="AU177" s="418">
        <v>0</v>
      </c>
      <c r="AV177" s="418">
        <f t="shared" si="238"/>
        <v>0</v>
      </c>
      <c r="AW177" s="418">
        <f t="shared" si="239"/>
        <v>0</v>
      </c>
      <c r="AX177" s="419">
        <v>0</v>
      </c>
      <c r="AY177" s="419">
        <v>0</v>
      </c>
      <c r="AZ177" s="419">
        <v>0</v>
      </c>
      <c r="BA177" s="419">
        <v>0</v>
      </c>
      <c r="BB177" s="419">
        <v>0</v>
      </c>
      <c r="BC177" s="419">
        <v>0</v>
      </c>
      <c r="BD177" s="419">
        <v>0</v>
      </c>
      <c r="BE177" s="419">
        <v>0</v>
      </c>
      <c r="BF177" s="419">
        <f t="shared" si="240"/>
        <v>0</v>
      </c>
      <c r="BG177" s="419">
        <f t="shared" si="241"/>
        <v>0</v>
      </c>
      <c r="BH177" s="421">
        <f t="shared" si="242"/>
        <v>0</v>
      </c>
      <c r="BI177" s="780">
        <f>I177+AW177</f>
        <v>6799934</v>
      </c>
      <c r="BJ177" s="418">
        <f>J177+AF177</f>
        <v>5041494</v>
      </c>
      <c r="BK177" s="418">
        <f t="shared" si="275"/>
        <v>5041494</v>
      </c>
      <c r="BL177" s="418">
        <f t="shared" si="275"/>
        <v>0</v>
      </c>
      <c r="BM177" s="418">
        <f>M177+AN177</f>
        <v>0</v>
      </c>
      <c r="BN177" s="418">
        <f t="shared" si="276"/>
        <v>0</v>
      </c>
      <c r="BO177" s="418">
        <f t="shared" si="276"/>
        <v>0</v>
      </c>
      <c r="BP177" s="418">
        <f t="shared" si="277"/>
        <v>1704025</v>
      </c>
      <c r="BQ177" s="418">
        <f t="shared" si="277"/>
        <v>50415</v>
      </c>
      <c r="BR177" s="418">
        <f>R177+AV177</f>
        <v>4000</v>
      </c>
      <c r="BS177" s="419">
        <f>S177+BH177</f>
        <v>13.299999999999999</v>
      </c>
      <c r="BT177" s="419">
        <f t="shared" si="278"/>
        <v>13.299999999999999</v>
      </c>
      <c r="BU177" s="421">
        <f t="shared" si="278"/>
        <v>0</v>
      </c>
      <c r="BV177" s="420"/>
      <c r="BW177" s="415"/>
      <c r="BX177" s="415"/>
      <c r="BY177" s="415"/>
      <c r="BZ177" s="415"/>
      <c r="CA177" s="510"/>
    </row>
    <row r="178" spans="1:79" ht="14.1" customHeight="1" x14ac:dyDescent="0.2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613</v>
      </c>
      <c r="F178" s="66">
        <v>3141</v>
      </c>
      <c r="G178" s="65" t="s">
        <v>294</v>
      </c>
      <c r="H178" s="67" t="s">
        <v>272</v>
      </c>
      <c r="I178" s="420">
        <v>2187615</v>
      </c>
      <c r="J178" s="415">
        <v>1607284</v>
      </c>
      <c r="K178" s="415">
        <v>0</v>
      </c>
      <c r="L178" s="750">
        <v>1607284</v>
      </c>
      <c r="M178" s="415">
        <v>0</v>
      </c>
      <c r="N178" s="204">
        <v>0</v>
      </c>
      <c r="O178" s="204">
        <v>0</v>
      </c>
      <c r="P178" s="599">
        <v>543262</v>
      </c>
      <c r="Q178" s="599">
        <v>16072</v>
      </c>
      <c r="R178" s="605">
        <v>20997</v>
      </c>
      <c r="S178" s="416">
        <v>4.8199999999999994</v>
      </c>
      <c r="T178" s="607">
        <v>0</v>
      </c>
      <c r="U178" s="737">
        <v>4.8199999999999994</v>
      </c>
      <c r="V178" s="424">
        <f t="shared" si="227"/>
        <v>0</v>
      </c>
      <c r="W178" s="418">
        <f t="shared" si="228"/>
        <v>0</v>
      </c>
      <c r="X178" s="418">
        <v>0</v>
      </c>
      <c r="Y178" s="418">
        <v>0</v>
      </c>
      <c r="Z178" s="418">
        <v>0</v>
      </c>
      <c r="AA178" s="418">
        <v>708549</v>
      </c>
      <c r="AB178" s="418">
        <v>0</v>
      </c>
      <c r="AC178" s="418">
        <v>0</v>
      </c>
      <c r="AD178" s="418">
        <f>V178+X178+Y178+Z178+AB178</f>
        <v>0</v>
      </c>
      <c r="AE178" s="418">
        <f>W178+AA178+AC178</f>
        <v>708549</v>
      </c>
      <c r="AF178" s="418">
        <f t="shared" si="229"/>
        <v>708549</v>
      </c>
      <c r="AG178" s="418">
        <v>0</v>
      </c>
      <c r="AH178" s="418">
        <v>0</v>
      </c>
      <c r="AI178" s="418">
        <v>0</v>
      </c>
      <c r="AJ178" s="418">
        <v>0</v>
      </c>
      <c r="AK178" s="418">
        <v>0</v>
      </c>
      <c r="AL178" s="418">
        <f t="shared" si="230"/>
        <v>0</v>
      </c>
      <c r="AM178" s="418">
        <f t="shared" si="231"/>
        <v>0</v>
      </c>
      <c r="AN178" s="418">
        <f t="shared" si="232"/>
        <v>0</v>
      </c>
      <c r="AO178" s="418">
        <f t="shared" si="233"/>
        <v>0</v>
      </c>
      <c r="AP178" s="418">
        <f t="shared" si="234"/>
        <v>708549</v>
      </c>
      <c r="AQ178" s="418">
        <f t="shared" si="235"/>
        <v>708549</v>
      </c>
      <c r="AR178" s="68">
        <f t="shared" si="236"/>
        <v>239490</v>
      </c>
      <c r="AS178" s="68">
        <f t="shared" si="237"/>
        <v>7085</v>
      </c>
      <c r="AT178" s="418">
        <v>0</v>
      </c>
      <c r="AU178" s="418">
        <v>7718</v>
      </c>
      <c r="AV178" s="418">
        <f t="shared" si="238"/>
        <v>7718</v>
      </c>
      <c r="AW178" s="418">
        <f t="shared" si="239"/>
        <v>962842</v>
      </c>
      <c r="AX178" s="419">
        <v>0</v>
      </c>
      <c r="AY178" s="419">
        <v>0</v>
      </c>
      <c r="AZ178" s="419">
        <v>0</v>
      </c>
      <c r="BA178" s="419">
        <v>0</v>
      </c>
      <c r="BB178" s="419">
        <v>2.12</v>
      </c>
      <c r="BC178" s="419">
        <v>0</v>
      </c>
      <c r="BD178" s="419">
        <v>0</v>
      </c>
      <c r="BE178" s="419">
        <v>0</v>
      </c>
      <c r="BF178" s="419">
        <f t="shared" si="240"/>
        <v>0</v>
      </c>
      <c r="BG178" s="419">
        <f t="shared" si="241"/>
        <v>2.12</v>
      </c>
      <c r="BH178" s="421">
        <f t="shared" si="242"/>
        <v>2.12</v>
      </c>
      <c r="BI178" s="780">
        <f>I178+AW178</f>
        <v>3150457</v>
      </c>
      <c r="BJ178" s="418">
        <f>J178+AF178</f>
        <v>2315833</v>
      </c>
      <c r="BK178" s="418">
        <f t="shared" si="275"/>
        <v>0</v>
      </c>
      <c r="BL178" s="418">
        <f t="shared" si="275"/>
        <v>2315833</v>
      </c>
      <c r="BM178" s="418">
        <f>M178+AN178</f>
        <v>0</v>
      </c>
      <c r="BN178" s="418">
        <f t="shared" si="276"/>
        <v>0</v>
      </c>
      <c r="BO178" s="418">
        <f t="shared" si="276"/>
        <v>0</v>
      </c>
      <c r="BP178" s="418">
        <f t="shared" si="277"/>
        <v>782752</v>
      </c>
      <c r="BQ178" s="418">
        <f t="shared" si="277"/>
        <v>23157</v>
      </c>
      <c r="BR178" s="418">
        <f>R178+AV178</f>
        <v>28715</v>
      </c>
      <c r="BS178" s="419">
        <f>S178+BH178</f>
        <v>6.9399999999999995</v>
      </c>
      <c r="BT178" s="419">
        <f t="shared" si="278"/>
        <v>0</v>
      </c>
      <c r="BU178" s="421">
        <f t="shared" si="278"/>
        <v>6.9399999999999995</v>
      </c>
      <c r="BV178" s="420"/>
      <c r="BW178" s="415"/>
      <c r="BX178" s="415"/>
      <c r="BY178" s="415"/>
      <c r="BZ178" s="415"/>
      <c r="CA178" s="510"/>
    </row>
    <row r="179" spans="1:79" ht="14.1" customHeight="1" x14ac:dyDescent="0.2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613</v>
      </c>
      <c r="F179" s="66">
        <v>3143</v>
      </c>
      <c r="G179" s="77" t="s">
        <v>595</v>
      </c>
      <c r="H179" s="67" t="s">
        <v>271</v>
      </c>
      <c r="I179" s="420">
        <v>5993259</v>
      </c>
      <c r="J179" s="415">
        <v>4439090</v>
      </c>
      <c r="K179" s="415">
        <v>4441090</v>
      </c>
      <c r="L179" s="415">
        <v>-2000</v>
      </c>
      <c r="M179" s="415">
        <v>7000</v>
      </c>
      <c r="N179" s="415">
        <v>5000</v>
      </c>
      <c r="O179" s="415">
        <v>2000</v>
      </c>
      <c r="P179" s="599">
        <v>1502778</v>
      </c>
      <c r="Q179" s="599">
        <v>44391</v>
      </c>
      <c r="R179" s="415">
        <v>0</v>
      </c>
      <c r="S179" s="416">
        <v>9.2677999999999994</v>
      </c>
      <c r="T179" s="416">
        <v>9.2677999999999994</v>
      </c>
      <c r="U179" s="423">
        <v>0</v>
      </c>
      <c r="V179" s="424">
        <f t="shared" si="227"/>
        <v>0</v>
      </c>
      <c r="W179" s="418">
        <f t="shared" si="228"/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 t="shared" si="229"/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 t="shared" si="230"/>
        <v>0</v>
      </c>
      <c r="AM179" s="418">
        <f t="shared" si="231"/>
        <v>0</v>
      </c>
      <c r="AN179" s="418">
        <f t="shared" si="232"/>
        <v>0</v>
      </c>
      <c r="AO179" s="418">
        <f t="shared" si="233"/>
        <v>0</v>
      </c>
      <c r="AP179" s="418">
        <f t="shared" si="234"/>
        <v>0</v>
      </c>
      <c r="AQ179" s="418">
        <f t="shared" si="235"/>
        <v>0</v>
      </c>
      <c r="AR179" s="68">
        <f t="shared" si="236"/>
        <v>0</v>
      </c>
      <c r="AS179" s="68">
        <f t="shared" si="237"/>
        <v>0</v>
      </c>
      <c r="AT179" s="418">
        <v>0</v>
      </c>
      <c r="AU179" s="418">
        <v>0</v>
      </c>
      <c r="AV179" s="418">
        <f t="shared" si="238"/>
        <v>0</v>
      </c>
      <c r="AW179" s="418">
        <f t="shared" si="239"/>
        <v>0</v>
      </c>
      <c r="AX179" s="419">
        <v>0</v>
      </c>
      <c r="AY179" s="419">
        <v>0</v>
      </c>
      <c r="AZ179" s="419">
        <v>0</v>
      </c>
      <c r="BA179" s="419">
        <v>0</v>
      </c>
      <c r="BB179" s="419">
        <v>0</v>
      </c>
      <c r="BC179" s="419">
        <v>0</v>
      </c>
      <c r="BD179" s="419">
        <v>0</v>
      </c>
      <c r="BE179" s="419">
        <v>0</v>
      </c>
      <c r="BF179" s="419">
        <f t="shared" si="240"/>
        <v>0</v>
      </c>
      <c r="BG179" s="419">
        <f t="shared" si="241"/>
        <v>0</v>
      </c>
      <c r="BH179" s="421">
        <f t="shared" si="242"/>
        <v>0</v>
      </c>
      <c r="BI179" s="780">
        <f>I179+AW179</f>
        <v>5993259</v>
      </c>
      <c r="BJ179" s="418">
        <f>J179+AF179</f>
        <v>4439090</v>
      </c>
      <c r="BK179" s="418">
        <f t="shared" si="275"/>
        <v>4441090</v>
      </c>
      <c r="BL179" s="418">
        <f t="shared" si="275"/>
        <v>-2000</v>
      </c>
      <c r="BM179" s="418">
        <f>M179+AN179</f>
        <v>7000</v>
      </c>
      <c r="BN179" s="418">
        <f t="shared" si="276"/>
        <v>5000</v>
      </c>
      <c r="BO179" s="418">
        <f t="shared" si="276"/>
        <v>2000</v>
      </c>
      <c r="BP179" s="418">
        <f t="shared" si="277"/>
        <v>1502778</v>
      </c>
      <c r="BQ179" s="418">
        <f t="shared" si="277"/>
        <v>44391</v>
      </c>
      <c r="BR179" s="418">
        <f>R179+AV179</f>
        <v>0</v>
      </c>
      <c r="BS179" s="419">
        <f>S179+BH179</f>
        <v>9.2677999999999994</v>
      </c>
      <c r="BT179" s="419">
        <f t="shared" si="278"/>
        <v>9.2677999999999994</v>
      </c>
      <c r="BU179" s="421">
        <f t="shared" si="278"/>
        <v>0</v>
      </c>
      <c r="BV179" s="420"/>
      <c r="BW179" s="415"/>
      <c r="BX179" s="415"/>
      <c r="BY179" s="415"/>
      <c r="BZ179" s="415"/>
      <c r="CA179" s="510"/>
    </row>
    <row r="180" spans="1:79" ht="14.1" customHeight="1" x14ac:dyDescent="0.2">
      <c r="A180" s="66">
        <v>39</v>
      </c>
      <c r="B180" s="63">
        <v>2478</v>
      </c>
      <c r="C180" s="64">
        <v>600079929</v>
      </c>
      <c r="D180" s="63">
        <v>72743379</v>
      </c>
      <c r="E180" s="65" t="s">
        <v>613</v>
      </c>
      <c r="F180" s="66">
        <v>3143</v>
      </c>
      <c r="G180" s="77" t="s">
        <v>596</v>
      </c>
      <c r="H180" s="67" t="s">
        <v>272</v>
      </c>
      <c r="I180" s="420">
        <v>126030</v>
      </c>
      <c r="J180" s="415">
        <v>90209</v>
      </c>
      <c r="K180" s="415">
        <v>0</v>
      </c>
      <c r="L180" s="605">
        <v>90209</v>
      </c>
      <c r="M180" s="415">
        <v>0</v>
      </c>
      <c r="N180" s="415">
        <v>0</v>
      </c>
      <c r="O180" s="415">
        <v>0</v>
      </c>
      <c r="P180" s="599">
        <v>30491</v>
      </c>
      <c r="Q180" s="599">
        <v>902</v>
      </c>
      <c r="R180" s="605">
        <v>4428</v>
      </c>
      <c r="S180" s="416">
        <v>0.3417</v>
      </c>
      <c r="T180" s="607">
        <v>0</v>
      </c>
      <c r="U180" s="737">
        <v>0.3417</v>
      </c>
      <c r="V180" s="424">
        <f t="shared" si="227"/>
        <v>0</v>
      </c>
      <c r="W180" s="418">
        <f t="shared" si="228"/>
        <v>0</v>
      </c>
      <c r="X180" s="418">
        <v>0</v>
      </c>
      <c r="Y180" s="418">
        <v>0</v>
      </c>
      <c r="Z180" s="418">
        <v>0</v>
      </c>
      <c r="AA180" s="418">
        <v>45091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45091</v>
      </c>
      <c r="AF180" s="418">
        <f t="shared" si="229"/>
        <v>45091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 t="shared" si="230"/>
        <v>0</v>
      </c>
      <c r="AM180" s="418">
        <f t="shared" si="231"/>
        <v>0</v>
      </c>
      <c r="AN180" s="418">
        <f t="shared" si="232"/>
        <v>0</v>
      </c>
      <c r="AO180" s="418">
        <f t="shared" si="233"/>
        <v>0</v>
      </c>
      <c r="AP180" s="418">
        <f t="shared" si="234"/>
        <v>45091</v>
      </c>
      <c r="AQ180" s="418">
        <f t="shared" si="235"/>
        <v>45091</v>
      </c>
      <c r="AR180" s="68">
        <f t="shared" si="236"/>
        <v>15241</v>
      </c>
      <c r="AS180" s="68">
        <f t="shared" si="237"/>
        <v>451</v>
      </c>
      <c r="AT180" s="418">
        <v>0</v>
      </c>
      <c r="AU180" s="418">
        <v>2214</v>
      </c>
      <c r="AV180" s="418">
        <f t="shared" si="238"/>
        <v>2214</v>
      </c>
      <c r="AW180" s="418">
        <f t="shared" si="239"/>
        <v>62997</v>
      </c>
      <c r="AX180" s="419">
        <v>0</v>
      </c>
      <c r="AY180" s="419">
        <v>0</v>
      </c>
      <c r="AZ180" s="419">
        <v>0</v>
      </c>
      <c r="BA180" s="419">
        <v>0</v>
      </c>
      <c r="BB180" s="419">
        <v>0.17</v>
      </c>
      <c r="BC180" s="419">
        <v>0</v>
      </c>
      <c r="BD180" s="419">
        <v>0</v>
      </c>
      <c r="BE180" s="419">
        <v>0</v>
      </c>
      <c r="BF180" s="419">
        <f t="shared" si="240"/>
        <v>0</v>
      </c>
      <c r="BG180" s="419">
        <f t="shared" si="241"/>
        <v>0.17</v>
      </c>
      <c r="BH180" s="421">
        <f t="shared" si="242"/>
        <v>0.17</v>
      </c>
      <c r="BI180" s="780">
        <f>I180+AW180</f>
        <v>189027</v>
      </c>
      <c r="BJ180" s="418">
        <f>J180+AF180</f>
        <v>135300</v>
      </c>
      <c r="BK180" s="418">
        <f t="shared" si="275"/>
        <v>0</v>
      </c>
      <c r="BL180" s="418">
        <f t="shared" si="275"/>
        <v>135300</v>
      </c>
      <c r="BM180" s="418">
        <f>M180+AN180</f>
        <v>0</v>
      </c>
      <c r="BN180" s="418">
        <f t="shared" si="276"/>
        <v>0</v>
      </c>
      <c r="BO180" s="418">
        <f t="shared" si="276"/>
        <v>0</v>
      </c>
      <c r="BP180" s="418">
        <f t="shared" si="277"/>
        <v>45732</v>
      </c>
      <c r="BQ180" s="418">
        <f t="shared" si="277"/>
        <v>1353</v>
      </c>
      <c r="BR180" s="418">
        <f>R180+AV180</f>
        <v>6642</v>
      </c>
      <c r="BS180" s="419">
        <f>S180+BH180</f>
        <v>0.51170000000000004</v>
      </c>
      <c r="BT180" s="419">
        <f t="shared" si="278"/>
        <v>0</v>
      </c>
      <c r="BU180" s="421">
        <f t="shared" si="278"/>
        <v>0.51170000000000004</v>
      </c>
      <c r="BV180" s="420"/>
      <c r="BW180" s="415"/>
      <c r="BX180" s="415"/>
      <c r="BY180" s="415"/>
      <c r="BZ180" s="415"/>
      <c r="CA180" s="510"/>
    </row>
    <row r="181" spans="1:79" ht="14.1" customHeight="1" x14ac:dyDescent="0.2">
      <c r="A181" s="72">
        <v>39</v>
      </c>
      <c r="B181" s="69">
        <v>2478</v>
      </c>
      <c r="C181" s="70">
        <v>600079929</v>
      </c>
      <c r="D181" s="69">
        <v>72743379</v>
      </c>
      <c r="E181" s="71" t="s">
        <v>614</v>
      </c>
      <c r="F181" s="72"/>
      <c r="G181" s="71"/>
      <c r="H181" s="73"/>
      <c r="I181" s="517">
        <v>54754248</v>
      </c>
      <c r="J181" s="74">
        <v>39865643</v>
      </c>
      <c r="K181" s="74">
        <v>36298033</v>
      </c>
      <c r="L181" s="74">
        <v>3567610</v>
      </c>
      <c r="M181" s="74">
        <v>332779</v>
      </c>
      <c r="N181" s="74">
        <v>328779</v>
      </c>
      <c r="O181" s="74">
        <v>4000</v>
      </c>
      <c r="P181" s="74">
        <v>13587067</v>
      </c>
      <c r="Q181" s="74">
        <v>398656</v>
      </c>
      <c r="R181" s="74">
        <v>570103</v>
      </c>
      <c r="S181" s="75">
        <v>72.163399999999996</v>
      </c>
      <c r="T181" s="75">
        <v>61.335799999999999</v>
      </c>
      <c r="U181" s="658">
        <v>10.8276</v>
      </c>
      <c r="V181" s="517">
        <f t="shared" ref="V181:BU181" si="279">SUM(V176:V180)</f>
        <v>0</v>
      </c>
      <c r="W181" s="74">
        <f t="shared" si="279"/>
        <v>0</v>
      </c>
      <c r="X181" s="74">
        <f t="shared" si="279"/>
        <v>0</v>
      </c>
      <c r="Y181" s="74">
        <f t="shared" si="279"/>
        <v>0</v>
      </c>
      <c r="Z181" s="74">
        <f t="shared" si="279"/>
        <v>0</v>
      </c>
      <c r="AA181" s="74">
        <f t="shared" si="279"/>
        <v>753640</v>
      </c>
      <c r="AB181" s="74">
        <f t="shared" si="279"/>
        <v>0</v>
      </c>
      <c r="AC181" s="74">
        <f t="shared" si="279"/>
        <v>0</v>
      </c>
      <c r="AD181" s="74">
        <f t="shared" si="279"/>
        <v>0</v>
      </c>
      <c r="AE181" s="74">
        <f t="shared" si="279"/>
        <v>753640</v>
      </c>
      <c r="AF181" s="74">
        <f t="shared" si="279"/>
        <v>753640</v>
      </c>
      <c r="AG181" s="74">
        <f t="shared" si="279"/>
        <v>0</v>
      </c>
      <c r="AH181" s="74">
        <f t="shared" si="279"/>
        <v>0</v>
      </c>
      <c r="AI181" s="74">
        <f t="shared" si="279"/>
        <v>0</v>
      </c>
      <c r="AJ181" s="74">
        <f t="shared" si="279"/>
        <v>0</v>
      </c>
      <c r="AK181" s="74">
        <f t="shared" si="279"/>
        <v>0</v>
      </c>
      <c r="AL181" s="74">
        <f t="shared" si="279"/>
        <v>0</v>
      </c>
      <c r="AM181" s="74">
        <f t="shared" si="279"/>
        <v>0</v>
      </c>
      <c r="AN181" s="74">
        <f t="shared" si="279"/>
        <v>0</v>
      </c>
      <c r="AO181" s="74">
        <f t="shared" si="279"/>
        <v>0</v>
      </c>
      <c r="AP181" s="74">
        <f t="shared" si="279"/>
        <v>753640</v>
      </c>
      <c r="AQ181" s="74">
        <f t="shared" si="279"/>
        <v>753640</v>
      </c>
      <c r="AR181" s="74">
        <f t="shared" si="279"/>
        <v>254731</v>
      </c>
      <c r="AS181" s="74">
        <f t="shared" si="279"/>
        <v>7536</v>
      </c>
      <c r="AT181" s="74">
        <f t="shared" si="279"/>
        <v>0</v>
      </c>
      <c r="AU181" s="74">
        <f t="shared" si="279"/>
        <v>9932</v>
      </c>
      <c r="AV181" s="74">
        <f t="shared" si="279"/>
        <v>9932</v>
      </c>
      <c r="AW181" s="74">
        <f t="shared" si="279"/>
        <v>1025839</v>
      </c>
      <c r="AX181" s="75">
        <f t="shared" si="279"/>
        <v>0</v>
      </c>
      <c r="AY181" s="75">
        <f t="shared" si="279"/>
        <v>0</v>
      </c>
      <c r="AZ181" s="75">
        <f t="shared" si="279"/>
        <v>0</v>
      </c>
      <c r="BA181" s="75">
        <f t="shared" si="279"/>
        <v>0</v>
      </c>
      <c r="BB181" s="75">
        <f t="shared" si="279"/>
        <v>2.29</v>
      </c>
      <c r="BC181" s="75">
        <f t="shared" si="279"/>
        <v>0</v>
      </c>
      <c r="BD181" s="75">
        <f t="shared" si="279"/>
        <v>0</v>
      </c>
      <c r="BE181" s="75">
        <f t="shared" si="279"/>
        <v>0</v>
      </c>
      <c r="BF181" s="75">
        <f t="shared" si="279"/>
        <v>0</v>
      </c>
      <c r="BG181" s="75">
        <f t="shared" si="279"/>
        <v>2.29</v>
      </c>
      <c r="BH181" s="76">
        <f t="shared" si="279"/>
        <v>2.29</v>
      </c>
      <c r="BI181" s="799">
        <f t="shared" si="279"/>
        <v>55780087</v>
      </c>
      <c r="BJ181" s="74">
        <f t="shared" si="279"/>
        <v>40619283</v>
      </c>
      <c r="BK181" s="74">
        <f t="shared" si="279"/>
        <v>36298033</v>
      </c>
      <c r="BL181" s="74">
        <f t="shared" si="279"/>
        <v>4321250</v>
      </c>
      <c r="BM181" s="74">
        <f t="shared" si="279"/>
        <v>332779</v>
      </c>
      <c r="BN181" s="74">
        <f t="shared" si="279"/>
        <v>328779</v>
      </c>
      <c r="BO181" s="74">
        <f t="shared" si="279"/>
        <v>4000</v>
      </c>
      <c r="BP181" s="74">
        <f t="shared" si="279"/>
        <v>13841798</v>
      </c>
      <c r="BQ181" s="74">
        <f t="shared" si="279"/>
        <v>406192</v>
      </c>
      <c r="BR181" s="74">
        <f t="shared" si="279"/>
        <v>580035</v>
      </c>
      <c r="BS181" s="75">
        <f t="shared" si="279"/>
        <v>74.453400000000002</v>
      </c>
      <c r="BT181" s="75">
        <f t="shared" si="279"/>
        <v>61.335799999999999</v>
      </c>
      <c r="BU181" s="76">
        <f t="shared" si="279"/>
        <v>13.117599999999999</v>
      </c>
      <c r="BV181" s="809">
        <f t="shared" ref="BV181:CA181" si="280">SUM(BV176:BV180)</f>
        <v>760272</v>
      </c>
      <c r="BW181" s="684">
        <f t="shared" si="280"/>
        <v>564000</v>
      </c>
      <c r="BX181" s="684">
        <f t="shared" si="280"/>
        <v>0</v>
      </c>
      <c r="BY181" s="684">
        <f t="shared" si="280"/>
        <v>190632</v>
      </c>
      <c r="BZ181" s="684">
        <f t="shared" si="280"/>
        <v>5640</v>
      </c>
      <c r="CA181" s="810">
        <f t="shared" si="280"/>
        <v>1</v>
      </c>
    </row>
    <row r="182" spans="1:79" ht="14.1" customHeight="1" x14ac:dyDescent="0.2">
      <c r="A182" s="66">
        <v>40</v>
      </c>
      <c r="B182" s="63">
        <v>2465</v>
      </c>
      <c r="C182" s="64">
        <v>650018273</v>
      </c>
      <c r="D182" s="63">
        <v>72741791</v>
      </c>
      <c r="E182" s="65" t="s">
        <v>615</v>
      </c>
      <c r="F182" s="66">
        <v>3111</v>
      </c>
      <c r="G182" s="65" t="s">
        <v>290</v>
      </c>
      <c r="H182" s="67" t="s">
        <v>271</v>
      </c>
      <c r="I182" s="420">
        <v>6553771</v>
      </c>
      <c r="J182" s="415">
        <v>4794194</v>
      </c>
      <c r="K182" s="415">
        <v>4577922</v>
      </c>
      <c r="L182" s="415">
        <v>216272</v>
      </c>
      <c r="M182" s="415">
        <v>50000</v>
      </c>
      <c r="N182" s="415">
        <v>0</v>
      </c>
      <c r="O182" s="415">
        <v>50000</v>
      </c>
      <c r="P182" s="599">
        <v>1637338</v>
      </c>
      <c r="Q182" s="599">
        <v>47942</v>
      </c>
      <c r="R182" s="415">
        <v>24297</v>
      </c>
      <c r="S182" s="416">
        <v>9.0023</v>
      </c>
      <c r="T182" s="416">
        <v>7.9355000000000002</v>
      </c>
      <c r="U182" s="423">
        <v>1.0668</v>
      </c>
      <c r="V182" s="424">
        <f t="shared" si="227"/>
        <v>0</v>
      </c>
      <c r="W182" s="418">
        <f t="shared" si="228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 t="shared" ref="AD182:AD187" si="281">V182+X182+Y182+Z182+AB182</f>
        <v>0</v>
      </c>
      <c r="AE182" s="418">
        <f t="shared" ref="AE182:AE187" si="282">W182+AA182+AC182</f>
        <v>0</v>
      </c>
      <c r="AF182" s="418">
        <f t="shared" si="229"/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 t="shared" si="230"/>
        <v>0</v>
      </c>
      <c r="AM182" s="418">
        <f t="shared" si="231"/>
        <v>0</v>
      </c>
      <c r="AN182" s="418">
        <f t="shared" si="232"/>
        <v>0</v>
      </c>
      <c r="AO182" s="418">
        <f t="shared" si="233"/>
        <v>0</v>
      </c>
      <c r="AP182" s="418">
        <f t="shared" si="234"/>
        <v>0</v>
      </c>
      <c r="AQ182" s="418">
        <f t="shared" si="235"/>
        <v>0</v>
      </c>
      <c r="AR182" s="68">
        <f t="shared" si="236"/>
        <v>0</v>
      </c>
      <c r="AS182" s="68">
        <f t="shared" si="237"/>
        <v>0</v>
      </c>
      <c r="AT182" s="418">
        <v>0</v>
      </c>
      <c r="AU182" s="418">
        <v>0</v>
      </c>
      <c r="AV182" s="418">
        <f t="shared" si="238"/>
        <v>0</v>
      </c>
      <c r="AW182" s="418">
        <f t="shared" si="239"/>
        <v>0</v>
      </c>
      <c r="AX182" s="419">
        <v>0</v>
      </c>
      <c r="AY182" s="419">
        <v>0</v>
      </c>
      <c r="AZ182" s="419">
        <v>0</v>
      </c>
      <c r="BA182" s="419">
        <v>0</v>
      </c>
      <c r="BB182" s="419">
        <v>0</v>
      </c>
      <c r="BC182" s="419">
        <v>0</v>
      </c>
      <c r="BD182" s="419">
        <v>0</v>
      </c>
      <c r="BE182" s="419">
        <v>0</v>
      </c>
      <c r="BF182" s="419">
        <f t="shared" si="240"/>
        <v>0</v>
      </c>
      <c r="BG182" s="419">
        <f t="shared" si="241"/>
        <v>0</v>
      </c>
      <c r="BH182" s="421">
        <f t="shared" si="242"/>
        <v>0</v>
      </c>
      <c r="BI182" s="780">
        <f t="shared" ref="BI182:BI187" si="283">I182+AW182</f>
        <v>6553771</v>
      </c>
      <c r="BJ182" s="418">
        <f t="shared" ref="BJ182:BJ187" si="284">J182+AF182</f>
        <v>4794194</v>
      </c>
      <c r="BK182" s="418">
        <f t="shared" ref="BK182:BL187" si="285">K182+AD182</f>
        <v>4577922</v>
      </c>
      <c r="BL182" s="418">
        <f t="shared" si="285"/>
        <v>216272</v>
      </c>
      <c r="BM182" s="418">
        <f t="shared" ref="BM182:BM187" si="286">M182+AN182</f>
        <v>50000</v>
      </c>
      <c r="BN182" s="418">
        <f t="shared" ref="BN182:BO187" si="287">N182+AL182</f>
        <v>0</v>
      </c>
      <c r="BO182" s="418">
        <f t="shared" si="287"/>
        <v>50000</v>
      </c>
      <c r="BP182" s="418">
        <f t="shared" ref="BP182:BQ187" si="288">P182+AR182</f>
        <v>1637338</v>
      </c>
      <c r="BQ182" s="418">
        <f t="shared" si="288"/>
        <v>47942</v>
      </c>
      <c r="BR182" s="418">
        <f t="shared" ref="BR182:BR187" si="289">R182+AV182</f>
        <v>24297</v>
      </c>
      <c r="BS182" s="419">
        <f t="shared" ref="BS182:BS187" si="290">S182+BH182</f>
        <v>9.0023</v>
      </c>
      <c r="BT182" s="419">
        <f t="shared" ref="BT182:BU187" si="291">T182+BF182</f>
        <v>7.9355000000000002</v>
      </c>
      <c r="BU182" s="421">
        <f t="shared" si="291"/>
        <v>1.0668</v>
      </c>
      <c r="BV182" s="420"/>
      <c r="BW182" s="415"/>
      <c r="BX182" s="415"/>
      <c r="BY182" s="415"/>
      <c r="BZ182" s="415"/>
      <c r="CA182" s="510"/>
    </row>
    <row r="183" spans="1:79" ht="14.1" customHeight="1" x14ac:dyDescent="0.2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615</v>
      </c>
      <c r="F183" s="66">
        <v>3113</v>
      </c>
      <c r="G183" s="65" t="s">
        <v>293</v>
      </c>
      <c r="H183" s="67" t="s">
        <v>271</v>
      </c>
      <c r="I183" s="420">
        <v>20664547</v>
      </c>
      <c r="J183" s="415">
        <v>15004302</v>
      </c>
      <c r="K183" s="415">
        <v>13660501</v>
      </c>
      <c r="L183" s="415">
        <v>1343801</v>
      </c>
      <c r="M183" s="415">
        <v>120000</v>
      </c>
      <c r="N183" s="415">
        <v>70000</v>
      </c>
      <c r="O183" s="415">
        <v>50000</v>
      </c>
      <c r="P183" s="599">
        <v>5112014</v>
      </c>
      <c r="Q183" s="599">
        <v>150043</v>
      </c>
      <c r="R183" s="415">
        <v>278188</v>
      </c>
      <c r="S183" s="416">
        <v>24.602999999999998</v>
      </c>
      <c r="T183" s="416">
        <v>20.363299999999999</v>
      </c>
      <c r="U183" s="423">
        <v>4.2397</v>
      </c>
      <c r="V183" s="424">
        <f t="shared" si="227"/>
        <v>0</v>
      </c>
      <c r="W183" s="418">
        <f t="shared" si="228"/>
        <v>0</v>
      </c>
      <c r="X183" s="418">
        <v>0</v>
      </c>
      <c r="Y183" s="418">
        <v>0</v>
      </c>
      <c r="Z183" s="418">
        <v>0</v>
      </c>
      <c r="AA183" s="418">
        <v>0</v>
      </c>
      <c r="AB183" s="418">
        <v>0</v>
      </c>
      <c r="AC183" s="418">
        <v>0</v>
      </c>
      <c r="AD183" s="418">
        <f t="shared" si="281"/>
        <v>0</v>
      </c>
      <c r="AE183" s="418">
        <f t="shared" si="282"/>
        <v>0</v>
      </c>
      <c r="AF183" s="418">
        <f t="shared" si="229"/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 t="shared" si="230"/>
        <v>0</v>
      </c>
      <c r="AM183" s="418">
        <f t="shared" si="231"/>
        <v>0</v>
      </c>
      <c r="AN183" s="418">
        <f t="shared" si="232"/>
        <v>0</v>
      </c>
      <c r="AO183" s="418">
        <f t="shared" si="233"/>
        <v>0</v>
      </c>
      <c r="AP183" s="418">
        <f t="shared" si="234"/>
        <v>0</v>
      </c>
      <c r="AQ183" s="418">
        <f t="shared" si="235"/>
        <v>0</v>
      </c>
      <c r="AR183" s="68">
        <f t="shared" si="236"/>
        <v>0</v>
      </c>
      <c r="AS183" s="68">
        <f t="shared" si="237"/>
        <v>0</v>
      </c>
      <c r="AT183" s="418">
        <v>0</v>
      </c>
      <c r="AU183" s="418">
        <v>0</v>
      </c>
      <c r="AV183" s="418">
        <f t="shared" si="238"/>
        <v>0</v>
      </c>
      <c r="AW183" s="418">
        <f t="shared" si="239"/>
        <v>0</v>
      </c>
      <c r="AX183" s="419">
        <v>0</v>
      </c>
      <c r="AY183" s="419">
        <v>0</v>
      </c>
      <c r="AZ183" s="419">
        <v>0</v>
      </c>
      <c r="BA183" s="419">
        <v>0</v>
      </c>
      <c r="BB183" s="419">
        <v>0</v>
      </c>
      <c r="BC183" s="419">
        <v>0</v>
      </c>
      <c r="BD183" s="419">
        <v>0</v>
      </c>
      <c r="BE183" s="419">
        <v>0</v>
      </c>
      <c r="BF183" s="419">
        <f t="shared" si="240"/>
        <v>0</v>
      </c>
      <c r="BG183" s="419">
        <f t="shared" si="241"/>
        <v>0</v>
      </c>
      <c r="BH183" s="421">
        <f t="shared" si="242"/>
        <v>0</v>
      </c>
      <c r="BI183" s="780">
        <f t="shared" si="283"/>
        <v>20664547</v>
      </c>
      <c r="BJ183" s="418">
        <f t="shared" si="284"/>
        <v>15004302</v>
      </c>
      <c r="BK183" s="418">
        <f t="shared" si="285"/>
        <v>13660501</v>
      </c>
      <c r="BL183" s="418">
        <f t="shared" si="285"/>
        <v>1343801</v>
      </c>
      <c r="BM183" s="418">
        <f t="shared" si="286"/>
        <v>120000</v>
      </c>
      <c r="BN183" s="418">
        <f t="shared" si="287"/>
        <v>70000</v>
      </c>
      <c r="BO183" s="418">
        <f t="shared" si="287"/>
        <v>50000</v>
      </c>
      <c r="BP183" s="418">
        <f t="shared" si="288"/>
        <v>5112014</v>
      </c>
      <c r="BQ183" s="418">
        <f t="shared" si="288"/>
        <v>150043</v>
      </c>
      <c r="BR183" s="418">
        <f t="shared" si="289"/>
        <v>278188</v>
      </c>
      <c r="BS183" s="419">
        <f t="shared" si="290"/>
        <v>24.602999999999998</v>
      </c>
      <c r="BT183" s="419">
        <f t="shared" si="291"/>
        <v>20.363299999999999</v>
      </c>
      <c r="BU183" s="421">
        <f t="shared" si="291"/>
        <v>4.2397</v>
      </c>
      <c r="BV183" s="420"/>
      <c r="BW183" s="415"/>
      <c r="BX183" s="415"/>
      <c r="BY183" s="415"/>
      <c r="BZ183" s="415"/>
      <c r="CA183" s="510"/>
    </row>
    <row r="184" spans="1:79" ht="14.1" customHeight="1" x14ac:dyDescent="0.2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615</v>
      </c>
      <c r="F184" s="66">
        <v>3113</v>
      </c>
      <c r="G184" s="77" t="s">
        <v>291</v>
      </c>
      <c r="H184" s="67" t="s">
        <v>272</v>
      </c>
      <c r="I184" s="420">
        <v>4597132</v>
      </c>
      <c r="J184" s="415">
        <v>3406626</v>
      </c>
      <c r="K184" s="415">
        <v>3406626</v>
      </c>
      <c r="L184" s="415">
        <v>0</v>
      </c>
      <c r="M184" s="415">
        <v>0</v>
      </c>
      <c r="N184" s="415">
        <v>0</v>
      </c>
      <c r="O184" s="415">
        <v>0</v>
      </c>
      <c r="P184" s="599">
        <v>1151440</v>
      </c>
      <c r="Q184" s="599">
        <v>34066</v>
      </c>
      <c r="R184" s="415">
        <v>5000</v>
      </c>
      <c r="S184" s="416">
        <v>9.01</v>
      </c>
      <c r="T184" s="417">
        <v>9.01</v>
      </c>
      <c r="U184" s="423">
        <v>0</v>
      </c>
      <c r="V184" s="424">
        <f t="shared" si="227"/>
        <v>0</v>
      </c>
      <c r="W184" s="418">
        <f t="shared" si="228"/>
        <v>0</v>
      </c>
      <c r="X184" s="418">
        <v>0</v>
      </c>
      <c r="Y184" s="418">
        <v>0</v>
      </c>
      <c r="Z184" s="418">
        <v>0</v>
      </c>
      <c r="AA184" s="418">
        <v>0</v>
      </c>
      <c r="AB184" s="418">
        <v>0</v>
      </c>
      <c r="AC184" s="418">
        <v>0</v>
      </c>
      <c r="AD184" s="418">
        <f t="shared" si="281"/>
        <v>0</v>
      </c>
      <c r="AE184" s="418">
        <f t="shared" si="282"/>
        <v>0</v>
      </c>
      <c r="AF184" s="418">
        <f t="shared" si="229"/>
        <v>0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 t="shared" si="230"/>
        <v>0</v>
      </c>
      <c r="AM184" s="418">
        <f t="shared" si="231"/>
        <v>0</v>
      </c>
      <c r="AN184" s="418">
        <f t="shared" si="232"/>
        <v>0</v>
      </c>
      <c r="AO184" s="418">
        <f t="shared" si="233"/>
        <v>0</v>
      </c>
      <c r="AP184" s="418">
        <f t="shared" si="234"/>
        <v>0</v>
      </c>
      <c r="AQ184" s="418">
        <f t="shared" si="235"/>
        <v>0</v>
      </c>
      <c r="AR184" s="68">
        <f t="shared" si="236"/>
        <v>0</v>
      </c>
      <c r="AS184" s="68">
        <f t="shared" si="237"/>
        <v>0</v>
      </c>
      <c r="AT184" s="418">
        <v>0</v>
      </c>
      <c r="AU184" s="418">
        <v>0</v>
      </c>
      <c r="AV184" s="418">
        <f t="shared" si="238"/>
        <v>0</v>
      </c>
      <c r="AW184" s="418">
        <f t="shared" si="239"/>
        <v>0</v>
      </c>
      <c r="AX184" s="419">
        <v>0</v>
      </c>
      <c r="AY184" s="419">
        <v>0</v>
      </c>
      <c r="AZ184" s="419">
        <v>0</v>
      </c>
      <c r="BA184" s="419">
        <v>0</v>
      </c>
      <c r="BB184" s="419">
        <v>0</v>
      </c>
      <c r="BC184" s="419">
        <v>0</v>
      </c>
      <c r="BD184" s="419">
        <v>0</v>
      </c>
      <c r="BE184" s="419">
        <v>0</v>
      </c>
      <c r="BF184" s="419">
        <f t="shared" si="240"/>
        <v>0</v>
      </c>
      <c r="BG184" s="419">
        <f t="shared" si="241"/>
        <v>0</v>
      </c>
      <c r="BH184" s="421">
        <f t="shared" si="242"/>
        <v>0</v>
      </c>
      <c r="BI184" s="780">
        <f t="shared" si="283"/>
        <v>4597132</v>
      </c>
      <c r="BJ184" s="418">
        <f t="shared" si="284"/>
        <v>3406626</v>
      </c>
      <c r="BK184" s="418">
        <f t="shared" si="285"/>
        <v>3406626</v>
      </c>
      <c r="BL184" s="418">
        <f t="shared" si="285"/>
        <v>0</v>
      </c>
      <c r="BM184" s="418">
        <f t="shared" si="286"/>
        <v>0</v>
      </c>
      <c r="BN184" s="418">
        <f t="shared" si="287"/>
        <v>0</v>
      </c>
      <c r="BO184" s="418">
        <f t="shared" si="287"/>
        <v>0</v>
      </c>
      <c r="BP184" s="418">
        <f t="shared" si="288"/>
        <v>1151440</v>
      </c>
      <c r="BQ184" s="418">
        <f t="shared" si="288"/>
        <v>34066</v>
      </c>
      <c r="BR184" s="418">
        <f t="shared" si="289"/>
        <v>5000</v>
      </c>
      <c r="BS184" s="419">
        <f t="shared" si="290"/>
        <v>9.01</v>
      </c>
      <c r="BT184" s="419">
        <f t="shared" si="291"/>
        <v>9.01</v>
      </c>
      <c r="BU184" s="421">
        <f t="shared" si="291"/>
        <v>0</v>
      </c>
      <c r="BV184" s="420"/>
      <c r="BW184" s="415"/>
      <c r="BX184" s="415"/>
      <c r="BY184" s="415"/>
      <c r="BZ184" s="415"/>
      <c r="CA184" s="510"/>
    </row>
    <row r="185" spans="1:79" ht="14.1" customHeight="1" x14ac:dyDescent="0.2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615</v>
      </c>
      <c r="F185" s="66">
        <v>3141</v>
      </c>
      <c r="G185" s="65" t="s">
        <v>294</v>
      </c>
      <c r="H185" s="67" t="s">
        <v>272</v>
      </c>
      <c r="I185" s="420">
        <v>1237166</v>
      </c>
      <c r="J185" s="415">
        <v>881501</v>
      </c>
      <c r="K185" s="415">
        <v>0</v>
      </c>
      <c r="L185" s="750">
        <v>881501</v>
      </c>
      <c r="M185" s="415">
        <v>30000</v>
      </c>
      <c r="N185" s="204">
        <v>0</v>
      </c>
      <c r="O185" s="204">
        <v>30000</v>
      </c>
      <c r="P185" s="599">
        <v>308087</v>
      </c>
      <c r="Q185" s="599">
        <v>8815</v>
      </c>
      <c r="R185" s="605">
        <v>8763</v>
      </c>
      <c r="S185" s="416">
        <v>2.7332999999999998</v>
      </c>
      <c r="T185" s="607">
        <v>0</v>
      </c>
      <c r="U185" s="737">
        <v>2.7332999999999998</v>
      </c>
      <c r="V185" s="424">
        <f t="shared" si="227"/>
        <v>0</v>
      </c>
      <c r="W185" s="418">
        <f t="shared" si="228"/>
        <v>0</v>
      </c>
      <c r="X185" s="418">
        <v>0</v>
      </c>
      <c r="Y185" s="418">
        <v>0</v>
      </c>
      <c r="Z185" s="418">
        <v>0</v>
      </c>
      <c r="AA185" s="418">
        <v>456276</v>
      </c>
      <c r="AB185" s="418">
        <v>0</v>
      </c>
      <c r="AC185" s="418">
        <v>0</v>
      </c>
      <c r="AD185" s="418">
        <f t="shared" si="281"/>
        <v>0</v>
      </c>
      <c r="AE185" s="418">
        <f t="shared" si="282"/>
        <v>456276</v>
      </c>
      <c r="AF185" s="418">
        <f t="shared" si="229"/>
        <v>456276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 t="shared" si="230"/>
        <v>0</v>
      </c>
      <c r="AM185" s="418">
        <f t="shared" si="231"/>
        <v>0</v>
      </c>
      <c r="AN185" s="418">
        <f t="shared" si="232"/>
        <v>0</v>
      </c>
      <c r="AO185" s="418">
        <f t="shared" si="233"/>
        <v>0</v>
      </c>
      <c r="AP185" s="418">
        <f t="shared" si="234"/>
        <v>456276</v>
      </c>
      <c r="AQ185" s="418">
        <f t="shared" si="235"/>
        <v>456276</v>
      </c>
      <c r="AR185" s="68">
        <f t="shared" si="236"/>
        <v>154221</v>
      </c>
      <c r="AS185" s="68">
        <f t="shared" si="237"/>
        <v>4563</v>
      </c>
      <c r="AT185" s="418">
        <v>0</v>
      </c>
      <c r="AU185" s="418">
        <v>4215</v>
      </c>
      <c r="AV185" s="418">
        <f t="shared" si="238"/>
        <v>4215</v>
      </c>
      <c r="AW185" s="418">
        <f t="shared" si="239"/>
        <v>619275</v>
      </c>
      <c r="AX185" s="419">
        <v>0</v>
      </c>
      <c r="AY185" s="419">
        <v>0</v>
      </c>
      <c r="AZ185" s="419">
        <v>0</v>
      </c>
      <c r="BA185" s="419">
        <v>0</v>
      </c>
      <c r="BB185" s="419">
        <v>1.37</v>
      </c>
      <c r="BC185" s="419">
        <v>0</v>
      </c>
      <c r="BD185" s="419">
        <v>0</v>
      </c>
      <c r="BE185" s="419">
        <v>0</v>
      </c>
      <c r="BF185" s="419">
        <f t="shared" si="240"/>
        <v>0</v>
      </c>
      <c r="BG185" s="419">
        <f t="shared" si="241"/>
        <v>1.37</v>
      </c>
      <c r="BH185" s="421">
        <f t="shared" si="242"/>
        <v>1.37</v>
      </c>
      <c r="BI185" s="780">
        <f t="shared" si="283"/>
        <v>1856441</v>
      </c>
      <c r="BJ185" s="418">
        <f t="shared" si="284"/>
        <v>1337777</v>
      </c>
      <c r="BK185" s="418">
        <f t="shared" si="285"/>
        <v>0</v>
      </c>
      <c r="BL185" s="418">
        <f t="shared" si="285"/>
        <v>1337777</v>
      </c>
      <c r="BM185" s="418">
        <f t="shared" si="286"/>
        <v>30000</v>
      </c>
      <c r="BN185" s="418">
        <f t="shared" si="287"/>
        <v>0</v>
      </c>
      <c r="BO185" s="418">
        <f t="shared" si="287"/>
        <v>30000</v>
      </c>
      <c r="BP185" s="418">
        <f t="shared" si="288"/>
        <v>462308</v>
      </c>
      <c r="BQ185" s="418">
        <f t="shared" si="288"/>
        <v>13378</v>
      </c>
      <c r="BR185" s="418">
        <f t="shared" si="289"/>
        <v>12978</v>
      </c>
      <c r="BS185" s="419">
        <f t="shared" si="290"/>
        <v>4.1032999999999999</v>
      </c>
      <c r="BT185" s="419">
        <f t="shared" si="291"/>
        <v>0</v>
      </c>
      <c r="BU185" s="421">
        <f t="shared" si="291"/>
        <v>4.1032999999999999</v>
      </c>
      <c r="BV185" s="420"/>
      <c r="BW185" s="415"/>
      <c r="BX185" s="415"/>
      <c r="BY185" s="415"/>
      <c r="BZ185" s="415"/>
      <c r="CA185" s="510"/>
    </row>
    <row r="186" spans="1:79" ht="14.1" customHeight="1" x14ac:dyDescent="0.2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615</v>
      </c>
      <c r="F186" s="66">
        <v>3143</v>
      </c>
      <c r="G186" s="77" t="s">
        <v>595</v>
      </c>
      <c r="H186" s="67" t="s">
        <v>271</v>
      </c>
      <c r="I186" s="420">
        <v>2161646</v>
      </c>
      <c r="J186" s="415">
        <v>1583744</v>
      </c>
      <c r="K186" s="415">
        <v>1583744</v>
      </c>
      <c r="L186" s="415">
        <v>0</v>
      </c>
      <c r="M186" s="415">
        <v>20000</v>
      </c>
      <c r="N186" s="415">
        <v>0</v>
      </c>
      <c r="O186" s="415">
        <v>20000</v>
      </c>
      <c r="P186" s="599">
        <v>542065</v>
      </c>
      <c r="Q186" s="599">
        <v>15837</v>
      </c>
      <c r="R186" s="415">
        <v>0</v>
      </c>
      <c r="S186" s="416">
        <v>3.3022999999999998</v>
      </c>
      <c r="T186" s="416">
        <v>3.3022999999999998</v>
      </c>
      <c r="U186" s="423">
        <v>0</v>
      </c>
      <c r="V186" s="424">
        <f t="shared" si="227"/>
        <v>0</v>
      </c>
      <c r="W186" s="418">
        <f t="shared" si="228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 t="shared" si="281"/>
        <v>0</v>
      </c>
      <c r="AE186" s="418">
        <f t="shared" si="282"/>
        <v>0</v>
      </c>
      <c r="AF186" s="418">
        <f t="shared" si="229"/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 t="shared" si="230"/>
        <v>0</v>
      </c>
      <c r="AM186" s="418">
        <f t="shared" si="231"/>
        <v>0</v>
      </c>
      <c r="AN186" s="418">
        <f t="shared" si="232"/>
        <v>0</v>
      </c>
      <c r="AO186" s="418">
        <f t="shared" si="233"/>
        <v>0</v>
      </c>
      <c r="AP186" s="418">
        <f t="shared" si="234"/>
        <v>0</v>
      </c>
      <c r="AQ186" s="418">
        <f t="shared" si="235"/>
        <v>0</v>
      </c>
      <c r="AR186" s="68">
        <f t="shared" si="236"/>
        <v>0</v>
      </c>
      <c r="AS186" s="68">
        <f t="shared" si="237"/>
        <v>0</v>
      </c>
      <c r="AT186" s="418">
        <v>0</v>
      </c>
      <c r="AU186" s="418">
        <v>0</v>
      </c>
      <c r="AV186" s="418">
        <f t="shared" si="238"/>
        <v>0</v>
      </c>
      <c r="AW186" s="418">
        <f t="shared" si="239"/>
        <v>0</v>
      </c>
      <c r="AX186" s="419">
        <v>0</v>
      </c>
      <c r="AY186" s="419">
        <v>0</v>
      </c>
      <c r="AZ186" s="419">
        <v>0</v>
      </c>
      <c r="BA186" s="419">
        <v>0</v>
      </c>
      <c r="BB186" s="419">
        <v>0</v>
      </c>
      <c r="BC186" s="419">
        <v>0</v>
      </c>
      <c r="BD186" s="419">
        <v>0</v>
      </c>
      <c r="BE186" s="419">
        <v>0</v>
      </c>
      <c r="BF186" s="419">
        <f t="shared" si="240"/>
        <v>0</v>
      </c>
      <c r="BG186" s="419">
        <f t="shared" si="241"/>
        <v>0</v>
      </c>
      <c r="BH186" s="421">
        <f t="shared" si="242"/>
        <v>0</v>
      </c>
      <c r="BI186" s="780">
        <f t="shared" si="283"/>
        <v>2161646</v>
      </c>
      <c r="BJ186" s="418">
        <f t="shared" si="284"/>
        <v>1583744</v>
      </c>
      <c r="BK186" s="418">
        <f t="shared" si="285"/>
        <v>1583744</v>
      </c>
      <c r="BL186" s="418">
        <f t="shared" si="285"/>
        <v>0</v>
      </c>
      <c r="BM186" s="418">
        <f t="shared" si="286"/>
        <v>20000</v>
      </c>
      <c r="BN186" s="418">
        <f t="shared" si="287"/>
        <v>0</v>
      </c>
      <c r="BO186" s="418">
        <f t="shared" si="287"/>
        <v>20000</v>
      </c>
      <c r="BP186" s="418">
        <f t="shared" si="288"/>
        <v>542065</v>
      </c>
      <c r="BQ186" s="418">
        <f t="shared" si="288"/>
        <v>15837</v>
      </c>
      <c r="BR186" s="418">
        <f t="shared" si="289"/>
        <v>0</v>
      </c>
      <c r="BS186" s="419">
        <f t="shared" si="290"/>
        <v>3.3022999999999998</v>
      </c>
      <c r="BT186" s="419">
        <f t="shared" si="291"/>
        <v>3.3022999999999998</v>
      </c>
      <c r="BU186" s="421">
        <f t="shared" si="291"/>
        <v>0</v>
      </c>
      <c r="BV186" s="420"/>
      <c r="BW186" s="415"/>
      <c r="BX186" s="415"/>
      <c r="BY186" s="415"/>
      <c r="BZ186" s="415"/>
      <c r="CA186" s="510"/>
    </row>
    <row r="187" spans="1:79" ht="14.1" customHeight="1" x14ac:dyDescent="0.2">
      <c r="A187" s="66">
        <v>40</v>
      </c>
      <c r="B187" s="63">
        <v>2465</v>
      </c>
      <c r="C187" s="64">
        <v>650018273</v>
      </c>
      <c r="D187" s="63">
        <v>72741791</v>
      </c>
      <c r="E187" s="65" t="s">
        <v>615</v>
      </c>
      <c r="F187" s="66">
        <v>3143</v>
      </c>
      <c r="G187" s="77" t="s">
        <v>596</v>
      </c>
      <c r="H187" s="67" t="s">
        <v>272</v>
      </c>
      <c r="I187" s="420">
        <v>46104</v>
      </c>
      <c r="J187" s="415">
        <v>33000</v>
      </c>
      <c r="K187" s="415">
        <v>0</v>
      </c>
      <c r="L187" s="605">
        <v>33000</v>
      </c>
      <c r="M187" s="415">
        <v>0</v>
      </c>
      <c r="N187" s="415">
        <v>0</v>
      </c>
      <c r="O187" s="415">
        <v>0</v>
      </c>
      <c r="P187" s="599">
        <v>11154</v>
      </c>
      <c r="Q187" s="599">
        <v>330</v>
      </c>
      <c r="R187" s="605">
        <v>1620</v>
      </c>
      <c r="S187" s="416">
        <v>0.125</v>
      </c>
      <c r="T187" s="607">
        <v>0</v>
      </c>
      <c r="U187" s="737">
        <v>0.125</v>
      </c>
      <c r="V187" s="424">
        <f t="shared" si="227"/>
        <v>0</v>
      </c>
      <c r="W187" s="418">
        <f t="shared" si="228"/>
        <v>0</v>
      </c>
      <c r="X187" s="418">
        <v>0</v>
      </c>
      <c r="Y187" s="418">
        <v>0</v>
      </c>
      <c r="Z187" s="418">
        <v>0</v>
      </c>
      <c r="AA187" s="418">
        <v>16500</v>
      </c>
      <c r="AB187" s="418">
        <v>0</v>
      </c>
      <c r="AC187" s="418">
        <v>0</v>
      </c>
      <c r="AD187" s="418">
        <f t="shared" si="281"/>
        <v>0</v>
      </c>
      <c r="AE187" s="418">
        <f t="shared" si="282"/>
        <v>16500</v>
      </c>
      <c r="AF187" s="418">
        <f t="shared" si="229"/>
        <v>16500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 t="shared" si="230"/>
        <v>0</v>
      </c>
      <c r="AM187" s="418">
        <f t="shared" si="231"/>
        <v>0</v>
      </c>
      <c r="AN187" s="418">
        <f t="shared" si="232"/>
        <v>0</v>
      </c>
      <c r="AO187" s="418">
        <f t="shared" si="233"/>
        <v>0</v>
      </c>
      <c r="AP187" s="418">
        <f t="shared" si="234"/>
        <v>16500</v>
      </c>
      <c r="AQ187" s="418">
        <f t="shared" si="235"/>
        <v>16500</v>
      </c>
      <c r="AR187" s="68">
        <f t="shared" si="236"/>
        <v>5577</v>
      </c>
      <c r="AS187" s="68">
        <f t="shared" si="237"/>
        <v>165</v>
      </c>
      <c r="AT187" s="418">
        <v>0</v>
      </c>
      <c r="AU187" s="418">
        <v>810</v>
      </c>
      <c r="AV187" s="418">
        <f t="shared" si="238"/>
        <v>810</v>
      </c>
      <c r="AW187" s="418">
        <f t="shared" si="239"/>
        <v>23052</v>
      </c>
      <c r="AX187" s="419">
        <v>0</v>
      </c>
      <c r="AY187" s="419">
        <v>0</v>
      </c>
      <c r="AZ187" s="419">
        <v>0</v>
      </c>
      <c r="BA187" s="419">
        <v>0</v>
      </c>
      <c r="BB187" s="419">
        <v>0.06</v>
      </c>
      <c r="BC187" s="419">
        <v>0</v>
      </c>
      <c r="BD187" s="419">
        <v>0</v>
      </c>
      <c r="BE187" s="419">
        <v>0</v>
      </c>
      <c r="BF187" s="419">
        <f t="shared" si="240"/>
        <v>0</v>
      </c>
      <c r="BG187" s="419">
        <f t="shared" si="241"/>
        <v>0.06</v>
      </c>
      <c r="BH187" s="421">
        <f t="shared" si="242"/>
        <v>0.06</v>
      </c>
      <c r="BI187" s="780">
        <f t="shared" si="283"/>
        <v>69156</v>
      </c>
      <c r="BJ187" s="418">
        <f t="shared" si="284"/>
        <v>49500</v>
      </c>
      <c r="BK187" s="418">
        <f t="shared" si="285"/>
        <v>0</v>
      </c>
      <c r="BL187" s="418">
        <f t="shared" si="285"/>
        <v>49500</v>
      </c>
      <c r="BM187" s="418">
        <f t="shared" si="286"/>
        <v>0</v>
      </c>
      <c r="BN187" s="418">
        <f t="shared" si="287"/>
        <v>0</v>
      </c>
      <c r="BO187" s="418">
        <f t="shared" si="287"/>
        <v>0</v>
      </c>
      <c r="BP187" s="418">
        <f t="shared" si="288"/>
        <v>16731</v>
      </c>
      <c r="BQ187" s="418">
        <f t="shared" si="288"/>
        <v>495</v>
      </c>
      <c r="BR187" s="418">
        <f t="shared" si="289"/>
        <v>2430</v>
      </c>
      <c r="BS187" s="419">
        <f t="shared" si="290"/>
        <v>0.185</v>
      </c>
      <c r="BT187" s="419">
        <f t="shared" si="291"/>
        <v>0</v>
      </c>
      <c r="BU187" s="421">
        <f t="shared" si="291"/>
        <v>0.185</v>
      </c>
      <c r="BV187" s="420"/>
      <c r="BW187" s="415"/>
      <c r="BX187" s="415"/>
      <c r="BY187" s="415"/>
      <c r="BZ187" s="415"/>
      <c r="CA187" s="510"/>
    </row>
    <row r="188" spans="1:79" ht="14.1" customHeight="1" x14ac:dyDescent="0.2">
      <c r="A188" s="72">
        <v>40</v>
      </c>
      <c r="B188" s="69">
        <v>2465</v>
      </c>
      <c r="C188" s="70">
        <v>650018273</v>
      </c>
      <c r="D188" s="69">
        <v>72741791</v>
      </c>
      <c r="E188" s="71" t="s">
        <v>616</v>
      </c>
      <c r="F188" s="72"/>
      <c r="G188" s="71"/>
      <c r="H188" s="73"/>
      <c r="I188" s="517">
        <v>35260366</v>
      </c>
      <c r="J188" s="74">
        <v>25703367</v>
      </c>
      <c r="K188" s="74">
        <v>23228793</v>
      </c>
      <c r="L188" s="74">
        <v>2474574</v>
      </c>
      <c r="M188" s="74">
        <v>220000</v>
      </c>
      <c r="N188" s="74">
        <v>70000</v>
      </c>
      <c r="O188" s="74">
        <v>150000</v>
      </c>
      <c r="P188" s="74">
        <v>8762098</v>
      </c>
      <c r="Q188" s="74">
        <v>257033</v>
      </c>
      <c r="R188" s="74">
        <v>317868</v>
      </c>
      <c r="S188" s="75">
        <v>48.7759</v>
      </c>
      <c r="T188" s="75">
        <v>40.6111</v>
      </c>
      <c r="U188" s="658">
        <v>8.1647999999999996</v>
      </c>
      <c r="V188" s="517">
        <f t="shared" ref="V188:BU188" si="292">SUM(V182:V187)</f>
        <v>0</v>
      </c>
      <c r="W188" s="74">
        <f t="shared" si="292"/>
        <v>0</v>
      </c>
      <c r="X188" s="74">
        <f t="shared" si="292"/>
        <v>0</v>
      </c>
      <c r="Y188" s="74">
        <f t="shared" si="292"/>
        <v>0</v>
      </c>
      <c r="Z188" s="74">
        <f t="shared" si="292"/>
        <v>0</v>
      </c>
      <c r="AA188" s="74">
        <f t="shared" si="292"/>
        <v>472776</v>
      </c>
      <c r="AB188" s="74">
        <f t="shared" si="292"/>
        <v>0</v>
      </c>
      <c r="AC188" s="74">
        <f t="shared" si="292"/>
        <v>0</v>
      </c>
      <c r="AD188" s="74">
        <f t="shared" si="292"/>
        <v>0</v>
      </c>
      <c r="AE188" s="74">
        <f t="shared" si="292"/>
        <v>472776</v>
      </c>
      <c r="AF188" s="74">
        <f t="shared" si="292"/>
        <v>472776</v>
      </c>
      <c r="AG188" s="74">
        <f t="shared" si="292"/>
        <v>0</v>
      </c>
      <c r="AH188" s="74">
        <f t="shared" si="292"/>
        <v>0</v>
      </c>
      <c r="AI188" s="74">
        <f t="shared" si="292"/>
        <v>0</v>
      </c>
      <c r="AJ188" s="74">
        <f t="shared" si="292"/>
        <v>0</v>
      </c>
      <c r="AK188" s="74">
        <f t="shared" si="292"/>
        <v>0</v>
      </c>
      <c r="AL188" s="74">
        <f t="shared" si="292"/>
        <v>0</v>
      </c>
      <c r="AM188" s="74">
        <f t="shared" si="292"/>
        <v>0</v>
      </c>
      <c r="AN188" s="74">
        <f t="shared" si="292"/>
        <v>0</v>
      </c>
      <c r="AO188" s="74">
        <f t="shared" si="292"/>
        <v>0</v>
      </c>
      <c r="AP188" s="74">
        <f t="shared" si="292"/>
        <v>472776</v>
      </c>
      <c r="AQ188" s="74">
        <f t="shared" si="292"/>
        <v>472776</v>
      </c>
      <c r="AR188" s="74">
        <f t="shared" si="292"/>
        <v>159798</v>
      </c>
      <c r="AS188" s="74">
        <f t="shared" si="292"/>
        <v>4728</v>
      </c>
      <c r="AT188" s="74">
        <f t="shared" si="292"/>
        <v>0</v>
      </c>
      <c r="AU188" s="74">
        <f t="shared" si="292"/>
        <v>5025</v>
      </c>
      <c r="AV188" s="74">
        <f t="shared" si="292"/>
        <v>5025</v>
      </c>
      <c r="AW188" s="74">
        <f t="shared" si="292"/>
        <v>642327</v>
      </c>
      <c r="AX188" s="75">
        <f t="shared" si="292"/>
        <v>0</v>
      </c>
      <c r="AY188" s="75">
        <f t="shared" si="292"/>
        <v>0</v>
      </c>
      <c r="AZ188" s="75">
        <f t="shared" si="292"/>
        <v>0</v>
      </c>
      <c r="BA188" s="75">
        <f t="shared" si="292"/>
        <v>0</v>
      </c>
      <c r="BB188" s="75">
        <f t="shared" si="292"/>
        <v>1.4300000000000002</v>
      </c>
      <c r="BC188" s="75">
        <f t="shared" si="292"/>
        <v>0</v>
      </c>
      <c r="BD188" s="75">
        <f t="shared" si="292"/>
        <v>0</v>
      </c>
      <c r="BE188" s="75">
        <f t="shared" si="292"/>
        <v>0</v>
      </c>
      <c r="BF188" s="75">
        <f t="shared" si="292"/>
        <v>0</v>
      </c>
      <c r="BG188" s="75">
        <f t="shared" si="292"/>
        <v>1.4300000000000002</v>
      </c>
      <c r="BH188" s="76">
        <f t="shared" si="292"/>
        <v>1.4300000000000002</v>
      </c>
      <c r="BI188" s="799">
        <f t="shared" si="292"/>
        <v>35902693</v>
      </c>
      <c r="BJ188" s="74">
        <f t="shared" si="292"/>
        <v>26176143</v>
      </c>
      <c r="BK188" s="74">
        <f t="shared" si="292"/>
        <v>23228793</v>
      </c>
      <c r="BL188" s="74">
        <f t="shared" si="292"/>
        <v>2947350</v>
      </c>
      <c r="BM188" s="74">
        <f t="shared" si="292"/>
        <v>220000</v>
      </c>
      <c r="BN188" s="74">
        <f t="shared" si="292"/>
        <v>70000</v>
      </c>
      <c r="BO188" s="74">
        <f t="shared" si="292"/>
        <v>150000</v>
      </c>
      <c r="BP188" s="74">
        <f t="shared" si="292"/>
        <v>8921896</v>
      </c>
      <c r="BQ188" s="74">
        <f t="shared" si="292"/>
        <v>261761</v>
      </c>
      <c r="BR188" s="74">
        <f t="shared" si="292"/>
        <v>322893</v>
      </c>
      <c r="BS188" s="75">
        <f t="shared" si="292"/>
        <v>50.2059</v>
      </c>
      <c r="BT188" s="75">
        <f t="shared" si="292"/>
        <v>40.6111</v>
      </c>
      <c r="BU188" s="76">
        <f t="shared" si="292"/>
        <v>9.5948000000000011</v>
      </c>
      <c r="BV188" s="809">
        <f t="shared" ref="BV188:CA188" si="293">SUM(BV182:BV187)</f>
        <v>0</v>
      </c>
      <c r="BW188" s="684">
        <f t="shared" si="293"/>
        <v>0</v>
      </c>
      <c r="BX188" s="684">
        <f t="shared" si="293"/>
        <v>0</v>
      </c>
      <c r="BY188" s="684">
        <f t="shared" si="293"/>
        <v>0</v>
      </c>
      <c r="BZ188" s="684">
        <f t="shared" si="293"/>
        <v>0</v>
      </c>
      <c r="CA188" s="810">
        <f t="shared" si="293"/>
        <v>0</v>
      </c>
    </row>
    <row r="189" spans="1:79" ht="14.1" customHeight="1" x14ac:dyDescent="0.2">
      <c r="A189" s="66">
        <v>41</v>
      </c>
      <c r="B189" s="63">
        <v>2480</v>
      </c>
      <c r="C189" s="64">
        <v>600080293</v>
      </c>
      <c r="D189" s="63">
        <v>46744924</v>
      </c>
      <c r="E189" s="65" t="s">
        <v>617</v>
      </c>
      <c r="F189" s="66">
        <v>3113</v>
      </c>
      <c r="G189" s="65" t="s">
        <v>293</v>
      </c>
      <c r="H189" s="67" t="s">
        <v>271</v>
      </c>
      <c r="I189" s="420">
        <v>36363840</v>
      </c>
      <c r="J189" s="415">
        <v>26593362</v>
      </c>
      <c r="K189" s="415">
        <v>24982918</v>
      </c>
      <c r="L189" s="415">
        <v>1610444</v>
      </c>
      <c r="M189" s="415">
        <v>20000</v>
      </c>
      <c r="N189" s="415">
        <v>10000</v>
      </c>
      <c r="O189" s="415">
        <v>10000</v>
      </c>
      <c r="P189" s="599">
        <v>8995316</v>
      </c>
      <c r="Q189" s="599">
        <v>265933</v>
      </c>
      <c r="R189" s="415">
        <v>489229</v>
      </c>
      <c r="S189" s="416">
        <v>38.515299999999996</v>
      </c>
      <c r="T189" s="416">
        <v>33.635300000000001</v>
      </c>
      <c r="U189" s="423">
        <v>4.8800000000000008</v>
      </c>
      <c r="V189" s="424">
        <f t="shared" si="227"/>
        <v>0</v>
      </c>
      <c r="W189" s="418">
        <f t="shared" si="228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ref="AD189:AD194" si="294">V189+X189+Y189+Z189+AB189</f>
        <v>0</v>
      </c>
      <c r="AE189" s="418">
        <f t="shared" ref="AE189:AE194" si="295">W189+AA189+AC189</f>
        <v>0</v>
      </c>
      <c r="AF189" s="418">
        <f t="shared" si="229"/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si="230"/>
        <v>0</v>
      </c>
      <c r="AM189" s="418">
        <f t="shared" si="231"/>
        <v>0</v>
      </c>
      <c r="AN189" s="418">
        <f t="shared" si="232"/>
        <v>0</v>
      </c>
      <c r="AO189" s="418">
        <f t="shared" si="233"/>
        <v>0</v>
      </c>
      <c r="AP189" s="418">
        <f t="shared" si="234"/>
        <v>0</v>
      </c>
      <c r="AQ189" s="418">
        <f t="shared" si="235"/>
        <v>0</v>
      </c>
      <c r="AR189" s="68">
        <f t="shared" si="236"/>
        <v>0</v>
      </c>
      <c r="AS189" s="68">
        <f t="shared" si="237"/>
        <v>0</v>
      </c>
      <c r="AT189" s="418">
        <v>0</v>
      </c>
      <c r="AU189" s="418">
        <v>0</v>
      </c>
      <c r="AV189" s="418">
        <f t="shared" si="238"/>
        <v>0</v>
      </c>
      <c r="AW189" s="418">
        <f t="shared" si="239"/>
        <v>0</v>
      </c>
      <c r="AX189" s="419">
        <v>0</v>
      </c>
      <c r="AY189" s="419">
        <v>0</v>
      </c>
      <c r="AZ189" s="419">
        <v>0</v>
      </c>
      <c r="BA189" s="419">
        <v>0</v>
      </c>
      <c r="BB189" s="419">
        <v>0</v>
      </c>
      <c r="BC189" s="419">
        <v>0</v>
      </c>
      <c r="BD189" s="419">
        <v>0</v>
      </c>
      <c r="BE189" s="419">
        <v>0</v>
      </c>
      <c r="BF189" s="419">
        <f t="shared" si="240"/>
        <v>0</v>
      </c>
      <c r="BG189" s="419">
        <f t="shared" si="241"/>
        <v>0</v>
      </c>
      <c r="BH189" s="421">
        <f t="shared" si="242"/>
        <v>0</v>
      </c>
      <c r="BI189" s="780">
        <f t="shared" ref="BI189:BI194" si="296">I189+AW189</f>
        <v>36363840</v>
      </c>
      <c r="BJ189" s="418">
        <f t="shared" ref="BJ189:BJ194" si="297">J189+AF189</f>
        <v>26593362</v>
      </c>
      <c r="BK189" s="418">
        <f t="shared" ref="BK189:BL194" si="298">K189+AD189</f>
        <v>24982918</v>
      </c>
      <c r="BL189" s="418">
        <f t="shared" si="298"/>
        <v>1610444</v>
      </c>
      <c r="BM189" s="418">
        <f t="shared" ref="BM189:BM194" si="299">M189+AN189</f>
        <v>20000</v>
      </c>
      <c r="BN189" s="418">
        <f t="shared" ref="BN189:BO194" si="300">N189+AL189</f>
        <v>10000</v>
      </c>
      <c r="BO189" s="418">
        <f t="shared" si="300"/>
        <v>10000</v>
      </c>
      <c r="BP189" s="418">
        <f t="shared" ref="BP189:BQ194" si="301">P189+AR189</f>
        <v>8995316</v>
      </c>
      <c r="BQ189" s="418">
        <f t="shared" si="301"/>
        <v>265933</v>
      </c>
      <c r="BR189" s="418">
        <f t="shared" ref="BR189:BR194" si="302">R189+AV189</f>
        <v>489229</v>
      </c>
      <c r="BS189" s="419">
        <f t="shared" ref="BS189:BS194" si="303">S189+BH189</f>
        <v>38.515299999999996</v>
      </c>
      <c r="BT189" s="419">
        <f t="shared" ref="BT189:BU194" si="304">T189+BF189</f>
        <v>33.635300000000001</v>
      </c>
      <c r="BU189" s="421">
        <f t="shared" si="304"/>
        <v>4.8800000000000008</v>
      </c>
      <c r="BV189" s="420">
        <v>836299</v>
      </c>
      <c r="BW189" s="415">
        <v>620400</v>
      </c>
      <c r="BX189" s="415">
        <v>0</v>
      </c>
      <c r="BY189" s="415">
        <v>209695</v>
      </c>
      <c r="BZ189" s="415">
        <v>6204</v>
      </c>
      <c r="CA189" s="510">
        <v>1.1000000000000001</v>
      </c>
    </row>
    <row r="190" spans="1:79" ht="14.1" customHeight="1" x14ac:dyDescent="0.2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617</v>
      </c>
      <c r="F190" s="66">
        <v>3113</v>
      </c>
      <c r="G190" s="77" t="s">
        <v>291</v>
      </c>
      <c r="H190" s="67" t="s">
        <v>272</v>
      </c>
      <c r="I190" s="420">
        <v>2491496</v>
      </c>
      <c r="J190" s="415">
        <v>1848291</v>
      </c>
      <c r="K190" s="415">
        <v>1848291</v>
      </c>
      <c r="L190" s="415">
        <v>0</v>
      </c>
      <c r="M190" s="415">
        <v>0</v>
      </c>
      <c r="N190" s="415">
        <v>0</v>
      </c>
      <c r="O190" s="415">
        <v>0</v>
      </c>
      <c r="P190" s="599">
        <v>624722</v>
      </c>
      <c r="Q190" s="599">
        <v>18483</v>
      </c>
      <c r="R190" s="415">
        <v>0</v>
      </c>
      <c r="S190" s="416">
        <v>4.7699999999999996</v>
      </c>
      <c r="T190" s="417">
        <v>4.7699999999999996</v>
      </c>
      <c r="U190" s="423">
        <v>0</v>
      </c>
      <c r="V190" s="424">
        <f t="shared" si="227"/>
        <v>0</v>
      </c>
      <c r="W190" s="418">
        <f t="shared" si="228"/>
        <v>0</v>
      </c>
      <c r="X190" s="418">
        <v>-139051</v>
      </c>
      <c r="Y190" s="418">
        <v>0</v>
      </c>
      <c r="Z190" s="418">
        <v>0</v>
      </c>
      <c r="AA190" s="418">
        <v>0</v>
      </c>
      <c r="AB190" s="418">
        <v>0</v>
      </c>
      <c r="AC190" s="418">
        <v>0</v>
      </c>
      <c r="AD190" s="418">
        <f t="shared" si="294"/>
        <v>-139051</v>
      </c>
      <c r="AE190" s="418">
        <f t="shared" si="295"/>
        <v>0</v>
      </c>
      <c r="AF190" s="418">
        <f t="shared" si="229"/>
        <v>-139051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230"/>
        <v>0</v>
      </c>
      <c r="AM190" s="418">
        <f t="shared" si="231"/>
        <v>0</v>
      </c>
      <c r="AN190" s="418">
        <f t="shared" si="232"/>
        <v>0</v>
      </c>
      <c r="AO190" s="418">
        <f t="shared" si="233"/>
        <v>-139051</v>
      </c>
      <c r="AP190" s="418">
        <f t="shared" si="234"/>
        <v>0</v>
      </c>
      <c r="AQ190" s="418">
        <f t="shared" si="235"/>
        <v>-139051</v>
      </c>
      <c r="AR190" s="68">
        <f t="shared" si="236"/>
        <v>-46999</v>
      </c>
      <c r="AS190" s="68">
        <f t="shared" si="237"/>
        <v>-1391</v>
      </c>
      <c r="AT190" s="418">
        <v>0</v>
      </c>
      <c r="AU190" s="418">
        <v>0</v>
      </c>
      <c r="AV190" s="418">
        <f t="shared" si="238"/>
        <v>0</v>
      </c>
      <c r="AW190" s="418">
        <f t="shared" si="239"/>
        <v>-187441</v>
      </c>
      <c r="AX190" s="419">
        <v>0</v>
      </c>
      <c r="AY190" s="419">
        <v>0</v>
      </c>
      <c r="AZ190" s="419">
        <v>-0.38</v>
      </c>
      <c r="BA190" s="419">
        <v>0</v>
      </c>
      <c r="BB190" s="419">
        <v>0</v>
      </c>
      <c r="BC190" s="419">
        <v>0</v>
      </c>
      <c r="BD190" s="419">
        <v>0</v>
      </c>
      <c r="BE190" s="419">
        <v>0</v>
      </c>
      <c r="BF190" s="419">
        <f t="shared" si="240"/>
        <v>-0.38</v>
      </c>
      <c r="BG190" s="419">
        <f t="shared" si="241"/>
        <v>0</v>
      </c>
      <c r="BH190" s="421">
        <f t="shared" si="242"/>
        <v>-0.38</v>
      </c>
      <c r="BI190" s="780">
        <f t="shared" si="296"/>
        <v>2304055</v>
      </c>
      <c r="BJ190" s="418">
        <f t="shared" si="297"/>
        <v>1709240</v>
      </c>
      <c r="BK190" s="418">
        <f t="shared" si="298"/>
        <v>1709240</v>
      </c>
      <c r="BL190" s="418">
        <f t="shared" si="298"/>
        <v>0</v>
      </c>
      <c r="BM190" s="418">
        <f t="shared" si="299"/>
        <v>0</v>
      </c>
      <c r="BN190" s="418">
        <f t="shared" si="300"/>
        <v>0</v>
      </c>
      <c r="BO190" s="418">
        <f t="shared" si="300"/>
        <v>0</v>
      </c>
      <c r="BP190" s="418">
        <f t="shared" si="301"/>
        <v>577723</v>
      </c>
      <c r="BQ190" s="418">
        <f t="shared" si="301"/>
        <v>17092</v>
      </c>
      <c r="BR190" s="418">
        <f t="shared" si="302"/>
        <v>0</v>
      </c>
      <c r="BS190" s="419">
        <f t="shared" si="303"/>
        <v>4.3899999999999997</v>
      </c>
      <c r="BT190" s="419">
        <f t="shared" si="304"/>
        <v>4.3899999999999997</v>
      </c>
      <c r="BU190" s="421">
        <f t="shared" si="304"/>
        <v>0</v>
      </c>
      <c r="BV190" s="420"/>
      <c r="BW190" s="415"/>
      <c r="BX190" s="415"/>
      <c r="BY190" s="415"/>
      <c r="BZ190" s="415"/>
      <c r="CA190" s="510"/>
    </row>
    <row r="191" spans="1:79" ht="13.5" customHeight="1" x14ac:dyDescent="0.2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617</v>
      </c>
      <c r="F191" s="66">
        <v>3141</v>
      </c>
      <c r="G191" s="65" t="s">
        <v>294</v>
      </c>
      <c r="H191" s="67" t="s">
        <v>272</v>
      </c>
      <c r="I191" s="420">
        <v>2088004</v>
      </c>
      <c r="J191" s="415">
        <v>1536242</v>
      </c>
      <c r="K191" s="415">
        <v>0</v>
      </c>
      <c r="L191" s="750">
        <v>1536242</v>
      </c>
      <c r="M191" s="415">
        <v>0</v>
      </c>
      <c r="N191" s="204">
        <v>0</v>
      </c>
      <c r="O191" s="204">
        <v>0</v>
      </c>
      <c r="P191" s="599">
        <v>519250</v>
      </c>
      <c r="Q191" s="599">
        <v>15362</v>
      </c>
      <c r="R191" s="605">
        <v>17150</v>
      </c>
      <c r="S191" s="416">
        <v>4.6067</v>
      </c>
      <c r="T191" s="607">
        <v>0</v>
      </c>
      <c r="U191" s="737">
        <v>4.6067</v>
      </c>
      <c r="V191" s="424">
        <f t="shared" si="227"/>
        <v>0</v>
      </c>
      <c r="W191" s="418">
        <f t="shared" si="228"/>
        <v>0</v>
      </c>
      <c r="X191" s="418">
        <v>0</v>
      </c>
      <c r="Y191" s="418">
        <v>0</v>
      </c>
      <c r="Z191" s="418">
        <v>0</v>
      </c>
      <c r="AA191" s="418">
        <v>769252</v>
      </c>
      <c r="AB191" s="418">
        <v>0</v>
      </c>
      <c r="AC191" s="418">
        <v>0</v>
      </c>
      <c r="AD191" s="418">
        <f t="shared" si="294"/>
        <v>0</v>
      </c>
      <c r="AE191" s="418">
        <f t="shared" si="295"/>
        <v>769252</v>
      </c>
      <c r="AF191" s="418">
        <f t="shared" si="229"/>
        <v>769252</v>
      </c>
      <c r="AG191" s="418">
        <v>0</v>
      </c>
      <c r="AH191" s="418">
        <v>0</v>
      </c>
      <c r="AI191" s="418">
        <v>0</v>
      </c>
      <c r="AJ191" s="418">
        <v>0</v>
      </c>
      <c r="AK191" s="418">
        <v>0</v>
      </c>
      <c r="AL191" s="418">
        <f t="shared" si="230"/>
        <v>0</v>
      </c>
      <c r="AM191" s="418">
        <f t="shared" si="231"/>
        <v>0</v>
      </c>
      <c r="AN191" s="418">
        <f t="shared" si="232"/>
        <v>0</v>
      </c>
      <c r="AO191" s="418">
        <f t="shared" si="233"/>
        <v>0</v>
      </c>
      <c r="AP191" s="418">
        <f t="shared" si="234"/>
        <v>769252</v>
      </c>
      <c r="AQ191" s="418">
        <f t="shared" si="235"/>
        <v>769252</v>
      </c>
      <c r="AR191" s="68">
        <f t="shared" si="236"/>
        <v>260007</v>
      </c>
      <c r="AS191" s="68">
        <f t="shared" si="237"/>
        <v>7693</v>
      </c>
      <c r="AT191" s="418">
        <v>0</v>
      </c>
      <c r="AU191" s="418">
        <v>8330</v>
      </c>
      <c r="AV191" s="418">
        <f t="shared" si="238"/>
        <v>8330</v>
      </c>
      <c r="AW191" s="418">
        <f t="shared" si="239"/>
        <v>1045282</v>
      </c>
      <c r="AX191" s="419">
        <v>0</v>
      </c>
      <c r="AY191" s="419">
        <v>0</v>
      </c>
      <c r="AZ191" s="419">
        <v>0</v>
      </c>
      <c r="BA191" s="419">
        <v>0</v>
      </c>
      <c r="BB191" s="419">
        <v>2.2999999999999998</v>
      </c>
      <c r="BC191" s="419">
        <v>0</v>
      </c>
      <c r="BD191" s="419">
        <v>0</v>
      </c>
      <c r="BE191" s="419">
        <v>0</v>
      </c>
      <c r="BF191" s="419">
        <f t="shared" si="240"/>
        <v>0</v>
      </c>
      <c r="BG191" s="419">
        <f t="shared" si="241"/>
        <v>2.2999999999999998</v>
      </c>
      <c r="BH191" s="421">
        <f t="shared" si="242"/>
        <v>2.2999999999999998</v>
      </c>
      <c r="BI191" s="780">
        <f t="shared" si="296"/>
        <v>3133286</v>
      </c>
      <c r="BJ191" s="418">
        <f t="shared" si="297"/>
        <v>2305494</v>
      </c>
      <c r="BK191" s="418">
        <f t="shared" si="298"/>
        <v>0</v>
      </c>
      <c r="BL191" s="418">
        <f t="shared" si="298"/>
        <v>2305494</v>
      </c>
      <c r="BM191" s="418">
        <f t="shared" si="299"/>
        <v>0</v>
      </c>
      <c r="BN191" s="418">
        <f t="shared" si="300"/>
        <v>0</v>
      </c>
      <c r="BO191" s="418">
        <f t="shared" si="300"/>
        <v>0</v>
      </c>
      <c r="BP191" s="418">
        <f t="shared" si="301"/>
        <v>779257</v>
      </c>
      <c r="BQ191" s="418">
        <f t="shared" si="301"/>
        <v>23055</v>
      </c>
      <c r="BR191" s="418">
        <f t="shared" si="302"/>
        <v>25480</v>
      </c>
      <c r="BS191" s="419">
        <f t="shared" si="303"/>
        <v>6.9066999999999998</v>
      </c>
      <c r="BT191" s="419">
        <f t="shared" si="304"/>
        <v>0</v>
      </c>
      <c r="BU191" s="421">
        <f t="shared" si="304"/>
        <v>6.9066999999999998</v>
      </c>
      <c r="BV191" s="420"/>
      <c r="BW191" s="415"/>
      <c r="BX191" s="415"/>
      <c r="BY191" s="415"/>
      <c r="BZ191" s="415"/>
      <c r="CA191" s="510"/>
    </row>
    <row r="192" spans="1:79" ht="14.1" customHeight="1" x14ac:dyDescent="0.2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617</v>
      </c>
      <c r="F192" s="66">
        <v>3143</v>
      </c>
      <c r="G192" s="77" t="s">
        <v>595</v>
      </c>
      <c r="H192" s="67" t="s">
        <v>271</v>
      </c>
      <c r="I192" s="420">
        <v>3436035</v>
      </c>
      <c r="J192" s="415">
        <v>2548987</v>
      </c>
      <c r="K192" s="415">
        <v>2548987</v>
      </c>
      <c r="L192" s="415">
        <v>0</v>
      </c>
      <c r="M192" s="415">
        <v>0</v>
      </c>
      <c r="N192" s="415">
        <v>0</v>
      </c>
      <c r="O192" s="415">
        <v>0</v>
      </c>
      <c r="P192" s="599">
        <v>861558</v>
      </c>
      <c r="Q192" s="599">
        <v>25490</v>
      </c>
      <c r="R192" s="415">
        <v>0</v>
      </c>
      <c r="S192" s="416">
        <v>5.1100000000000003</v>
      </c>
      <c r="T192" s="416">
        <v>5.1100000000000003</v>
      </c>
      <c r="U192" s="423">
        <v>0</v>
      </c>
      <c r="V192" s="424">
        <f t="shared" si="227"/>
        <v>0</v>
      </c>
      <c r="W192" s="418">
        <f t="shared" si="228"/>
        <v>0</v>
      </c>
      <c r="X192" s="418">
        <v>0</v>
      </c>
      <c r="Y192" s="418">
        <v>0</v>
      </c>
      <c r="Z192" s="418">
        <v>0</v>
      </c>
      <c r="AA192" s="418">
        <v>0</v>
      </c>
      <c r="AB192" s="418">
        <v>0</v>
      </c>
      <c r="AC192" s="418">
        <v>0</v>
      </c>
      <c r="AD192" s="418">
        <f t="shared" si="294"/>
        <v>0</v>
      </c>
      <c r="AE192" s="418">
        <f t="shared" si="295"/>
        <v>0</v>
      </c>
      <c r="AF192" s="418">
        <f t="shared" si="229"/>
        <v>0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si="230"/>
        <v>0</v>
      </c>
      <c r="AM192" s="418">
        <f t="shared" si="231"/>
        <v>0</v>
      </c>
      <c r="AN192" s="418">
        <f t="shared" si="232"/>
        <v>0</v>
      </c>
      <c r="AO192" s="418">
        <f t="shared" si="233"/>
        <v>0</v>
      </c>
      <c r="AP192" s="418">
        <f t="shared" si="234"/>
        <v>0</v>
      </c>
      <c r="AQ192" s="418">
        <f t="shared" si="235"/>
        <v>0</v>
      </c>
      <c r="AR192" s="68">
        <f t="shared" si="236"/>
        <v>0</v>
      </c>
      <c r="AS192" s="68">
        <f t="shared" si="237"/>
        <v>0</v>
      </c>
      <c r="AT192" s="418">
        <v>0</v>
      </c>
      <c r="AU192" s="418">
        <v>0</v>
      </c>
      <c r="AV192" s="418">
        <f t="shared" si="238"/>
        <v>0</v>
      </c>
      <c r="AW192" s="418">
        <f t="shared" si="239"/>
        <v>0</v>
      </c>
      <c r="AX192" s="419">
        <v>0</v>
      </c>
      <c r="AY192" s="419">
        <v>0</v>
      </c>
      <c r="AZ192" s="419">
        <v>0</v>
      </c>
      <c r="BA192" s="419">
        <v>0</v>
      </c>
      <c r="BB192" s="419">
        <v>0</v>
      </c>
      <c r="BC192" s="419">
        <v>0</v>
      </c>
      <c r="BD192" s="419">
        <v>0</v>
      </c>
      <c r="BE192" s="419">
        <v>0</v>
      </c>
      <c r="BF192" s="419">
        <f t="shared" si="240"/>
        <v>0</v>
      </c>
      <c r="BG192" s="419">
        <f t="shared" si="241"/>
        <v>0</v>
      </c>
      <c r="BH192" s="421">
        <f t="shared" si="242"/>
        <v>0</v>
      </c>
      <c r="BI192" s="780">
        <f t="shared" si="296"/>
        <v>3436035</v>
      </c>
      <c r="BJ192" s="418">
        <f t="shared" si="297"/>
        <v>2548987</v>
      </c>
      <c r="BK192" s="418">
        <f t="shared" si="298"/>
        <v>2548987</v>
      </c>
      <c r="BL192" s="418">
        <f t="shared" si="298"/>
        <v>0</v>
      </c>
      <c r="BM192" s="418">
        <f t="shared" si="299"/>
        <v>0</v>
      </c>
      <c r="BN192" s="418">
        <f t="shared" si="300"/>
        <v>0</v>
      </c>
      <c r="BO192" s="418">
        <f t="shared" si="300"/>
        <v>0</v>
      </c>
      <c r="BP192" s="418">
        <f t="shared" si="301"/>
        <v>861558</v>
      </c>
      <c r="BQ192" s="418">
        <f t="shared" si="301"/>
        <v>25490</v>
      </c>
      <c r="BR192" s="418">
        <f t="shared" si="302"/>
        <v>0</v>
      </c>
      <c r="BS192" s="419">
        <f t="shared" si="303"/>
        <v>5.1100000000000003</v>
      </c>
      <c r="BT192" s="419">
        <f t="shared" si="304"/>
        <v>5.1100000000000003</v>
      </c>
      <c r="BU192" s="421">
        <f t="shared" si="304"/>
        <v>0</v>
      </c>
      <c r="BV192" s="420"/>
      <c r="BW192" s="415"/>
      <c r="BX192" s="415"/>
      <c r="BY192" s="415"/>
      <c r="BZ192" s="415"/>
      <c r="CA192" s="510"/>
    </row>
    <row r="193" spans="1:79" ht="14.1" customHeight="1" x14ac:dyDescent="0.2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617</v>
      </c>
      <c r="F193" s="66">
        <v>3143</v>
      </c>
      <c r="G193" s="77" t="s">
        <v>596</v>
      </c>
      <c r="H193" s="67" t="s">
        <v>272</v>
      </c>
      <c r="I193" s="420">
        <v>82987</v>
      </c>
      <c r="J193" s="415">
        <v>59400</v>
      </c>
      <c r="K193" s="415">
        <v>0</v>
      </c>
      <c r="L193" s="605">
        <v>59400</v>
      </c>
      <c r="M193" s="415">
        <v>0</v>
      </c>
      <c r="N193" s="415">
        <v>0</v>
      </c>
      <c r="O193" s="415">
        <v>0</v>
      </c>
      <c r="P193" s="599">
        <v>20077</v>
      </c>
      <c r="Q193" s="599">
        <v>594</v>
      </c>
      <c r="R193" s="606">
        <v>2916</v>
      </c>
      <c r="S193" s="416">
        <v>0.22500000000000001</v>
      </c>
      <c r="T193" s="609">
        <v>0</v>
      </c>
      <c r="U193" s="737">
        <v>0.22500000000000001</v>
      </c>
      <c r="V193" s="424">
        <f t="shared" si="227"/>
        <v>0</v>
      </c>
      <c r="W193" s="418">
        <f t="shared" si="228"/>
        <v>0</v>
      </c>
      <c r="X193" s="418">
        <v>0</v>
      </c>
      <c r="Y193" s="418">
        <v>0</v>
      </c>
      <c r="Z193" s="418">
        <v>0</v>
      </c>
      <c r="AA193" s="418">
        <v>29700</v>
      </c>
      <c r="AB193" s="418">
        <v>0</v>
      </c>
      <c r="AC193" s="418">
        <v>0</v>
      </c>
      <c r="AD193" s="418">
        <f t="shared" si="294"/>
        <v>0</v>
      </c>
      <c r="AE193" s="418">
        <f t="shared" si="295"/>
        <v>29700</v>
      </c>
      <c r="AF193" s="418">
        <f t="shared" si="229"/>
        <v>29700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230"/>
        <v>0</v>
      </c>
      <c r="AM193" s="418">
        <f t="shared" si="231"/>
        <v>0</v>
      </c>
      <c r="AN193" s="418">
        <f t="shared" si="232"/>
        <v>0</v>
      </c>
      <c r="AO193" s="418">
        <f t="shared" si="233"/>
        <v>0</v>
      </c>
      <c r="AP193" s="418">
        <f t="shared" si="234"/>
        <v>29700</v>
      </c>
      <c r="AQ193" s="418">
        <f t="shared" si="235"/>
        <v>29700</v>
      </c>
      <c r="AR193" s="68">
        <f t="shared" si="236"/>
        <v>10039</v>
      </c>
      <c r="AS193" s="68">
        <f t="shared" si="237"/>
        <v>297</v>
      </c>
      <c r="AT193" s="418">
        <v>0</v>
      </c>
      <c r="AU193" s="418">
        <v>1458</v>
      </c>
      <c r="AV193" s="418">
        <f t="shared" si="238"/>
        <v>1458</v>
      </c>
      <c r="AW193" s="418">
        <f t="shared" si="239"/>
        <v>41494</v>
      </c>
      <c r="AX193" s="419">
        <v>0</v>
      </c>
      <c r="AY193" s="419">
        <v>0</v>
      </c>
      <c r="AZ193" s="419">
        <v>0</v>
      </c>
      <c r="BA193" s="419">
        <v>0</v>
      </c>
      <c r="BB193" s="419">
        <v>0.11</v>
      </c>
      <c r="BC193" s="419">
        <v>0</v>
      </c>
      <c r="BD193" s="419">
        <v>0</v>
      </c>
      <c r="BE193" s="419">
        <v>0</v>
      </c>
      <c r="BF193" s="419">
        <f t="shared" si="240"/>
        <v>0</v>
      </c>
      <c r="BG193" s="419">
        <f t="shared" si="241"/>
        <v>0.11</v>
      </c>
      <c r="BH193" s="421">
        <f t="shared" si="242"/>
        <v>0.11</v>
      </c>
      <c r="BI193" s="780">
        <f t="shared" si="296"/>
        <v>124481</v>
      </c>
      <c r="BJ193" s="418">
        <f t="shared" si="297"/>
        <v>89100</v>
      </c>
      <c r="BK193" s="418">
        <f t="shared" si="298"/>
        <v>0</v>
      </c>
      <c r="BL193" s="418">
        <f t="shared" si="298"/>
        <v>89100</v>
      </c>
      <c r="BM193" s="418">
        <f t="shared" si="299"/>
        <v>0</v>
      </c>
      <c r="BN193" s="418">
        <f t="shared" si="300"/>
        <v>0</v>
      </c>
      <c r="BO193" s="418">
        <f t="shared" si="300"/>
        <v>0</v>
      </c>
      <c r="BP193" s="418">
        <f t="shared" si="301"/>
        <v>30116</v>
      </c>
      <c r="BQ193" s="418">
        <f t="shared" si="301"/>
        <v>891</v>
      </c>
      <c r="BR193" s="418">
        <f t="shared" si="302"/>
        <v>4374</v>
      </c>
      <c r="BS193" s="419">
        <f t="shared" si="303"/>
        <v>0.33500000000000002</v>
      </c>
      <c r="BT193" s="419">
        <f t="shared" si="304"/>
        <v>0</v>
      </c>
      <c r="BU193" s="421">
        <f t="shared" si="304"/>
        <v>0.33500000000000002</v>
      </c>
      <c r="BV193" s="420"/>
      <c r="BW193" s="415"/>
      <c r="BX193" s="415"/>
      <c r="BY193" s="415"/>
      <c r="BZ193" s="415"/>
      <c r="CA193" s="510"/>
    </row>
    <row r="194" spans="1:79" ht="14.1" customHeight="1" x14ac:dyDescent="0.2">
      <c r="A194" s="66">
        <v>41</v>
      </c>
      <c r="B194" s="63">
        <v>2480</v>
      </c>
      <c r="C194" s="64">
        <v>600080293</v>
      </c>
      <c r="D194" s="63">
        <v>46744924</v>
      </c>
      <c r="E194" s="65" t="s">
        <v>617</v>
      </c>
      <c r="F194" s="66">
        <v>3143</v>
      </c>
      <c r="G194" s="77" t="s">
        <v>296</v>
      </c>
      <c r="H194" s="67" t="s">
        <v>272</v>
      </c>
      <c r="I194" s="420">
        <v>1068194</v>
      </c>
      <c r="J194" s="415">
        <v>789794</v>
      </c>
      <c r="K194" s="415">
        <v>681264</v>
      </c>
      <c r="L194" s="415">
        <v>108530</v>
      </c>
      <c r="M194" s="415">
        <v>0</v>
      </c>
      <c r="N194" s="415">
        <v>0</v>
      </c>
      <c r="O194" s="415">
        <v>0</v>
      </c>
      <c r="P194" s="599">
        <v>266950</v>
      </c>
      <c r="Q194" s="599">
        <v>7898</v>
      </c>
      <c r="R194" s="415">
        <v>3552</v>
      </c>
      <c r="S194" s="416">
        <v>1.76</v>
      </c>
      <c r="T194" s="417">
        <v>1.35</v>
      </c>
      <c r="U194" s="423">
        <v>0.41</v>
      </c>
      <c r="V194" s="424">
        <f t="shared" si="227"/>
        <v>0</v>
      </c>
      <c r="W194" s="418">
        <f t="shared" si="228"/>
        <v>0</v>
      </c>
      <c r="X194" s="418">
        <v>0</v>
      </c>
      <c r="Y194" s="418">
        <v>0</v>
      </c>
      <c r="Z194" s="418">
        <v>0</v>
      </c>
      <c r="AA194" s="418">
        <v>54270</v>
      </c>
      <c r="AB194" s="418">
        <v>0</v>
      </c>
      <c r="AC194" s="418">
        <v>0</v>
      </c>
      <c r="AD194" s="418">
        <f t="shared" si="294"/>
        <v>0</v>
      </c>
      <c r="AE194" s="418">
        <f t="shared" si="295"/>
        <v>54270</v>
      </c>
      <c r="AF194" s="418">
        <f t="shared" si="229"/>
        <v>54270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230"/>
        <v>0</v>
      </c>
      <c r="AM194" s="418">
        <f t="shared" si="231"/>
        <v>0</v>
      </c>
      <c r="AN194" s="418">
        <f t="shared" si="232"/>
        <v>0</v>
      </c>
      <c r="AO194" s="418">
        <f t="shared" si="233"/>
        <v>0</v>
      </c>
      <c r="AP194" s="418">
        <f t="shared" si="234"/>
        <v>54270</v>
      </c>
      <c r="AQ194" s="418">
        <f t="shared" si="235"/>
        <v>54270</v>
      </c>
      <c r="AR194" s="68">
        <f t="shared" si="236"/>
        <v>18343</v>
      </c>
      <c r="AS194" s="68">
        <f t="shared" si="237"/>
        <v>543</v>
      </c>
      <c r="AT194" s="418">
        <v>0</v>
      </c>
      <c r="AU194" s="418">
        <v>1776</v>
      </c>
      <c r="AV194" s="418">
        <f t="shared" si="238"/>
        <v>1776</v>
      </c>
      <c r="AW194" s="418">
        <f t="shared" si="239"/>
        <v>74932</v>
      </c>
      <c r="AX194" s="419">
        <v>0</v>
      </c>
      <c r="AY194" s="419">
        <v>0</v>
      </c>
      <c r="AZ194" s="419">
        <v>0</v>
      </c>
      <c r="BA194" s="419">
        <v>0</v>
      </c>
      <c r="BB194" s="419">
        <v>0.21</v>
      </c>
      <c r="BC194" s="419">
        <v>0</v>
      </c>
      <c r="BD194" s="419">
        <v>0</v>
      </c>
      <c r="BE194" s="419">
        <v>0</v>
      </c>
      <c r="BF194" s="419">
        <f t="shared" si="240"/>
        <v>0</v>
      </c>
      <c r="BG194" s="419">
        <f t="shared" si="241"/>
        <v>0.21</v>
      </c>
      <c r="BH194" s="421">
        <f t="shared" si="242"/>
        <v>0.21</v>
      </c>
      <c r="BI194" s="780">
        <f t="shared" si="296"/>
        <v>1143126</v>
      </c>
      <c r="BJ194" s="418">
        <f t="shared" si="297"/>
        <v>844064</v>
      </c>
      <c r="BK194" s="418">
        <f t="shared" si="298"/>
        <v>681264</v>
      </c>
      <c r="BL194" s="418">
        <f t="shared" si="298"/>
        <v>162800</v>
      </c>
      <c r="BM194" s="418">
        <f t="shared" si="299"/>
        <v>0</v>
      </c>
      <c r="BN194" s="418">
        <f t="shared" si="300"/>
        <v>0</v>
      </c>
      <c r="BO194" s="418">
        <f t="shared" si="300"/>
        <v>0</v>
      </c>
      <c r="BP194" s="418">
        <f t="shared" si="301"/>
        <v>285293</v>
      </c>
      <c r="BQ194" s="418">
        <f t="shared" si="301"/>
        <v>8441</v>
      </c>
      <c r="BR194" s="418">
        <f t="shared" si="302"/>
        <v>5328</v>
      </c>
      <c r="BS194" s="419">
        <f t="shared" si="303"/>
        <v>1.97</v>
      </c>
      <c r="BT194" s="419">
        <f t="shared" si="304"/>
        <v>1.35</v>
      </c>
      <c r="BU194" s="421">
        <f t="shared" si="304"/>
        <v>0.62</v>
      </c>
      <c r="BV194" s="420"/>
      <c r="BW194" s="415"/>
      <c r="BX194" s="415"/>
      <c r="BY194" s="415"/>
      <c r="BZ194" s="415"/>
      <c r="CA194" s="510"/>
    </row>
    <row r="195" spans="1:79" ht="14.1" customHeight="1" x14ac:dyDescent="0.2">
      <c r="A195" s="72">
        <v>41</v>
      </c>
      <c r="B195" s="69">
        <v>2480</v>
      </c>
      <c r="C195" s="70">
        <v>600080293</v>
      </c>
      <c r="D195" s="69">
        <v>46744924</v>
      </c>
      <c r="E195" s="71" t="s">
        <v>618</v>
      </c>
      <c r="F195" s="72"/>
      <c r="G195" s="71"/>
      <c r="H195" s="73"/>
      <c r="I195" s="517">
        <v>45530556</v>
      </c>
      <c r="J195" s="74">
        <v>33376076</v>
      </c>
      <c r="K195" s="74">
        <v>30061460</v>
      </c>
      <c r="L195" s="74">
        <v>3314616</v>
      </c>
      <c r="M195" s="74">
        <v>20000</v>
      </c>
      <c r="N195" s="74">
        <v>10000</v>
      </c>
      <c r="O195" s="74">
        <v>10000</v>
      </c>
      <c r="P195" s="74">
        <v>11287873</v>
      </c>
      <c r="Q195" s="74">
        <v>333760</v>
      </c>
      <c r="R195" s="74">
        <v>512847</v>
      </c>
      <c r="S195" s="75">
        <v>54.986999999999995</v>
      </c>
      <c r="T195" s="75">
        <v>44.865299999999998</v>
      </c>
      <c r="U195" s="658">
        <v>10.121700000000001</v>
      </c>
      <c r="V195" s="517">
        <f t="shared" ref="V195:BU195" si="305">SUM(V189:V194)</f>
        <v>0</v>
      </c>
      <c r="W195" s="74">
        <f t="shared" si="305"/>
        <v>0</v>
      </c>
      <c r="X195" s="74">
        <f t="shared" si="305"/>
        <v>-139051</v>
      </c>
      <c r="Y195" s="74">
        <f t="shared" si="305"/>
        <v>0</v>
      </c>
      <c r="Z195" s="74">
        <f t="shared" si="305"/>
        <v>0</v>
      </c>
      <c r="AA195" s="74">
        <f t="shared" si="305"/>
        <v>853222</v>
      </c>
      <c r="AB195" s="74">
        <f t="shared" si="305"/>
        <v>0</v>
      </c>
      <c r="AC195" s="74">
        <f t="shared" si="305"/>
        <v>0</v>
      </c>
      <c r="AD195" s="74">
        <f t="shared" si="305"/>
        <v>-139051</v>
      </c>
      <c r="AE195" s="74">
        <f t="shared" si="305"/>
        <v>853222</v>
      </c>
      <c r="AF195" s="74">
        <f t="shared" si="305"/>
        <v>714171</v>
      </c>
      <c r="AG195" s="74">
        <f t="shared" si="305"/>
        <v>0</v>
      </c>
      <c r="AH195" s="74">
        <f t="shared" si="305"/>
        <v>0</v>
      </c>
      <c r="AI195" s="74">
        <f t="shared" si="305"/>
        <v>0</v>
      </c>
      <c r="AJ195" s="74">
        <f t="shared" si="305"/>
        <v>0</v>
      </c>
      <c r="AK195" s="74">
        <f t="shared" si="305"/>
        <v>0</v>
      </c>
      <c r="AL195" s="74">
        <f t="shared" si="305"/>
        <v>0</v>
      </c>
      <c r="AM195" s="74">
        <f t="shared" si="305"/>
        <v>0</v>
      </c>
      <c r="AN195" s="74">
        <f t="shared" si="305"/>
        <v>0</v>
      </c>
      <c r="AO195" s="74">
        <f t="shared" si="305"/>
        <v>-139051</v>
      </c>
      <c r="AP195" s="74">
        <f t="shared" si="305"/>
        <v>853222</v>
      </c>
      <c r="AQ195" s="74">
        <f t="shared" si="305"/>
        <v>714171</v>
      </c>
      <c r="AR195" s="74">
        <f t="shared" si="305"/>
        <v>241390</v>
      </c>
      <c r="AS195" s="74">
        <f t="shared" si="305"/>
        <v>7142</v>
      </c>
      <c r="AT195" s="74">
        <f t="shared" si="305"/>
        <v>0</v>
      </c>
      <c r="AU195" s="74">
        <f t="shared" si="305"/>
        <v>11564</v>
      </c>
      <c r="AV195" s="74">
        <f t="shared" si="305"/>
        <v>11564</v>
      </c>
      <c r="AW195" s="74">
        <f t="shared" si="305"/>
        <v>974267</v>
      </c>
      <c r="AX195" s="75">
        <f t="shared" si="305"/>
        <v>0</v>
      </c>
      <c r="AY195" s="75">
        <f t="shared" si="305"/>
        <v>0</v>
      </c>
      <c r="AZ195" s="75">
        <f t="shared" si="305"/>
        <v>-0.38</v>
      </c>
      <c r="BA195" s="75">
        <f t="shared" si="305"/>
        <v>0</v>
      </c>
      <c r="BB195" s="75">
        <f t="shared" si="305"/>
        <v>2.6199999999999997</v>
      </c>
      <c r="BC195" s="75">
        <f t="shared" si="305"/>
        <v>0</v>
      </c>
      <c r="BD195" s="75">
        <f t="shared" si="305"/>
        <v>0</v>
      </c>
      <c r="BE195" s="75">
        <f t="shared" si="305"/>
        <v>0</v>
      </c>
      <c r="BF195" s="75">
        <f t="shared" si="305"/>
        <v>-0.38</v>
      </c>
      <c r="BG195" s="75">
        <f t="shared" si="305"/>
        <v>2.6199999999999997</v>
      </c>
      <c r="BH195" s="76">
        <f t="shared" si="305"/>
        <v>2.2399999999999998</v>
      </c>
      <c r="BI195" s="799">
        <f t="shared" si="305"/>
        <v>46504823</v>
      </c>
      <c r="BJ195" s="74">
        <f t="shared" si="305"/>
        <v>34090247</v>
      </c>
      <c r="BK195" s="74">
        <f t="shared" si="305"/>
        <v>29922409</v>
      </c>
      <c r="BL195" s="74">
        <f t="shared" si="305"/>
        <v>4167838</v>
      </c>
      <c r="BM195" s="74">
        <f t="shared" si="305"/>
        <v>20000</v>
      </c>
      <c r="BN195" s="74">
        <f t="shared" si="305"/>
        <v>10000</v>
      </c>
      <c r="BO195" s="74">
        <f t="shared" si="305"/>
        <v>10000</v>
      </c>
      <c r="BP195" s="74">
        <f t="shared" si="305"/>
        <v>11529263</v>
      </c>
      <c r="BQ195" s="74">
        <f t="shared" si="305"/>
        <v>340902</v>
      </c>
      <c r="BR195" s="74">
        <f t="shared" si="305"/>
        <v>524411</v>
      </c>
      <c r="BS195" s="75">
        <f t="shared" si="305"/>
        <v>57.226999999999997</v>
      </c>
      <c r="BT195" s="75">
        <f t="shared" si="305"/>
        <v>44.485300000000002</v>
      </c>
      <c r="BU195" s="76">
        <f t="shared" si="305"/>
        <v>12.7417</v>
      </c>
      <c r="BV195" s="809">
        <f t="shared" ref="BV195:CA195" si="306">SUM(BV189:BV194)</f>
        <v>836299</v>
      </c>
      <c r="BW195" s="684">
        <f t="shared" si="306"/>
        <v>620400</v>
      </c>
      <c r="BX195" s="684">
        <f t="shared" si="306"/>
        <v>0</v>
      </c>
      <c r="BY195" s="684">
        <f t="shared" si="306"/>
        <v>209695</v>
      </c>
      <c r="BZ195" s="684">
        <f t="shared" si="306"/>
        <v>6204</v>
      </c>
      <c r="CA195" s="810">
        <f t="shared" si="306"/>
        <v>1.1000000000000001</v>
      </c>
    </row>
    <row r="196" spans="1:79" ht="14.1" customHeight="1" x14ac:dyDescent="0.2">
      <c r="A196" s="66">
        <v>42</v>
      </c>
      <c r="B196" s="63">
        <v>2482</v>
      </c>
      <c r="C196" s="64">
        <v>600079945</v>
      </c>
      <c r="D196" s="63">
        <v>72741716</v>
      </c>
      <c r="E196" s="65" t="s">
        <v>619</v>
      </c>
      <c r="F196" s="66">
        <v>3113</v>
      </c>
      <c r="G196" s="65" t="s">
        <v>293</v>
      </c>
      <c r="H196" s="67" t="s">
        <v>271</v>
      </c>
      <c r="I196" s="420">
        <v>17063319</v>
      </c>
      <c r="J196" s="415">
        <v>12433068</v>
      </c>
      <c r="K196" s="415">
        <v>11544539</v>
      </c>
      <c r="L196" s="415">
        <v>888529</v>
      </c>
      <c r="M196" s="415">
        <v>60000</v>
      </c>
      <c r="N196" s="415">
        <v>20000</v>
      </c>
      <c r="O196" s="415">
        <v>40000</v>
      </c>
      <c r="P196" s="599">
        <v>4222657</v>
      </c>
      <c r="Q196" s="599">
        <v>124331</v>
      </c>
      <c r="R196" s="415">
        <v>223263</v>
      </c>
      <c r="S196" s="416">
        <v>18.562999999999999</v>
      </c>
      <c r="T196" s="416">
        <v>15.969700000000001</v>
      </c>
      <c r="U196" s="423">
        <v>2.5933000000000002</v>
      </c>
      <c r="V196" s="424">
        <f t="shared" si="227"/>
        <v>0</v>
      </c>
      <c r="W196" s="418">
        <f t="shared" si="228"/>
        <v>0</v>
      </c>
      <c r="X196" s="418">
        <v>0</v>
      </c>
      <c r="Y196" s="418">
        <v>0</v>
      </c>
      <c r="Z196" s="418">
        <v>0</v>
      </c>
      <c r="AA196" s="418">
        <v>0</v>
      </c>
      <c r="AB196" s="418">
        <v>0</v>
      </c>
      <c r="AC196" s="418">
        <v>0</v>
      </c>
      <c r="AD196" s="418">
        <f>V196+X196+Y196+Z196+AB196</f>
        <v>0</v>
      </c>
      <c r="AE196" s="418">
        <f>W196+AA196+AC196</f>
        <v>0</v>
      </c>
      <c r="AF196" s="418">
        <f t="shared" si="229"/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 t="shared" si="230"/>
        <v>0</v>
      </c>
      <c r="AM196" s="418">
        <f t="shared" si="231"/>
        <v>0</v>
      </c>
      <c r="AN196" s="418">
        <f t="shared" si="232"/>
        <v>0</v>
      </c>
      <c r="AO196" s="418">
        <f t="shared" si="233"/>
        <v>0</v>
      </c>
      <c r="AP196" s="418">
        <f t="shared" si="234"/>
        <v>0</v>
      </c>
      <c r="AQ196" s="418">
        <f t="shared" si="235"/>
        <v>0</v>
      </c>
      <c r="AR196" s="68">
        <f t="shared" si="236"/>
        <v>0</v>
      </c>
      <c r="AS196" s="68">
        <f t="shared" si="237"/>
        <v>0</v>
      </c>
      <c r="AT196" s="418">
        <v>0</v>
      </c>
      <c r="AU196" s="418">
        <v>0</v>
      </c>
      <c r="AV196" s="418">
        <f t="shared" si="238"/>
        <v>0</v>
      </c>
      <c r="AW196" s="418">
        <f t="shared" si="239"/>
        <v>0</v>
      </c>
      <c r="AX196" s="419">
        <v>0</v>
      </c>
      <c r="AY196" s="419">
        <v>0</v>
      </c>
      <c r="AZ196" s="419">
        <v>0</v>
      </c>
      <c r="BA196" s="419">
        <v>0</v>
      </c>
      <c r="BB196" s="419">
        <v>0</v>
      </c>
      <c r="BC196" s="419">
        <v>0</v>
      </c>
      <c r="BD196" s="419">
        <v>0</v>
      </c>
      <c r="BE196" s="419">
        <v>0</v>
      </c>
      <c r="BF196" s="419">
        <f t="shared" si="240"/>
        <v>0</v>
      </c>
      <c r="BG196" s="419">
        <f t="shared" si="241"/>
        <v>0</v>
      </c>
      <c r="BH196" s="421">
        <f t="shared" si="242"/>
        <v>0</v>
      </c>
      <c r="BI196" s="780">
        <f>I196+AW196</f>
        <v>17063319</v>
      </c>
      <c r="BJ196" s="418">
        <f>J196+AF196</f>
        <v>12433068</v>
      </c>
      <c r="BK196" s="418">
        <f t="shared" ref="BK196:BL200" si="307">K196+AD196</f>
        <v>11544539</v>
      </c>
      <c r="BL196" s="418">
        <f t="shared" si="307"/>
        <v>888529</v>
      </c>
      <c r="BM196" s="418">
        <f>M196+AN196</f>
        <v>60000</v>
      </c>
      <c r="BN196" s="418">
        <f t="shared" ref="BN196:BO200" si="308">N196+AL196</f>
        <v>20000</v>
      </c>
      <c r="BO196" s="418">
        <f t="shared" si="308"/>
        <v>40000</v>
      </c>
      <c r="BP196" s="418">
        <f t="shared" ref="BP196:BQ200" si="309">P196+AR196</f>
        <v>4222657</v>
      </c>
      <c r="BQ196" s="418">
        <f t="shared" si="309"/>
        <v>124331</v>
      </c>
      <c r="BR196" s="418">
        <f>R196+AV196</f>
        <v>223263</v>
      </c>
      <c r="BS196" s="419">
        <f>S196+BH196</f>
        <v>18.562999999999999</v>
      </c>
      <c r="BT196" s="419">
        <f t="shared" ref="BT196:BU200" si="310">T196+BF196</f>
        <v>15.969700000000001</v>
      </c>
      <c r="BU196" s="421">
        <f t="shared" si="310"/>
        <v>2.5933000000000002</v>
      </c>
      <c r="BV196" s="420">
        <v>380136</v>
      </c>
      <c r="BW196" s="415">
        <v>282000</v>
      </c>
      <c r="BX196" s="415">
        <v>0</v>
      </c>
      <c r="BY196" s="415">
        <v>95316</v>
      </c>
      <c r="BZ196" s="415">
        <v>2820</v>
      </c>
      <c r="CA196" s="510">
        <v>0.5</v>
      </c>
    </row>
    <row r="197" spans="1:79" ht="14.1" customHeight="1" x14ac:dyDescent="0.2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619</v>
      </c>
      <c r="F197" s="66">
        <v>3113</v>
      </c>
      <c r="G197" s="77" t="s">
        <v>291</v>
      </c>
      <c r="H197" s="67" t="s">
        <v>272</v>
      </c>
      <c r="I197" s="420">
        <v>2609391</v>
      </c>
      <c r="J197" s="415">
        <v>1926477</v>
      </c>
      <c r="K197" s="415">
        <v>1926477</v>
      </c>
      <c r="L197" s="415">
        <v>0</v>
      </c>
      <c r="M197" s="415">
        <v>0</v>
      </c>
      <c r="N197" s="415">
        <v>0</v>
      </c>
      <c r="O197" s="415">
        <v>0</v>
      </c>
      <c r="P197" s="599">
        <v>651149</v>
      </c>
      <c r="Q197" s="599">
        <v>19265</v>
      </c>
      <c r="R197" s="415">
        <v>12500</v>
      </c>
      <c r="S197" s="416">
        <v>5.03</v>
      </c>
      <c r="T197" s="417">
        <v>5.03</v>
      </c>
      <c r="U197" s="423">
        <v>0</v>
      </c>
      <c r="V197" s="424">
        <f t="shared" si="227"/>
        <v>0</v>
      </c>
      <c r="W197" s="418">
        <f t="shared" si="228"/>
        <v>0</v>
      </c>
      <c r="X197" s="418">
        <v>0</v>
      </c>
      <c r="Y197" s="418">
        <v>0</v>
      </c>
      <c r="Z197" s="418">
        <v>0</v>
      </c>
      <c r="AA197" s="418">
        <v>0</v>
      </c>
      <c r="AB197" s="418">
        <v>0</v>
      </c>
      <c r="AC197" s="418">
        <v>0</v>
      </c>
      <c r="AD197" s="418">
        <f>V197+X197+Y197+Z197+AB197</f>
        <v>0</v>
      </c>
      <c r="AE197" s="418">
        <f>W197+AA197+AC197</f>
        <v>0</v>
      </c>
      <c r="AF197" s="418">
        <f t="shared" si="229"/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 t="shared" si="230"/>
        <v>0</v>
      </c>
      <c r="AM197" s="418">
        <f t="shared" si="231"/>
        <v>0</v>
      </c>
      <c r="AN197" s="418">
        <f t="shared" si="232"/>
        <v>0</v>
      </c>
      <c r="AO197" s="418">
        <f t="shared" si="233"/>
        <v>0</v>
      </c>
      <c r="AP197" s="418">
        <f t="shared" si="234"/>
        <v>0</v>
      </c>
      <c r="AQ197" s="418">
        <f t="shared" si="235"/>
        <v>0</v>
      </c>
      <c r="AR197" s="68">
        <f t="shared" si="236"/>
        <v>0</v>
      </c>
      <c r="AS197" s="68">
        <f t="shared" si="237"/>
        <v>0</v>
      </c>
      <c r="AT197" s="418">
        <v>3500</v>
      </c>
      <c r="AU197" s="418">
        <v>0</v>
      </c>
      <c r="AV197" s="418">
        <f t="shared" si="238"/>
        <v>3500</v>
      </c>
      <c r="AW197" s="418">
        <f t="shared" si="239"/>
        <v>3500</v>
      </c>
      <c r="AX197" s="419">
        <v>0</v>
      </c>
      <c r="AY197" s="419">
        <v>0</v>
      </c>
      <c r="AZ197" s="419">
        <v>0</v>
      </c>
      <c r="BA197" s="419">
        <v>0</v>
      </c>
      <c r="BB197" s="419">
        <v>0</v>
      </c>
      <c r="BC197" s="419">
        <v>0</v>
      </c>
      <c r="BD197" s="419">
        <v>0</v>
      </c>
      <c r="BE197" s="419">
        <v>0</v>
      </c>
      <c r="BF197" s="419">
        <f t="shared" si="240"/>
        <v>0</v>
      </c>
      <c r="BG197" s="419">
        <f t="shared" si="241"/>
        <v>0</v>
      </c>
      <c r="BH197" s="421">
        <f t="shared" si="242"/>
        <v>0</v>
      </c>
      <c r="BI197" s="780">
        <f>I197+AW197</f>
        <v>2612891</v>
      </c>
      <c r="BJ197" s="418">
        <f>J197+AF197</f>
        <v>1926477</v>
      </c>
      <c r="BK197" s="418">
        <f t="shared" si="307"/>
        <v>1926477</v>
      </c>
      <c r="BL197" s="418">
        <f t="shared" si="307"/>
        <v>0</v>
      </c>
      <c r="BM197" s="418">
        <f>M197+AN197</f>
        <v>0</v>
      </c>
      <c r="BN197" s="418">
        <f t="shared" si="308"/>
        <v>0</v>
      </c>
      <c r="BO197" s="418">
        <f t="shared" si="308"/>
        <v>0</v>
      </c>
      <c r="BP197" s="418">
        <f t="shared" si="309"/>
        <v>651149</v>
      </c>
      <c r="BQ197" s="418">
        <f t="shared" si="309"/>
        <v>19265</v>
      </c>
      <c r="BR197" s="418">
        <f>R197+AV197</f>
        <v>16000</v>
      </c>
      <c r="BS197" s="419">
        <f>S197+BH197</f>
        <v>5.03</v>
      </c>
      <c r="BT197" s="419">
        <f t="shared" si="310"/>
        <v>5.03</v>
      </c>
      <c r="BU197" s="421">
        <f t="shared" si="310"/>
        <v>0</v>
      </c>
      <c r="BV197" s="420"/>
      <c r="BW197" s="415"/>
      <c r="BX197" s="415"/>
      <c r="BY197" s="415"/>
      <c r="BZ197" s="415"/>
      <c r="CA197" s="510"/>
    </row>
    <row r="198" spans="1:79" ht="13.5" customHeight="1" x14ac:dyDescent="0.2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619</v>
      </c>
      <c r="F198" s="66">
        <v>3141</v>
      </c>
      <c r="G198" s="65" t="s">
        <v>294</v>
      </c>
      <c r="H198" s="67" t="s">
        <v>272</v>
      </c>
      <c r="I198" s="420">
        <v>1092483</v>
      </c>
      <c r="J198" s="415">
        <v>804787</v>
      </c>
      <c r="K198" s="415">
        <v>0</v>
      </c>
      <c r="L198" s="750">
        <v>804787</v>
      </c>
      <c r="M198" s="415">
        <v>0</v>
      </c>
      <c r="N198" s="204">
        <v>0</v>
      </c>
      <c r="O198" s="204">
        <v>0</v>
      </c>
      <c r="P198" s="599">
        <v>272018</v>
      </c>
      <c r="Q198" s="599">
        <v>8048</v>
      </c>
      <c r="R198" s="605">
        <v>7630</v>
      </c>
      <c r="S198" s="416">
        <v>2.4133</v>
      </c>
      <c r="T198" s="607">
        <v>0</v>
      </c>
      <c r="U198" s="737">
        <v>2.4133</v>
      </c>
      <c r="V198" s="424">
        <f t="shared" si="227"/>
        <v>0</v>
      </c>
      <c r="W198" s="418">
        <f t="shared" si="228"/>
        <v>0</v>
      </c>
      <c r="X198" s="418">
        <v>0</v>
      </c>
      <c r="Y198" s="418">
        <v>0</v>
      </c>
      <c r="Z198" s="418">
        <v>0</v>
      </c>
      <c r="AA198" s="418">
        <v>403358</v>
      </c>
      <c r="AB198" s="418">
        <v>0</v>
      </c>
      <c r="AC198" s="418">
        <v>0</v>
      </c>
      <c r="AD198" s="418">
        <f>V198+X198+Y198+Z198+AB198</f>
        <v>0</v>
      </c>
      <c r="AE198" s="418">
        <f>W198+AA198+AC198</f>
        <v>403358</v>
      </c>
      <c r="AF198" s="418">
        <f t="shared" si="229"/>
        <v>403358</v>
      </c>
      <c r="AG198" s="418">
        <v>0</v>
      </c>
      <c r="AH198" s="418">
        <v>0</v>
      </c>
      <c r="AI198" s="418">
        <v>0</v>
      </c>
      <c r="AJ198" s="418">
        <v>0</v>
      </c>
      <c r="AK198" s="418">
        <v>0</v>
      </c>
      <c r="AL198" s="418">
        <f t="shared" si="230"/>
        <v>0</v>
      </c>
      <c r="AM198" s="418">
        <f t="shared" si="231"/>
        <v>0</v>
      </c>
      <c r="AN198" s="418">
        <f t="shared" si="232"/>
        <v>0</v>
      </c>
      <c r="AO198" s="418">
        <f t="shared" si="233"/>
        <v>0</v>
      </c>
      <c r="AP198" s="418">
        <f t="shared" si="234"/>
        <v>403358</v>
      </c>
      <c r="AQ198" s="418">
        <f t="shared" si="235"/>
        <v>403358</v>
      </c>
      <c r="AR198" s="68">
        <f t="shared" si="236"/>
        <v>136335</v>
      </c>
      <c r="AS198" s="68">
        <f t="shared" si="237"/>
        <v>4034</v>
      </c>
      <c r="AT198" s="418">
        <v>0</v>
      </c>
      <c r="AU198" s="418">
        <v>3706</v>
      </c>
      <c r="AV198" s="418">
        <f t="shared" si="238"/>
        <v>3706</v>
      </c>
      <c r="AW198" s="418">
        <f t="shared" si="239"/>
        <v>547433</v>
      </c>
      <c r="AX198" s="419">
        <v>0</v>
      </c>
      <c r="AY198" s="419">
        <v>0</v>
      </c>
      <c r="AZ198" s="419">
        <v>0</v>
      </c>
      <c r="BA198" s="419">
        <v>0</v>
      </c>
      <c r="BB198" s="419">
        <v>1.21</v>
      </c>
      <c r="BC198" s="419">
        <v>0</v>
      </c>
      <c r="BD198" s="419">
        <v>0</v>
      </c>
      <c r="BE198" s="419">
        <v>0</v>
      </c>
      <c r="BF198" s="419">
        <f t="shared" si="240"/>
        <v>0</v>
      </c>
      <c r="BG198" s="419">
        <f t="shared" si="241"/>
        <v>1.21</v>
      </c>
      <c r="BH198" s="421">
        <f t="shared" si="242"/>
        <v>1.21</v>
      </c>
      <c r="BI198" s="780">
        <f>I198+AW198</f>
        <v>1639916</v>
      </c>
      <c r="BJ198" s="418">
        <f>J198+AF198</f>
        <v>1208145</v>
      </c>
      <c r="BK198" s="418">
        <f t="shared" si="307"/>
        <v>0</v>
      </c>
      <c r="BL198" s="418">
        <f t="shared" si="307"/>
        <v>1208145</v>
      </c>
      <c r="BM198" s="418">
        <f>M198+AN198</f>
        <v>0</v>
      </c>
      <c r="BN198" s="418">
        <f t="shared" si="308"/>
        <v>0</v>
      </c>
      <c r="BO198" s="418">
        <f t="shared" si="308"/>
        <v>0</v>
      </c>
      <c r="BP198" s="418">
        <f t="shared" si="309"/>
        <v>408353</v>
      </c>
      <c r="BQ198" s="418">
        <f t="shared" si="309"/>
        <v>12082</v>
      </c>
      <c r="BR198" s="418">
        <f>R198+AV198</f>
        <v>11336</v>
      </c>
      <c r="BS198" s="419">
        <f>S198+BH198</f>
        <v>3.6233</v>
      </c>
      <c r="BT198" s="419">
        <f t="shared" si="310"/>
        <v>0</v>
      </c>
      <c r="BU198" s="421">
        <f t="shared" si="310"/>
        <v>3.6233</v>
      </c>
      <c r="BV198" s="420"/>
      <c r="BW198" s="415"/>
      <c r="BX198" s="415"/>
      <c r="BY198" s="415"/>
      <c r="BZ198" s="415"/>
      <c r="CA198" s="510"/>
    </row>
    <row r="199" spans="1:79" ht="14.1" customHeight="1" x14ac:dyDescent="0.2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619</v>
      </c>
      <c r="F199" s="66">
        <v>3143</v>
      </c>
      <c r="G199" s="77" t="s">
        <v>595</v>
      </c>
      <c r="H199" s="67" t="s">
        <v>271</v>
      </c>
      <c r="I199" s="420">
        <v>1663307</v>
      </c>
      <c r="J199" s="415">
        <v>1233907</v>
      </c>
      <c r="K199" s="415">
        <v>1233907</v>
      </c>
      <c r="L199" s="415">
        <v>0</v>
      </c>
      <c r="M199" s="415">
        <v>0</v>
      </c>
      <c r="N199" s="415">
        <v>0</v>
      </c>
      <c r="O199" s="415">
        <v>0</v>
      </c>
      <c r="P199" s="599">
        <v>417061</v>
      </c>
      <c r="Q199" s="599">
        <v>12339</v>
      </c>
      <c r="R199" s="415">
        <v>0</v>
      </c>
      <c r="S199" s="416">
        <v>2.4464000000000001</v>
      </c>
      <c r="T199" s="416">
        <v>2.4464000000000001</v>
      </c>
      <c r="U199" s="423">
        <v>0</v>
      </c>
      <c r="V199" s="424">
        <f t="shared" si="227"/>
        <v>0</v>
      </c>
      <c r="W199" s="418">
        <f t="shared" si="228"/>
        <v>0</v>
      </c>
      <c r="X199" s="418">
        <v>0</v>
      </c>
      <c r="Y199" s="418">
        <v>0</v>
      </c>
      <c r="Z199" s="418">
        <v>0</v>
      </c>
      <c r="AA199" s="418">
        <v>0</v>
      </c>
      <c r="AB199" s="418">
        <v>0</v>
      </c>
      <c r="AC199" s="418">
        <v>0</v>
      </c>
      <c r="AD199" s="418">
        <f>V199+X199+Y199+Z199+AB199</f>
        <v>0</v>
      </c>
      <c r="AE199" s="418">
        <f>W199+AA199+AC199</f>
        <v>0</v>
      </c>
      <c r="AF199" s="418">
        <f t="shared" si="229"/>
        <v>0</v>
      </c>
      <c r="AG199" s="418">
        <v>0</v>
      </c>
      <c r="AH199" s="418">
        <v>0</v>
      </c>
      <c r="AI199" s="418">
        <v>0</v>
      </c>
      <c r="AJ199" s="418">
        <v>0</v>
      </c>
      <c r="AK199" s="418">
        <v>0</v>
      </c>
      <c r="AL199" s="418">
        <f t="shared" si="230"/>
        <v>0</v>
      </c>
      <c r="AM199" s="418">
        <f t="shared" si="231"/>
        <v>0</v>
      </c>
      <c r="AN199" s="418">
        <f t="shared" si="232"/>
        <v>0</v>
      </c>
      <c r="AO199" s="418">
        <f t="shared" si="233"/>
        <v>0</v>
      </c>
      <c r="AP199" s="418">
        <f t="shared" si="234"/>
        <v>0</v>
      </c>
      <c r="AQ199" s="418">
        <f t="shared" si="235"/>
        <v>0</v>
      </c>
      <c r="AR199" s="68">
        <f t="shared" si="236"/>
        <v>0</v>
      </c>
      <c r="AS199" s="68">
        <f t="shared" si="237"/>
        <v>0</v>
      </c>
      <c r="AT199" s="418">
        <v>0</v>
      </c>
      <c r="AU199" s="418">
        <v>0</v>
      </c>
      <c r="AV199" s="418">
        <f t="shared" si="238"/>
        <v>0</v>
      </c>
      <c r="AW199" s="418">
        <f t="shared" si="239"/>
        <v>0</v>
      </c>
      <c r="AX199" s="419">
        <v>0</v>
      </c>
      <c r="AY199" s="419">
        <v>0</v>
      </c>
      <c r="AZ199" s="419">
        <v>0</v>
      </c>
      <c r="BA199" s="419">
        <v>0</v>
      </c>
      <c r="BB199" s="419">
        <v>0</v>
      </c>
      <c r="BC199" s="419">
        <v>0</v>
      </c>
      <c r="BD199" s="419">
        <v>0</v>
      </c>
      <c r="BE199" s="419">
        <v>0</v>
      </c>
      <c r="BF199" s="419">
        <f t="shared" si="240"/>
        <v>0</v>
      </c>
      <c r="BG199" s="419">
        <f t="shared" si="241"/>
        <v>0</v>
      </c>
      <c r="BH199" s="421">
        <f t="shared" si="242"/>
        <v>0</v>
      </c>
      <c r="BI199" s="780">
        <f>I199+AW199</f>
        <v>1663307</v>
      </c>
      <c r="BJ199" s="418">
        <f>J199+AF199</f>
        <v>1233907</v>
      </c>
      <c r="BK199" s="418">
        <f t="shared" si="307"/>
        <v>1233907</v>
      </c>
      <c r="BL199" s="418">
        <f t="shared" si="307"/>
        <v>0</v>
      </c>
      <c r="BM199" s="418">
        <f>M199+AN199</f>
        <v>0</v>
      </c>
      <c r="BN199" s="418">
        <f t="shared" si="308"/>
        <v>0</v>
      </c>
      <c r="BO199" s="418">
        <f t="shared" si="308"/>
        <v>0</v>
      </c>
      <c r="BP199" s="418">
        <f t="shared" si="309"/>
        <v>417061</v>
      </c>
      <c r="BQ199" s="418">
        <f t="shared" si="309"/>
        <v>12339</v>
      </c>
      <c r="BR199" s="418">
        <f>R199+AV199</f>
        <v>0</v>
      </c>
      <c r="BS199" s="419">
        <f>S199+BH199</f>
        <v>2.4464000000000001</v>
      </c>
      <c r="BT199" s="419">
        <f t="shared" si="310"/>
        <v>2.4464000000000001</v>
      </c>
      <c r="BU199" s="421">
        <f t="shared" si="310"/>
        <v>0</v>
      </c>
      <c r="BV199" s="420"/>
      <c r="BW199" s="415"/>
      <c r="BX199" s="415"/>
      <c r="BY199" s="415"/>
      <c r="BZ199" s="415"/>
      <c r="CA199" s="510"/>
    </row>
    <row r="200" spans="1:79" ht="14.1" customHeight="1" x14ac:dyDescent="0.2">
      <c r="A200" s="66">
        <v>42</v>
      </c>
      <c r="B200" s="63">
        <v>2482</v>
      </c>
      <c r="C200" s="64">
        <v>600079945</v>
      </c>
      <c r="D200" s="63">
        <v>72741716</v>
      </c>
      <c r="E200" s="65" t="s">
        <v>619</v>
      </c>
      <c r="F200" s="66">
        <v>3143</v>
      </c>
      <c r="G200" s="77" t="s">
        <v>596</v>
      </c>
      <c r="H200" s="67" t="s">
        <v>272</v>
      </c>
      <c r="I200" s="420">
        <v>30724</v>
      </c>
      <c r="J200" s="415">
        <v>21991</v>
      </c>
      <c r="K200" s="415">
        <v>0</v>
      </c>
      <c r="L200" s="605">
        <v>21991</v>
      </c>
      <c r="M200" s="415">
        <v>0</v>
      </c>
      <c r="N200" s="415">
        <v>0</v>
      </c>
      <c r="O200" s="415">
        <v>0</v>
      </c>
      <c r="P200" s="599">
        <v>7433</v>
      </c>
      <c r="Q200" s="599">
        <v>220</v>
      </c>
      <c r="R200" s="606">
        <v>1080</v>
      </c>
      <c r="S200" s="416">
        <v>8.3299999999999999E-2</v>
      </c>
      <c r="T200" s="609">
        <v>0</v>
      </c>
      <c r="U200" s="737">
        <v>8.3299999999999999E-2</v>
      </c>
      <c r="V200" s="424">
        <f t="shared" si="227"/>
        <v>0</v>
      </c>
      <c r="W200" s="418">
        <f t="shared" si="228"/>
        <v>0</v>
      </c>
      <c r="X200" s="418">
        <v>0</v>
      </c>
      <c r="Y200" s="418">
        <v>0</v>
      </c>
      <c r="Z200" s="418">
        <v>0</v>
      </c>
      <c r="AA200" s="418">
        <v>11009</v>
      </c>
      <c r="AB200" s="418">
        <v>0</v>
      </c>
      <c r="AC200" s="418">
        <v>0</v>
      </c>
      <c r="AD200" s="418">
        <f>V200+X200+Y200+Z200+AB200</f>
        <v>0</v>
      </c>
      <c r="AE200" s="418">
        <f>W200+AA200+AC200</f>
        <v>11009</v>
      </c>
      <c r="AF200" s="418">
        <f t="shared" si="229"/>
        <v>11009</v>
      </c>
      <c r="AG200" s="418">
        <v>0</v>
      </c>
      <c r="AH200" s="418">
        <v>0</v>
      </c>
      <c r="AI200" s="418">
        <v>0</v>
      </c>
      <c r="AJ200" s="418">
        <v>0</v>
      </c>
      <c r="AK200" s="418">
        <v>0</v>
      </c>
      <c r="AL200" s="418">
        <f t="shared" si="230"/>
        <v>0</v>
      </c>
      <c r="AM200" s="418">
        <f t="shared" si="231"/>
        <v>0</v>
      </c>
      <c r="AN200" s="418">
        <f t="shared" si="232"/>
        <v>0</v>
      </c>
      <c r="AO200" s="418">
        <f t="shared" si="233"/>
        <v>0</v>
      </c>
      <c r="AP200" s="418">
        <f t="shared" si="234"/>
        <v>11009</v>
      </c>
      <c r="AQ200" s="418">
        <f t="shared" si="235"/>
        <v>11009</v>
      </c>
      <c r="AR200" s="68">
        <f t="shared" si="236"/>
        <v>3721</v>
      </c>
      <c r="AS200" s="68">
        <f t="shared" si="237"/>
        <v>110</v>
      </c>
      <c r="AT200" s="418">
        <v>0</v>
      </c>
      <c r="AU200" s="418">
        <v>540</v>
      </c>
      <c r="AV200" s="418">
        <f t="shared" si="238"/>
        <v>540</v>
      </c>
      <c r="AW200" s="418">
        <f t="shared" si="239"/>
        <v>15380</v>
      </c>
      <c r="AX200" s="419">
        <v>0</v>
      </c>
      <c r="AY200" s="419">
        <v>0</v>
      </c>
      <c r="AZ200" s="419">
        <v>0</v>
      </c>
      <c r="BA200" s="419">
        <v>0</v>
      </c>
      <c r="BB200" s="419">
        <v>0.04</v>
      </c>
      <c r="BC200" s="419">
        <v>0</v>
      </c>
      <c r="BD200" s="419">
        <v>0</v>
      </c>
      <c r="BE200" s="419">
        <v>0</v>
      </c>
      <c r="BF200" s="419">
        <f t="shared" si="240"/>
        <v>0</v>
      </c>
      <c r="BG200" s="419">
        <f t="shared" si="241"/>
        <v>0.04</v>
      </c>
      <c r="BH200" s="421">
        <f t="shared" si="242"/>
        <v>0.04</v>
      </c>
      <c r="BI200" s="780">
        <f>I200+AW200</f>
        <v>46104</v>
      </c>
      <c r="BJ200" s="418">
        <f>J200+AF200</f>
        <v>33000</v>
      </c>
      <c r="BK200" s="418">
        <f t="shared" si="307"/>
        <v>0</v>
      </c>
      <c r="BL200" s="418">
        <f t="shared" si="307"/>
        <v>33000</v>
      </c>
      <c r="BM200" s="418">
        <f>M200+AN200</f>
        <v>0</v>
      </c>
      <c r="BN200" s="418">
        <f t="shared" si="308"/>
        <v>0</v>
      </c>
      <c r="BO200" s="418">
        <f t="shared" si="308"/>
        <v>0</v>
      </c>
      <c r="BP200" s="418">
        <f t="shared" si="309"/>
        <v>11154</v>
      </c>
      <c r="BQ200" s="418">
        <f t="shared" si="309"/>
        <v>330</v>
      </c>
      <c r="BR200" s="418">
        <f>R200+AV200</f>
        <v>1620</v>
      </c>
      <c r="BS200" s="419">
        <f>S200+BH200</f>
        <v>0.12329999999999999</v>
      </c>
      <c r="BT200" s="419">
        <f t="shared" si="310"/>
        <v>0</v>
      </c>
      <c r="BU200" s="421">
        <f t="shared" si="310"/>
        <v>0.12329999999999999</v>
      </c>
      <c r="BV200" s="420"/>
      <c r="BW200" s="415"/>
      <c r="BX200" s="415"/>
      <c r="BY200" s="415"/>
      <c r="BZ200" s="415"/>
      <c r="CA200" s="510"/>
    </row>
    <row r="201" spans="1:79" ht="14.1" customHeight="1" x14ac:dyDescent="0.2">
      <c r="A201" s="72">
        <v>42</v>
      </c>
      <c r="B201" s="69">
        <v>2482</v>
      </c>
      <c r="C201" s="70">
        <v>600079945</v>
      </c>
      <c r="D201" s="69">
        <v>72741716</v>
      </c>
      <c r="E201" s="71" t="s">
        <v>620</v>
      </c>
      <c r="F201" s="72"/>
      <c r="G201" s="71"/>
      <c r="H201" s="73"/>
      <c r="I201" s="517">
        <v>22459224</v>
      </c>
      <c r="J201" s="74">
        <v>16420230</v>
      </c>
      <c r="K201" s="74">
        <v>14704923</v>
      </c>
      <c r="L201" s="74">
        <v>1715307</v>
      </c>
      <c r="M201" s="74">
        <v>60000</v>
      </c>
      <c r="N201" s="74">
        <v>20000</v>
      </c>
      <c r="O201" s="74">
        <v>40000</v>
      </c>
      <c r="P201" s="74">
        <v>5570318</v>
      </c>
      <c r="Q201" s="74">
        <v>164203</v>
      </c>
      <c r="R201" s="74">
        <v>244473</v>
      </c>
      <c r="S201" s="75">
        <v>28.536000000000001</v>
      </c>
      <c r="T201" s="75">
        <v>23.446100000000001</v>
      </c>
      <c r="U201" s="658">
        <v>5.089900000000001</v>
      </c>
      <c r="V201" s="517">
        <f t="shared" ref="V201:BU201" si="311">SUM(V196:V200)</f>
        <v>0</v>
      </c>
      <c r="W201" s="74">
        <f t="shared" si="311"/>
        <v>0</v>
      </c>
      <c r="X201" s="74">
        <f t="shared" si="311"/>
        <v>0</v>
      </c>
      <c r="Y201" s="74">
        <f t="shared" si="311"/>
        <v>0</v>
      </c>
      <c r="Z201" s="74">
        <f t="shared" si="311"/>
        <v>0</v>
      </c>
      <c r="AA201" s="74">
        <f t="shared" si="311"/>
        <v>414367</v>
      </c>
      <c r="AB201" s="74">
        <f t="shared" si="311"/>
        <v>0</v>
      </c>
      <c r="AC201" s="74">
        <f t="shared" si="311"/>
        <v>0</v>
      </c>
      <c r="AD201" s="74">
        <f t="shared" si="311"/>
        <v>0</v>
      </c>
      <c r="AE201" s="74">
        <f t="shared" si="311"/>
        <v>414367</v>
      </c>
      <c r="AF201" s="74">
        <f t="shared" si="311"/>
        <v>414367</v>
      </c>
      <c r="AG201" s="74">
        <f t="shared" si="311"/>
        <v>0</v>
      </c>
      <c r="AH201" s="74">
        <f t="shared" si="311"/>
        <v>0</v>
      </c>
      <c r="AI201" s="74">
        <f t="shared" si="311"/>
        <v>0</v>
      </c>
      <c r="AJ201" s="74">
        <f t="shared" si="311"/>
        <v>0</v>
      </c>
      <c r="AK201" s="74">
        <f t="shared" si="311"/>
        <v>0</v>
      </c>
      <c r="AL201" s="74">
        <f t="shared" si="311"/>
        <v>0</v>
      </c>
      <c r="AM201" s="74">
        <f t="shared" si="311"/>
        <v>0</v>
      </c>
      <c r="AN201" s="74">
        <f t="shared" si="311"/>
        <v>0</v>
      </c>
      <c r="AO201" s="74">
        <f t="shared" si="311"/>
        <v>0</v>
      </c>
      <c r="AP201" s="74">
        <f t="shared" si="311"/>
        <v>414367</v>
      </c>
      <c r="AQ201" s="74">
        <f t="shared" si="311"/>
        <v>414367</v>
      </c>
      <c r="AR201" s="74">
        <f t="shared" si="311"/>
        <v>140056</v>
      </c>
      <c r="AS201" s="74">
        <f t="shared" si="311"/>
        <v>4144</v>
      </c>
      <c r="AT201" s="74">
        <f t="shared" si="311"/>
        <v>3500</v>
      </c>
      <c r="AU201" s="74">
        <f t="shared" si="311"/>
        <v>4246</v>
      </c>
      <c r="AV201" s="74">
        <f t="shared" si="311"/>
        <v>7746</v>
      </c>
      <c r="AW201" s="74">
        <f t="shared" si="311"/>
        <v>566313</v>
      </c>
      <c r="AX201" s="75">
        <f t="shared" si="311"/>
        <v>0</v>
      </c>
      <c r="AY201" s="75">
        <f t="shared" si="311"/>
        <v>0</v>
      </c>
      <c r="AZ201" s="75">
        <f t="shared" si="311"/>
        <v>0</v>
      </c>
      <c r="BA201" s="75">
        <f t="shared" si="311"/>
        <v>0</v>
      </c>
      <c r="BB201" s="75">
        <f t="shared" si="311"/>
        <v>1.25</v>
      </c>
      <c r="BC201" s="75">
        <f t="shared" si="311"/>
        <v>0</v>
      </c>
      <c r="BD201" s="75">
        <f t="shared" si="311"/>
        <v>0</v>
      </c>
      <c r="BE201" s="75">
        <f t="shared" si="311"/>
        <v>0</v>
      </c>
      <c r="BF201" s="75">
        <f t="shared" si="311"/>
        <v>0</v>
      </c>
      <c r="BG201" s="75">
        <f t="shared" si="311"/>
        <v>1.25</v>
      </c>
      <c r="BH201" s="76">
        <f t="shared" si="311"/>
        <v>1.25</v>
      </c>
      <c r="BI201" s="799">
        <f t="shared" si="311"/>
        <v>23025537</v>
      </c>
      <c r="BJ201" s="74">
        <f t="shared" si="311"/>
        <v>16834597</v>
      </c>
      <c r="BK201" s="74">
        <f t="shared" si="311"/>
        <v>14704923</v>
      </c>
      <c r="BL201" s="74">
        <f t="shared" si="311"/>
        <v>2129674</v>
      </c>
      <c r="BM201" s="74">
        <f t="shared" si="311"/>
        <v>60000</v>
      </c>
      <c r="BN201" s="74">
        <f t="shared" si="311"/>
        <v>20000</v>
      </c>
      <c r="BO201" s="74">
        <f t="shared" si="311"/>
        <v>40000</v>
      </c>
      <c r="BP201" s="74">
        <f t="shared" si="311"/>
        <v>5710374</v>
      </c>
      <c r="BQ201" s="74">
        <f t="shared" si="311"/>
        <v>168347</v>
      </c>
      <c r="BR201" s="74">
        <f t="shared" si="311"/>
        <v>252219</v>
      </c>
      <c r="BS201" s="75">
        <f t="shared" si="311"/>
        <v>29.786000000000001</v>
      </c>
      <c r="BT201" s="75">
        <f t="shared" si="311"/>
        <v>23.446100000000001</v>
      </c>
      <c r="BU201" s="76">
        <f t="shared" si="311"/>
        <v>6.3399000000000001</v>
      </c>
      <c r="BV201" s="809">
        <f t="shared" ref="BV201:CA201" si="312">SUM(BV196:BV200)</f>
        <v>380136</v>
      </c>
      <c r="BW201" s="684">
        <f t="shared" si="312"/>
        <v>282000</v>
      </c>
      <c r="BX201" s="684">
        <f t="shared" si="312"/>
        <v>0</v>
      </c>
      <c r="BY201" s="684">
        <f t="shared" si="312"/>
        <v>95316</v>
      </c>
      <c r="BZ201" s="684">
        <f t="shared" si="312"/>
        <v>2820</v>
      </c>
      <c r="CA201" s="810">
        <f t="shared" si="312"/>
        <v>0.5</v>
      </c>
    </row>
    <row r="202" spans="1:79" ht="14.1" customHeight="1" x14ac:dyDescent="0.2">
      <c r="A202" s="66">
        <v>43</v>
      </c>
      <c r="B202" s="63">
        <v>2328</v>
      </c>
      <c r="C202" s="64">
        <v>691006041</v>
      </c>
      <c r="D202" s="63">
        <v>71294988</v>
      </c>
      <c r="E202" s="65" t="s">
        <v>621</v>
      </c>
      <c r="F202" s="66">
        <v>3113</v>
      </c>
      <c r="G202" s="65" t="s">
        <v>293</v>
      </c>
      <c r="H202" s="67" t="s">
        <v>271</v>
      </c>
      <c r="I202" s="420">
        <v>29528560</v>
      </c>
      <c r="J202" s="415">
        <v>21512690</v>
      </c>
      <c r="K202" s="415">
        <v>19963777</v>
      </c>
      <c r="L202" s="415">
        <v>1548913</v>
      </c>
      <c r="M202" s="415">
        <v>70000</v>
      </c>
      <c r="N202" s="415">
        <v>60000</v>
      </c>
      <c r="O202" s="415">
        <v>10000</v>
      </c>
      <c r="P202" s="599">
        <v>7294949</v>
      </c>
      <c r="Q202" s="599">
        <v>215127</v>
      </c>
      <c r="R202" s="415">
        <v>435794</v>
      </c>
      <c r="S202" s="416">
        <v>32.329900000000002</v>
      </c>
      <c r="T202" s="416">
        <v>27.6599</v>
      </c>
      <c r="U202" s="423">
        <v>4.6700000000000008</v>
      </c>
      <c r="V202" s="424">
        <f t="shared" si="227"/>
        <v>0</v>
      </c>
      <c r="W202" s="418">
        <f t="shared" si="228"/>
        <v>0</v>
      </c>
      <c r="X202" s="418">
        <v>0</v>
      </c>
      <c r="Y202" s="418">
        <v>0</v>
      </c>
      <c r="Z202" s="418">
        <v>0</v>
      </c>
      <c r="AA202" s="418">
        <v>0</v>
      </c>
      <c r="AB202" s="418">
        <v>0</v>
      </c>
      <c r="AC202" s="418">
        <v>0</v>
      </c>
      <c r="AD202" s="418">
        <f>V202+X202+Y202+Z202+AB202</f>
        <v>0</v>
      </c>
      <c r="AE202" s="418">
        <f>W202+AA202+AC202</f>
        <v>0</v>
      </c>
      <c r="AF202" s="418">
        <f t="shared" si="229"/>
        <v>0</v>
      </c>
      <c r="AG202" s="418">
        <v>0</v>
      </c>
      <c r="AH202" s="418">
        <v>0</v>
      </c>
      <c r="AI202" s="418">
        <v>0</v>
      </c>
      <c r="AJ202" s="418">
        <v>0</v>
      </c>
      <c r="AK202" s="418">
        <v>0</v>
      </c>
      <c r="AL202" s="418">
        <f t="shared" si="230"/>
        <v>0</v>
      </c>
      <c r="AM202" s="418">
        <f t="shared" si="231"/>
        <v>0</v>
      </c>
      <c r="AN202" s="418">
        <f t="shared" si="232"/>
        <v>0</v>
      </c>
      <c r="AO202" s="418">
        <f t="shared" si="233"/>
        <v>0</v>
      </c>
      <c r="AP202" s="418">
        <f t="shared" si="234"/>
        <v>0</v>
      </c>
      <c r="AQ202" s="418">
        <f t="shared" si="235"/>
        <v>0</v>
      </c>
      <c r="AR202" s="68">
        <f t="shared" si="236"/>
        <v>0</v>
      </c>
      <c r="AS202" s="68">
        <f t="shared" si="237"/>
        <v>0</v>
      </c>
      <c r="AT202" s="418">
        <v>0</v>
      </c>
      <c r="AU202" s="418">
        <v>0</v>
      </c>
      <c r="AV202" s="418">
        <f t="shared" si="238"/>
        <v>0</v>
      </c>
      <c r="AW202" s="418">
        <f t="shared" si="239"/>
        <v>0</v>
      </c>
      <c r="AX202" s="419">
        <v>0</v>
      </c>
      <c r="AY202" s="419">
        <v>0</v>
      </c>
      <c r="AZ202" s="419">
        <v>0</v>
      </c>
      <c r="BA202" s="419">
        <v>0</v>
      </c>
      <c r="BB202" s="419">
        <v>0</v>
      </c>
      <c r="BC202" s="419">
        <v>0</v>
      </c>
      <c r="BD202" s="419">
        <v>0</v>
      </c>
      <c r="BE202" s="419">
        <v>0</v>
      </c>
      <c r="BF202" s="419">
        <f t="shared" si="240"/>
        <v>0</v>
      </c>
      <c r="BG202" s="419">
        <f t="shared" si="241"/>
        <v>0</v>
      </c>
      <c r="BH202" s="421">
        <f t="shared" si="242"/>
        <v>0</v>
      </c>
      <c r="BI202" s="780">
        <f>I202+AW202</f>
        <v>29528560</v>
      </c>
      <c r="BJ202" s="418">
        <f>J202+AF202</f>
        <v>21512690</v>
      </c>
      <c r="BK202" s="418">
        <f t="shared" ref="BK202:BL206" si="313">K202+AD202</f>
        <v>19963777</v>
      </c>
      <c r="BL202" s="418">
        <f t="shared" si="313"/>
        <v>1548913</v>
      </c>
      <c r="BM202" s="418">
        <f>M202+AN202</f>
        <v>70000</v>
      </c>
      <c r="BN202" s="418">
        <f t="shared" ref="BN202:BO206" si="314">N202+AL202</f>
        <v>60000</v>
      </c>
      <c r="BO202" s="418">
        <f t="shared" si="314"/>
        <v>10000</v>
      </c>
      <c r="BP202" s="418">
        <f t="shared" ref="BP202:BQ206" si="315">P202+AR202</f>
        <v>7294949</v>
      </c>
      <c r="BQ202" s="418">
        <f t="shared" si="315"/>
        <v>215127</v>
      </c>
      <c r="BR202" s="418">
        <f>R202+AV202</f>
        <v>435794</v>
      </c>
      <c r="BS202" s="419">
        <f>S202+BH202</f>
        <v>32.329900000000002</v>
      </c>
      <c r="BT202" s="419">
        <f t="shared" ref="BT202:BU206" si="316">T202+BF202</f>
        <v>27.6599</v>
      </c>
      <c r="BU202" s="421">
        <f t="shared" si="316"/>
        <v>4.6700000000000008</v>
      </c>
      <c r="BV202" s="420"/>
      <c r="BW202" s="415"/>
      <c r="BX202" s="415"/>
      <c r="BY202" s="415"/>
      <c r="BZ202" s="415"/>
      <c r="CA202" s="510"/>
    </row>
    <row r="203" spans="1:79" ht="14.1" customHeight="1" x14ac:dyDescent="0.2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621</v>
      </c>
      <c r="F203" s="66">
        <v>3113</v>
      </c>
      <c r="G203" s="77" t="s">
        <v>291</v>
      </c>
      <c r="H203" s="67" t="s">
        <v>272</v>
      </c>
      <c r="I203" s="420">
        <v>3199895</v>
      </c>
      <c r="J203" s="415">
        <v>2367133</v>
      </c>
      <c r="K203" s="415">
        <v>2367133</v>
      </c>
      <c r="L203" s="415">
        <v>0</v>
      </c>
      <c r="M203" s="415">
        <v>0</v>
      </c>
      <c r="N203" s="415">
        <v>0</v>
      </c>
      <c r="O203" s="415">
        <v>0</v>
      </c>
      <c r="P203" s="599">
        <v>800091</v>
      </c>
      <c r="Q203" s="599">
        <v>23671</v>
      </c>
      <c r="R203" s="415">
        <v>9000</v>
      </c>
      <c r="S203" s="416">
        <v>6.5</v>
      </c>
      <c r="T203" s="417">
        <v>6.5</v>
      </c>
      <c r="U203" s="423">
        <v>0</v>
      </c>
      <c r="V203" s="424">
        <f t="shared" si="227"/>
        <v>0</v>
      </c>
      <c r="W203" s="418">
        <f t="shared" si="228"/>
        <v>0</v>
      </c>
      <c r="X203" s="418">
        <v>0</v>
      </c>
      <c r="Y203" s="418">
        <v>0</v>
      </c>
      <c r="Z203" s="418">
        <v>0</v>
      </c>
      <c r="AA203" s="418">
        <v>0</v>
      </c>
      <c r="AB203" s="418">
        <v>0</v>
      </c>
      <c r="AC203" s="418">
        <v>0</v>
      </c>
      <c r="AD203" s="418">
        <f>V203+X203+Y203+Z203+AB203</f>
        <v>0</v>
      </c>
      <c r="AE203" s="418">
        <f>W203+AA203+AC203</f>
        <v>0</v>
      </c>
      <c r="AF203" s="418">
        <f t="shared" si="229"/>
        <v>0</v>
      </c>
      <c r="AG203" s="418">
        <v>0</v>
      </c>
      <c r="AH203" s="418">
        <v>0</v>
      </c>
      <c r="AI203" s="418">
        <v>0</v>
      </c>
      <c r="AJ203" s="418">
        <v>0</v>
      </c>
      <c r="AK203" s="418">
        <v>0</v>
      </c>
      <c r="AL203" s="418">
        <f t="shared" si="230"/>
        <v>0</v>
      </c>
      <c r="AM203" s="418">
        <f t="shared" si="231"/>
        <v>0</v>
      </c>
      <c r="AN203" s="418">
        <f t="shared" si="232"/>
        <v>0</v>
      </c>
      <c r="AO203" s="418">
        <f t="shared" si="233"/>
        <v>0</v>
      </c>
      <c r="AP203" s="418">
        <f t="shared" si="234"/>
        <v>0</v>
      </c>
      <c r="AQ203" s="418">
        <f t="shared" si="235"/>
        <v>0</v>
      </c>
      <c r="AR203" s="68">
        <f t="shared" si="236"/>
        <v>0</v>
      </c>
      <c r="AS203" s="68">
        <f t="shared" si="237"/>
        <v>0</v>
      </c>
      <c r="AT203" s="418">
        <v>0</v>
      </c>
      <c r="AU203" s="418">
        <v>0</v>
      </c>
      <c r="AV203" s="418">
        <f t="shared" si="238"/>
        <v>0</v>
      </c>
      <c r="AW203" s="418">
        <f t="shared" si="239"/>
        <v>0</v>
      </c>
      <c r="AX203" s="419">
        <v>0</v>
      </c>
      <c r="AY203" s="419">
        <v>0</v>
      </c>
      <c r="AZ203" s="419">
        <v>0</v>
      </c>
      <c r="BA203" s="419">
        <v>0</v>
      </c>
      <c r="BB203" s="419">
        <v>0</v>
      </c>
      <c r="BC203" s="419">
        <v>0</v>
      </c>
      <c r="BD203" s="419">
        <v>0</v>
      </c>
      <c r="BE203" s="419">
        <v>0</v>
      </c>
      <c r="BF203" s="419">
        <f t="shared" si="240"/>
        <v>0</v>
      </c>
      <c r="BG203" s="419">
        <f t="shared" si="241"/>
        <v>0</v>
      </c>
      <c r="BH203" s="421">
        <f t="shared" si="242"/>
        <v>0</v>
      </c>
      <c r="BI203" s="780">
        <f>I203+AW203</f>
        <v>3199895</v>
      </c>
      <c r="BJ203" s="418">
        <f>J203+AF203</f>
        <v>2367133</v>
      </c>
      <c r="BK203" s="418">
        <f t="shared" si="313"/>
        <v>2367133</v>
      </c>
      <c r="BL203" s="418">
        <f t="shared" si="313"/>
        <v>0</v>
      </c>
      <c r="BM203" s="418">
        <f>M203+AN203</f>
        <v>0</v>
      </c>
      <c r="BN203" s="418">
        <f t="shared" si="314"/>
        <v>0</v>
      </c>
      <c r="BO203" s="418">
        <f t="shared" si="314"/>
        <v>0</v>
      </c>
      <c r="BP203" s="418">
        <f t="shared" si="315"/>
        <v>800091</v>
      </c>
      <c r="BQ203" s="418">
        <f t="shared" si="315"/>
        <v>23671</v>
      </c>
      <c r="BR203" s="418">
        <f>R203+AV203</f>
        <v>9000</v>
      </c>
      <c r="BS203" s="419">
        <f>S203+BH203</f>
        <v>6.5</v>
      </c>
      <c r="BT203" s="419">
        <f t="shared" si="316"/>
        <v>6.5</v>
      </c>
      <c r="BU203" s="421">
        <f t="shared" si="316"/>
        <v>0</v>
      </c>
      <c r="BV203" s="420"/>
      <c r="BW203" s="415"/>
      <c r="BX203" s="415"/>
      <c r="BY203" s="415"/>
      <c r="BZ203" s="415"/>
      <c r="CA203" s="510"/>
    </row>
    <row r="204" spans="1:79" ht="13.5" customHeight="1" x14ac:dyDescent="0.2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621</v>
      </c>
      <c r="F204" s="66">
        <v>3141</v>
      </c>
      <c r="G204" s="65" t="s">
        <v>294</v>
      </c>
      <c r="H204" s="67" t="s">
        <v>272</v>
      </c>
      <c r="I204" s="420">
        <v>1779209</v>
      </c>
      <c r="J204" s="415">
        <v>1309476</v>
      </c>
      <c r="K204" s="415">
        <v>0</v>
      </c>
      <c r="L204" s="750">
        <v>1309476</v>
      </c>
      <c r="M204" s="415">
        <v>0</v>
      </c>
      <c r="N204" s="204">
        <v>0</v>
      </c>
      <c r="O204" s="204">
        <v>0</v>
      </c>
      <c r="P204" s="599">
        <v>442603</v>
      </c>
      <c r="Q204" s="599">
        <v>13095</v>
      </c>
      <c r="R204" s="605">
        <v>14035</v>
      </c>
      <c r="S204" s="416">
        <v>3.9266999999999999</v>
      </c>
      <c r="T204" s="607">
        <v>0</v>
      </c>
      <c r="U204" s="737">
        <v>3.9266999999999999</v>
      </c>
      <c r="V204" s="424">
        <f t="shared" si="227"/>
        <v>0</v>
      </c>
      <c r="W204" s="418">
        <f t="shared" si="228"/>
        <v>0</v>
      </c>
      <c r="X204" s="418">
        <v>0</v>
      </c>
      <c r="Y204" s="418">
        <v>0</v>
      </c>
      <c r="Z204" s="418">
        <v>0</v>
      </c>
      <c r="AA204" s="418">
        <v>653791</v>
      </c>
      <c r="AB204" s="418">
        <v>0</v>
      </c>
      <c r="AC204" s="418">
        <v>0</v>
      </c>
      <c r="AD204" s="418">
        <f>V204+X204+Y204+Z204+AB204</f>
        <v>0</v>
      </c>
      <c r="AE204" s="418">
        <f>W204+AA204+AC204</f>
        <v>653791</v>
      </c>
      <c r="AF204" s="418">
        <f t="shared" si="229"/>
        <v>653791</v>
      </c>
      <c r="AG204" s="418">
        <v>0</v>
      </c>
      <c r="AH204" s="418">
        <v>0</v>
      </c>
      <c r="AI204" s="418">
        <v>0</v>
      </c>
      <c r="AJ204" s="418">
        <v>0</v>
      </c>
      <c r="AK204" s="418">
        <v>0</v>
      </c>
      <c r="AL204" s="418">
        <f t="shared" si="230"/>
        <v>0</v>
      </c>
      <c r="AM204" s="418">
        <f t="shared" si="231"/>
        <v>0</v>
      </c>
      <c r="AN204" s="418">
        <f t="shared" si="232"/>
        <v>0</v>
      </c>
      <c r="AO204" s="418">
        <f t="shared" si="233"/>
        <v>0</v>
      </c>
      <c r="AP204" s="418">
        <f t="shared" si="234"/>
        <v>653791</v>
      </c>
      <c r="AQ204" s="418">
        <f t="shared" si="235"/>
        <v>653791</v>
      </c>
      <c r="AR204" s="68">
        <f t="shared" si="236"/>
        <v>220981</v>
      </c>
      <c r="AS204" s="68">
        <f t="shared" si="237"/>
        <v>6538</v>
      </c>
      <c r="AT204" s="418">
        <v>0</v>
      </c>
      <c r="AU204" s="418">
        <v>6817</v>
      </c>
      <c r="AV204" s="418">
        <f t="shared" si="238"/>
        <v>6817</v>
      </c>
      <c r="AW204" s="418">
        <f t="shared" si="239"/>
        <v>888127</v>
      </c>
      <c r="AX204" s="419">
        <v>0</v>
      </c>
      <c r="AY204" s="419">
        <v>0</v>
      </c>
      <c r="AZ204" s="419">
        <v>0</v>
      </c>
      <c r="BA204" s="419">
        <v>0</v>
      </c>
      <c r="BB204" s="419">
        <v>1.96</v>
      </c>
      <c r="BC204" s="419">
        <v>0</v>
      </c>
      <c r="BD204" s="419">
        <v>0</v>
      </c>
      <c r="BE204" s="419">
        <v>0</v>
      </c>
      <c r="BF204" s="419">
        <f t="shared" si="240"/>
        <v>0</v>
      </c>
      <c r="BG204" s="419">
        <f t="shared" si="241"/>
        <v>1.96</v>
      </c>
      <c r="BH204" s="421">
        <f t="shared" si="242"/>
        <v>1.96</v>
      </c>
      <c r="BI204" s="780">
        <f>I204+AW204</f>
        <v>2667336</v>
      </c>
      <c r="BJ204" s="418">
        <f>J204+AF204</f>
        <v>1963267</v>
      </c>
      <c r="BK204" s="418">
        <f t="shared" si="313"/>
        <v>0</v>
      </c>
      <c r="BL204" s="418">
        <f t="shared" si="313"/>
        <v>1963267</v>
      </c>
      <c r="BM204" s="418">
        <f>M204+AN204</f>
        <v>0</v>
      </c>
      <c r="BN204" s="418">
        <f t="shared" si="314"/>
        <v>0</v>
      </c>
      <c r="BO204" s="418">
        <f t="shared" si="314"/>
        <v>0</v>
      </c>
      <c r="BP204" s="418">
        <f t="shared" si="315"/>
        <v>663584</v>
      </c>
      <c r="BQ204" s="418">
        <f t="shared" si="315"/>
        <v>19633</v>
      </c>
      <c r="BR204" s="418">
        <f>R204+AV204</f>
        <v>20852</v>
      </c>
      <c r="BS204" s="419">
        <f>S204+BH204</f>
        <v>5.8866999999999994</v>
      </c>
      <c r="BT204" s="419">
        <f t="shared" si="316"/>
        <v>0</v>
      </c>
      <c r="BU204" s="421">
        <f t="shared" si="316"/>
        <v>5.8866999999999994</v>
      </c>
      <c r="BV204" s="420"/>
      <c r="BW204" s="415"/>
      <c r="BX204" s="415"/>
      <c r="BY204" s="415"/>
      <c r="BZ204" s="415"/>
      <c r="CA204" s="510"/>
    </row>
    <row r="205" spans="1:79" ht="14.1" customHeight="1" x14ac:dyDescent="0.2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621</v>
      </c>
      <c r="F205" s="66">
        <v>3143</v>
      </c>
      <c r="G205" s="77" t="s">
        <v>595</v>
      </c>
      <c r="H205" s="67" t="s">
        <v>271</v>
      </c>
      <c r="I205" s="420">
        <v>3394736</v>
      </c>
      <c r="J205" s="415">
        <v>2464783</v>
      </c>
      <c r="K205" s="415">
        <v>2464783</v>
      </c>
      <c r="L205" s="415">
        <v>0</v>
      </c>
      <c r="M205" s="415">
        <v>72209</v>
      </c>
      <c r="N205" s="415">
        <v>72209</v>
      </c>
      <c r="O205" s="415">
        <v>0</v>
      </c>
      <c r="P205" s="599">
        <v>833096</v>
      </c>
      <c r="Q205" s="599">
        <v>24648</v>
      </c>
      <c r="R205" s="415">
        <v>0</v>
      </c>
      <c r="S205" s="416">
        <v>4.8</v>
      </c>
      <c r="T205" s="416">
        <v>4.8</v>
      </c>
      <c r="U205" s="423">
        <v>0</v>
      </c>
      <c r="V205" s="424">
        <f t="shared" si="227"/>
        <v>0</v>
      </c>
      <c r="W205" s="418">
        <f t="shared" si="228"/>
        <v>0</v>
      </c>
      <c r="X205" s="418">
        <v>0</v>
      </c>
      <c r="Y205" s="418">
        <v>0</v>
      </c>
      <c r="Z205" s="418">
        <v>0</v>
      </c>
      <c r="AA205" s="418">
        <v>0</v>
      </c>
      <c r="AB205" s="418">
        <v>0</v>
      </c>
      <c r="AC205" s="418">
        <v>0</v>
      </c>
      <c r="AD205" s="418">
        <f>V205+X205+Y205+Z205+AB205</f>
        <v>0</v>
      </c>
      <c r="AE205" s="418">
        <f>W205+AA205+AC205</f>
        <v>0</v>
      </c>
      <c r="AF205" s="418">
        <f t="shared" si="229"/>
        <v>0</v>
      </c>
      <c r="AG205" s="418">
        <v>0</v>
      </c>
      <c r="AH205" s="418">
        <v>0</v>
      </c>
      <c r="AI205" s="418">
        <v>0</v>
      </c>
      <c r="AJ205" s="418">
        <v>0</v>
      </c>
      <c r="AK205" s="418">
        <v>0</v>
      </c>
      <c r="AL205" s="418">
        <f t="shared" si="230"/>
        <v>0</v>
      </c>
      <c r="AM205" s="418">
        <f t="shared" si="231"/>
        <v>0</v>
      </c>
      <c r="AN205" s="418">
        <f t="shared" si="232"/>
        <v>0</v>
      </c>
      <c r="AO205" s="418">
        <f t="shared" si="233"/>
        <v>0</v>
      </c>
      <c r="AP205" s="418">
        <f t="shared" si="234"/>
        <v>0</v>
      </c>
      <c r="AQ205" s="418">
        <f t="shared" si="235"/>
        <v>0</v>
      </c>
      <c r="AR205" s="68">
        <f t="shared" si="236"/>
        <v>0</v>
      </c>
      <c r="AS205" s="68">
        <f t="shared" si="237"/>
        <v>0</v>
      </c>
      <c r="AT205" s="418">
        <v>0</v>
      </c>
      <c r="AU205" s="418">
        <v>0</v>
      </c>
      <c r="AV205" s="418">
        <f t="shared" si="238"/>
        <v>0</v>
      </c>
      <c r="AW205" s="418">
        <f t="shared" si="239"/>
        <v>0</v>
      </c>
      <c r="AX205" s="419">
        <v>0</v>
      </c>
      <c r="AY205" s="419">
        <v>0</v>
      </c>
      <c r="AZ205" s="419">
        <v>0</v>
      </c>
      <c r="BA205" s="419">
        <v>0</v>
      </c>
      <c r="BB205" s="419">
        <v>0</v>
      </c>
      <c r="BC205" s="419">
        <v>0</v>
      </c>
      <c r="BD205" s="419">
        <v>0</v>
      </c>
      <c r="BE205" s="419">
        <v>0</v>
      </c>
      <c r="BF205" s="419">
        <f t="shared" si="240"/>
        <v>0</v>
      </c>
      <c r="BG205" s="419">
        <f t="shared" si="241"/>
        <v>0</v>
      </c>
      <c r="BH205" s="421">
        <f t="shared" si="242"/>
        <v>0</v>
      </c>
      <c r="BI205" s="780">
        <f>I205+AW205</f>
        <v>3394736</v>
      </c>
      <c r="BJ205" s="418">
        <f>J205+AF205</f>
        <v>2464783</v>
      </c>
      <c r="BK205" s="418">
        <f t="shared" si="313"/>
        <v>2464783</v>
      </c>
      <c r="BL205" s="418">
        <f t="shared" si="313"/>
        <v>0</v>
      </c>
      <c r="BM205" s="418">
        <f>M205+AN205</f>
        <v>72209</v>
      </c>
      <c r="BN205" s="418">
        <f t="shared" si="314"/>
        <v>72209</v>
      </c>
      <c r="BO205" s="418">
        <f t="shared" si="314"/>
        <v>0</v>
      </c>
      <c r="BP205" s="418">
        <f t="shared" si="315"/>
        <v>833096</v>
      </c>
      <c r="BQ205" s="418">
        <f t="shared" si="315"/>
        <v>24648</v>
      </c>
      <c r="BR205" s="418">
        <f>R205+AV205</f>
        <v>0</v>
      </c>
      <c r="BS205" s="419">
        <f>S205+BH205</f>
        <v>4.8</v>
      </c>
      <c r="BT205" s="419">
        <f t="shared" si="316"/>
        <v>4.8</v>
      </c>
      <c r="BU205" s="421">
        <f t="shared" si="316"/>
        <v>0</v>
      </c>
      <c r="BV205" s="420"/>
      <c r="BW205" s="415"/>
      <c r="BX205" s="415"/>
      <c r="BY205" s="415"/>
      <c r="BZ205" s="415"/>
      <c r="CA205" s="510"/>
    </row>
    <row r="206" spans="1:79" ht="14.1" customHeight="1" x14ac:dyDescent="0.2">
      <c r="A206" s="66">
        <v>43</v>
      </c>
      <c r="B206" s="63">
        <v>2328</v>
      </c>
      <c r="C206" s="64">
        <v>691006041</v>
      </c>
      <c r="D206" s="63">
        <v>71294988</v>
      </c>
      <c r="E206" s="65" t="s">
        <v>621</v>
      </c>
      <c r="F206" s="66">
        <v>3143</v>
      </c>
      <c r="G206" s="77" t="s">
        <v>596</v>
      </c>
      <c r="H206" s="67" t="s">
        <v>272</v>
      </c>
      <c r="I206" s="420">
        <v>74283</v>
      </c>
      <c r="J206" s="415">
        <v>53170</v>
      </c>
      <c r="K206" s="415">
        <v>0</v>
      </c>
      <c r="L206" s="605">
        <v>53170</v>
      </c>
      <c r="M206" s="415">
        <v>0</v>
      </c>
      <c r="N206" s="415">
        <v>0</v>
      </c>
      <c r="O206" s="415">
        <v>0</v>
      </c>
      <c r="P206" s="599">
        <v>17971</v>
      </c>
      <c r="Q206" s="599">
        <v>532</v>
      </c>
      <c r="R206" s="606">
        <v>2610</v>
      </c>
      <c r="S206" s="416">
        <v>0.2014</v>
      </c>
      <c r="T206" s="609">
        <v>0</v>
      </c>
      <c r="U206" s="737">
        <v>0.2014</v>
      </c>
      <c r="V206" s="424">
        <f t="shared" ref="V206:V269" si="317">AG206*-1</f>
        <v>0</v>
      </c>
      <c r="W206" s="418">
        <f t="shared" ref="W206:W269" si="318">AH206*-1</f>
        <v>0</v>
      </c>
      <c r="X206" s="418">
        <v>0</v>
      </c>
      <c r="Y206" s="418">
        <v>0</v>
      </c>
      <c r="Z206" s="418">
        <v>0</v>
      </c>
      <c r="AA206" s="418">
        <v>26580</v>
      </c>
      <c r="AB206" s="418">
        <v>0</v>
      </c>
      <c r="AC206" s="418">
        <v>0</v>
      </c>
      <c r="AD206" s="418">
        <f>V206+X206+Y206+Z206+AB206</f>
        <v>0</v>
      </c>
      <c r="AE206" s="418">
        <f>W206+AA206+AC206</f>
        <v>26580</v>
      </c>
      <c r="AF206" s="418">
        <f t="shared" ref="AF206:AF269" si="319">SUM(AD206:AE206)</f>
        <v>26580</v>
      </c>
      <c r="AG206" s="418">
        <v>0</v>
      </c>
      <c r="AH206" s="418">
        <v>0</v>
      </c>
      <c r="AI206" s="418">
        <v>0</v>
      </c>
      <c r="AJ206" s="418">
        <v>0</v>
      </c>
      <c r="AK206" s="418">
        <v>0</v>
      </c>
      <c r="AL206" s="418">
        <f t="shared" ref="AL206:AL269" si="320">AG206+AI206+AJ206</f>
        <v>0</v>
      </c>
      <c r="AM206" s="418">
        <f t="shared" ref="AM206:AM269" si="321">AH206+AK206</f>
        <v>0</v>
      </c>
      <c r="AN206" s="418">
        <f t="shared" ref="AN206:AN269" si="322">SUM(AL206:AM206)</f>
        <v>0</v>
      </c>
      <c r="AO206" s="418">
        <f t="shared" ref="AO206:AO269" si="323">AD206+AL206</f>
        <v>0</v>
      </c>
      <c r="AP206" s="418">
        <f t="shared" ref="AP206:AP269" si="324">AE206+AM206</f>
        <v>26580</v>
      </c>
      <c r="AQ206" s="418">
        <f t="shared" ref="AQ206:AQ269" si="325">SUM(AO206:AP206)</f>
        <v>26580</v>
      </c>
      <c r="AR206" s="68">
        <f t="shared" ref="AR206:AR269" si="326">ROUND((AF206+AG206+AH206+AI206)*33.8%,0)</f>
        <v>8984</v>
      </c>
      <c r="AS206" s="68">
        <f t="shared" ref="AS206:AS269" si="327">ROUND(AF206*1%,0)</f>
        <v>266</v>
      </c>
      <c r="AT206" s="418">
        <v>0</v>
      </c>
      <c r="AU206" s="418">
        <v>1305</v>
      </c>
      <c r="AV206" s="418">
        <f t="shared" ref="AV206:AV269" si="328">AT206+AU206</f>
        <v>1305</v>
      </c>
      <c r="AW206" s="418">
        <f t="shared" ref="AW206:AW269" si="329">AQ206+AR206+AS206+AV206</f>
        <v>37135</v>
      </c>
      <c r="AX206" s="419">
        <v>0</v>
      </c>
      <c r="AY206" s="419">
        <v>0</v>
      </c>
      <c r="AZ206" s="419">
        <v>0</v>
      </c>
      <c r="BA206" s="419">
        <v>0</v>
      </c>
      <c r="BB206" s="419">
        <v>0.1</v>
      </c>
      <c r="BC206" s="419">
        <v>0</v>
      </c>
      <c r="BD206" s="419">
        <v>0</v>
      </c>
      <c r="BE206" s="419">
        <v>0</v>
      </c>
      <c r="BF206" s="419">
        <f t="shared" ref="BF206:BF269" si="330">AX206+AZ206+BA206+BC206+BD206</f>
        <v>0</v>
      </c>
      <c r="BG206" s="419">
        <f t="shared" ref="BG206:BG269" si="331">AY206+BB206+BE206</f>
        <v>0.1</v>
      </c>
      <c r="BH206" s="421">
        <f t="shared" ref="BH206:BH269" si="332">SUM(BF206:BG206)</f>
        <v>0.1</v>
      </c>
      <c r="BI206" s="780">
        <f>I206+AW206</f>
        <v>111418</v>
      </c>
      <c r="BJ206" s="418">
        <f>J206+AF206</f>
        <v>79750</v>
      </c>
      <c r="BK206" s="418">
        <f t="shared" si="313"/>
        <v>0</v>
      </c>
      <c r="BL206" s="418">
        <f t="shared" si="313"/>
        <v>79750</v>
      </c>
      <c r="BM206" s="418">
        <f>M206+AN206</f>
        <v>0</v>
      </c>
      <c r="BN206" s="418">
        <f t="shared" si="314"/>
        <v>0</v>
      </c>
      <c r="BO206" s="418">
        <f t="shared" si="314"/>
        <v>0</v>
      </c>
      <c r="BP206" s="418">
        <f t="shared" si="315"/>
        <v>26955</v>
      </c>
      <c r="BQ206" s="418">
        <f t="shared" si="315"/>
        <v>798</v>
      </c>
      <c r="BR206" s="418">
        <f>R206+AV206</f>
        <v>3915</v>
      </c>
      <c r="BS206" s="419">
        <f>S206+BH206</f>
        <v>0.3014</v>
      </c>
      <c r="BT206" s="419">
        <f t="shared" si="316"/>
        <v>0</v>
      </c>
      <c r="BU206" s="421">
        <f t="shared" si="316"/>
        <v>0.3014</v>
      </c>
      <c r="BV206" s="420"/>
      <c r="BW206" s="415"/>
      <c r="BX206" s="415"/>
      <c r="BY206" s="415"/>
      <c r="BZ206" s="415"/>
      <c r="CA206" s="510"/>
    </row>
    <row r="207" spans="1:79" ht="14.1" customHeight="1" x14ac:dyDescent="0.2">
      <c r="A207" s="72">
        <v>43</v>
      </c>
      <c r="B207" s="69">
        <v>2328</v>
      </c>
      <c r="C207" s="70">
        <v>691006041</v>
      </c>
      <c r="D207" s="69">
        <v>71294988</v>
      </c>
      <c r="E207" s="71" t="s">
        <v>622</v>
      </c>
      <c r="F207" s="72"/>
      <c r="G207" s="71"/>
      <c r="H207" s="73"/>
      <c r="I207" s="517">
        <v>37976683</v>
      </c>
      <c r="J207" s="74">
        <v>27707252</v>
      </c>
      <c r="K207" s="74">
        <v>24795693</v>
      </c>
      <c r="L207" s="74">
        <v>2911559</v>
      </c>
      <c r="M207" s="74">
        <v>142209</v>
      </c>
      <c r="N207" s="74">
        <v>132209</v>
      </c>
      <c r="O207" s="74">
        <v>10000</v>
      </c>
      <c r="P207" s="74">
        <v>9388710</v>
      </c>
      <c r="Q207" s="74">
        <v>277073</v>
      </c>
      <c r="R207" s="74">
        <v>461439</v>
      </c>
      <c r="S207" s="75">
        <v>47.757999999999996</v>
      </c>
      <c r="T207" s="75">
        <v>38.959899999999998</v>
      </c>
      <c r="U207" s="658">
        <v>8.7980999999999998</v>
      </c>
      <c r="V207" s="517">
        <f t="shared" ref="V207:BU207" si="333">SUM(V202:V206)</f>
        <v>0</v>
      </c>
      <c r="W207" s="74">
        <f t="shared" si="333"/>
        <v>0</v>
      </c>
      <c r="X207" s="74">
        <f t="shared" si="333"/>
        <v>0</v>
      </c>
      <c r="Y207" s="74">
        <f t="shared" si="333"/>
        <v>0</v>
      </c>
      <c r="Z207" s="74">
        <f t="shared" si="333"/>
        <v>0</v>
      </c>
      <c r="AA207" s="74">
        <f t="shared" si="333"/>
        <v>680371</v>
      </c>
      <c r="AB207" s="74">
        <f t="shared" si="333"/>
        <v>0</v>
      </c>
      <c r="AC207" s="74">
        <f t="shared" si="333"/>
        <v>0</v>
      </c>
      <c r="AD207" s="74">
        <f t="shared" si="333"/>
        <v>0</v>
      </c>
      <c r="AE207" s="74">
        <f t="shared" si="333"/>
        <v>680371</v>
      </c>
      <c r="AF207" s="74">
        <f t="shared" si="333"/>
        <v>680371</v>
      </c>
      <c r="AG207" s="74">
        <f t="shared" si="333"/>
        <v>0</v>
      </c>
      <c r="AH207" s="74">
        <f t="shared" si="333"/>
        <v>0</v>
      </c>
      <c r="AI207" s="74">
        <f t="shared" si="333"/>
        <v>0</v>
      </c>
      <c r="AJ207" s="74">
        <f t="shared" si="333"/>
        <v>0</v>
      </c>
      <c r="AK207" s="74">
        <f t="shared" si="333"/>
        <v>0</v>
      </c>
      <c r="AL207" s="74">
        <f t="shared" si="333"/>
        <v>0</v>
      </c>
      <c r="AM207" s="74">
        <f t="shared" si="333"/>
        <v>0</v>
      </c>
      <c r="AN207" s="74">
        <f t="shared" si="333"/>
        <v>0</v>
      </c>
      <c r="AO207" s="74">
        <f t="shared" si="333"/>
        <v>0</v>
      </c>
      <c r="AP207" s="74">
        <f t="shared" si="333"/>
        <v>680371</v>
      </c>
      <c r="AQ207" s="74">
        <f t="shared" si="333"/>
        <v>680371</v>
      </c>
      <c r="AR207" s="74">
        <f t="shared" si="333"/>
        <v>229965</v>
      </c>
      <c r="AS207" s="74">
        <f t="shared" si="333"/>
        <v>6804</v>
      </c>
      <c r="AT207" s="74">
        <f t="shared" si="333"/>
        <v>0</v>
      </c>
      <c r="AU207" s="74">
        <f t="shared" si="333"/>
        <v>8122</v>
      </c>
      <c r="AV207" s="74">
        <f t="shared" si="333"/>
        <v>8122</v>
      </c>
      <c r="AW207" s="74">
        <f t="shared" si="333"/>
        <v>925262</v>
      </c>
      <c r="AX207" s="75">
        <f t="shared" si="333"/>
        <v>0</v>
      </c>
      <c r="AY207" s="75">
        <f t="shared" si="333"/>
        <v>0</v>
      </c>
      <c r="AZ207" s="75">
        <f t="shared" si="333"/>
        <v>0</v>
      </c>
      <c r="BA207" s="75">
        <f t="shared" si="333"/>
        <v>0</v>
      </c>
      <c r="BB207" s="75">
        <f t="shared" si="333"/>
        <v>2.06</v>
      </c>
      <c r="BC207" s="75">
        <f t="shared" si="333"/>
        <v>0</v>
      </c>
      <c r="BD207" s="75">
        <f t="shared" si="333"/>
        <v>0</v>
      </c>
      <c r="BE207" s="75">
        <f t="shared" si="333"/>
        <v>0</v>
      </c>
      <c r="BF207" s="75">
        <f t="shared" si="333"/>
        <v>0</v>
      </c>
      <c r="BG207" s="75">
        <f t="shared" si="333"/>
        <v>2.06</v>
      </c>
      <c r="BH207" s="76">
        <f t="shared" si="333"/>
        <v>2.06</v>
      </c>
      <c r="BI207" s="799">
        <f t="shared" si="333"/>
        <v>38901945</v>
      </c>
      <c r="BJ207" s="74">
        <f t="shared" si="333"/>
        <v>28387623</v>
      </c>
      <c r="BK207" s="74">
        <f t="shared" si="333"/>
        <v>24795693</v>
      </c>
      <c r="BL207" s="74">
        <f t="shared" si="333"/>
        <v>3591930</v>
      </c>
      <c r="BM207" s="74">
        <f t="shared" si="333"/>
        <v>142209</v>
      </c>
      <c r="BN207" s="74">
        <f t="shared" si="333"/>
        <v>132209</v>
      </c>
      <c r="BO207" s="74">
        <f t="shared" si="333"/>
        <v>10000</v>
      </c>
      <c r="BP207" s="74">
        <f t="shared" si="333"/>
        <v>9618675</v>
      </c>
      <c r="BQ207" s="74">
        <f t="shared" si="333"/>
        <v>283877</v>
      </c>
      <c r="BR207" s="74">
        <f t="shared" si="333"/>
        <v>469561</v>
      </c>
      <c r="BS207" s="75">
        <f t="shared" si="333"/>
        <v>49.817999999999998</v>
      </c>
      <c r="BT207" s="75">
        <f t="shared" si="333"/>
        <v>38.959899999999998</v>
      </c>
      <c r="BU207" s="76">
        <f t="shared" si="333"/>
        <v>10.858099999999999</v>
      </c>
      <c r="BV207" s="809">
        <f t="shared" ref="BV207:CA207" si="334">SUM(BV202:BV206)</f>
        <v>0</v>
      </c>
      <c r="BW207" s="684">
        <f t="shared" si="334"/>
        <v>0</v>
      </c>
      <c r="BX207" s="684">
        <f t="shared" si="334"/>
        <v>0</v>
      </c>
      <c r="BY207" s="684">
        <f t="shared" si="334"/>
        <v>0</v>
      </c>
      <c r="BZ207" s="684">
        <f t="shared" si="334"/>
        <v>0</v>
      </c>
      <c r="CA207" s="810">
        <f t="shared" si="334"/>
        <v>0</v>
      </c>
    </row>
    <row r="208" spans="1:79" ht="14.1" customHeight="1" x14ac:dyDescent="0.2">
      <c r="A208" s="66">
        <v>44</v>
      </c>
      <c r="B208" s="63">
        <v>2486</v>
      </c>
      <c r="C208" s="64">
        <v>600079970</v>
      </c>
      <c r="D208" s="63">
        <v>46744908</v>
      </c>
      <c r="E208" s="65" t="s">
        <v>623</v>
      </c>
      <c r="F208" s="66">
        <v>3113</v>
      </c>
      <c r="G208" s="65" t="s">
        <v>293</v>
      </c>
      <c r="H208" s="67" t="s">
        <v>271</v>
      </c>
      <c r="I208" s="420">
        <v>19613496</v>
      </c>
      <c r="J208" s="415">
        <v>14113680</v>
      </c>
      <c r="K208" s="415">
        <v>13053496</v>
      </c>
      <c r="L208" s="415">
        <v>1060184</v>
      </c>
      <c r="M208" s="415">
        <v>230000</v>
      </c>
      <c r="N208" s="415">
        <v>215000</v>
      </c>
      <c r="O208" s="415">
        <v>15000</v>
      </c>
      <c r="P208" s="599">
        <v>4848163</v>
      </c>
      <c r="Q208" s="599">
        <v>141137</v>
      </c>
      <c r="R208" s="415">
        <v>280516</v>
      </c>
      <c r="S208" s="416">
        <v>21.5123</v>
      </c>
      <c r="T208" s="416">
        <v>18.425999999999998</v>
      </c>
      <c r="U208" s="423">
        <v>3.0863000000000005</v>
      </c>
      <c r="V208" s="424">
        <f t="shared" si="317"/>
        <v>0</v>
      </c>
      <c r="W208" s="418">
        <f t="shared" si="318"/>
        <v>0</v>
      </c>
      <c r="X208" s="418">
        <v>0</v>
      </c>
      <c r="Y208" s="418">
        <v>0</v>
      </c>
      <c r="Z208" s="418">
        <v>0</v>
      </c>
      <c r="AA208" s="418">
        <v>0</v>
      </c>
      <c r="AB208" s="418">
        <v>0</v>
      </c>
      <c r="AC208" s="418">
        <v>0</v>
      </c>
      <c r="AD208" s="418">
        <f t="shared" ref="AD208:AD213" si="335">V208+X208+Y208+Z208+AB208</f>
        <v>0</v>
      </c>
      <c r="AE208" s="418">
        <f t="shared" ref="AE208:AE213" si="336">W208+AA208+AC208</f>
        <v>0</v>
      </c>
      <c r="AF208" s="418">
        <f t="shared" si="319"/>
        <v>0</v>
      </c>
      <c r="AG208" s="418">
        <v>0</v>
      </c>
      <c r="AH208" s="418">
        <v>0</v>
      </c>
      <c r="AI208" s="418">
        <v>0</v>
      </c>
      <c r="AJ208" s="418">
        <v>0</v>
      </c>
      <c r="AK208" s="418">
        <v>0</v>
      </c>
      <c r="AL208" s="418">
        <f t="shared" si="320"/>
        <v>0</v>
      </c>
      <c r="AM208" s="418">
        <f t="shared" si="321"/>
        <v>0</v>
      </c>
      <c r="AN208" s="418">
        <f t="shared" si="322"/>
        <v>0</v>
      </c>
      <c r="AO208" s="418">
        <f t="shared" si="323"/>
        <v>0</v>
      </c>
      <c r="AP208" s="418">
        <f t="shared" si="324"/>
        <v>0</v>
      </c>
      <c r="AQ208" s="418">
        <f t="shared" si="325"/>
        <v>0</v>
      </c>
      <c r="AR208" s="68">
        <f t="shared" si="326"/>
        <v>0</v>
      </c>
      <c r="AS208" s="68">
        <f t="shared" si="327"/>
        <v>0</v>
      </c>
      <c r="AT208" s="418">
        <v>0</v>
      </c>
      <c r="AU208" s="418">
        <v>0</v>
      </c>
      <c r="AV208" s="418">
        <f t="shared" si="328"/>
        <v>0</v>
      </c>
      <c r="AW208" s="418">
        <f t="shared" si="329"/>
        <v>0</v>
      </c>
      <c r="AX208" s="419">
        <v>0</v>
      </c>
      <c r="AY208" s="419">
        <v>0</v>
      </c>
      <c r="AZ208" s="419">
        <v>0</v>
      </c>
      <c r="BA208" s="419">
        <v>0</v>
      </c>
      <c r="BB208" s="419">
        <v>0</v>
      </c>
      <c r="BC208" s="419">
        <v>0</v>
      </c>
      <c r="BD208" s="419">
        <v>0</v>
      </c>
      <c r="BE208" s="419">
        <v>0</v>
      </c>
      <c r="BF208" s="419">
        <f t="shared" si="330"/>
        <v>0</v>
      </c>
      <c r="BG208" s="419">
        <f t="shared" si="331"/>
        <v>0</v>
      </c>
      <c r="BH208" s="421">
        <f t="shared" si="332"/>
        <v>0</v>
      </c>
      <c r="BI208" s="780">
        <f t="shared" ref="BI208:BI213" si="337">I208+AW208</f>
        <v>19613496</v>
      </c>
      <c r="BJ208" s="418">
        <f t="shared" ref="BJ208:BJ213" si="338">J208+AF208</f>
        <v>14113680</v>
      </c>
      <c r="BK208" s="418">
        <f t="shared" ref="BK208:BL213" si="339">K208+AD208</f>
        <v>13053496</v>
      </c>
      <c r="BL208" s="418">
        <f t="shared" si="339"/>
        <v>1060184</v>
      </c>
      <c r="BM208" s="418">
        <f t="shared" ref="BM208:BM213" si="340">M208+AN208</f>
        <v>230000</v>
      </c>
      <c r="BN208" s="418">
        <f t="shared" ref="BN208:BO213" si="341">N208+AL208</f>
        <v>215000</v>
      </c>
      <c r="BO208" s="418">
        <f t="shared" si="341"/>
        <v>15000</v>
      </c>
      <c r="BP208" s="418">
        <f t="shared" ref="BP208:BQ213" si="342">P208+AR208</f>
        <v>4848163</v>
      </c>
      <c r="BQ208" s="418">
        <f t="shared" si="342"/>
        <v>141137</v>
      </c>
      <c r="BR208" s="418">
        <f t="shared" ref="BR208:BR213" si="343">R208+AV208</f>
        <v>280516</v>
      </c>
      <c r="BS208" s="419">
        <f t="shared" ref="BS208:BS213" si="344">S208+BH208</f>
        <v>21.5123</v>
      </c>
      <c r="BT208" s="419">
        <f t="shared" ref="BT208:BU213" si="345">T208+BF208</f>
        <v>18.425999999999998</v>
      </c>
      <c r="BU208" s="421">
        <f t="shared" si="345"/>
        <v>3.0863000000000005</v>
      </c>
      <c r="BV208" s="420"/>
      <c r="BW208" s="415"/>
      <c r="BX208" s="415"/>
      <c r="BY208" s="415"/>
      <c r="BZ208" s="415"/>
      <c r="CA208" s="510"/>
    </row>
    <row r="209" spans="1:79" ht="14.1" customHeight="1" x14ac:dyDescent="0.2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623</v>
      </c>
      <c r="F209" s="66">
        <v>3113</v>
      </c>
      <c r="G209" s="77" t="s">
        <v>291</v>
      </c>
      <c r="H209" s="67" t="s">
        <v>272</v>
      </c>
      <c r="I209" s="420">
        <v>1855531</v>
      </c>
      <c r="J209" s="415">
        <v>1374133</v>
      </c>
      <c r="K209" s="415">
        <v>1374133</v>
      </c>
      <c r="L209" s="415">
        <v>0</v>
      </c>
      <c r="M209" s="415">
        <v>0</v>
      </c>
      <c r="N209" s="415">
        <v>0</v>
      </c>
      <c r="O209" s="415">
        <v>0</v>
      </c>
      <c r="P209" s="599">
        <v>464457</v>
      </c>
      <c r="Q209" s="599">
        <v>13741</v>
      </c>
      <c r="R209" s="415">
        <v>3200</v>
      </c>
      <c r="S209" s="416">
        <v>3.66</v>
      </c>
      <c r="T209" s="417">
        <v>3.66</v>
      </c>
      <c r="U209" s="423">
        <v>0</v>
      </c>
      <c r="V209" s="424">
        <f t="shared" si="317"/>
        <v>0</v>
      </c>
      <c r="W209" s="418">
        <f t="shared" si="318"/>
        <v>0</v>
      </c>
      <c r="X209" s="418">
        <v>0</v>
      </c>
      <c r="Y209" s="418">
        <v>0</v>
      </c>
      <c r="Z209" s="418">
        <v>0</v>
      </c>
      <c r="AA209" s="418">
        <v>0</v>
      </c>
      <c r="AB209" s="418">
        <v>0</v>
      </c>
      <c r="AC209" s="418">
        <v>0</v>
      </c>
      <c r="AD209" s="418">
        <f t="shared" si="335"/>
        <v>0</v>
      </c>
      <c r="AE209" s="418">
        <f t="shared" si="336"/>
        <v>0</v>
      </c>
      <c r="AF209" s="418">
        <f t="shared" si="319"/>
        <v>0</v>
      </c>
      <c r="AG209" s="418">
        <v>0</v>
      </c>
      <c r="AH209" s="418">
        <v>0</v>
      </c>
      <c r="AI209" s="418">
        <v>0</v>
      </c>
      <c r="AJ209" s="418">
        <v>0</v>
      </c>
      <c r="AK209" s="418">
        <v>0</v>
      </c>
      <c r="AL209" s="418">
        <f t="shared" si="320"/>
        <v>0</v>
      </c>
      <c r="AM209" s="418">
        <f t="shared" si="321"/>
        <v>0</v>
      </c>
      <c r="AN209" s="418">
        <f t="shared" si="322"/>
        <v>0</v>
      </c>
      <c r="AO209" s="418">
        <f t="shared" si="323"/>
        <v>0</v>
      </c>
      <c r="AP209" s="418">
        <f t="shared" si="324"/>
        <v>0</v>
      </c>
      <c r="AQ209" s="418">
        <f t="shared" si="325"/>
        <v>0</v>
      </c>
      <c r="AR209" s="68">
        <f t="shared" si="326"/>
        <v>0</v>
      </c>
      <c r="AS209" s="68">
        <f t="shared" si="327"/>
        <v>0</v>
      </c>
      <c r="AT209" s="418">
        <v>0</v>
      </c>
      <c r="AU209" s="418">
        <v>0</v>
      </c>
      <c r="AV209" s="418">
        <f t="shared" si="328"/>
        <v>0</v>
      </c>
      <c r="AW209" s="418">
        <f t="shared" si="329"/>
        <v>0</v>
      </c>
      <c r="AX209" s="419">
        <v>0</v>
      </c>
      <c r="AY209" s="419">
        <v>0</v>
      </c>
      <c r="AZ209" s="419">
        <v>0</v>
      </c>
      <c r="BA209" s="419">
        <v>0</v>
      </c>
      <c r="BB209" s="419">
        <v>0</v>
      </c>
      <c r="BC209" s="419">
        <v>0</v>
      </c>
      <c r="BD209" s="419">
        <v>0</v>
      </c>
      <c r="BE209" s="419">
        <v>0</v>
      </c>
      <c r="BF209" s="419">
        <f t="shared" si="330"/>
        <v>0</v>
      </c>
      <c r="BG209" s="419">
        <f t="shared" si="331"/>
        <v>0</v>
      </c>
      <c r="BH209" s="421">
        <f t="shared" si="332"/>
        <v>0</v>
      </c>
      <c r="BI209" s="780">
        <f t="shared" si="337"/>
        <v>1855531</v>
      </c>
      <c r="BJ209" s="418">
        <f t="shared" si="338"/>
        <v>1374133</v>
      </c>
      <c r="BK209" s="418">
        <f t="shared" si="339"/>
        <v>1374133</v>
      </c>
      <c r="BL209" s="418">
        <f t="shared" si="339"/>
        <v>0</v>
      </c>
      <c r="BM209" s="418">
        <f t="shared" si="340"/>
        <v>0</v>
      </c>
      <c r="BN209" s="418">
        <f t="shared" si="341"/>
        <v>0</v>
      </c>
      <c r="BO209" s="418">
        <f t="shared" si="341"/>
        <v>0</v>
      </c>
      <c r="BP209" s="418">
        <f t="shared" si="342"/>
        <v>464457</v>
      </c>
      <c r="BQ209" s="418">
        <f t="shared" si="342"/>
        <v>13741</v>
      </c>
      <c r="BR209" s="418">
        <f t="shared" si="343"/>
        <v>3200</v>
      </c>
      <c r="BS209" s="419">
        <f t="shared" si="344"/>
        <v>3.66</v>
      </c>
      <c r="BT209" s="419">
        <f t="shared" si="345"/>
        <v>3.66</v>
      </c>
      <c r="BU209" s="421">
        <f t="shared" si="345"/>
        <v>0</v>
      </c>
      <c r="BV209" s="420"/>
      <c r="BW209" s="415"/>
      <c r="BX209" s="415"/>
      <c r="BY209" s="415"/>
      <c r="BZ209" s="415"/>
      <c r="CA209" s="510"/>
    </row>
    <row r="210" spans="1:79" ht="14.1" customHeight="1" x14ac:dyDescent="0.2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623</v>
      </c>
      <c r="F210" s="66">
        <v>3141</v>
      </c>
      <c r="G210" s="65" t="s">
        <v>294</v>
      </c>
      <c r="H210" s="67" t="s">
        <v>272</v>
      </c>
      <c r="I210" s="420">
        <v>518472</v>
      </c>
      <c r="J210" s="415">
        <v>362167</v>
      </c>
      <c r="K210" s="415">
        <v>0</v>
      </c>
      <c r="L210" s="750">
        <v>362167</v>
      </c>
      <c r="M210" s="415">
        <v>18000</v>
      </c>
      <c r="N210" s="204">
        <v>0</v>
      </c>
      <c r="O210" s="204">
        <v>18000</v>
      </c>
      <c r="P210" s="599">
        <v>128496</v>
      </c>
      <c r="Q210" s="599">
        <v>3622</v>
      </c>
      <c r="R210" s="605">
        <v>6187</v>
      </c>
      <c r="S210" s="416">
        <v>1.1399999999999999</v>
      </c>
      <c r="T210" s="607">
        <v>0</v>
      </c>
      <c r="U210" s="737">
        <v>1.1399999999999999</v>
      </c>
      <c r="V210" s="424">
        <f t="shared" si="317"/>
        <v>0</v>
      </c>
      <c r="W210" s="418">
        <f t="shared" si="318"/>
        <v>0</v>
      </c>
      <c r="X210" s="418">
        <v>0</v>
      </c>
      <c r="Y210" s="418">
        <v>0</v>
      </c>
      <c r="Z210" s="418">
        <v>0</v>
      </c>
      <c r="AA210" s="418">
        <v>190766</v>
      </c>
      <c r="AB210" s="418">
        <v>0</v>
      </c>
      <c r="AC210" s="418">
        <v>0</v>
      </c>
      <c r="AD210" s="418">
        <f t="shared" si="335"/>
        <v>0</v>
      </c>
      <c r="AE210" s="418">
        <f t="shared" si="336"/>
        <v>190766</v>
      </c>
      <c r="AF210" s="418">
        <f t="shared" si="319"/>
        <v>190766</v>
      </c>
      <c r="AG210" s="418">
        <v>0</v>
      </c>
      <c r="AH210" s="418">
        <v>0</v>
      </c>
      <c r="AI210" s="418">
        <v>0</v>
      </c>
      <c r="AJ210" s="418">
        <v>0</v>
      </c>
      <c r="AK210" s="418">
        <v>0</v>
      </c>
      <c r="AL210" s="418">
        <f t="shared" si="320"/>
        <v>0</v>
      </c>
      <c r="AM210" s="418">
        <f t="shared" si="321"/>
        <v>0</v>
      </c>
      <c r="AN210" s="418">
        <f t="shared" si="322"/>
        <v>0</v>
      </c>
      <c r="AO210" s="418">
        <f t="shared" si="323"/>
        <v>0</v>
      </c>
      <c r="AP210" s="418">
        <f t="shared" si="324"/>
        <v>190766</v>
      </c>
      <c r="AQ210" s="418">
        <f t="shared" si="325"/>
        <v>190766</v>
      </c>
      <c r="AR210" s="68">
        <f t="shared" si="326"/>
        <v>64479</v>
      </c>
      <c r="AS210" s="68">
        <f t="shared" si="327"/>
        <v>1908</v>
      </c>
      <c r="AT210" s="418">
        <v>0</v>
      </c>
      <c r="AU210" s="418">
        <v>2959</v>
      </c>
      <c r="AV210" s="418">
        <f t="shared" si="328"/>
        <v>2959</v>
      </c>
      <c r="AW210" s="418">
        <f t="shared" si="329"/>
        <v>260112</v>
      </c>
      <c r="AX210" s="419">
        <v>0</v>
      </c>
      <c r="AY210" s="419">
        <v>0</v>
      </c>
      <c r="AZ210" s="419">
        <v>0</v>
      </c>
      <c r="BA210" s="419">
        <v>0</v>
      </c>
      <c r="BB210" s="419">
        <v>0.56999999999999995</v>
      </c>
      <c r="BC210" s="419">
        <v>0</v>
      </c>
      <c r="BD210" s="419">
        <v>0</v>
      </c>
      <c r="BE210" s="419">
        <v>0</v>
      </c>
      <c r="BF210" s="419">
        <f t="shared" si="330"/>
        <v>0</v>
      </c>
      <c r="BG210" s="419">
        <f t="shared" si="331"/>
        <v>0.56999999999999995</v>
      </c>
      <c r="BH210" s="421">
        <f t="shared" si="332"/>
        <v>0.56999999999999995</v>
      </c>
      <c r="BI210" s="780">
        <f t="shared" si="337"/>
        <v>778584</v>
      </c>
      <c r="BJ210" s="418">
        <f t="shared" si="338"/>
        <v>552933</v>
      </c>
      <c r="BK210" s="418">
        <f t="shared" si="339"/>
        <v>0</v>
      </c>
      <c r="BL210" s="418">
        <f t="shared" si="339"/>
        <v>552933</v>
      </c>
      <c r="BM210" s="418">
        <f t="shared" si="340"/>
        <v>18000</v>
      </c>
      <c r="BN210" s="418">
        <f t="shared" si="341"/>
        <v>0</v>
      </c>
      <c r="BO210" s="418">
        <f t="shared" si="341"/>
        <v>18000</v>
      </c>
      <c r="BP210" s="418">
        <f t="shared" si="342"/>
        <v>192975</v>
      </c>
      <c r="BQ210" s="418">
        <f t="shared" si="342"/>
        <v>5530</v>
      </c>
      <c r="BR210" s="418">
        <f t="shared" si="343"/>
        <v>9146</v>
      </c>
      <c r="BS210" s="419">
        <f t="shared" si="344"/>
        <v>1.71</v>
      </c>
      <c r="BT210" s="419">
        <f t="shared" si="345"/>
        <v>0</v>
      </c>
      <c r="BU210" s="421">
        <f t="shared" si="345"/>
        <v>1.71</v>
      </c>
      <c r="BV210" s="420"/>
      <c r="BW210" s="415"/>
      <c r="BX210" s="415"/>
      <c r="BY210" s="415"/>
      <c r="BZ210" s="415"/>
      <c r="CA210" s="510"/>
    </row>
    <row r="211" spans="1:79" ht="14.1" customHeight="1" x14ac:dyDescent="0.2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623</v>
      </c>
      <c r="F211" s="66">
        <v>3143</v>
      </c>
      <c r="G211" s="77" t="s">
        <v>595</v>
      </c>
      <c r="H211" s="67" t="s">
        <v>271</v>
      </c>
      <c r="I211" s="420">
        <v>1797741</v>
      </c>
      <c r="J211" s="415">
        <v>1306836</v>
      </c>
      <c r="K211" s="415">
        <v>1306836</v>
      </c>
      <c r="L211" s="415">
        <v>0</v>
      </c>
      <c r="M211" s="415">
        <v>27000</v>
      </c>
      <c r="N211" s="415">
        <v>27000</v>
      </c>
      <c r="O211" s="415">
        <v>0</v>
      </c>
      <c r="P211" s="599">
        <v>450837</v>
      </c>
      <c r="Q211" s="599">
        <v>13068</v>
      </c>
      <c r="R211" s="415">
        <v>0</v>
      </c>
      <c r="S211" s="416">
        <v>2.48</v>
      </c>
      <c r="T211" s="416">
        <v>2.48</v>
      </c>
      <c r="U211" s="423">
        <v>0</v>
      </c>
      <c r="V211" s="424">
        <f t="shared" si="317"/>
        <v>0</v>
      </c>
      <c r="W211" s="418">
        <f t="shared" si="318"/>
        <v>0</v>
      </c>
      <c r="X211" s="418">
        <v>0</v>
      </c>
      <c r="Y211" s="418">
        <v>0</v>
      </c>
      <c r="Z211" s="418">
        <v>0</v>
      </c>
      <c r="AA211" s="418">
        <v>0</v>
      </c>
      <c r="AB211" s="418">
        <v>0</v>
      </c>
      <c r="AC211" s="418">
        <v>0</v>
      </c>
      <c r="AD211" s="418">
        <f t="shared" si="335"/>
        <v>0</v>
      </c>
      <c r="AE211" s="418">
        <f t="shared" si="336"/>
        <v>0</v>
      </c>
      <c r="AF211" s="418">
        <f t="shared" si="319"/>
        <v>0</v>
      </c>
      <c r="AG211" s="418">
        <v>0</v>
      </c>
      <c r="AH211" s="418">
        <v>0</v>
      </c>
      <c r="AI211" s="418">
        <v>0</v>
      </c>
      <c r="AJ211" s="418">
        <v>0</v>
      </c>
      <c r="AK211" s="418">
        <v>0</v>
      </c>
      <c r="AL211" s="418">
        <f t="shared" si="320"/>
        <v>0</v>
      </c>
      <c r="AM211" s="418">
        <f t="shared" si="321"/>
        <v>0</v>
      </c>
      <c r="AN211" s="418">
        <f t="shared" si="322"/>
        <v>0</v>
      </c>
      <c r="AO211" s="418">
        <f t="shared" si="323"/>
        <v>0</v>
      </c>
      <c r="AP211" s="418">
        <f t="shared" si="324"/>
        <v>0</v>
      </c>
      <c r="AQ211" s="418">
        <f t="shared" si="325"/>
        <v>0</v>
      </c>
      <c r="AR211" s="68">
        <f t="shared" si="326"/>
        <v>0</v>
      </c>
      <c r="AS211" s="68">
        <f t="shared" si="327"/>
        <v>0</v>
      </c>
      <c r="AT211" s="418">
        <v>0</v>
      </c>
      <c r="AU211" s="418">
        <v>0</v>
      </c>
      <c r="AV211" s="418">
        <f t="shared" si="328"/>
        <v>0</v>
      </c>
      <c r="AW211" s="418">
        <f t="shared" si="329"/>
        <v>0</v>
      </c>
      <c r="AX211" s="419">
        <v>0</v>
      </c>
      <c r="AY211" s="419">
        <v>0</v>
      </c>
      <c r="AZ211" s="419">
        <v>0</v>
      </c>
      <c r="BA211" s="419">
        <v>0</v>
      </c>
      <c r="BB211" s="419">
        <v>0</v>
      </c>
      <c r="BC211" s="419">
        <v>0</v>
      </c>
      <c r="BD211" s="419">
        <v>0</v>
      </c>
      <c r="BE211" s="419">
        <v>0</v>
      </c>
      <c r="BF211" s="419">
        <f t="shared" si="330"/>
        <v>0</v>
      </c>
      <c r="BG211" s="419">
        <f t="shared" si="331"/>
        <v>0</v>
      </c>
      <c r="BH211" s="421">
        <f t="shared" si="332"/>
        <v>0</v>
      </c>
      <c r="BI211" s="780">
        <f t="shared" si="337"/>
        <v>1797741</v>
      </c>
      <c r="BJ211" s="418">
        <f t="shared" si="338"/>
        <v>1306836</v>
      </c>
      <c r="BK211" s="418">
        <f t="shared" si="339"/>
        <v>1306836</v>
      </c>
      <c r="BL211" s="418">
        <f t="shared" si="339"/>
        <v>0</v>
      </c>
      <c r="BM211" s="418">
        <f t="shared" si="340"/>
        <v>27000</v>
      </c>
      <c r="BN211" s="418">
        <f t="shared" si="341"/>
        <v>27000</v>
      </c>
      <c r="BO211" s="418">
        <f t="shared" si="341"/>
        <v>0</v>
      </c>
      <c r="BP211" s="418">
        <f t="shared" si="342"/>
        <v>450837</v>
      </c>
      <c r="BQ211" s="418">
        <f t="shared" si="342"/>
        <v>13068</v>
      </c>
      <c r="BR211" s="418">
        <f t="shared" si="343"/>
        <v>0</v>
      </c>
      <c r="BS211" s="419">
        <f t="shared" si="344"/>
        <v>2.48</v>
      </c>
      <c r="BT211" s="419">
        <f t="shared" si="345"/>
        <v>2.48</v>
      </c>
      <c r="BU211" s="421">
        <f t="shared" si="345"/>
        <v>0</v>
      </c>
      <c r="BV211" s="420"/>
      <c r="BW211" s="415"/>
      <c r="BX211" s="415"/>
      <c r="BY211" s="415"/>
      <c r="BZ211" s="415"/>
      <c r="CA211" s="510"/>
    </row>
    <row r="212" spans="1:79" ht="14.1" customHeight="1" x14ac:dyDescent="0.2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623</v>
      </c>
      <c r="F212" s="66">
        <v>3143</v>
      </c>
      <c r="G212" s="77" t="s">
        <v>596</v>
      </c>
      <c r="H212" s="67" t="s">
        <v>272</v>
      </c>
      <c r="I212" s="420">
        <v>36883</v>
      </c>
      <c r="J212" s="415">
        <v>26400</v>
      </c>
      <c r="K212" s="415">
        <v>0</v>
      </c>
      <c r="L212" s="605">
        <v>26400</v>
      </c>
      <c r="M212" s="415">
        <v>0</v>
      </c>
      <c r="N212" s="415">
        <v>0</v>
      </c>
      <c r="O212" s="415">
        <v>0</v>
      </c>
      <c r="P212" s="599">
        <v>8923</v>
      </c>
      <c r="Q212" s="599">
        <v>264</v>
      </c>
      <c r="R212" s="606">
        <v>1296</v>
      </c>
      <c r="S212" s="416">
        <v>0.1</v>
      </c>
      <c r="T212" s="609">
        <v>0</v>
      </c>
      <c r="U212" s="737">
        <v>0.1</v>
      </c>
      <c r="V212" s="424">
        <f t="shared" si="317"/>
        <v>0</v>
      </c>
      <c r="W212" s="418">
        <f t="shared" si="318"/>
        <v>0</v>
      </c>
      <c r="X212" s="418">
        <v>0</v>
      </c>
      <c r="Y212" s="418">
        <v>0</v>
      </c>
      <c r="Z212" s="418">
        <v>0</v>
      </c>
      <c r="AA212" s="418">
        <v>13200</v>
      </c>
      <c r="AB212" s="418">
        <v>0</v>
      </c>
      <c r="AC212" s="418">
        <v>0</v>
      </c>
      <c r="AD212" s="418">
        <f t="shared" si="335"/>
        <v>0</v>
      </c>
      <c r="AE212" s="418">
        <f t="shared" si="336"/>
        <v>13200</v>
      </c>
      <c r="AF212" s="418">
        <f t="shared" si="319"/>
        <v>13200</v>
      </c>
      <c r="AG212" s="418">
        <v>0</v>
      </c>
      <c r="AH212" s="418">
        <v>0</v>
      </c>
      <c r="AI212" s="418">
        <v>0</v>
      </c>
      <c r="AJ212" s="418">
        <v>0</v>
      </c>
      <c r="AK212" s="418">
        <v>0</v>
      </c>
      <c r="AL212" s="418">
        <f t="shared" si="320"/>
        <v>0</v>
      </c>
      <c r="AM212" s="418">
        <f t="shared" si="321"/>
        <v>0</v>
      </c>
      <c r="AN212" s="418">
        <f t="shared" si="322"/>
        <v>0</v>
      </c>
      <c r="AO212" s="418">
        <f t="shared" si="323"/>
        <v>0</v>
      </c>
      <c r="AP212" s="418">
        <f t="shared" si="324"/>
        <v>13200</v>
      </c>
      <c r="AQ212" s="418">
        <f t="shared" si="325"/>
        <v>13200</v>
      </c>
      <c r="AR212" s="68">
        <f t="shared" si="326"/>
        <v>4462</v>
      </c>
      <c r="AS212" s="68">
        <f t="shared" si="327"/>
        <v>132</v>
      </c>
      <c r="AT212" s="418">
        <v>0</v>
      </c>
      <c r="AU212" s="418">
        <v>648</v>
      </c>
      <c r="AV212" s="418">
        <f t="shared" si="328"/>
        <v>648</v>
      </c>
      <c r="AW212" s="418">
        <f t="shared" si="329"/>
        <v>18442</v>
      </c>
      <c r="AX212" s="419">
        <v>0</v>
      </c>
      <c r="AY212" s="419">
        <v>0</v>
      </c>
      <c r="AZ212" s="419">
        <v>0</v>
      </c>
      <c r="BA212" s="419">
        <v>0</v>
      </c>
      <c r="BB212" s="419">
        <v>0.05</v>
      </c>
      <c r="BC212" s="419">
        <v>0</v>
      </c>
      <c r="BD212" s="419">
        <v>0</v>
      </c>
      <c r="BE212" s="419">
        <v>0</v>
      </c>
      <c r="BF212" s="419">
        <f t="shared" si="330"/>
        <v>0</v>
      </c>
      <c r="BG212" s="419">
        <f t="shared" si="331"/>
        <v>0.05</v>
      </c>
      <c r="BH212" s="421">
        <f t="shared" si="332"/>
        <v>0.05</v>
      </c>
      <c r="BI212" s="780">
        <f t="shared" si="337"/>
        <v>55325</v>
      </c>
      <c r="BJ212" s="418">
        <f t="shared" si="338"/>
        <v>39600</v>
      </c>
      <c r="BK212" s="418">
        <f t="shared" si="339"/>
        <v>0</v>
      </c>
      <c r="BL212" s="418">
        <f t="shared" si="339"/>
        <v>39600</v>
      </c>
      <c r="BM212" s="418">
        <f t="shared" si="340"/>
        <v>0</v>
      </c>
      <c r="BN212" s="418">
        <f t="shared" si="341"/>
        <v>0</v>
      </c>
      <c r="BO212" s="418">
        <f t="shared" si="341"/>
        <v>0</v>
      </c>
      <c r="BP212" s="418">
        <f t="shared" si="342"/>
        <v>13385</v>
      </c>
      <c r="BQ212" s="418">
        <f t="shared" si="342"/>
        <v>396</v>
      </c>
      <c r="BR212" s="418">
        <f t="shared" si="343"/>
        <v>1944</v>
      </c>
      <c r="BS212" s="419">
        <f t="shared" si="344"/>
        <v>0.15000000000000002</v>
      </c>
      <c r="BT212" s="419">
        <f t="shared" si="345"/>
        <v>0</v>
      </c>
      <c r="BU212" s="421">
        <f t="shared" si="345"/>
        <v>0.15000000000000002</v>
      </c>
      <c r="BV212" s="420"/>
      <c r="BW212" s="415"/>
      <c r="BX212" s="415"/>
      <c r="BY212" s="415"/>
      <c r="BZ212" s="415"/>
      <c r="CA212" s="510"/>
    </row>
    <row r="213" spans="1:79" ht="14.1" customHeight="1" x14ac:dyDescent="0.2">
      <c r="A213" s="66">
        <v>44</v>
      </c>
      <c r="B213" s="63">
        <v>2486</v>
      </c>
      <c r="C213" s="64">
        <v>600079970</v>
      </c>
      <c r="D213" s="63">
        <v>46744908</v>
      </c>
      <c r="E213" s="65" t="s">
        <v>623</v>
      </c>
      <c r="F213" s="66">
        <v>3233</v>
      </c>
      <c r="G213" s="65" t="s">
        <v>297</v>
      </c>
      <c r="H213" s="67" t="s">
        <v>272</v>
      </c>
      <c r="I213" s="420">
        <v>468303</v>
      </c>
      <c r="J213" s="415">
        <v>247951</v>
      </c>
      <c r="K213" s="415">
        <v>202467</v>
      </c>
      <c r="L213" s="415">
        <v>45484</v>
      </c>
      <c r="M213" s="415">
        <v>100000</v>
      </c>
      <c r="N213" s="415">
        <v>100000</v>
      </c>
      <c r="O213" s="415">
        <v>0</v>
      </c>
      <c r="P213" s="599">
        <v>117607</v>
      </c>
      <c r="Q213" s="599">
        <v>2480</v>
      </c>
      <c r="R213" s="415">
        <v>265</v>
      </c>
      <c r="S213" s="416">
        <v>0.52</v>
      </c>
      <c r="T213" s="417">
        <v>0.37000000000000005</v>
      </c>
      <c r="U213" s="423">
        <v>0.15</v>
      </c>
      <c r="V213" s="424">
        <f t="shared" si="317"/>
        <v>0</v>
      </c>
      <c r="W213" s="418">
        <f t="shared" si="318"/>
        <v>0</v>
      </c>
      <c r="X213" s="418">
        <v>0</v>
      </c>
      <c r="Y213" s="418">
        <v>0</v>
      </c>
      <c r="Z213" s="418">
        <v>0</v>
      </c>
      <c r="AA213" s="418">
        <v>22751</v>
      </c>
      <c r="AB213" s="418">
        <v>0</v>
      </c>
      <c r="AC213" s="418">
        <v>0</v>
      </c>
      <c r="AD213" s="418">
        <f t="shared" si="335"/>
        <v>0</v>
      </c>
      <c r="AE213" s="418">
        <f t="shared" si="336"/>
        <v>22751</v>
      </c>
      <c r="AF213" s="418">
        <f t="shared" si="319"/>
        <v>22751</v>
      </c>
      <c r="AG213" s="418">
        <v>0</v>
      </c>
      <c r="AH213" s="418">
        <v>0</v>
      </c>
      <c r="AI213" s="418">
        <v>0</v>
      </c>
      <c r="AJ213" s="418">
        <v>0</v>
      </c>
      <c r="AK213" s="418">
        <v>0</v>
      </c>
      <c r="AL213" s="418">
        <f t="shared" si="320"/>
        <v>0</v>
      </c>
      <c r="AM213" s="418">
        <f t="shared" si="321"/>
        <v>0</v>
      </c>
      <c r="AN213" s="418">
        <f t="shared" si="322"/>
        <v>0</v>
      </c>
      <c r="AO213" s="418">
        <f t="shared" si="323"/>
        <v>0</v>
      </c>
      <c r="AP213" s="418">
        <f t="shared" si="324"/>
        <v>22751</v>
      </c>
      <c r="AQ213" s="418">
        <f t="shared" si="325"/>
        <v>22751</v>
      </c>
      <c r="AR213" s="68">
        <f t="shared" si="326"/>
        <v>7690</v>
      </c>
      <c r="AS213" s="68">
        <f t="shared" si="327"/>
        <v>228</v>
      </c>
      <c r="AT213" s="418">
        <v>0</v>
      </c>
      <c r="AU213" s="418">
        <v>106</v>
      </c>
      <c r="AV213" s="418">
        <f t="shared" si="328"/>
        <v>106</v>
      </c>
      <c r="AW213" s="418">
        <f t="shared" si="329"/>
        <v>30775</v>
      </c>
      <c r="AX213" s="419">
        <v>0</v>
      </c>
      <c r="AY213" s="419">
        <v>0</v>
      </c>
      <c r="AZ213" s="419">
        <v>0</v>
      </c>
      <c r="BA213" s="419">
        <v>0</v>
      </c>
      <c r="BB213" s="419">
        <v>7.0000000000000007E-2</v>
      </c>
      <c r="BC213" s="419">
        <v>0</v>
      </c>
      <c r="BD213" s="419">
        <v>0</v>
      </c>
      <c r="BE213" s="419">
        <v>0</v>
      </c>
      <c r="BF213" s="419">
        <f t="shared" si="330"/>
        <v>0</v>
      </c>
      <c r="BG213" s="419">
        <f t="shared" si="331"/>
        <v>7.0000000000000007E-2</v>
      </c>
      <c r="BH213" s="421">
        <f t="shared" si="332"/>
        <v>7.0000000000000007E-2</v>
      </c>
      <c r="BI213" s="780">
        <f t="shared" si="337"/>
        <v>499078</v>
      </c>
      <c r="BJ213" s="418">
        <f t="shared" si="338"/>
        <v>270702</v>
      </c>
      <c r="BK213" s="418">
        <f t="shared" si="339"/>
        <v>202467</v>
      </c>
      <c r="BL213" s="418">
        <f t="shared" si="339"/>
        <v>68235</v>
      </c>
      <c r="BM213" s="418">
        <f t="shared" si="340"/>
        <v>100000</v>
      </c>
      <c r="BN213" s="418">
        <f t="shared" si="341"/>
        <v>100000</v>
      </c>
      <c r="BO213" s="418">
        <f t="shared" si="341"/>
        <v>0</v>
      </c>
      <c r="BP213" s="418">
        <f t="shared" si="342"/>
        <v>125297</v>
      </c>
      <c r="BQ213" s="418">
        <f t="shared" si="342"/>
        <v>2708</v>
      </c>
      <c r="BR213" s="418">
        <f t="shared" si="343"/>
        <v>371</v>
      </c>
      <c r="BS213" s="419">
        <f t="shared" si="344"/>
        <v>0.59000000000000008</v>
      </c>
      <c r="BT213" s="419">
        <f t="shared" si="345"/>
        <v>0.37000000000000005</v>
      </c>
      <c r="BU213" s="421">
        <f t="shared" si="345"/>
        <v>0.22</v>
      </c>
      <c r="BV213" s="420"/>
      <c r="BW213" s="415"/>
      <c r="BX213" s="415"/>
      <c r="BY213" s="415"/>
      <c r="BZ213" s="415"/>
      <c r="CA213" s="510"/>
    </row>
    <row r="214" spans="1:79" ht="14.1" customHeight="1" x14ac:dyDescent="0.2">
      <c r="A214" s="72">
        <v>44</v>
      </c>
      <c r="B214" s="69">
        <v>2486</v>
      </c>
      <c r="C214" s="70">
        <v>600079970</v>
      </c>
      <c r="D214" s="69">
        <v>46744908</v>
      </c>
      <c r="E214" s="71" t="s">
        <v>624</v>
      </c>
      <c r="F214" s="72"/>
      <c r="G214" s="71"/>
      <c r="H214" s="73"/>
      <c r="I214" s="517">
        <v>24290426</v>
      </c>
      <c r="J214" s="74">
        <v>17431167</v>
      </c>
      <c r="K214" s="74">
        <v>15936932</v>
      </c>
      <c r="L214" s="74">
        <v>1494235</v>
      </c>
      <c r="M214" s="74">
        <v>375000</v>
      </c>
      <c r="N214" s="74">
        <v>342000</v>
      </c>
      <c r="O214" s="74">
        <v>33000</v>
      </c>
      <c r="P214" s="74">
        <v>6018483</v>
      </c>
      <c r="Q214" s="74">
        <v>174312</v>
      </c>
      <c r="R214" s="74">
        <v>291464</v>
      </c>
      <c r="S214" s="75">
        <v>29.412300000000002</v>
      </c>
      <c r="T214" s="75">
        <v>24.936</v>
      </c>
      <c r="U214" s="658">
        <v>4.4763000000000002</v>
      </c>
      <c r="V214" s="517">
        <f t="shared" ref="V214:BU214" si="346">SUM(V208:V213)</f>
        <v>0</v>
      </c>
      <c r="W214" s="74">
        <f t="shared" si="346"/>
        <v>0</v>
      </c>
      <c r="X214" s="74">
        <f t="shared" si="346"/>
        <v>0</v>
      </c>
      <c r="Y214" s="74">
        <f t="shared" si="346"/>
        <v>0</v>
      </c>
      <c r="Z214" s="74">
        <f t="shared" si="346"/>
        <v>0</v>
      </c>
      <c r="AA214" s="74">
        <f t="shared" si="346"/>
        <v>226717</v>
      </c>
      <c r="AB214" s="74">
        <f t="shared" si="346"/>
        <v>0</v>
      </c>
      <c r="AC214" s="74">
        <f t="shared" si="346"/>
        <v>0</v>
      </c>
      <c r="AD214" s="74">
        <f t="shared" si="346"/>
        <v>0</v>
      </c>
      <c r="AE214" s="74">
        <f t="shared" si="346"/>
        <v>226717</v>
      </c>
      <c r="AF214" s="74">
        <f t="shared" si="346"/>
        <v>226717</v>
      </c>
      <c r="AG214" s="74">
        <f t="shared" si="346"/>
        <v>0</v>
      </c>
      <c r="AH214" s="74">
        <f t="shared" si="346"/>
        <v>0</v>
      </c>
      <c r="AI214" s="74">
        <f t="shared" si="346"/>
        <v>0</v>
      </c>
      <c r="AJ214" s="74">
        <f t="shared" si="346"/>
        <v>0</v>
      </c>
      <c r="AK214" s="74">
        <f t="shared" si="346"/>
        <v>0</v>
      </c>
      <c r="AL214" s="74">
        <f t="shared" si="346"/>
        <v>0</v>
      </c>
      <c r="AM214" s="74">
        <f t="shared" si="346"/>
        <v>0</v>
      </c>
      <c r="AN214" s="74">
        <f t="shared" si="346"/>
        <v>0</v>
      </c>
      <c r="AO214" s="74">
        <f t="shared" si="346"/>
        <v>0</v>
      </c>
      <c r="AP214" s="74">
        <f t="shared" si="346"/>
        <v>226717</v>
      </c>
      <c r="AQ214" s="74">
        <f t="shared" si="346"/>
        <v>226717</v>
      </c>
      <c r="AR214" s="74">
        <f t="shared" si="346"/>
        <v>76631</v>
      </c>
      <c r="AS214" s="74">
        <f t="shared" si="346"/>
        <v>2268</v>
      </c>
      <c r="AT214" s="74">
        <f t="shared" si="346"/>
        <v>0</v>
      </c>
      <c r="AU214" s="74">
        <f t="shared" si="346"/>
        <v>3713</v>
      </c>
      <c r="AV214" s="74">
        <f t="shared" si="346"/>
        <v>3713</v>
      </c>
      <c r="AW214" s="74">
        <f t="shared" si="346"/>
        <v>309329</v>
      </c>
      <c r="AX214" s="75">
        <f t="shared" si="346"/>
        <v>0</v>
      </c>
      <c r="AY214" s="75">
        <f t="shared" si="346"/>
        <v>0</v>
      </c>
      <c r="AZ214" s="75">
        <f t="shared" si="346"/>
        <v>0</v>
      </c>
      <c r="BA214" s="75">
        <f t="shared" si="346"/>
        <v>0</v>
      </c>
      <c r="BB214" s="75">
        <f t="shared" si="346"/>
        <v>0.69</v>
      </c>
      <c r="BC214" s="75">
        <f t="shared" si="346"/>
        <v>0</v>
      </c>
      <c r="BD214" s="75">
        <f t="shared" si="346"/>
        <v>0</v>
      </c>
      <c r="BE214" s="75">
        <f t="shared" si="346"/>
        <v>0</v>
      </c>
      <c r="BF214" s="75">
        <f t="shared" si="346"/>
        <v>0</v>
      </c>
      <c r="BG214" s="75">
        <f t="shared" si="346"/>
        <v>0.69</v>
      </c>
      <c r="BH214" s="76">
        <f t="shared" si="346"/>
        <v>0.69</v>
      </c>
      <c r="BI214" s="799">
        <f t="shared" si="346"/>
        <v>24599755</v>
      </c>
      <c r="BJ214" s="74">
        <f t="shared" si="346"/>
        <v>17657884</v>
      </c>
      <c r="BK214" s="74">
        <f t="shared" si="346"/>
        <v>15936932</v>
      </c>
      <c r="BL214" s="74">
        <f t="shared" si="346"/>
        <v>1720952</v>
      </c>
      <c r="BM214" s="74">
        <f t="shared" si="346"/>
        <v>375000</v>
      </c>
      <c r="BN214" s="74">
        <f t="shared" si="346"/>
        <v>342000</v>
      </c>
      <c r="BO214" s="74">
        <f t="shared" si="346"/>
        <v>33000</v>
      </c>
      <c r="BP214" s="74">
        <f t="shared" si="346"/>
        <v>6095114</v>
      </c>
      <c r="BQ214" s="74">
        <f t="shared" si="346"/>
        <v>176580</v>
      </c>
      <c r="BR214" s="74">
        <f t="shared" si="346"/>
        <v>295177</v>
      </c>
      <c r="BS214" s="75">
        <f t="shared" si="346"/>
        <v>30.1023</v>
      </c>
      <c r="BT214" s="75">
        <f t="shared" si="346"/>
        <v>24.936</v>
      </c>
      <c r="BU214" s="76">
        <f t="shared" si="346"/>
        <v>5.1663000000000006</v>
      </c>
      <c r="BV214" s="809">
        <f t="shared" ref="BV214:CA214" si="347">SUM(BV208:BV213)</f>
        <v>0</v>
      </c>
      <c r="BW214" s="684">
        <f t="shared" si="347"/>
        <v>0</v>
      </c>
      <c r="BX214" s="684">
        <f t="shared" si="347"/>
        <v>0</v>
      </c>
      <c r="BY214" s="684">
        <f t="shared" si="347"/>
        <v>0</v>
      </c>
      <c r="BZ214" s="684">
        <f t="shared" si="347"/>
        <v>0</v>
      </c>
      <c r="CA214" s="810">
        <f t="shared" si="347"/>
        <v>0</v>
      </c>
    </row>
    <row r="215" spans="1:79" ht="14.1" customHeight="1" x14ac:dyDescent="0.2">
      <c r="A215" s="66">
        <v>45</v>
      </c>
      <c r="B215" s="63">
        <v>2487</v>
      </c>
      <c r="C215" s="64">
        <v>600079996</v>
      </c>
      <c r="D215" s="63">
        <v>68974639</v>
      </c>
      <c r="E215" s="65" t="s">
        <v>625</v>
      </c>
      <c r="F215" s="66">
        <v>3113</v>
      </c>
      <c r="G215" s="65" t="s">
        <v>293</v>
      </c>
      <c r="H215" s="67" t="s">
        <v>271</v>
      </c>
      <c r="I215" s="420">
        <v>29115529</v>
      </c>
      <c r="J215" s="415">
        <v>21244722</v>
      </c>
      <c r="K215" s="415">
        <v>19822511</v>
      </c>
      <c r="L215" s="415">
        <v>1422211</v>
      </c>
      <c r="M215" s="415">
        <v>60000</v>
      </c>
      <c r="N215" s="415">
        <v>50000</v>
      </c>
      <c r="O215" s="415">
        <v>10000</v>
      </c>
      <c r="P215" s="599">
        <v>7200996</v>
      </c>
      <c r="Q215" s="599">
        <v>212447</v>
      </c>
      <c r="R215" s="415">
        <v>397364</v>
      </c>
      <c r="S215" s="416">
        <v>32.686699999999995</v>
      </c>
      <c r="T215" s="416">
        <v>28.497299999999999</v>
      </c>
      <c r="U215" s="423">
        <v>4.1894000000000009</v>
      </c>
      <c r="V215" s="424">
        <f t="shared" si="317"/>
        <v>0</v>
      </c>
      <c r="W215" s="418">
        <f t="shared" si="318"/>
        <v>0</v>
      </c>
      <c r="X215" s="418">
        <v>0</v>
      </c>
      <c r="Y215" s="418">
        <v>0</v>
      </c>
      <c r="Z215" s="418">
        <v>0</v>
      </c>
      <c r="AA215" s="418">
        <v>0</v>
      </c>
      <c r="AB215" s="418">
        <v>0</v>
      </c>
      <c r="AC215" s="418">
        <v>0</v>
      </c>
      <c r="AD215" s="418">
        <f>V215+X215+Y215+Z215+AB215</f>
        <v>0</v>
      </c>
      <c r="AE215" s="418">
        <f>W215+AA215+AC215</f>
        <v>0</v>
      </c>
      <c r="AF215" s="418">
        <f t="shared" si="319"/>
        <v>0</v>
      </c>
      <c r="AG215" s="418">
        <v>0</v>
      </c>
      <c r="AH215" s="418">
        <v>0</v>
      </c>
      <c r="AI215" s="418">
        <v>0</v>
      </c>
      <c r="AJ215" s="418">
        <v>0</v>
      </c>
      <c r="AK215" s="418">
        <v>0</v>
      </c>
      <c r="AL215" s="418">
        <f t="shared" si="320"/>
        <v>0</v>
      </c>
      <c r="AM215" s="418">
        <f t="shared" si="321"/>
        <v>0</v>
      </c>
      <c r="AN215" s="418">
        <f t="shared" si="322"/>
        <v>0</v>
      </c>
      <c r="AO215" s="418">
        <f t="shared" si="323"/>
        <v>0</v>
      </c>
      <c r="AP215" s="418">
        <f t="shared" si="324"/>
        <v>0</v>
      </c>
      <c r="AQ215" s="418">
        <f t="shared" si="325"/>
        <v>0</v>
      </c>
      <c r="AR215" s="68">
        <f t="shared" si="326"/>
        <v>0</v>
      </c>
      <c r="AS215" s="68">
        <f t="shared" si="327"/>
        <v>0</v>
      </c>
      <c r="AT215" s="418">
        <v>0</v>
      </c>
      <c r="AU215" s="418">
        <v>0</v>
      </c>
      <c r="AV215" s="418">
        <f t="shared" si="328"/>
        <v>0</v>
      </c>
      <c r="AW215" s="418">
        <f t="shared" si="329"/>
        <v>0</v>
      </c>
      <c r="AX215" s="419">
        <v>0</v>
      </c>
      <c r="AY215" s="419">
        <v>0</v>
      </c>
      <c r="AZ215" s="419">
        <v>0</v>
      </c>
      <c r="BA215" s="419">
        <v>0</v>
      </c>
      <c r="BB215" s="419">
        <v>0</v>
      </c>
      <c r="BC215" s="419">
        <v>0</v>
      </c>
      <c r="BD215" s="419">
        <v>0</v>
      </c>
      <c r="BE215" s="419">
        <v>0</v>
      </c>
      <c r="BF215" s="419">
        <f t="shared" si="330"/>
        <v>0</v>
      </c>
      <c r="BG215" s="419">
        <f t="shared" si="331"/>
        <v>0</v>
      </c>
      <c r="BH215" s="421">
        <f t="shared" si="332"/>
        <v>0</v>
      </c>
      <c r="BI215" s="780">
        <f>I215+AW215</f>
        <v>29115529</v>
      </c>
      <c r="BJ215" s="418">
        <f>J215+AF215</f>
        <v>21244722</v>
      </c>
      <c r="BK215" s="418">
        <f t="shared" ref="BK215:BL219" si="348">K215+AD215</f>
        <v>19822511</v>
      </c>
      <c r="BL215" s="418">
        <f t="shared" si="348"/>
        <v>1422211</v>
      </c>
      <c r="BM215" s="418">
        <f>M215+AN215</f>
        <v>60000</v>
      </c>
      <c r="BN215" s="418">
        <f t="shared" ref="BN215:BO219" si="349">N215+AL215</f>
        <v>50000</v>
      </c>
      <c r="BO215" s="418">
        <f t="shared" si="349"/>
        <v>10000</v>
      </c>
      <c r="BP215" s="418">
        <f t="shared" ref="BP215:BQ219" si="350">P215+AR215</f>
        <v>7200996</v>
      </c>
      <c r="BQ215" s="418">
        <f t="shared" si="350"/>
        <v>212447</v>
      </c>
      <c r="BR215" s="418">
        <f>R215+AV215</f>
        <v>397364</v>
      </c>
      <c r="BS215" s="419">
        <f>S215+BH215</f>
        <v>32.686699999999995</v>
      </c>
      <c r="BT215" s="419">
        <f t="shared" ref="BT215:BU219" si="351">T215+BF215</f>
        <v>28.497299999999999</v>
      </c>
      <c r="BU215" s="421">
        <f t="shared" si="351"/>
        <v>4.1894000000000009</v>
      </c>
      <c r="BV215" s="420">
        <v>608218</v>
      </c>
      <c r="BW215" s="415">
        <v>451200</v>
      </c>
      <c r="BX215" s="415">
        <v>0</v>
      </c>
      <c r="BY215" s="415">
        <v>152506</v>
      </c>
      <c r="BZ215" s="415">
        <v>4512</v>
      </c>
      <c r="CA215" s="510">
        <v>0.8</v>
      </c>
    </row>
    <row r="216" spans="1:79" ht="14.1" customHeight="1" x14ac:dyDescent="0.2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625</v>
      </c>
      <c r="F216" s="66">
        <v>3113</v>
      </c>
      <c r="G216" s="77" t="s">
        <v>291</v>
      </c>
      <c r="H216" s="67" t="s">
        <v>272</v>
      </c>
      <c r="I216" s="420">
        <v>2475714</v>
      </c>
      <c r="J216" s="415">
        <v>1836583</v>
      </c>
      <c r="K216" s="415">
        <v>1836583</v>
      </c>
      <c r="L216" s="415">
        <v>0</v>
      </c>
      <c r="M216" s="415">
        <v>0</v>
      </c>
      <c r="N216" s="415">
        <v>0</v>
      </c>
      <c r="O216" s="415">
        <v>0</v>
      </c>
      <c r="P216" s="599">
        <v>620765</v>
      </c>
      <c r="Q216" s="599">
        <v>18366</v>
      </c>
      <c r="R216" s="415">
        <v>0</v>
      </c>
      <c r="S216" s="416">
        <v>4.92</v>
      </c>
      <c r="T216" s="417">
        <v>4.92</v>
      </c>
      <c r="U216" s="423">
        <v>0</v>
      </c>
      <c r="V216" s="424">
        <f t="shared" si="317"/>
        <v>0</v>
      </c>
      <c r="W216" s="418">
        <f t="shared" si="318"/>
        <v>0</v>
      </c>
      <c r="X216" s="418">
        <v>0</v>
      </c>
      <c r="Y216" s="418">
        <v>0</v>
      </c>
      <c r="Z216" s="418">
        <v>0</v>
      </c>
      <c r="AA216" s="418">
        <v>0</v>
      </c>
      <c r="AB216" s="418">
        <v>0</v>
      </c>
      <c r="AC216" s="418">
        <v>0</v>
      </c>
      <c r="AD216" s="418">
        <f>V216+X216+Y216+Z216+AB216</f>
        <v>0</v>
      </c>
      <c r="AE216" s="418">
        <f>W216+AA216+AC216</f>
        <v>0</v>
      </c>
      <c r="AF216" s="418">
        <f t="shared" si="319"/>
        <v>0</v>
      </c>
      <c r="AG216" s="418">
        <v>0</v>
      </c>
      <c r="AH216" s="418">
        <v>0</v>
      </c>
      <c r="AI216" s="418">
        <v>0</v>
      </c>
      <c r="AJ216" s="418">
        <v>0</v>
      </c>
      <c r="AK216" s="418">
        <v>0</v>
      </c>
      <c r="AL216" s="418">
        <f t="shared" si="320"/>
        <v>0</v>
      </c>
      <c r="AM216" s="418">
        <f t="shared" si="321"/>
        <v>0</v>
      </c>
      <c r="AN216" s="418">
        <f t="shared" si="322"/>
        <v>0</v>
      </c>
      <c r="AO216" s="418">
        <f t="shared" si="323"/>
        <v>0</v>
      </c>
      <c r="AP216" s="418">
        <f t="shared" si="324"/>
        <v>0</v>
      </c>
      <c r="AQ216" s="418">
        <f t="shared" si="325"/>
        <v>0</v>
      </c>
      <c r="AR216" s="68">
        <f t="shared" si="326"/>
        <v>0</v>
      </c>
      <c r="AS216" s="68">
        <f t="shared" si="327"/>
        <v>0</v>
      </c>
      <c r="AT216" s="418">
        <v>0</v>
      </c>
      <c r="AU216" s="418">
        <v>0</v>
      </c>
      <c r="AV216" s="418">
        <f t="shared" si="328"/>
        <v>0</v>
      </c>
      <c r="AW216" s="418">
        <f t="shared" si="329"/>
        <v>0</v>
      </c>
      <c r="AX216" s="419">
        <v>0</v>
      </c>
      <c r="AY216" s="419">
        <v>0</v>
      </c>
      <c r="AZ216" s="419">
        <v>0</v>
      </c>
      <c r="BA216" s="419">
        <v>0</v>
      </c>
      <c r="BB216" s="419">
        <v>0</v>
      </c>
      <c r="BC216" s="419">
        <v>0</v>
      </c>
      <c r="BD216" s="419">
        <v>0</v>
      </c>
      <c r="BE216" s="419">
        <v>0</v>
      </c>
      <c r="BF216" s="419">
        <f t="shared" si="330"/>
        <v>0</v>
      </c>
      <c r="BG216" s="419">
        <f t="shared" si="331"/>
        <v>0</v>
      </c>
      <c r="BH216" s="421">
        <f t="shared" si="332"/>
        <v>0</v>
      </c>
      <c r="BI216" s="780">
        <f>I216+AW216</f>
        <v>2475714</v>
      </c>
      <c r="BJ216" s="418">
        <f>J216+AF216</f>
        <v>1836583</v>
      </c>
      <c r="BK216" s="418">
        <f t="shared" si="348"/>
        <v>1836583</v>
      </c>
      <c r="BL216" s="418">
        <f t="shared" si="348"/>
        <v>0</v>
      </c>
      <c r="BM216" s="418">
        <f>M216+AN216</f>
        <v>0</v>
      </c>
      <c r="BN216" s="418">
        <f t="shared" si="349"/>
        <v>0</v>
      </c>
      <c r="BO216" s="418">
        <f t="shared" si="349"/>
        <v>0</v>
      </c>
      <c r="BP216" s="418">
        <f t="shared" si="350"/>
        <v>620765</v>
      </c>
      <c r="BQ216" s="418">
        <f t="shared" si="350"/>
        <v>18366</v>
      </c>
      <c r="BR216" s="418">
        <f>R216+AV216</f>
        <v>0</v>
      </c>
      <c r="BS216" s="419">
        <f>S216+BH216</f>
        <v>4.92</v>
      </c>
      <c r="BT216" s="419">
        <f t="shared" si="351"/>
        <v>4.92</v>
      </c>
      <c r="BU216" s="421">
        <f t="shared" si="351"/>
        <v>0</v>
      </c>
      <c r="BV216" s="420"/>
      <c r="BW216" s="415"/>
      <c r="BX216" s="415"/>
      <c r="BY216" s="415"/>
      <c r="BZ216" s="415"/>
      <c r="CA216" s="510"/>
    </row>
    <row r="217" spans="1:79" ht="14.1" customHeight="1" x14ac:dyDescent="0.2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625</v>
      </c>
      <c r="F217" s="66">
        <v>3141</v>
      </c>
      <c r="G217" s="65" t="s">
        <v>294</v>
      </c>
      <c r="H217" s="67" t="s">
        <v>272</v>
      </c>
      <c r="I217" s="420">
        <v>2417964</v>
      </c>
      <c r="J217" s="415">
        <v>1768549</v>
      </c>
      <c r="K217" s="415">
        <v>0</v>
      </c>
      <c r="L217" s="750">
        <v>1768549</v>
      </c>
      <c r="M217" s="415">
        <v>10000</v>
      </c>
      <c r="N217" s="204">
        <v>0</v>
      </c>
      <c r="O217" s="204">
        <v>10000</v>
      </c>
      <c r="P217" s="599">
        <v>601150</v>
      </c>
      <c r="Q217" s="599">
        <v>17685</v>
      </c>
      <c r="R217" s="605">
        <v>20580</v>
      </c>
      <c r="S217" s="416">
        <v>5.3333000000000004</v>
      </c>
      <c r="T217" s="607">
        <v>0</v>
      </c>
      <c r="U217" s="737">
        <v>5.3333000000000004</v>
      </c>
      <c r="V217" s="424">
        <f t="shared" si="317"/>
        <v>0</v>
      </c>
      <c r="W217" s="418">
        <f t="shared" si="318"/>
        <v>0</v>
      </c>
      <c r="X217" s="418">
        <v>0</v>
      </c>
      <c r="Y217" s="418">
        <v>0</v>
      </c>
      <c r="Z217" s="418">
        <v>0</v>
      </c>
      <c r="AA217" s="418">
        <v>890057</v>
      </c>
      <c r="AB217" s="418">
        <v>0</v>
      </c>
      <c r="AC217" s="418">
        <v>0</v>
      </c>
      <c r="AD217" s="418">
        <f>V217+X217+Y217+Z217+AB217</f>
        <v>0</v>
      </c>
      <c r="AE217" s="418">
        <f>W217+AA217+AC217</f>
        <v>890057</v>
      </c>
      <c r="AF217" s="418">
        <f t="shared" si="319"/>
        <v>890057</v>
      </c>
      <c r="AG217" s="418">
        <v>0</v>
      </c>
      <c r="AH217" s="418">
        <v>0</v>
      </c>
      <c r="AI217" s="418">
        <v>0</v>
      </c>
      <c r="AJ217" s="418">
        <v>0</v>
      </c>
      <c r="AK217" s="418">
        <v>0</v>
      </c>
      <c r="AL217" s="418">
        <f t="shared" si="320"/>
        <v>0</v>
      </c>
      <c r="AM217" s="418">
        <f t="shared" si="321"/>
        <v>0</v>
      </c>
      <c r="AN217" s="418">
        <f t="shared" si="322"/>
        <v>0</v>
      </c>
      <c r="AO217" s="418">
        <f t="shared" si="323"/>
        <v>0</v>
      </c>
      <c r="AP217" s="418">
        <f t="shared" si="324"/>
        <v>890057</v>
      </c>
      <c r="AQ217" s="418">
        <f t="shared" si="325"/>
        <v>890057</v>
      </c>
      <c r="AR217" s="68">
        <f t="shared" si="326"/>
        <v>300839</v>
      </c>
      <c r="AS217" s="68">
        <f t="shared" si="327"/>
        <v>8901</v>
      </c>
      <c r="AT217" s="418">
        <v>0</v>
      </c>
      <c r="AU217" s="418">
        <v>9996</v>
      </c>
      <c r="AV217" s="418">
        <f t="shared" si="328"/>
        <v>9996</v>
      </c>
      <c r="AW217" s="418">
        <f t="shared" si="329"/>
        <v>1209793</v>
      </c>
      <c r="AX217" s="419">
        <v>0</v>
      </c>
      <c r="AY217" s="419">
        <v>0</v>
      </c>
      <c r="AZ217" s="419">
        <v>0</v>
      </c>
      <c r="BA217" s="419">
        <v>0</v>
      </c>
      <c r="BB217" s="419">
        <v>2.67</v>
      </c>
      <c r="BC217" s="419">
        <v>0</v>
      </c>
      <c r="BD217" s="419">
        <v>0</v>
      </c>
      <c r="BE217" s="419">
        <v>0</v>
      </c>
      <c r="BF217" s="419">
        <f t="shared" si="330"/>
        <v>0</v>
      </c>
      <c r="BG217" s="419">
        <f t="shared" si="331"/>
        <v>2.67</v>
      </c>
      <c r="BH217" s="421">
        <f t="shared" si="332"/>
        <v>2.67</v>
      </c>
      <c r="BI217" s="780">
        <f>I217+AW217</f>
        <v>3627757</v>
      </c>
      <c r="BJ217" s="418">
        <f>J217+AF217</f>
        <v>2658606</v>
      </c>
      <c r="BK217" s="418">
        <f t="shared" si="348"/>
        <v>0</v>
      </c>
      <c r="BL217" s="418">
        <f t="shared" si="348"/>
        <v>2658606</v>
      </c>
      <c r="BM217" s="418">
        <f>M217+AN217</f>
        <v>10000</v>
      </c>
      <c r="BN217" s="418">
        <f t="shared" si="349"/>
        <v>0</v>
      </c>
      <c r="BO217" s="418">
        <f t="shared" si="349"/>
        <v>10000</v>
      </c>
      <c r="BP217" s="418">
        <f t="shared" si="350"/>
        <v>901989</v>
      </c>
      <c r="BQ217" s="418">
        <f t="shared" si="350"/>
        <v>26586</v>
      </c>
      <c r="BR217" s="418">
        <f>R217+AV217</f>
        <v>30576</v>
      </c>
      <c r="BS217" s="419">
        <f>S217+BH217</f>
        <v>8.0032999999999994</v>
      </c>
      <c r="BT217" s="419">
        <f t="shared" si="351"/>
        <v>0</v>
      </c>
      <c r="BU217" s="421">
        <f t="shared" si="351"/>
        <v>8.0032999999999994</v>
      </c>
      <c r="BV217" s="420"/>
      <c r="BW217" s="415"/>
      <c r="BX217" s="415"/>
      <c r="BY217" s="415"/>
      <c r="BZ217" s="415"/>
      <c r="CA217" s="510"/>
    </row>
    <row r="218" spans="1:79" ht="14.1" customHeight="1" x14ac:dyDescent="0.2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625</v>
      </c>
      <c r="F218" s="66">
        <v>3143</v>
      </c>
      <c r="G218" s="77" t="s">
        <v>595</v>
      </c>
      <c r="H218" s="67" t="s">
        <v>271</v>
      </c>
      <c r="I218" s="420">
        <v>2393122</v>
      </c>
      <c r="J218" s="415">
        <v>1775313</v>
      </c>
      <c r="K218" s="415">
        <v>1775313</v>
      </c>
      <c r="L218" s="415">
        <v>0</v>
      </c>
      <c r="M218" s="415">
        <v>0</v>
      </c>
      <c r="N218" s="415">
        <v>0</v>
      </c>
      <c r="O218" s="415">
        <v>0</v>
      </c>
      <c r="P218" s="599">
        <v>600056</v>
      </c>
      <c r="Q218" s="599">
        <v>17753</v>
      </c>
      <c r="R218" s="415">
        <v>0</v>
      </c>
      <c r="S218" s="416">
        <v>3.5</v>
      </c>
      <c r="T218" s="416">
        <v>3.5</v>
      </c>
      <c r="U218" s="423">
        <v>0</v>
      </c>
      <c r="V218" s="424">
        <f t="shared" si="317"/>
        <v>0</v>
      </c>
      <c r="W218" s="418">
        <f t="shared" si="318"/>
        <v>0</v>
      </c>
      <c r="X218" s="418">
        <v>0</v>
      </c>
      <c r="Y218" s="418">
        <v>0</v>
      </c>
      <c r="Z218" s="418">
        <v>0</v>
      </c>
      <c r="AA218" s="418">
        <v>0</v>
      </c>
      <c r="AB218" s="418">
        <v>0</v>
      </c>
      <c r="AC218" s="418">
        <v>0</v>
      </c>
      <c r="AD218" s="418">
        <f>V218+X218+Y218+Z218+AB218</f>
        <v>0</v>
      </c>
      <c r="AE218" s="418">
        <f>W218+AA218+AC218</f>
        <v>0</v>
      </c>
      <c r="AF218" s="418">
        <f t="shared" si="319"/>
        <v>0</v>
      </c>
      <c r="AG218" s="418">
        <v>0</v>
      </c>
      <c r="AH218" s="418">
        <v>0</v>
      </c>
      <c r="AI218" s="418">
        <v>0</v>
      </c>
      <c r="AJ218" s="418">
        <v>0</v>
      </c>
      <c r="AK218" s="418">
        <v>0</v>
      </c>
      <c r="AL218" s="418">
        <f t="shared" si="320"/>
        <v>0</v>
      </c>
      <c r="AM218" s="418">
        <f t="shared" si="321"/>
        <v>0</v>
      </c>
      <c r="AN218" s="418">
        <f t="shared" si="322"/>
        <v>0</v>
      </c>
      <c r="AO218" s="418">
        <f t="shared" si="323"/>
        <v>0</v>
      </c>
      <c r="AP218" s="418">
        <f t="shared" si="324"/>
        <v>0</v>
      </c>
      <c r="AQ218" s="418">
        <f t="shared" si="325"/>
        <v>0</v>
      </c>
      <c r="AR218" s="68">
        <f t="shared" si="326"/>
        <v>0</v>
      </c>
      <c r="AS218" s="68">
        <f t="shared" si="327"/>
        <v>0</v>
      </c>
      <c r="AT218" s="418">
        <v>0</v>
      </c>
      <c r="AU218" s="418">
        <v>0</v>
      </c>
      <c r="AV218" s="418">
        <f t="shared" si="328"/>
        <v>0</v>
      </c>
      <c r="AW218" s="418">
        <f t="shared" si="329"/>
        <v>0</v>
      </c>
      <c r="AX218" s="419">
        <v>0</v>
      </c>
      <c r="AY218" s="419">
        <v>0</v>
      </c>
      <c r="AZ218" s="419">
        <v>0</v>
      </c>
      <c r="BA218" s="419">
        <v>0</v>
      </c>
      <c r="BB218" s="419">
        <v>0</v>
      </c>
      <c r="BC218" s="419">
        <v>0</v>
      </c>
      <c r="BD218" s="419">
        <v>0</v>
      </c>
      <c r="BE218" s="419">
        <v>0</v>
      </c>
      <c r="BF218" s="419">
        <f t="shared" si="330"/>
        <v>0</v>
      </c>
      <c r="BG218" s="419">
        <f t="shared" si="331"/>
        <v>0</v>
      </c>
      <c r="BH218" s="421">
        <f t="shared" si="332"/>
        <v>0</v>
      </c>
      <c r="BI218" s="780">
        <f>I218+AW218</f>
        <v>2393122</v>
      </c>
      <c r="BJ218" s="418">
        <f>J218+AF218</f>
        <v>1775313</v>
      </c>
      <c r="BK218" s="418">
        <f t="shared" si="348"/>
        <v>1775313</v>
      </c>
      <c r="BL218" s="418">
        <f t="shared" si="348"/>
        <v>0</v>
      </c>
      <c r="BM218" s="418">
        <f>M218+AN218</f>
        <v>0</v>
      </c>
      <c r="BN218" s="418">
        <f t="shared" si="349"/>
        <v>0</v>
      </c>
      <c r="BO218" s="418">
        <f t="shared" si="349"/>
        <v>0</v>
      </c>
      <c r="BP218" s="418">
        <f t="shared" si="350"/>
        <v>600056</v>
      </c>
      <c r="BQ218" s="418">
        <f t="shared" si="350"/>
        <v>17753</v>
      </c>
      <c r="BR218" s="418">
        <f>R218+AV218</f>
        <v>0</v>
      </c>
      <c r="BS218" s="419">
        <f>S218+BH218</f>
        <v>3.5</v>
      </c>
      <c r="BT218" s="419">
        <f t="shared" si="351"/>
        <v>3.5</v>
      </c>
      <c r="BU218" s="421">
        <f t="shared" si="351"/>
        <v>0</v>
      </c>
      <c r="BV218" s="420"/>
      <c r="BW218" s="415"/>
      <c r="BX218" s="415"/>
      <c r="BY218" s="415"/>
      <c r="BZ218" s="415"/>
      <c r="CA218" s="510"/>
    </row>
    <row r="219" spans="1:79" ht="14.1" customHeight="1" x14ac:dyDescent="0.2">
      <c r="A219" s="66">
        <v>45</v>
      </c>
      <c r="B219" s="63">
        <v>2487</v>
      </c>
      <c r="C219" s="64">
        <v>600079996</v>
      </c>
      <c r="D219" s="63">
        <v>68974639</v>
      </c>
      <c r="E219" s="65" t="s">
        <v>625</v>
      </c>
      <c r="F219" s="66">
        <v>3143</v>
      </c>
      <c r="G219" s="77" t="s">
        <v>596</v>
      </c>
      <c r="H219" s="67" t="s">
        <v>272</v>
      </c>
      <c r="I219" s="420">
        <v>56357</v>
      </c>
      <c r="J219" s="415">
        <v>40339</v>
      </c>
      <c r="K219" s="415">
        <v>0</v>
      </c>
      <c r="L219" s="605">
        <v>40339</v>
      </c>
      <c r="M219" s="415">
        <v>0</v>
      </c>
      <c r="N219" s="415">
        <v>0</v>
      </c>
      <c r="O219" s="415">
        <v>0</v>
      </c>
      <c r="P219" s="599">
        <v>13635</v>
      </c>
      <c r="Q219" s="599">
        <v>403</v>
      </c>
      <c r="R219" s="606">
        <v>1980</v>
      </c>
      <c r="S219" s="416">
        <v>0.15279999999999999</v>
      </c>
      <c r="T219" s="609">
        <v>0</v>
      </c>
      <c r="U219" s="737">
        <v>0.15279999999999999</v>
      </c>
      <c r="V219" s="424">
        <f t="shared" si="317"/>
        <v>0</v>
      </c>
      <c r="W219" s="418">
        <f t="shared" si="318"/>
        <v>0</v>
      </c>
      <c r="X219" s="418">
        <v>0</v>
      </c>
      <c r="Y219" s="418">
        <v>0</v>
      </c>
      <c r="Z219" s="418">
        <v>0</v>
      </c>
      <c r="AA219" s="418">
        <v>20161</v>
      </c>
      <c r="AB219" s="418">
        <v>0</v>
      </c>
      <c r="AC219" s="418">
        <v>0</v>
      </c>
      <c r="AD219" s="418">
        <f>V219+X219+Y219+Z219+AB219</f>
        <v>0</v>
      </c>
      <c r="AE219" s="418">
        <f>W219+AA219+AC219</f>
        <v>20161</v>
      </c>
      <c r="AF219" s="418">
        <f t="shared" si="319"/>
        <v>20161</v>
      </c>
      <c r="AG219" s="418">
        <v>0</v>
      </c>
      <c r="AH219" s="418">
        <v>0</v>
      </c>
      <c r="AI219" s="418">
        <v>0</v>
      </c>
      <c r="AJ219" s="418">
        <v>0</v>
      </c>
      <c r="AK219" s="418">
        <v>0</v>
      </c>
      <c r="AL219" s="418">
        <f t="shared" si="320"/>
        <v>0</v>
      </c>
      <c r="AM219" s="418">
        <f t="shared" si="321"/>
        <v>0</v>
      </c>
      <c r="AN219" s="418">
        <f t="shared" si="322"/>
        <v>0</v>
      </c>
      <c r="AO219" s="418">
        <f t="shared" si="323"/>
        <v>0</v>
      </c>
      <c r="AP219" s="418">
        <f t="shared" si="324"/>
        <v>20161</v>
      </c>
      <c r="AQ219" s="418">
        <f t="shared" si="325"/>
        <v>20161</v>
      </c>
      <c r="AR219" s="68">
        <f t="shared" si="326"/>
        <v>6814</v>
      </c>
      <c r="AS219" s="68">
        <f t="shared" si="327"/>
        <v>202</v>
      </c>
      <c r="AT219" s="418">
        <v>0</v>
      </c>
      <c r="AU219" s="418">
        <v>990</v>
      </c>
      <c r="AV219" s="418">
        <f t="shared" si="328"/>
        <v>990</v>
      </c>
      <c r="AW219" s="418">
        <f t="shared" si="329"/>
        <v>28167</v>
      </c>
      <c r="AX219" s="419">
        <v>0</v>
      </c>
      <c r="AY219" s="419">
        <v>0</v>
      </c>
      <c r="AZ219" s="419">
        <v>0</v>
      </c>
      <c r="BA219" s="419">
        <v>0</v>
      </c>
      <c r="BB219" s="419">
        <v>0.08</v>
      </c>
      <c r="BC219" s="419">
        <v>0</v>
      </c>
      <c r="BD219" s="419">
        <v>0</v>
      </c>
      <c r="BE219" s="419">
        <v>0</v>
      </c>
      <c r="BF219" s="419">
        <f t="shared" si="330"/>
        <v>0</v>
      </c>
      <c r="BG219" s="419">
        <f t="shared" si="331"/>
        <v>0.08</v>
      </c>
      <c r="BH219" s="421">
        <f t="shared" si="332"/>
        <v>0.08</v>
      </c>
      <c r="BI219" s="780">
        <f>I219+AW219</f>
        <v>84524</v>
      </c>
      <c r="BJ219" s="418">
        <f>J219+AF219</f>
        <v>60500</v>
      </c>
      <c r="BK219" s="418">
        <f t="shared" si="348"/>
        <v>0</v>
      </c>
      <c r="BL219" s="418">
        <f t="shared" si="348"/>
        <v>60500</v>
      </c>
      <c r="BM219" s="418">
        <f>M219+AN219</f>
        <v>0</v>
      </c>
      <c r="BN219" s="418">
        <f t="shared" si="349"/>
        <v>0</v>
      </c>
      <c r="BO219" s="418">
        <f t="shared" si="349"/>
        <v>0</v>
      </c>
      <c r="BP219" s="418">
        <f t="shared" si="350"/>
        <v>20449</v>
      </c>
      <c r="BQ219" s="418">
        <f t="shared" si="350"/>
        <v>605</v>
      </c>
      <c r="BR219" s="418">
        <f>R219+AV219</f>
        <v>2970</v>
      </c>
      <c r="BS219" s="419">
        <f>S219+BH219</f>
        <v>0.23280000000000001</v>
      </c>
      <c r="BT219" s="419">
        <f t="shared" si="351"/>
        <v>0</v>
      </c>
      <c r="BU219" s="421">
        <f t="shared" si="351"/>
        <v>0.23280000000000001</v>
      </c>
      <c r="BV219" s="420"/>
      <c r="BW219" s="415"/>
      <c r="BX219" s="415"/>
      <c r="BY219" s="415"/>
      <c r="BZ219" s="415"/>
      <c r="CA219" s="510"/>
    </row>
    <row r="220" spans="1:79" ht="14.1" customHeight="1" x14ac:dyDescent="0.2">
      <c r="A220" s="72">
        <v>45</v>
      </c>
      <c r="B220" s="69">
        <v>2487</v>
      </c>
      <c r="C220" s="70">
        <v>600079996</v>
      </c>
      <c r="D220" s="69">
        <v>68974639</v>
      </c>
      <c r="E220" s="71" t="s">
        <v>626</v>
      </c>
      <c r="F220" s="72"/>
      <c r="G220" s="71"/>
      <c r="H220" s="73"/>
      <c r="I220" s="517">
        <v>36458686</v>
      </c>
      <c r="J220" s="74">
        <v>26665506</v>
      </c>
      <c r="K220" s="74">
        <v>23434407</v>
      </c>
      <c r="L220" s="74">
        <v>3231099</v>
      </c>
      <c r="M220" s="74">
        <v>70000</v>
      </c>
      <c r="N220" s="74">
        <v>50000</v>
      </c>
      <c r="O220" s="74">
        <v>20000</v>
      </c>
      <c r="P220" s="74">
        <v>9036602</v>
      </c>
      <c r="Q220" s="74">
        <v>266654</v>
      </c>
      <c r="R220" s="74">
        <v>419924</v>
      </c>
      <c r="S220" s="75">
        <v>46.592799999999997</v>
      </c>
      <c r="T220" s="75">
        <v>36.917299999999997</v>
      </c>
      <c r="U220" s="658">
        <v>9.6754999999999995</v>
      </c>
      <c r="V220" s="517">
        <f t="shared" ref="V220:BU220" si="352">SUM(V215:V219)</f>
        <v>0</v>
      </c>
      <c r="W220" s="74">
        <f t="shared" si="352"/>
        <v>0</v>
      </c>
      <c r="X220" s="74">
        <f t="shared" si="352"/>
        <v>0</v>
      </c>
      <c r="Y220" s="74">
        <f t="shared" si="352"/>
        <v>0</v>
      </c>
      <c r="Z220" s="74">
        <f t="shared" si="352"/>
        <v>0</v>
      </c>
      <c r="AA220" s="74">
        <f t="shared" si="352"/>
        <v>910218</v>
      </c>
      <c r="AB220" s="74">
        <f t="shared" si="352"/>
        <v>0</v>
      </c>
      <c r="AC220" s="74">
        <f t="shared" si="352"/>
        <v>0</v>
      </c>
      <c r="AD220" s="74">
        <f t="shared" si="352"/>
        <v>0</v>
      </c>
      <c r="AE220" s="74">
        <f t="shared" si="352"/>
        <v>910218</v>
      </c>
      <c r="AF220" s="74">
        <f t="shared" si="352"/>
        <v>910218</v>
      </c>
      <c r="AG220" s="74">
        <f t="shared" si="352"/>
        <v>0</v>
      </c>
      <c r="AH220" s="74">
        <f t="shared" si="352"/>
        <v>0</v>
      </c>
      <c r="AI220" s="74">
        <f t="shared" si="352"/>
        <v>0</v>
      </c>
      <c r="AJ220" s="74">
        <f t="shared" si="352"/>
        <v>0</v>
      </c>
      <c r="AK220" s="74">
        <f t="shared" si="352"/>
        <v>0</v>
      </c>
      <c r="AL220" s="74">
        <f t="shared" si="352"/>
        <v>0</v>
      </c>
      <c r="AM220" s="74">
        <f t="shared" si="352"/>
        <v>0</v>
      </c>
      <c r="AN220" s="74">
        <f t="shared" si="352"/>
        <v>0</v>
      </c>
      <c r="AO220" s="74">
        <f t="shared" si="352"/>
        <v>0</v>
      </c>
      <c r="AP220" s="74">
        <f t="shared" si="352"/>
        <v>910218</v>
      </c>
      <c r="AQ220" s="74">
        <f t="shared" si="352"/>
        <v>910218</v>
      </c>
      <c r="AR220" s="74">
        <f t="shared" si="352"/>
        <v>307653</v>
      </c>
      <c r="AS220" s="74">
        <f t="shared" si="352"/>
        <v>9103</v>
      </c>
      <c r="AT220" s="74">
        <f t="shared" si="352"/>
        <v>0</v>
      </c>
      <c r="AU220" s="74">
        <f t="shared" si="352"/>
        <v>10986</v>
      </c>
      <c r="AV220" s="74">
        <f t="shared" si="352"/>
        <v>10986</v>
      </c>
      <c r="AW220" s="74">
        <f t="shared" si="352"/>
        <v>1237960</v>
      </c>
      <c r="AX220" s="75">
        <f t="shared" si="352"/>
        <v>0</v>
      </c>
      <c r="AY220" s="75">
        <f t="shared" si="352"/>
        <v>0</v>
      </c>
      <c r="AZ220" s="75">
        <f t="shared" si="352"/>
        <v>0</v>
      </c>
      <c r="BA220" s="75">
        <f t="shared" si="352"/>
        <v>0</v>
      </c>
      <c r="BB220" s="75">
        <f t="shared" si="352"/>
        <v>2.75</v>
      </c>
      <c r="BC220" s="75">
        <f t="shared" si="352"/>
        <v>0</v>
      </c>
      <c r="BD220" s="75">
        <f t="shared" si="352"/>
        <v>0</v>
      </c>
      <c r="BE220" s="75">
        <f t="shared" si="352"/>
        <v>0</v>
      </c>
      <c r="BF220" s="75">
        <f t="shared" si="352"/>
        <v>0</v>
      </c>
      <c r="BG220" s="75">
        <f t="shared" si="352"/>
        <v>2.75</v>
      </c>
      <c r="BH220" s="76">
        <f t="shared" si="352"/>
        <v>2.75</v>
      </c>
      <c r="BI220" s="799">
        <f t="shared" si="352"/>
        <v>37696646</v>
      </c>
      <c r="BJ220" s="74">
        <f t="shared" si="352"/>
        <v>27575724</v>
      </c>
      <c r="BK220" s="74">
        <f t="shared" si="352"/>
        <v>23434407</v>
      </c>
      <c r="BL220" s="74">
        <f t="shared" si="352"/>
        <v>4141317</v>
      </c>
      <c r="BM220" s="74">
        <f t="shared" si="352"/>
        <v>70000</v>
      </c>
      <c r="BN220" s="74">
        <f t="shared" si="352"/>
        <v>50000</v>
      </c>
      <c r="BO220" s="74">
        <f t="shared" si="352"/>
        <v>20000</v>
      </c>
      <c r="BP220" s="74">
        <f t="shared" si="352"/>
        <v>9344255</v>
      </c>
      <c r="BQ220" s="74">
        <f t="shared" si="352"/>
        <v>275757</v>
      </c>
      <c r="BR220" s="74">
        <f t="shared" si="352"/>
        <v>430910</v>
      </c>
      <c r="BS220" s="75">
        <f t="shared" si="352"/>
        <v>49.342799999999997</v>
      </c>
      <c r="BT220" s="75">
        <f t="shared" si="352"/>
        <v>36.917299999999997</v>
      </c>
      <c r="BU220" s="76">
        <f t="shared" si="352"/>
        <v>12.4255</v>
      </c>
      <c r="BV220" s="809">
        <f t="shared" ref="BV220:CA220" si="353">SUM(BV215:BV219)</f>
        <v>608218</v>
      </c>
      <c r="BW220" s="684">
        <f t="shared" si="353"/>
        <v>451200</v>
      </c>
      <c r="BX220" s="684">
        <f t="shared" si="353"/>
        <v>0</v>
      </c>
      <c r="BY220" s="684">
        <f t="shared" si="353"/>
        <v>152506</v>
      </c>
      <c r="BZ220" s="684">
        <f t="shared" si="353"/>
        <v>4512</v>
      </c>
      <c r="CA220" s="810">
        <f t="shared" si="353"/>
        <v>0.8</v>
      </c>
    </row>
    <row r="221" spans="1:79" ht="14.1" customHeight="1" x14ac:dyDescent="0.2">
      <c r="A221" s="66">
        <v>46</v>
      </c>
      <c r="B221" s="63">
        <v>2488</v>
      </c>
      <c r="C221" s="64">
        <v>600079902</v>
      </c>
      <c r="D221" s="63">
        <v>70884978</v>
      </c>
      <c r="E221" s="65" t="s">
        <v>627</v>
      </c>
      <c r="F221" s="66">
        <v>3113</v>
      </c>
      <c r="G221" s="65" t="s">
        <v>293</v>
      </c>
      <c r="H221" s="67" t="s">
        <v>271</v>
      </c>
      <c r="I221" s="420">
        <v>24736421</v>
      </c>
      <c r="J221" s="415">
        <v>18012880</v>
      </c>
      <c r="K221" s="415">
        <v>16763754</v>
      </c>
      <c r="L221" s="415">
        <v>1249126</v>
      </c>
      <c r="M221" s="415">
        <v>100000</v>
      </c>
      <c r="N221" s="415">
        <v>50000</v>
      </c>
      <c r="O221" s="415">
        <v>50000</v>
      </c>
      <c r="P221" s="599">
        <v>6122154</v>
      </c>
      <c r="Q221" s="599">
        <v>180129</v>
      </c>
      <c r="R221" s="415">
        <v>321258</v>
      </c>
      <c r="S221" s="416">
        <v>27.6904</v>
      </c>
      <c r="T221" s="416">
        <v>23.823700000000002</v>
      </c>
      <c r="U221" s="423">
        <v>3.8666999999999998</v>
      </c>
      <c r="V221" s="424">
        <f t="shared" si="317"/>
        <v>0</v>
      </c>
      <c r="W221" s="418">
        <f t="shared" si="318"/>
        <v>0</v>
      </c>
      <c r="X221" s="418">
        <v>0</v>
      </c>
      <c r="Y221" s="418">
        <v>0</v>
      </c>
      <c r="Z221" s="418">
        <v>0</v>
      </c>
      <c r="AA221" s="418">
        <v>0</v>
      </c>
      <c r="AB221" s="418">
        <v>0</v>
      </c>
      <c r="AC221" s="418">
        <v>0</v>
      </c>
      <c r="AD221" s="418">
        <f>V221+X221+Y221+Z221+AB221</f>
        <v>0</v>
      </c>
      <c r="AE221" s="418">
        <f>W221+AA221+AC221</f>
        <v>0</v>
      </c>
      <c r="AF221" s="418">
        <f t="shared" si="319"/>
        <v>0</v>
      </c>
      <c r="AG221" s="418">
        <v>0</v>
      </c>
      <c r="AH221" s="418">
        <v>0</v>
      </c>
      <c r="AI221" s="418">
        <v>0</v>
      </c>
      <c r="AJ221" s="418">
        <v>0</v>
      </c>
      <c r="AK221" s="418">
        <v>0</v>
      </c>
      <c r="AL221" s="418">
        <f t="shared" si="320"/>
        <v>0</v>
      </c>
      <c r="AM221" s="418">
        <f t="shared" si="321"/>
        <v>0</v>
      </c>
      <c r="AN221" s="418">
        <f t="shared" si="322"/>
        <v>0</v>
      </c>
      <c r="AO221" s="418">
        <f t="shared" si="323"/>
        <v>0</v>
      </c>
      <c r="AP221" s="418">
        <f t="shared" si="324"/>
        <v>0</v>
      </c>
      <c r="AQ221" s="418">
        <f t="shared" si="325"/>
        <v>0</v>
      </c>
      <c r="AR221" s="68">
        <f t="shared" si="326"/>
        <v>0</v>
      </c>
      <c r="AS221" s="68">
        <f t="shared" si="327"/>
        <v>0</v>
      </c>
      <c r="AT221" s="418">
        <v>0</v>
      </c>
      <c r="AU221" s="418">
        <v>0</v>
      </c>
      <c r="AV221" s="418">
        <f t="shared" si="328"/>
        <v>0</v>
      </c>
      <c r="AW221" s="418">
        <f t="shared" si="329"/>
        <v>0</v>
      </c>
      <c r="AX221" s="419">
        <v>0</v>
      </c>
      <c r="AY221" s="419">
        <v>0</v>
      </c>
      <c r="AZ221" s="419">
        <v>0</v>
      </c>
      <c r="BA221" s="419">
        <v>0</v>
      </c>
      <c r="BB221" s="419">
        <v>0</v>
      </c>
      <c r="BC221" s="419">
        <v>0</v>
      </c>
      <c r="BD221" s="419">
        <v>0</v>
      </c>
      <c r="BE221" s="419">
        <v>0</v>
      </c>
      <c r="BF221" s="419">
        <f t="shared" si="330"/>
        <v>0</v>
      </c>
      <c r="BG221" s="419">
        <f t="shared" si="331"/>
        <v>0</v>
      </c>
      <c r="BH221" s="421">
        <f t="shared" si="332"/>
        <v>0</v>
      </c>
      <c r="BI221" s="780">
        <f>I221+AW221</f>
        <v>24736421</v>
      </c>
      <c r="BJ221" s="418">
        <f>J221+AF221</f>
        <v>18012880</v>
      </c>
      <c r="BK221" s="418">
        <f t="shared" ref="BK221:BL225" si="354">K221+AD221</f>
        <v>16763754</v>
      </c>
      <c r="BL221" s="418">
        <f t="shared" si="354"/>
        <v>1249126</v>
      </c>
      <c r="BM221" s="418">
        <f>M221+AN221</f>
        <v>100000</v>
      </c>
      <c r="BN221" s="418">
        <f t="shared" ref="BN221:BO225" si="355">N221+AL221</f>
        <v>50000</v>
      </c>
      <c r="BO221" s="418">
        <f t="shared" si="355"/>
        <v>50000</v>
      </c>
      <c r="BP221" s="418">
        <f t="shared" ref="BP221:BQ225" si="356">P221+AR221</f>
        <v>6122154</v>
      </c>
      <c r="BQ221" s="418">
        <f t="shared" si="356"/>
        <v>180129</v>
      </c>
      <c r="BR221" s="418">
        <f>R221+AV221</f>
        <v>321258</v>
      </c>
      <c r="BS221" s="419">
        <f>S221+BH221</f>
        <v>27.6904</v>
      </c>
      <c r="BT221" s="419">
        <f t="shared" ref="BT221:BU225" si="357">T221+BF221</f>
        <v>23.823700000000002</v>
      </c>
      <c r="BU221" s="421">
        <f t="shared" si="357"/>
        <v>3.8666999999999998</v>
      </c>
      <c r="BV221" s="420">
        <v>608218</v>
      </c>
      <c r="BW221" s="415">
        <v>451200</v>
      </c>
      <c r="BX221" s="415">
        <v>0</v>
      </c>
      <c r="BY221" s="415">
        <v>152506</v>
      </c>
      <c r="BZ221" s="415">
        <v>4512</v>
      </c>
      <c r="CA221" s="510">
        <v>0.8</v>
      </c>
    </row>
    <row r="222" spans="1:79" ht="14.1" customHeight="1" x14ac:dyDescent="0.2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627</v>
      </c>
      <c r="F222" s="66">
        <v>3113</v>
      </c>
      <c r="G222" s="77" t="s">
        <v>291</v>
      </c>
      <c r="H222" s="67" t="s">
        <v>272</v>
      </c>
      <c r="I222" s="420">
        <v>4659962</v>
      </c>
      <c r="J222" s="415">
        <v>3453607</v>
      </c>
      <c r="K222" s="415">
        <v>3453607</v>
      </c>
      <c r="L222" s="415">
        <v>0</v>
      </c>
      <c r="M222" s="415">
        <v>0</v>
      </c>
      <c r="N222" s="415">
        <v>0</v>
      </c>
      <c r="O222" s="415">
        <v>0</v>
      </c>
      <c r="P222" s="599">
        <v>1167319</v>
      </c>
      <c r="Q222" s="599">
        <v>34536</v>
      </c>
      <c r="R222" s="415">
        <v>4500</v>
      </c>
      <c r="S222" s="416">
        <v>9.52</v>
      </c>
      <c r="T222" s="417">
        <v>9.52</v>
      </c>
      <c r="U222" s="423">
        <v>0</v>
      </c>
      <c r="V222" s="424">
        <f t="shared" si="317"/>
        <v>0</v>
      </c>
      <c r="W222" s="418">
        <f t="shared" si="318"/>
        <v>0</v>
      </c>
      <c r="X222" s="418">
        <v>-194672</v>
      </c>
      <c r="Y222" s="418">
        <v>0</v>
      </c>
      <c r="Z222" s="418">
        <v>0</v>
      </c>
      <c r="AA222" s="418">
        <v>0</v>
      </c>
      <c r="AB222" s="418">
        <v>0</v>
      </c>
      <c r="AC222" s="418">
        <v>0</v>
      </c>
      <c r="AD222" s="418">
        <f>V222+X222+Y222+Z222+AB222</f>
        <v>-194672</v>
      </c>
      <c r="AE222" s="418">
        <f>W222+AA222+AC222</f>
        <v>0</v>
      </c>
      <c r="AF222" s="418">
        <f t="shared" si="319"/>
        <v>-194672</v>
      </c>
      <c r="AG222" s="418">
        <v>0</v>
      </c>
      <c r="AH222" s="418">
        <v>0</v>
      </c>
      <c r="AI222" s="418">
        <v>0</v>
      </c>
      <c r="AJ222" s="418">
        <v>0</v>
      </c>
      <c r="AK222" s="418">
        <v>0</v>
      </c>
      <c r="AL222" s="418">
        <f t="shared" si="320"/>
        <v>0</v>
      </c>
      <c r="AM222" s="418">
        <f t="shared" si="321"/>
        <v>0</v>
      </c>
      <c r="AN222" s="418">
        <f t="shared" si="322"/>
        <v>0</v>
      </c>
      <c r="AO222" s="418">
        <f t="shared" si="323"/>
        <v>-194672</v>
      </c>
      <c r="AP222" s="418">
        <f t="shared" si="324"/>
        <v>0</v>
      </c>
      <c r="AQ222" s="418">
        <f t="shared" si="325"/>
        <v>-194672</v>
      </c>
      <c r="AR222" s="68">
        <f t="shared" si="326"/>
        <v>-65799</v>
      </c>
      <c r="AS222" s="68">
        <f t="shared" si="327"/>
        <v>-1947</v>
      </c>
      <c r="AT222" s="418">
        <v>2000</v>
      </c>
      <c r="AU222" s="418">
        <v>0</v>
      </c>
      <c r="AV222" s="418">
        <f t="shared" si="328"/>
        <v>2000</v>
      </c>
      <c r="AW222" s="418">
        <f t="shared" si="329"/>
        <v>-260418</v>
      </c>
      <c r="AX222" s="419">
        <v>0</v>
      </c>
      <c r="AY222" s="419">
        <v>0</v>
      </c>
      <c r="AZ222" s="419">
        <v>-0.63</v>
      </c>
      <c r="BA222" s="419">
        <v>0</v>
      </c>
      <c r="BB222" s="419">
        <v>0</v>
      </c>
      <c r="BC222" s="419">
        <v>0</v>
      </c>
      <c r="BD222" s="419">
        <v>0</v>
      </c>
      <c r="BE222" s="419">
        <v>0</v>
      </c>
      <c r="BF222" s="419">
        <f t="shared" si="330"/>
        <v>-0.63</v>
      </c>
      <c r="BG222" s="419">
        <f t="shared" si="331"/>
        <v>0</v>
      </c>
      <c r="BH222" s="421">
        <f t="shared" si="332"/>
        <v>-0.63</v>
      </c>
      <c r="BI222" s="780">
        <f>I222+AW222</f>
        <v>4399544</v>
      </c>
      <c r="BJ222" s="418">
        <f>J222+AF222</f>
        <v>3258935</v>
      </c>
      <c r="BK222" s="418">
        <f t="shared" si="354"/>
        <v>3258935</v>
      </c>
      <c r="BL222" s="418">
        <f t="shared" si="354"/>
        <v>0</v>
      </c>
      <c r="BM222" s="418">
        <f>M222+AN222</f>
        <v>0</v>
      </c>
      <c r="BN222" s="418">
        <f t="shared" si="355"/>
        <v>0</v>
      </c>
      <c r="BO222" s="418">
        <f t="shared" si="355"/>
        <v>0</v>
      </c>
      <c r="BP222" s="418">
        <f t="shared" si="356"/>
        <v>1101520</v>
      </c>
      <c r="BQ222" s="418">
        <f t="shared" si="356"/>
        <v>32589</v>
      </c>
      <c r="BR222" s="418">
        <f>R222+AV222</f>
        <v>6500</v>
      </c>
      <c r="BS222" s="419">
        <f>S222+BH222</f>
        <v>8.8899999999999988</v>
      </c>
      <c r="BT222" s="419">
        <f t="shared" si="357"/>
        <v>8.8899999999999988</v>
      </c>
      <c r="BU222" s="421">
        <f t="shared" si="357"/>
        <v>0</v>
      </c>
      <c r="BV222" s="420"/>
      <c r="BW222" s="415"/>
      <c r="BX222" s="415"/>
      <c r="BY222" s="415"/>
      <c r="BZ222" s="415"/>
      <c r="CA222" s="510"/>
    </row>
    <row r="223" spans="1:79" ht="14.1" customHeight="1" x14ac:dyDescent="0.2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627</v>
      </c>
      <c r="F223" s="66">
        <v>3141</v>
      </c>
      <c r="G223" s="65" t="s">
        <v>294</v>
      </c>
      <c r="H223" s="67" t="s">
        <v>272</v>
      </c>
      <c r="I223" s="420">
        <v>316508</v>
      </c>
      <c r="J223" s="415">
        <v>233660</v>
      </c>
      <c r="K223" s="415">
        <v>0</v>
      </c>
      <c r="L223" s="750">
        <v>233660</v>
      </c>
      <c r="M223" s="415">
        <v>0</v>
      </c>
      <c r="N223" s="204">
        <v>0</v>
      </c>
      <c r="O223" s="204">
        <v>0</v>
      </c>
      <c r="P223" s="599">
        <v>78977</v>
      </c>
      <c r="Q223" s="599">
        <v>2337</v>
      </c>
      <c r="R223" s="605">
        <v>1534</v>
      </c>
      <c r="S223" s="416">
        <v>0.7</v>
      </c>
      <c r="T223" s="607">
        <v>0</v>
      </c>
      <c r="U223" s="737">
        <v>0.7</v>
      </c>
      <c r="V223" s="424">
        <f t="shared" si="317"/>
        <v>0</v>
      </c>
      <c r="W223" s="418">
        <f t="shared" si="318"/>
        <v>0</v>
      </c>
      <c r="X223" s="418">
        <v>0</v>
      </c>
      <c r="Y223" s="418">
        <v>0</v>
      </c>
      <c r="Z223" s="418">
        <v>0</v>
      </c>
      <c r="AA223" s="418">
        <v>0</v>
      </c>
      <c r="AB223" s="418">
        <v>0</v>
      </c>
      <c r="AC223" s="418">
        <v>0</v>
      </c>
      <c r="AD223" s="418">
        <f>V223+X223+Y223+Z223+AB223</f>
        <v>0</v>
      </c>
      <c r="AE223" s="418">
        <f>W223+AA223+AC223</f>
        <v>0</v>
      </c>
      <c r="AF223" s="418">
        <f t="shared" si="319"/>
        <v>0</v>
      </c>
      <c r="AG223" s="418">
        <v>0</v>
      </c>
      <c r="AH223" s="418">
        <v>0</v>
      </c>
      <c r="AI223" s="418">
        <v>0</v>
      </c>
      <c r="AJ223" s="418">
        <v>0</v>
      </c>
      <c r="AK223" s="418">
        <v>0</v>
      </c>
      <c r="AL223" s="418">
        <f t="shared" si="320"/>
        <v>0</v>
      </c>
      <c r="AM223" s="418">
        <f t="shared" si="321"/>
        <v>0</v>
      </c>
      <c r="AN223" s="418">
        <f t="shared" si="322"/>
        <v>0</v>
      </c>
      <c r="AO223" s="418">
        <f t="shared" si="323"/>
        <v>0</v>
      </c>
      <c r="AP223" s="418">
        <f t="shared" si="324"/>
        <v>0</v>
      </c>
      <c r="AQ223" s="418">
        <f t="shared" si="325"/>
        <v>0</v>
      </c>
      <c r="AR223" s="68">
        <f t="shared" si="326"/>
        <v>0</v>
      </c>
      <c r="AS223" s="68">
        <f t="shared" si="327"/>
        <v>0</v>
      </c>
      <c r="AT223" s="418">
        <v>0</v>
      </c>
      <c r="AU223" s="418">
        <v>0</v>
      </c>
      <c r="AV223" s="418">
        <f t="shared" si="328"/>
        <v>0</v>
      </c>
      <c r="AW223" s="418">
        <f t="shared" si="329"/>
        <v>0</v>
      </c>
      <c r="AX223" s="419">
        <v>0</v>
      </c>
      <c r="AY223" s="419">
        <v>0</v>
      </c>
      <c r="AZ223" s="419">
        <v>0</v>
      </c>
      <c r="BA223" s="419">
        <v>0</v>
      </c>
      <c r="BB223" s="419">
        <v>0</v>
      </c>
      <c r="BC223" s="419">
        <v>0</v>
      </c>
      <c r="BD223" s="419">
        <v>0</v>
      </c>
      <c r="BE223" s="419">
        <v>0</v>
      </c>
      <c r="BF223" s="419">
        <f t="shared" si="330"/>
        <v>0</v>
      </c>
      <c r="BG223" s="419">
        <f t="shared" si="331"/>
        <v>0</v>
      </c>
      <c r="BH223" s="421">
        <f t="shared" si="332"/>
        <v>0</v>
      </c>
      <c r="BI223" s="780">
        <f>I223+AW223</f>
        <v>316508</v>
      </c>
      <c r="BJ223" s="418">
        <f>J223+AF223</f>
        <v>233660</v>
      </c>
      <c r="BK223" s="418">
        <f t="shared" si="354"/>
        <v>0</v>
      </c>
      <c r="BL223" s="418">
        <f t="shared" si="354"/>
        <v>233660</v>
      </c>
      <c r="BM223" s="418">
        <f>M223+AN223</f>
        <v>0</v>
      </c>
      <c r="BN223" s="418">
        <f t="shared" si="355"/>
        <v>0</v>
      </c>
      <c r="BO223" s="418">
        <f t="shared" si="355"/>
        <v>0</v>
      </c>
      <c r="BP223" s="418">
        <f t="shared" si="356"/>
        <v>78977</v>
      </c>
      <c r="BQ223" s="418">
        <f t="shared" si="356"/>
        <v>2337</v>
      </c>
      <c r="BR223" s="418">
        <f>R223+AV223</f>
        <v>1534</v>
      </c>
      <c r="BS223" s="419">
        <f>S223+BH223</f>
        <v>0.7</v>
      </c>
      <c r="BT223" s="419">
        <f t="shared" si="357"/>
        <v>0</v>
      </c>
      <c r="BU223" s="421">
        <f t="shared" si="357"/>
        <v>0.7</v>
      </c>
      <c r="BV223" s="420"/>
      <c r="BW223" s="415"/>
      <c r="BX223" s="415"/>
      <c r="BY223" s="415"/>
      <c r="BZ223" s="415"/>
      <c r="CA223" s="510"/>
    </row>
    <row r="224" spans="1:79" ht="14.1" customHeight="1" x14ac:dyDescent="0.2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627</v>
      </c>
      <c r="F224" s="66">
        <v>3143</v>
      </c>
      <c r="G224" s="77" t="s">
        <v>595</v>
      </c>
      <c r="H224" s="67" t="s">
        <v>271</v>
      </c>
      <c r="I224" s="420">
        <v>2621985</v>
      </c>
      <c r="J224" s="415">
        <v>1945093</v>
      </c>
      <c r="K224" s="415">
        <v>1945093</v>
      </c>
      <c r="L224" s="415">
        <v>0</v>
      </c>
      <c r="M224" s="415">
        <v>0</v>
      </c>
      <c r="N224" s="415">
        <v>0</v>
      </c>
      <c r="O224" s="415">
        <v>0</v>
      </c>
      <c r="P224" s="599">
        <v>657441</v>
      </c>
      <c r="Q224" s="599">
        <v>19451</v>
      </c>
      <c r="R224" s="415">
        <v>0</v>
      </c>
      <c r="S224" s="416">
        <v>3.875</v>
      </c>
      <c r="T224" s="416">
        <v>3.875</v>
      </c>
      <c r="U224" s="423">
        <v>0</v>
      </c>
      <c r="V224" s="424">
        <f t="shared" si="317"/>
        <v>0</v>
      </c>
      <c r="W224" s="418">
        <f t="shared" si="318"/>
        <v>0</v>
      </c>
      <c r="X224" s="418">
        <v>0</v>
      </c>
      <c r="Y224" s="418">
        <v>0</v>
      </c>
      <c r="Z224" s="418">
        <v>0</v>
      </c>
      <c r="AA224" s="418">
        <v>0</v>
      </c>
      <c r="AB224" s="418">
        <v>0</v>
      </c>
      <c r="AC224" s="418">
        <v>0</v>
      </c>
      <c r="AD224" s="418">
        <f>V224+X224+Y224+Z224+AB224</f>
        <v>0</v>
      </c>
      <c r="AE224" s="418">
        <f>W224+AA224+AC224</f>
        <v>0</v>
      </c>
      <c r="AF224" s="418">
        <f t="shared" si="319"/>
        <v>0</v>
      </c>
      <c r="AG224" s="418">
        <v>0</v>
      </c>
      <c r="AH224" s="418">
        <v>0</v>
      </c>
      <c r="AI224" s="418">
        <v>0</v>
      </c>
      <c r="AJ224" s="418">
        <v>0</v>
      </c>
      <c r="AK224" s="418">
        <v>0</v>
      </c>
      <c r="AL224" s="418">
        <f t="shared" si="320"/>
        <v>0</v>
      </c>
      <c r="AM224" s="418">
        <f t="shared" si="321"/>
        <v>0</v>
      </c>
      <c r="AN224" s="418">
        <f t="shared" si="322"/>
        <v>0</v>
      </c>
      <c r="AO224" s="418">
        <f t="shared" si="323"/>
        <v>0</v>
      </c>
      <c r="AP224" s="418">
        <f t="shared" si="324"/>
        <v>0</v>
      </c>
      <c r="AQ224" s="418">
        <f t="shared" si="325"/>
        <v>0</v>
      </c>
      <c r="AR224" s="68">
        <f t="shared" si="326"/>
        <v>0</v>
      </c>
      <c r="AS224" s="68">
        <f t="shared" si="327"/>
        <v>0</v>
      </c>
      <c r="AT224" s="418">
        <v>0</v>
      </c>
      <c r="AU224" s="418">
        <v>0</v>
      </c>
      <c r="AV224" s="418">
        <f t="shared" si="328"/>
        <v>0</v>
      </c>
      <c r="AW224" s="418">
        <f t="shared" si="329"/>
        <v>0</v>
      </c>
      <c r="AX224" s="419">
        <v>0</v>
      </c>
      <c r="AY224" s="419">
        <v>0</v>
      </c>
      <c r="AZ224" s="419">
        <v>0</v>
      </c>
      <c r="BA224" s="419">
        <v>0</v>
      </c>
      <c r="BB224" s="419">
        <v>0</v>
      </c>
      <c r="BC224" s="419">
        <v>0</v>
      </c>
      <c r="BD224" s="419">
        <v>0</v>
      </c>
      <c r="BE224" s="419">
        <v>0</v>
      </c>
      <c r="BF224" s="419">
        <f t="shared" si="330"/>
        <v>0</v>
      </c>
      <c r="BG224" s="419">
        <f t="shared" si="331"/>
        <v>0</v>
      </c>
      <c r="BH224" s="421">
        <f t="shared" si="332"/>
        <v>0</v>
      </c>
      <c r="BI224" s="780">
        <f>I224+AW224</f>
        <v>2621985</v>
      </c>
      <c r="BJ224" s="418">
        <f>J224+AF224</f>
        <v>1945093</v>
      </c>
      <c r="BK224" s="418">
        <f t="shared" si="354"/>
        <v>1945093</v>
      </c>
      <c r="BL224" s="418">
        <f t="shared" si="354"/>
        <v>0</v>
      </c>
      <c r="BM224" s="418">
        <f>M224+AN224</f>
        <v>0</v>
      </c>
      <c r="BN224" s="418">
        <f t="shared" si="355"/>
        <v>0</v>
      </c>
      <c r="BO224" s="418">
        <f t="shared" si="355"/>
        <v>0</v>
      </c>
      <c r="BP224" s="418">
        <f t="shared" si="356"/>
        <v>657441</v>
      </c>
      <c r="BQ224" s="418">
        <f t="shared" si="356"/>
        <v>19451</v>
      </c>
      <c r="BR224" s="418">
        <f>R224+AV224</f>
        <v>0</v>
      </c>
      <c r="BS224" s="419">
        <f>S224+BH224</f>
        <v>3.875</v>
      </c>
      <c r="BT224" s="419">
        <f t="shared" si="357"/>
        <v>3.875</v>
      </c>
      <c r="BU224" s="421">
        <f t="shared" si="357"/>
        <v>0</v>
      </c>
      <c r="BV224" s="420"/>
      <c r="BW224" s="415"/>
      <c r="BX224" s="415"/>
      <c r="BY224" s="415"/>
      <c r="BZ224" s="415"/>
      <c r="CA224" s="510"/>
    </row>
    <row r="225" spans="1:79" ht="14.1" customHeight="1" x14ac:dyDescent="0.2">
      <c r="A225" s="66">
        <v>46</v>
      </c>
      <c r="B225" s="63">
        <v>2488</v>
      </c>
      <c r="C225" s="64">
        <v>600079902</v>
      </c>
      <c r="D225" s="63">
        <v>70884978</v>
      </c>
      <c r="E225" s="65" t="s">
        <v>627</v>
      </c>
      <c r="F225" s="66">
        <v>3143</v>
      </c>
      <c r="G225" s="77" t="s">
        <v>596</v>
      </c>
      <c r="H225" s="67" t="s">
        <v>272</v>
      </c>
      <c r="I225" s="420">
        <v>63514</v>
      </c>
      <c r="J225" s="415">
        <v>45461</v>
      </c>
      <c r="K225" s="415">
        <v>0</v>
      </c>
      <c r="L225" s="605">
        <v>45461</v>
      </c>
      <c r="M225" s="415">
        <v>0</v>
      </c>
      <c r="N225" s="415">
        <v>0</v>
      </c>
      <c r="O225" s="415">
        <v>0</v>
      </c>
      <c r="P225" s="599">
        <v>15366</v>
      </c>
      <c r="Q225" s="599">
        <v>455</v>
      </c>
      <c r="R225" s="606">
        <v>2232</v>
      </c>
      <c r="S225" s="416">
        <v>0.17219999999999999</v>
      </c>
      <c r="T225" s="609">
        <v>0</v>
      </c>
      <c r="U225" s="737">
        <v>0.17219999999999999</v>
      </c>
      <c r="V225" s="424">
        <f t="shared" si="317"/>
        <v>0</v>
      </c>
      <c r="W225" s="418">
        <f t="shared" si="318"/>
        <v>0</v>
      </c>
      <c r="X225" s="418">
        <v>0</v>
      </c>
      <c r="Y225" s="418">
        <v>0</v>
      </c>
      <c r="Z225" s="418">
        <v>0</v>
      </c>
      <c r="AA225" s="418">
        <v>22739</v>
      </c>
      <c r="AB225" s="418">
        <v>0</v>
      </c>
      <c r="AC225" s="418">
        <v>0</v>
      </c>
      <c r="AD225" s="418">
        <f>V225+X225+Y225+Z225+AB225</f>
        <v>0</v>
      </c>
      <c r="AE225" s="418">
        <f>W225+AA225+AC225</f>
        <v>22739</v>
      </c>
      <c r="AF225" s="418">
        <f t="shared" si="319"/>
        <v>22739</v>
      </c>
      <c r="AG225" s="418">
        <v>0</v>
      </c>
      <c r="AH225" s="418">
        <v>0</v>
      </c>
      <c r="AI225" s="418">
        <v>0</v>
      </c>
      <c r="AJ225" s="418">
        <v>0</v>
      </c>
      <c r="AK225" s="418">
        <v>0</v>
      </c>
      <c r="AL225" s="418">
        <f t="shared" si="320"/>
        <v>0</v>
      </c>
      <c r="AM225" s="418">
        <f t="shared" si="321"/>
        <v>0</v>
      </c>
      <c r="AN225" s="418">
        <f t="shared" si="322"/>
        <v>0</v>
      </c>
      <c r="AO225" s="418">
        <f t="shared" si="323"/>
        <v>0</v>
      </c>
      <c r="AP225" s="418">
        <f t="shared" si="324"/>
        <v>22739</v>
      </c>
      <c r="AQ225" s="418">
        <f t="shared" si="325"/>
        <v>22739</v>
      </c>
      <c r="AR225" s="68">
        <f t="shared" si="326"/>
        <v>7686</v>
      </c>
      <c r="AS225" s="68">
        <f t="shared" si="327"/>
        <v>227</v>
      </c>
      <c r="AT225" s="418">
        <v>0</v>
      </c>
      <c r="AU225" s="418">
        <v>1116</v>
      </c>
      <c r="AV225" s="418">
        <f t="shared" si="328"/>
        <v>1116</v>
      </c>
      <c r="AW225" s="418">
        <f t="shared" si="329"/>
        <v>31768</v>
      </c>
      <c r="AX225" s="419">
        <v>0</v>
      </c>
      <c r="AY225" s="419">
        <v>0</v>
      </c>
      <c r="AZ225" s="419">
        <v>0</v>
      </c>
      <c r="BA225" s="419">
        <v>0</v>
      </c>
      <c r="BB225" s="419">
        <v>0.09</v>
      </c>
      <c r="BC225" s="419">
        <v>0</v>
      </c>
      <c r="BD225" s="419">
        <v>0</v>
      </c>
      <c r="BE225" s="419">
        <v>0</v>
      </c>
      <c r="BF225" s="419">
        <f t="shared" si="330"/>
        <v>0</v>
      </c>
      <c r="BG225" s="419">
        <f t="shared" si="331"/>
        <v>0.09</v>
      </c>
      <c r="BH225" s="421">
        <f t="shared" si="332"/>
        <v>0.09</v>
      </c>
      <c r="BI225" s="780">
        <f>I225+AW225</f>
        <v>95282</v>
      </c>
      <c r="BJ225" s="418">
        <f>J225+AF225</f>
        <v>68200</v>
      </c>
      <c r="BK225" s="418">
        <f t="shared" si="354"/>
        <v>0</v>
      </c>
      <c r="BL225" s="418">
        <f t="shared" si="354"/>
        <v>68200</v>
      </c>
      <c r="BM225" s="418">
        <f>M225+AN225</f>
        <v>0</v>
      </c>
      <c r="BN225" s="418">
        <f t="shared" si="355"/>
        <v>0</v>
      </c>
      <c r="BO225" s="418">
        <f t="shared" si="355"/>
        <v>0</v>
      </c>
      <c r="BP225" s="418">
        <f t="shared" si="356"/>
        <v>23052</v>
      </c>
      <c r="BQ225" s="418">
        <f t="shared" si="356"/>
        <v>682</v>
      </c>
      <c r="BR225" s="418">
        <f>R225+AV225</f>
        <v>3348</v>
      </c>
      <c r="BS225" s="419">
        <f>S225+BH225</f>
        <v>0.26219999999999999</v>
      </c>
      <c r="BT225" s="419">
        <f t="shared" si="357"/>
        <v>0</v>
      </c>
      <c r="BU225" s="421">
        <f t="shared" si="357"/>
        <v>0.26219999999999999</v>
      </c>
      <c r="BV225" s="420"/>
      <c r="BW225" s="415"/>
      <c r="BX225" s="415"/>
      <c r="BY225" s="415"/>
      <c r="BZ225" s="415"/>
      <c r="CA225" s="510"/>
    </row>
    <row r="226" spans="1:79" ht="14.1" customHeight="1" x14ac:dyDescent="0.2">
      <c r="A226" s="72">
        <v>46</v>
      </c>
      <c r="B226" s="69">
        <v>2488</v>
      </c>
      <c r="C226" s="70">
        <v>600079902</v>
      </c>
      <c r="D226" s="69">
        <v>70884978</v>
      </c>
      <c r="E226" s="71" t="s">
        <v>628</v>
      </c>
      <c r="F226" s="72"/>
      <c r="G226" s="71"/>
      <c r="H226" s="73"/>
      <c r="I226" s="517">
        <v>32398390</v>
      </c>
      <c r="J226" s="74">
        <v>23690701</v>
      </c>
      <c r="K226" s="74">
        <v>22162454</v>
      </c>
      <c r="L226" s="74">
        <v>1528247</v>
      </c>
      <c r="M226" s="74">
        <v>100000</v>
      </c>
      <c r="N226" s="74">
        <v>50000</v>
      </c>
      <c r="O226" s="74">
        <v>50000</v>
      </c>
      <c r="P226" s="74">
        <v>8041257</v>
      </c>
      <c r="Q226" s="74">
        <v>236908</v>
      </c>
      <c r="R226" s="74">
        <v>329524</v>
      </c>
      <c r="S226" s="75">
        <v>41.957599999999999</v>
      </c>
      <c r="T226" s="75">
        <v>37.218699999999998</v>
      </c>
      <c r="U226" s="658">
        <v>4.7389000000000001</v>
      </c>
      <c r="V226" s="517">
        <f t="shared" ref="V226:BU226" si="358">SUM(V221:V225)</f>
        <v>0</v>
      </c>
      <c r="W226" s="74">
        <f t="shared" si="358"/>
        <v>0</v>
      </c>
      <c r="X226" s="74">
        <f t="shared" si="358"/>
        <v>-194672</v>
      </c>
      <c r="Y226" s="74">
        <f t="shared" si="358"/>
        <v>0</v>
      </c>
      <c r="Z226" s="74">
        <f t="shared" si="358"/>
        <v>0</v>
      </c>
      <c r="AA226" s="74">
        <f t="shared" si="358"/>
        <v>22739</v>
      </c>
      <c r="AB226" s="74">
        <f t="shared" si="358"/>
        <v>0</v>
      </c>
      <c r="AC226" s="74">
        <f t="shared" si="358"/>
        <v>0</v>
      </c>
      <c r="AD226" s="74">
        <f t="shared" si="358"/>
        <v>-194672</v>
      </c>
      <c r="AE226" s="74">
        <f t="shared" si="358"/>
        <v>22739</v>
      </c>
      <c r="AF226" s="74">
        <f t="shared" si="358"/>
        <v>-171933</v>
      </c>
      <c r="AG226" s="74">
        <f t="shared" si="358"/>
        <v>0</v>
      </c>
      <c r="AH226" s="74">
        <f t="shared" si="358"/>
        <v>0</v>
      </c>
      <c r="AI226" s="74">
        <f t="shared" si="358"/>
        <v>0</v>
      </c>
      <c r="AJ226" s="74">
        <f t="shared" si="358"/>
        <v>0</v>
      </c>
      <c r="AK226" s="74">
        <f t="shared" si="358"/>
        <v>0</v>
      </c>
      <c r="AL226" s="74">
        <f t="shared" si="358"/>
        <v>0</v>
      </c>
      <c r="AM226" s="74">
        <f t="shared" si="358"/>
        <v>0</v>
      </c>
      <c r="AN226" s="74">
        <f t="shared" si="358"/>
        <v>0</v>
      </c>
      <c r="AO226" s="74">
        <f t="shared" si="358"/>
        <v>-194672</v>
      </c>
      <c r="AP226" s="74">
        <f t="shared" si="358"/>
        <v>22739</v>
      </c>
      <c r="AQ226" s="74">
        <f t="shared" si="358"/>
        <v>-171933</v>
      </c>
      <c r="AR226" s="74">
        <f t="shared" si="358"/>
        <v>-58113</v>
      </c>
      <c r="AS226" s="74">
        <f t="shared" si="358"/>
        <v>-1720</v>
      </c>
      <c r="AT226" s="74">
        <f t="shared" si="358"/>
        <v>2000</v>
      </c>
      <c r="AU226" s="74">
        <f t="shared" si="358"/>
        <v>1116</v>
      </c>
      <c r="AV226" s="74">
        <f t="shared" si="358"/>
        <v>3116</v>
      </c>
      <c r="AW226" s="74">
        <f t="shared" si="358"/>
        <v>-228650</v>
      </c>
      <c r="AX226" s="75">
        <f t="shared" si="358"/>
        <v>0</v>
      </c>
      <c r="AY226" s="75">
        <f t="shared" si="358"/>
        <v>0</v>
      </c>
      <c r="AZ226" s="75">
        <f t="shared" si="358"/>
        <v>-0.63</v>
      </c>
      <c r="BA226" s="75">
        <f t="shared" si="358"/>
        <v>0</v>
      </c>
      <c r="BB226" s="75">
        <f t="shared" si="358"/>
        <v>0.09</v>
      </c>
      <c r="BC226" s="75">
        <f t="shared" si="358"/>
        <v>0</v>
      </c>
      <c r="BD226" s="75">
        <f t="shared" si="358"/>
        <v>0</v>
      </c>
      <c r="BE226" s="75">
        <f t="shared" si="358"/>
        <v>0</v>
      </c>
      <c r="BF226" s="75">
        <f t="shared" si="358"/>
        <v>-0.63</v>
      </c>
      <c r="BG226" s="75">
        <f t="shared" si="358"/>
        <v>0.09</v>
      </c>
      <c r="BH226" s="76">
        <f t="shared" si="358"/>
        <v>-0.54</v>
      </c>
      <c r="BI226" s="799">
        <f t="shared" si="358"/>
        <v>32169740</v>
      </c>
      <c r="BJ226" s="74">
        <f t="shared" si="358"/>
        <v>23518768</v>
      </c>
      <c r="BK226" s="74">
        <f t="shared" si="358"/>
        <v>21967782</v>
      </c>
      <c r="BL226" s="74">
        <f t="shared" si="358"/>
        <v>1550986</v>
      </c>
      <c r="BM226" s="74">
        <f t="shared" si="358"/>
        <v>100000</v>
      </c>
      <c r="BN226" s="74">
        <f t="shared" si="358"/>
        <v>50000</v>
      </c>
      <c r="BO226" s="74">
        <f t="shared" si="358"/>
        <v>50000</v>
      </c>
      <c r="BP226" s="74">
        <f t="shared" si="358"/>
        <v>7983144</v>
      </c>
      <c r="BQ226" s="74">
        <f t="shared" si="358"/>
        <v>235188</v>
      </c>
      <c r="BR226" s="74">
        <f t="shared" si="358"/>
        <v>332640</v>
      </c>
      <c r="BS226" s="75">
        <f t="shared" si="358"/>
        <v>41.4176</v>
      </c>
      <c r="BT226" s="75">
        <f t="shared" si="358"/>
        <v>36.588700000000003</v>
      </c>
      <c r="BU226" s="76">
        <f t="shared" si="358"/>
        <v>4.8289</v>
      </c>
      <c r="BV226" s="809">
        <f t="shared" ref="BV226:CA226" si="359">SUM(BV221:BV225)</f>
        <v>608218</v>
      </c>
      <c r="BW226" s="684">
        <f t="shared" si="359"/>
        <v>451200</v>
      </c>
      <c r="BX226" s="684">
        <f t="shared" si="359"/>
        <v>0</v>
      </c>
      <c r="BY226" s="684">
        <f t="shared" si="359"/>
        <v>152506</v>
      </c>
      <c r="BZ226" s="684">
        <f t="shared" si="359"/>
        <v>4512</v>
      </c>
      <c r="CA226" s="810">
        <f t="shared" si="359"/>
        <v>0.8</v>
      </c>
    </row>
    <row r="227" spans="1:79" ht="14.1" customHeight="1" x14ac:dyDescent="0.2">
      <c r="A227" s="66">
        <v>47</v>
      </c>
      <c r="B227" s="63">
        <v>2472</v>
      </c>
      <c r="C227" s="64">
        <v>600080277</v>
      </c>
      <c r="D227" s="63">
        <v>72743131</v>
      </c>
      <c r="E227" s="65" t="s">
        <v>629</v>
      </c>
      <c r="F227" s="66">
        <v>3113</v>
      </c>
      <c r="G227" s="65" t="s">
        <v>293</v>
      </c>
      <c r="H227" s="67" t="s">
        <v>271</v>
      </c>
      <c r="I227" s="420">
        <v>27620306</v>
      </c>
      <c r="J227" s="415">
        <v>20200597</v>
      </c>
      <c r="K227" s="415">
        <v>18638810</v>
      </c>
      <c r="L227" s="415">
        <v>1561787</v>
      </c>
      <c r="M227" s="415">
        <v>75000</v>
      </c>
      <c r="N227" s="415">
        <v>60000</v>
      </c>
      <c r="O227" s="415">
        <v>15000</v>
      </c>
      <c r="P227" s="599">
        <v>6853152</v>
      </c>
      <c r="Q227" s="599">
        <v>202007</v>
      </c>
      <c r="R227" s="415">
        <v>289550</v>
      </c>
      <c r="S227" s="416">
        <v>31.536899999999999</v>
      </c>
      <c r="T227" s="416">
        <v>26.803599999999999</v>
      </c>
      <c r="U227" s="423">
        <v>4.7333000000000007</v>
      </c>
      <c r="V227" s="424">
        <f t="shared" si="317"/>
        <v>0</v>
      </c>
      <c r="W227" s="418">
        <f t="shared" si="318"/>
        <v>0</v>
      </c>
      <c r="X227" s="418">
        <v>0</v>
      </c>
      <c r="Y227" s="418">
        <v>0</v>
      </c>
      <c r="Z227" s="418">
        <v>0</v>
      </c>
      <c r="AA227" s="418">
        <v>0</v>
      </c>
      <c r="AB227" s="418">
        <v>0</v>
      </c>
      <c r="AC227" s="418">
        <v>0</v>
      </c>
      <c r="AD227" s="418">
        <f>V227+X227+Y227+Z227+AB227</f>
        <v>0</v>
      </c>
      <c r="AE227" s="418">
        <f>W227+AA227+AC227</f>
        <v>0</v>
      </c>
      <c r="AF227" s="418">
        <f t="shared" si="319"/>
        <v>0</v>
      </c>
      <c r="AG227" s="418">
        <v>0</v>
      </c>
      <c r="AH227" s="418">
        <v>0</v>
      </c>
      <c r="AI227" s="418">
        <v>0</v>
      </c>
      <c r="AJ227" s="418">
        <v>0</v>
      </c>
      <c r="AK227" s="418">
        <v>0</v>
      </c>
      <c r="AL227" s="418">
        <f t="shared" si="320"/>
        <v>0</v>
      </c>
      <c r="AM227" s="418">
        <f t="shared" si="321"/>
        <v>0</v>
      </c>
      <c r="AN227" s="418">
        <f t="shared" si="322"/>
        <v>0</v>
      </c>
      <c r="AO227" s="418">
        <f t="shared" si="323"/>
        <v>0</v>
      </c>
      <c r="AP227" s="418">
        <f t="shared" si="324"/>
        <v>0</v>
      </c>
      <c r="AQ227" s="418">
        <f t="shared" si="325"/>
        <v>0</v>
      </c>
      <c r="AR227" s="68">
        <f t="shared" si="326"/>
        <v>0</v>
      </c>
      <c r="AS227" s="68">
        <f t="shared" si="327"/>
        <v>0</v>
      </c>
      <c r="AT227" s="418">
        <v>0</v>
      </c>
      <c r="AU227" s="418">
        <v>0</v>
      </c>
      <c r="AV227" s="418">
        <f t="shared" si="328"/>
        <v>0</v>
      </c>
      <c r="AW227" s="418">
        <f t="shared" si="329"/>
        <v>0</v>
      </c>
      <c r="AX227" s="419">
        <v>0</v>
      </c>
      <c r="AY227" s="419">
        <v>0</v>
      </c>
      <c r="AZ227" s="419">
        <v>0</v>
      </c>
      <c r="BA227" s="419">
        <v>0</v>
      </c>
      <c r="BB227" s="419">
        <v>0</v>
      </c>
      <c r="BC227" s="419">
        <v>0</v>
      </c>
      <c r="BD227" s="419">
        <v>0</v>
      </c>
      <c r="BE227" s="419">
        <v>0</v>
      </c>
      <c r="BF227" s="419">
        <f t="shared" si="330"/>
        <v>0</v>
      </c>
      <c r="BG227" s="419">
        <f t="shared" si="331"/>
        <v>0</v>
      </c>
      <c r="BH227" s="421">
        <f t="shared" si="332"/>
        <v>0</v>
      </c>
      <c r="BI227" s="780">
        <f>I227+AW227</f>
        <v>27620306</v>
      </c>
      <c r="BJ227" s="418">
        <f>J227+AF227</f>
        <v>20200597</v>
      </c>
      <c r="BK227" s="418">
        <f t="shared" ref="BK227:BL231" si="360">K227+AD227</f>
        <v>18638810</v>
      </c>
      <c r="BL227" s="418">
        <f t="shared" si="360"/>
        <v>1561787</v>
      </c>
      <c r="BM227" s="418">
        <f>M227+AN227</f>
        <v>75000</v>
      </c>
      <c r="BN227" s="418">
        <f t="shared" ref="BN227:BO231" si="361">N227+AL227</f>
        <v>60000</v>
      </c>
      <c r="BO227" s="418">
        <f t="shared" si="361"/>
        <v>15000</v>
      </c>
      <c r="BP227" s="418">
        <f t="shared" ref="BP227:BQ231" si="362">P227+AR227</f>
        <v>6853152</v>
      </c>
      <c r="BQ227" s="418">
        <f t="shared" si="362"/>
        <v>202007</v>
      </c>
      <c r="BR227" s="418">
        <f>R227+AV227</f>
        <v>289550</v>
      </c>
      <c r="BS227" s="419">
        <f>S227+BH227</f>
        <v>31.536899999999999</v>
      </c>
      <c r="BT227" s="419">
        <f t="shared" ref="BT227:BU231" si="363">T227+BF227</f>
        <v>26.803599999999999</v>
      </c>
      <c r="BU227" s="421">
        <f t="shared" si="363"/>
        <v>4.7333000000000007</v>
      </c>
      <c r="BV227" s="420">
        <v>380136</v>
      </c>
      <c r="BW227" s="415">
        <v>282000</v>
      </c>
      <c r="BX227" s="415">
        <v>0</v>
      </c>
      <c r="BY227" s="415">
        <v>95316</v>
      </c>
      <c r="BZ227" s="415">
        <v>2820</v>
      </c>
      <c r="CA227" s="510">
        <v>0.5</v>
      </c>
    </row>
    <row r="228" spans="1:79" ht="14.1" customHeight="1" x14ac:dyDescent="0.2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629</v>
      </c>
      <c r="F228" s="66">
        <v>3113</v>
      </c>
      <c r="G228" s="77" t="s">
        <v>291</v>
      </c>
      <c r="H228" s="67" t="s">
        <v>272</v>
      </c>
      <c r="I228" s="420">
        <v>4335961</v>
      </c>
      <c r="J228" s="415">
        <v>3216588</v>
      </c>
      <c r="K228" s="415">
        <v>3216588</v>
      </c>
      <c r="L228" s="415">
        <v>0</v>
      </c>
      <c r="M228" s="415">
        <v>0</v>
      </c>
      <c r="N228" s="415">
        <v>0</v>
      </c>
      <c r="O228" s="415">
        <v>0</v>
      </c>
      <c r="P228" s="599">
        <v>1087207</v>
      </c>
      <c r="Q228" s="599">
        <v>32166</v>
      </c>
      <c r="R228" s="415">
        <v>0</v>
      </c>
      <c r="S228" s="416">
        <v>8.27</v>
      </c>
      <c r="T228" s="417">
        <v>8.27</v>
      </c>
      <c r="U228" s="423">
        <v>0</v>
      </c>
      <c r="V228" s="424">
        <f t="shared" si="317"/>
        <v>0</v>
      </c>
      <c r="W228" s="418">
        <f t="shared" si="318"/>
        <v>0</v>
      </c>
      <c r="X228" s="418">
        <v>-37136</v>
      </c>
      <c r="Y228" s="418">
        <v>0</v>
      </c>
      <c r="Z228" s="418">
        <v>0</v>
      </c>
      <c r="AA228" s="418">
        <v>0</v>
      </c>
      <c r="AB228" s="418">
        <v>0</v>
      </c>
      <c r="AC228" s="418">
        <v>0</v>
      </c>
      <c r="AD228" s="418">
        <f>V228+X228+Y228+Z228+AB228</f>
        <v>-37136</v>
      </c>
      <c r="AE228" s="418">
        <f>W228+AA228+AC228</f>
        <v>0</v>
      </c>
      <c r="AF228" s="418">
        <f t="shared" si="319"/>
        <v>-37136</v>
      </c>
      <c r="AG228" s="418">
        <v>0</v>
      </c>
      <c r="AH228" s="418">
        <v>0</v>
      </c>
      <c r="AI228" s="418">
        <v>0</v>
      </c>
      <c r="AJ228" s="418">
        <v>0</v>
      </c>
      <c r="AK228" s="418">
        <v>0</v>
      </c>
      <c r="AL228" s="418">
        <f t="shared" si="320"/>
        <v>0</v>
      </c>
      <c r="AM228" s="418">
        <f t="shared" si="321"/>
        <v>0</v>
      </c>
      <c r="AN228" s="418">
        <f t="shared" si="322"/>
        <v>0</v>
      </c>
      <c r="AO228" s="418">
        <f t="shared" si="323"/>
        <v>-37136</v>
      </c>
      <c r="AP228" s="418">
        <f t="shared" si="324"/>
        <v>0</v>
      </c>
      <c r="AQ228" s="418">
        <f t="shared" si="325"/>
        <v>-37136</v>
      </c>
      <c r="AR228" s="68">
        <f t="shared" si="326"/>
        <v>-12552</v>
      </c>
      <c r="AS228" s="68">
        <f t="shared" si="327"/>
        <v>-371</v>
      </c>
      <c r="AT228" s="418">
        <v>0</v>
      </c>
      <c r="AU228" s="418">
        <v>0</v>
      </c>
      <c r="AV228" s="418">
        <f t="shared" si="328"/>
        <v>0</v>
      </c>
      <c r="AW228" s="418">
        <f t="shared" si="329"/>
        <v>-50059</v>
      </c>
      <c r="AX228" s="419">
        <v>0</v>
      </c>
      <c r="AY228" s="419">
        <v>0</v>
      </c>
      <c r="AZ228" s="419">
        <v>-0.08</v>
      </c>
      <c r="BA228" s="419">
        <v>0</v>
      </c>
      <c r="BB228" s="419">
        <v>0</v>
      </c>
      <c r="BC228" s="419">
        <v>0</v>
      </c>
      <c r="BD228" s="419">
        <v>0</v>
      </c>
      <c r="BE228" s="419">
        <v>0</v>
      </c>
      <c r="BF228" s="419">
        <f t="shared" si="330"/>
        <v>-0.08</v>
      </c>
      <c r="BG228" s="419">
        <f t="shared" si="331"/>
        <v>0</v>
      </c>
      <c r="BH228" s="421">
        <f t="shared" si="332"/>
        <v>-0.08</v>
      </c>
      <c r="BI228" s="780">
        <f>I228+AW228</f>
        <v>4285902</v>
      </c>
      <c r="BJ228" s="418">
        <f>J228+AF228</f>
        <v>3179452</v>
      </c>
      <c r="BK228" s="418">
        <f t="shared" si="360"/>
        <v>3179452</v>
      </c>
      <c r="BL228" s="418">
        <f t="shared" si="360"/>
        <v>0</v>
      </c>
      <c r="BM228" s="418">
        <f>M228+AN228</f>
        <v>0</v>
      </c>
      <c r="BN228" s="418">
        <f t="shared" si="361"/>
        <v>0</v>
      </c>
      <c r="BO228" s="418">
        <f t="shared" si="361"/>
        <v>0</v>
      </c>
      <c r="BP228" s="418">
        <f t="shared" si="362"/>
        <v>1074655</v>
      </c>
      <c r="BQ228" s="418">
        <f t="shared" si="362"/>
        <v>31795</v>
      </c>
      <c r="BR228" s="418">
        <f>R228+AV228</f>
        <v>0</v>
      </c>
      <c r="BS228" s="419">
        <f>S228+BH228</f>
        <v>8.19</v>
      </c>
      <c r="BT228" s="419">
        <f t="shared" si="363"/>
        <v>8.19</v>
      </c>
      <c r="BU228" s="421">
        <f t="shared" si="363"/>
        <v>0</v>
      </c>
      <c r="BV228" s="420"/>
      <c r="BW228" s="415"/>
      <c r="BX228" s="415"/>
      <c r="BY228" s="415"/>
      <c r="BZ228" s="415"/>
      <c r="CA228" s="510"/>
    </row>
    <row r="229" spans="1:79" ht="14.1" customHeight="1" x14ac:dyDescent="0.2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629</v>
      </c>
      <c r="F229" s="66">
        <v>3141</v>
      </c>
      <c r="G229" s="65" t="s">
        <v>294</v>
      </c>
      <c r="H229" s="67" t="s">
        <v>272</v>
      </c>
      <c r="I229" s="420">
        <v>195622</v>
      </c>
      <c r="J229" s="415">
        <v>144497</v>
      </c>
      <c r="K229" s="415">
        <v>0</v>
      </c>
      <c r="L229" s="750">
        <v>144497</v>
      </c>
      <c r="M229" s="415">
        <v>0</v>
      </c>
      <c r="N229" s="204">
        <v>0</v>
      </c>
      <c r="O229" s="204">
        <v>0</v>
      </c>
      <c r="P229" s="599">
        <v>48840</v>
      </c>
      <c r="Q229" s="599">
        <v>1445</v>
      </c>
      <c r="R229" s="605">
        <v>840</v>
      </c>
      <c r="S229" s="416">
        <v>0.43330000000000002</v>
      </c>
      <c r="T229" s="607">
        <v>0</v>
      </c>
      <c r="U229" s="737">
        <v>0.43330000000000002</v>
      </c>
      <c r="V229" s="424">
        <f t="shared" si="317"/>
        <v>0</v>
      </c>
      <c r="W229" s="418">
        <f t="shared" si="318"/>
        <v>0</v>
      </c>
      <c r="X229" s="418">
        <v>0</v>
      </c>
      <c r="Y229" s="418">
        <v>0</v>
      </c>
      <c r="Z229" s="418">
        <v>0</v>
      </c>
      <c r="AA229" s="418">
        <v>72651</v>
      </c>
      <c r="AB229" s="418">
        <v>0</v>
      </c>
      <c r="AC229" s="418">
        <v>0</v>
      </c>
      <c r="AD229" s="418">
        <f>V229+X229+Y229+Z229+AB229</f>
        <v>0</v>
      </c>
      <c r="AE229" s="418">
        <f>W229+AA229+AC229</f>
        <v>72651</v>
      </c>
      <c r="AF229" s="418">
        <f t="shared" si="319"/>
        <v>72651</v>
      </c>
      <c r="AG229" s="418">
        <v>0</v>
      </c>
      <c r="AH229" s="418">
        <v>0</v>
      </c>
      <c r="AI229" s="418">
        <v>0</v>
      </c>
      <c r="AJ229" s="418">
        <v>0</v>
      </c>
      <c r="AK229" s="418">
        <v>0</v>
      </c>
      <c r="AL229" s="418">
        <f t="shared" si="320"/>
        <v>0</v>
      </c>
      <c r="AM229" s="418">
        <f t="shared" si="321"/>
        <v>0</v>
      </c>
      <c r="AN229" s="418">
        <f t="shared" si="322"/>
        <v>0</v>
      </c>
      <c r="AO229" s="418">
        <f t="shared" si="323"/>
        <v>0</v>
      </c>
      <c r="AP229" s="418">
        <f t="shared" si="324"/>
        <v>72651</v>
      </c>
      <c r="AQ229" s="418">
        <f t="shared" si="325"/>
        <v>72651</v>
      </c>
      <c r="AR229" s="68">
        <f t="shared" si="326"/>
        <v>24556</v>
      </c>
      <c r="AS229" s="68">
        <f t="shared" si="327"/>
        <v>727</v>
      </c>
      <c r="AT229" s="418">
        <v>0</v>
      </c>
      <c r="AU229" s="418">
        <v>408</v>
      </c>
      <c r="AV229" s="418">
        <f t="shared" si="328"/>
        <v>408</v>
      </c>
      <c r="AW229" s="418">
        <f t="shared" si="329"/>
        <v>98342</v>
      </c>
      <c r="AX229" s="419">
        <v>0</v>
      </c>
      <c r="AY229" s="419">
        <v>0</v>
      </c>
      <c r="AZ229" s="419">
        <v>0</v>
      </c>
      <c r="BA229" s="419">
        <v>0</v>
      </c>
      <c r="BB229" s="419">
        <v>0.22</v>
      </c>
      <c r="BC229" s="419">
        <v>0</v>
      </c>
      <c r="BD229" s="419">
        <v>0</v>
      </c>
      <c r="BE229" s="419">
        <v>0</v>
      </c>
      <c r="BF229" s="419">
        <f t="shared" si="330"/>
        <v>0</v>
      </c>
      <c r="BG229" s="419">
        <f t="shared" si="331"/>
        <v>0.22</v>
      </c>
      <c r="BH229" s="421">
        <f t="shared" si="332"/>
        <v>0.22</v>
      </c>
      <c r="BI229" s="780">
        <f>I229+AW229</f>
        <v>293964</v>
      </c>
      <c r="BJ229" s="418">
        <f>J229+AF229</f>
        <v>217148</v>
      </c>
      <c r="BK229" s="418">
        <f t="shared" si="360"/>
        <v>0</v>
      </c>
      <c r="BL229" s="418">
        <f t="shared" si="360"/>
        <v>217148</v>
      </c>
      <c r="BM229" s="418">
        <f>M229+AN229</f>
        <v>0</v>
      </c>
      <c r="BN229" s="418">
        <f t="shared" si="361"/>
        <v>0</v>
      </c>
      <c r="BO229" s="418">
        <f t="shared" si="361"/>
        <v>0</v>
      </c>
      <c r="BP229" s="418">
        <f t="shared" si="362"/>
        <v>73396</v>
      </c>
      <c r="BQ229" s="418">
        <f t="shared" si="362"/>
        <v>2172</v>
      </c>
      <c r="BR229" s="418">
        <f>R229+AV229</f>
        <v>1248</v>
      </c>
      <c r="BS229" s="419">
        <f>S229+BH229</f>
        <v>0.65329999999999999</v>
      </c>
      <c r="BT229" s="419">
        <f t="shared" si="363"/>
        <v>0</v>
      </c>
      <c r="BU229" s="421">
        <f t="shared" si="363"/>
        <v>0.65329999999999999</v>
      </c>
      <c r="BV229" s="420"/>
      <c r="BW229" s="415"/>
      <c r="BX229" s="415"/>
      <c r="BY229" s="415"/>
      <c r="BZ229" s="415"/>
      <c r="CA229" s="510"/>
    </row>
    <row r="230" spans="1:79" ht="14.1" customHeight="1" x14ac:dyDescent="0.2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629</v>
      </c>
      <c r="F230" s="66">
        <v>3143</v>
      </c>
      <c r="G230" s="77" t="s">
        <v>595</v>
      </c>
      <c r="H230" s="67" t="s">
        <v>271</v>
      </c>
      <c r="I230" s="420">
        <v>2476147</v>
      </c>
      <c r="J230" s="415">
        <v>1831942</v>
      </c>
      <c r="K230" s="415">
        <v>1831942</v>
      </c>
      <c r="L230" s="415">
        <v>0</v>
      </c>
      <c r="M230" s="415">
        <v>5000</v>
      </c>
      <c r="N230" s="415">
        <v>5000</v>
      </c>
      <c r="O230" s="415">
        <v>0</v>
      </c>
      <c r="P230" s="599">
        <v>620886</v>
      </c>
      <c r="Q230" s="599">
        <v>18319</v>
      </c>
      <c r="R230" s="415">
        <v>0</v>
      </c>
      <c r="S230" s="416">
        <v>3.5811999999999999</v>
      </c>
      <c r="T230" s="416">
        <v>3.5811999999999999</v>
      </c>
      <c r="U230" s="423">
        <v>0</v>
      </c>
      <c r="V230" s="424">
        <f t="shared" si="317"/>
        <v>0</v>
      </c>
      <c r="W230" s="418">
        <f t="shared" si="318"/>
        <v>0</v>
      </c>
      <c r="X230" s="418">
        <v>0</v>
      </c>
      <c r="Y230" s="418">
        <v>0</v>
      </c>
      <c r="Z230" s="418">
        <v>0</v>
      </c>
      <c r="AA230" s="418">
        <v>0</v>
      </c>
      <c r="AB230" s="418">
        <v>0</v>
      </c>
      <c r="AC230" s="418">
        <v>0</v>
      </c>
      <c r="AD230" s="418">
        <f>V230+X230+Y230+Z230+AB230</f>
        <v>0</v>
      </c>
      <c r="AE230" s="418">
        <f>W230+AA230+AC230</f>
        <v>0</v>
      </c>
      <c r="AF230" s="418">
        <f t="shared" si="319"/>
        <v>0</v>
      </c>
      <c r="AG230" s="418">
        <v>0</v>
      </c>
      <c r="AH230" s="418">
        <v>0</v>
      </c>
      <c r="AI230" s="418">
        <v>0</v>
      </c>
      <c r="AJ230" s="418">
        <v>0</v>
      </c>
      <c r="AK230" s="418">
        <v>0</v>
      </c>
      <c r="AL230" s="418">
        <f t="shared" si="320"/>
        <v>0</v>
      </c>
      <c r="AM230" s="418">
        <f t="shared" si="321"/>
        <v>0</v>
      </c>
      <c r="AN230" s="418">
        <f t="shared" si="322"/>
        <v>0</v>
      </c>
      <c r="AO230" s="418">
        <f t="shared" si="323"/>
        <v>0</v>
      </c>
      <c r="AP230" s="418">
        <f t="shared" si="324"/>
        <v>0</v>
      </c>
      <c r="AQ230" s="418">
        <f t="shared" si="325"/>
        <v>0</v>
      </c>
      <c r="AR230" s="68">
        <f t="shared" si="326"/>
        <v>0</v>
      </c>
      <c r="AS230" s="68">
        <f t="shared" si="327"/>
        <v>0</v>
      </c>
      <c r="AT230" s="418">
        <v>0</v>
      </c>
      <c r="AU230" s="418">
        <v>0</v>
      </c>
      <c r="AV230" s="418">
        <f t="shared" si="328"/>
        <v>0</v>
      </c>
      <c r="AW230" s="418">
        <f t="shared" si="329"/>
        <v>0</v>
      </c>
      <c r="AX230" s="419">
        <v>0</v>
      </c>
      <c r="AY230" s="419">
        <v>0</v>
      </c>
      <c r="AZ230" s="419">
        <v>0</v>
      </c>
      <c r="BA230" s="419">
        <v>0</v>
      </c>
      <c r="BB230" s="419">
        <v>0</v>
      </c>
      <c r="BC230" s="419">
        <v>0</v>
      </c>
      <c r="BD230" s="419">
        <v>0</v>
      </c>
      <c r="BE230" s="419">
        <v>0</v>
      </c>
      <c r="BF230" s="419">
        <f t="shared" si="330"/>
        <v>0</v>
      </c>
      <c r="BG230" s="419">
        <f t="shared" si="331"/>
        <v>0</v>
      </c>
      <c r="BH230" s="421">
        <f t="shared" si="332"/>
        <v>0</v>
      </c>
      <c r="BI230" s="780">
        <f>I230+AW230</f>
        <v>2476147</v>
      </c>
      <c r="BJ230" s="418">
        <f>J230+AF230</f>
        <v>1831942</v>
      </c>
      <c r="BK230" s="418">
        <f t="shared" si="360"/>
        <v>1831942</v>
      </c>
      <c r="BL230" s="418">
        <f t="shared" si="360"/>
        <v>0</v>
      </c>
      <c r="BM230" s="418">
        <f>M230+AN230</f>
        <v>5000</v>
      </c>
      <c r="BN230" s="418">
        <f t="shared" si="361"/>
        <v>5000</v>
      </c>
      <c r="BO230" s="418">
        <f t="shared" si="361"/>
        <v>0</v>
      </c>
      <c r="BP230" s="418">
        <f t="shared" si="362"/>
        <v>620886</v>
      </c>
      <c r="BQ230" s="418">
        <f t="shared" si="362"/>
        <v>18319</v>
      </c>
      <c r="BR230" s="418">
        <f>R230+AV230</f>
        <v>0</v>
      </c>
      <c r="BS230" s="419">
        <f>S230+BH230</f>
        <v>3.5811999999999999</v>
      </c>
      <c r="BT230" s="419">
        <f t="shared" si="363"/>
        <v>3.5811999999999999</v>
      </c>
      <c r="BU230" s="421">
        <f t="shared" si="363"/>
        <v>0</v>
      </c>
      <c r="BV230" s="420"/>
      <c r="BW230" s="415"/>
      <c r="BX230" s="415"/>
      <c r="BY230" s="415"/>
      <c r="BZ230" s="415"/>
      <c r="CA230" s="510"/>
    </row>
    <row r="231" spans="1:79" ht="14.1" customHeight="1" x14ac:dyDescent="0.2">
      <c r="A231" s="66">
        <v>47</v>
      </c>
      <c r="B231" s="63">
        <v>2472</v>
      </c>
      <c r="C231" s="64">
        <v>600080277</v>
      </c>
      <c r="D231" s="63">
        <v>72743131</v>
      </c>
      <c r="E231" s="65" t="s">
        <v>629</v>
      </c>
      <c r="F231" s="66">
        <v>3143</v>
      </c>
      <c r="G231" s="77" t="s">
        <v>596</v>
      </c>
      <c r="H231" s="67" t="s">
        <v>272</v>
      </c>
      <c r="I231" s="420">
        <v>39464</v>
      </c>
      <c r="J231" s="415">
        <v>28248</v>
      </c>
      <c r="K231" s="415">
        <v>0</v>
      </c>
      <c r="L231" s="605">
        <v>28248</v>
      </c>
      <c r="M231" s="415">
        <v>0</v>
      </c>
      <c r="N231" s="415">
        <v>0</v>
      </c>
      <c r="O231" s="415">
        <v>0</v>
      </c>
      <c r="P231" s="599">
        <v>9548</v>
      </c>
      <c r="Q231" s="599">
        <v>282</v>
      </c>
      <c r="R231" s="605">
        <v>1386</v>
      </c>
      <c r="S231" s="416">
        <v>0.10699999999999998</v>
      </c>
      <c r="T231" s="607">
        <v>0</v>
      </c>
      <c r="U231" s="737">
        <v>0.10699999999999998</v>
      </c>
      <c r="V231" s="424">
        <f t="shared" si="317"/>
        <v>0</v>
      </c>
      <c r="W231" s="418">
        <f t="shared" si="318"/>
        <v>0</v>
      </c>
      <c r="X231" s="418">
        <v>0</v>
      </c>
      <c r="Y231" s="418">
        <v>0</v>
      </c>
      <c r="Z231" s="418">
        <v>0</v>
      </c>
      <c r="AA231" s="418">
        <v>14102</v>
      </c>
      <c r="AB231" s="418">
        <v>0</v>
      </c>
      <c r="AC231" s="418">
        <v>0</v>
      </c>
      <c r="AD231" s="418">
        <f>V231+X231+Y231+Z231+AB231</f>
        <v>0</v>
      </c>
      <c r="AE231" s="418">
        <f>W231+AA231+AC231</f>
        <v>14102</v>
      </c>
      <c r="AF231" s="418">
        <f t="shared" si="319"/>
        <v>14102</v>
      </c>
      <c r="AG231" s="418">
        <v>0</v>
      </c>
      <c r="AH231" s="418">
        <v>0</v>
      </c>
      <c r="AI231" s="418">
        <v>0</v>
      </c>
      <c r="AJ231" s="418">
        <v>0</v>
      </c>
      <c r="AK231" s="418">
        <v>0</v>
      </c>
      <c r="AL231" s="418">
        <f t="shared" si="320"/>
        <v>0</v>
      </c>
      <c r="AM231" s="418">
        <f t="shared" si="321"/>
        <v>0</v>
      </c>
      <c r="AN231" s="418">
        <f t="shared" si="322"/>
        <v>0</v>
      </c>
      <c r="AO231" s="418">
        <f t="shared" si="323"/>
        <v>0</v>
      </c>
      <c r="AP231" s="418">
        <f t="shared" si="324"/>
        <v>14102</v>
      </c>
      <c r="AQ231" s="418">
        <f t="shared" si="325"/>
        <v>14102</v>
      </c>
      <c r="AR231" s="68">
        <f t="shared" si="326"/>
        <v>4766</v>
      </c>
      <c r="AS231" s="68">
        <f t="shared" si="327"/>
        <v>141</v>
      </c>
      <c r="AT231" s="418">
        <v>0</v>
      </c>
      <c r="AU231" s="418">
        <v>693</v>
      </c>
      <c r="AV231" s="418">
        <f t="shared" si="328"/>
        <v>693</v>
      </c>
      <c r="AW231" s="418">
        <f t="shared" si="329"/>
        <v>19702</v>
      </c>
      <c r="AX231" s="419">
        <v>0</v>
      </c>
      <c r="AY231" s="419">
        <v>0</v>
      </c>
      <c r="AZ231" s="419">
        <v>0</v>
      </c>
      <c r="BA231" s="419">
        <v>0</v>
      </c>
      <c r="BB231" s="419">
        <v>0.05</v>
      </c>
      <c r="BC231" s="419">
        <v>0</v>
      </c>
      <c r="BD231" s="419">
        <v>0</v>
      </c>
      <c r="BE231" s="419">
        <v>0</v>
      </c>
      <c r="BF231" s="419">
        <f t="shared" si="330"/>
        <v>0</v>
      </c>
      <c r="BG231" s="419">
        <f t="shared" si="331"/>
        <v>0.05</v>
      </c>
      <c r="BH231" s="421">
        <f t="shared" si="332"/>
        <v>0.05</v>
      </c>
      <c r="BI231" s="780">
        <f>I231+AW231</f>
        <v>59166</v>
      </c>
      <c r="BJ231" s="418">
        <f>J231+AF231</f>
        <v>42350</v>
      </c>
      <c r="BK231" s="418">
        <f t="shared" si="360"/>
        <v>0</v>
      </c>
      <c r="BL231" s="418">
        <f t="shared" si="360"/>
        <v>42350</v>
      </c>
      <c r="BM231" s="418">
        <f>M231+AN231</f>
        <v>0</v>
      </c>
      <c r="BN231" s="418">
        <f t="shared" si="361"/>
        <v>0</v>
      </c>
      <c r="BO231" s="418">
        <f t="shared" si="361"/>
        <v>0</v>
      </c>
      <c r="BP231" s="418">
        <f t="shared" si="362"/>
        <v>14314</v>
      </c>
      <c r="BQ231" s="418">
        <f t="shared" si="362"/>
        <v>423</v>
      </c>
      <c r="BR231" s="418">
        <f>R231+AV231</f>
        <v>2079</v>
      </c>
      <c r="BS231" s="419">
        <f>S231+BH231</f>
        <v>0.15699999999999997</v>
      </c>
      <c r="BT231" s="419">
        <f t="shared" si="363"/>
        <v>0</v>
      </c>
      <c r="BU231" s="421">
        <f t="shared" si="363"/>
        <v>0.15699999999999997</v>
      </c>
      <c r="BV231" s="420"/>
      <c r="BW231" s="415"/>
      <c r="BX231" s="415"/>
      <c r="BY231" s="415"/>
      <c r="BZ231" s="415"/>
      <c r="CA231" s="510"/>
    </row>
    <row r="232" spans="1:79" ht="14.1" customHeight="1" x14ac:dyDescent="0.2">
      <c r="A232" s="72">
        <v>47</v>
      </c>
      <c r="B232" s="69">
        <v>2472</v>
      </c>
      <c r="C232" s="70">
        <v>600080277</v>
      </c>
      <c r="D232" s="69">
        <v>72743131</v>
      </c>
      <c r="E232" s="71" t="s">
        <v>630</v>
      </c>
      <c r="F232" s="72"/>
      <c r="G232" s="71"/>
      <c r="H232" s="73"/>
      <c r="I232" s="517">
        <v>34667500</v>
      </c>
      <c r="J232" s="74">
        <v>25421872</v>
      </c>
      <c r="K232" s="74">
        <v>23687340</v>
      </c>
      <c r="L232" s="74">
        <v>1734532</v>
      </c>
      <c r="M232" s="74">
        <v>80000</v>
      </c>
      <c r="N232" s="74">
        <v>65000</v>
      </c>
      <c r="O232" s="74">
        <v>15000</v>
      </c>
      <c r="P232" s="74">
        <v>8619633</v>
      </c>
      <c r="Q232" s="74">
        <v>254219</v>
      </c>
      <c r="R232" s="74">
        <v>291776</v>
      </c>
      <c r="S232" s="75">
        <v>43.928400000000003</v>
      </c>
      <c r="T232" s="75">
        <v>38.654800000000002</v>
      </c>
      <c r="U232" s="658">
        <v>5.273600000000001</v>
      </c>
      <c r="V232" s="517">
        <f t="shared" ref="V232:BU232" si="364">SUM(V227:V231)</f>
        <v>0</v>
      </c>
      <c r="W232" s="74">
        <f t="shared" si="364"/>
        <v>0</v>
      </c>
      <c r="X232" s="74">
        <f t="shared" si="364"/>
        <v>-37136</v>
      </c>
      <c r="Y232" s="74">
        <f t="shared" si="364"/>
        <v>0</v>
      </c>
      <c r="Z232" s="74">
        <f t="shared" si="364"/>
        <v>0</v>
      </c>
      <c r="AA232" s="74">
        <f t="shared" si="364"/>
        <v>86753</v>
      </c>
      <c r="AB232" s="74">
        <f t="shared" si="364"/>
        <v>0</v>
      </c>
      <c r="AC232" s="74">
        <f t="shared" si="364"/>
        <v>0</v>
      </c>
      <c r="AD232" s="74">
        <f t="shared" si="364"/>
        <v>-37136</v>
      </c>
      <c r="AE232" s="74">
        <f t="shared" si="364"/>
        <v>86753</v>
      </c>
      <c r="AF232" s="74">
        <f t="shared" si="364"/>
        <v>49617</v>
      </c>
      <c r="AG232" s="74">
        <f t="shared" si="364"/>
        <v>0</v>
      </c>
      <c r="AH232" s="74">
        <f t="shared" si="364"/>
        <v>0</v>
      </c>
      <c r="AI232" s="74">
        <f t="shared" si="364"/>
        <v>0</v>
      </c>
      <c r="AJ232" s="74">
        <f t="shared" si="364"/>
        <v>0</v>
      </c>
      <c r="AK232" s="74">
        <f t="shared" si="364"/>
        <v>0</v>
      </c>
      <c r="AL232" s="74">
        <f t="shared" si="364"/>
        <v>0</v>
      </c>
      <c r="AM232" s="74">
        <f t="shared" si="364"/>
        <v>0</v>
      </c>
      <c r="AN232" s="74">
        <f t="shared" si="364"/>
        <v>0</v>
      </c>
      <c r="AO232" s="74">
        <f t="shared" si="364"/>
        <v>-37136</v>
      </c>
      <c r="AP232" s="74">
        <f t="shared" si="364"/>
        <v>86753</v>
      </c>
      <c r="AQ232" s="74">
        <f t="shared" si="364"/>
        <v>49617</v>
      </c>
      <c r="AR232" s="74">
        <f t="shared" si="364"/>
        <v>16770</v>
      </c>
      <c r="AS232" s="74">
        <f t="shared" si="364"/>
        <v>497</v>
      </c>
      <c r="AT232" s="74">
        <f t="shared" si="364"/>
        <v>0</v>
      </c>
      <c r="AU232" s="74">
        <f t="shared" si="364"/>
        <v>1101</v>
      </c>
      <c r="AV232" s="74">
        <f t="shared" si="364"/>
        <v>1101</v>
      </c>
      <c r="AW232" s="74">
        <f t="shared" si="364"/>
        <v>67985</v>
      </c>
      <c r="AX232" s="75">
        <f t="shared" si="364"/>
        <v>0</v>
      </c>
      <c r="AY232" s="75">
        <f t="shared" si="364"/>
        <v>0</v>
      </c>
      <c r="AZ232" s="75">
        <f t="shared" si="364"/>
        <v>-0.08</v>
      </c>
      <c r="BA232" s="75">
        <f t="shared" si="364"/>
        <v>0</v>
      </c>
      <c r="BB232" s="75">
        <f t="shared" si="364"/>
        <v>0.27</v>
      </c>
      <c r="BC232" s="75">
        <f t="shared" si="364"/>
        <v>0</v>
      </c>
      <c r="BD232" s="75">
        <f t="shared" si="364"/>
        <v>0</v>
      </c>
      <c r="BE232" s="75">
        <f t="shared" si="364"/>
        <v>0</v>
      </c>
      <c r="BF232" s="75">
        <f t="shared" si="364"/>
        <v>-0.08</v>
      </c>
      <c r="BG232" s="75">
        <f t="shared" si="364"/>
        <v>0.27</v>
      </c>
      <c r="BH232" s="76">
        <f t="shared" si="364"/>
        <v>0.19</v>
      </c>
      <c r="BI232" s="799">
        <f t="shared" si="364"/>
        <v>34735485</v>
      </c>
      <c r="BJ232" s="74">
        <f t="shared" si="364"/>
        <v>25471489</v>
      </c>
      <c r="BK232" s="74">
        <f t="shared" si="364"/>
        <v>23650204</v>
      </c>
      <c r="BL232" s="74">
        <f t="shared" si="364"/>
        <v>1821285</v>
      </c>
      <c r="BM232" s="74">
        <f t="shared" si="364"/>
        <v>80000</v>
      </c>
      <c r="BN232" s="74">
        <f t="shared" si="364"/>
        <v>65000</v>
      </c>
      <c r="BO232" s="74">
        <f t="shared" si="364"/>
        <v>15000</v>
      </c>
      <c r="BP232" s="74">
        <f t="shared" si="364"/>
        <v>8636403</v>
      </c>
      <c r="BQ232" s="74">
        <f t="shared" si="364"/>
        <v>254716</v>
      </c>
      <c r="BR232" s="74">
        <f t="shared" si="364"/>
        <v>292877</v>
      </c>
      <c r="BS232" s="75">
        <f t="shared" si="364"/>
        <v>44.118400000000001</v>
      </c>
      <c r="BT232" s="75">
        <f t="shared" si="364"/>
        <v>38.574800000000003</v>
      </c>
      <c r="BU232" s="76">
        <f t="shared" si="364"/>
        <v>5.5436000000000005</v>
      </c>
      <c r="BV232" s="809">
        <f t="shared" ref="BV232:CA232" si="365">SUM(BV227:BV231)</f>
        <v>380136</v>
      </c>
      <c r="BW232" s="684">
        <f t="shared" si="365"/>
        <v>282000</v>
      </c>
      <c r="BX232" s="684">
        <f t="shared" si="365"/>
        <v>0</v>
      </c>
      <c r="BY232" s="684">
        <f t="shared" si="365"/>
        <v>95316</v>
      </c>
      <c r="BZ232" s="684">
        <f t="shared" si="365"/>
        <v>2820</v>
      </c>
      <c r="CA232" s="810">
        <f t="shared" si="365"/>
        <v>0.5</v>
      </c>
    </row>
    <row r="233" spans="1:79" ht="14.1" customHeight="1" x14ac:dyDescent="0.2">
      <c r="A233" s="66">
        <v>48</v>
      </c>
      <c r="B233" s="63">
        <v>2489</v>
      </c>
      <c r="C233" s="64">
        <v>600080188</v>
      </c>
      <c r="D233" s="63">
        <v>64040402</v>
      </c>
      <c r="E233" s="65" t="s">
        <v>631</v>
      </c>
      <c r="F233" s="66">
        <v>3113</v>
      </c>
      <c r="G233" s="65" t="s">
        <v>293</v>
      </c>
      <c r="H233" s="67" t="s">
        <v>271</v>
      </c>
      <c r="I233" s="420">
        <v>34857574</v>
      </c>
      <c r="J233" s="415">
        <v>25418396</v>
      </c>
      <c r="K233" s="415">
        <v>23763824</v>
      </c>
      <c r="L233" s="415">
        <v>1654572</v>
      </c>
      <c r="M233" s="415">
        <v>75000</v>
      </c>
      <c r="N233" s="415">
        <v>35000</v>
      </c>
      <c r="O233" s="415">
        <v>40000</v>
      </c>
      <c r="P233" s="599">
        <v>8616768</v>
      </c>
      <c r="Q233" s="599">
        <v>254184</v>
      </c>
      <c r="R233" s="415">
        <v>493226</v>
      </c>
      <c r="S233" s="416">
        <v>37.455599999999997</v>
      </c>
      <c r="T233" s="416">
        <v>32.408899999999996</v>
      </c>
      <c r="U233" s="423">
        <v>5.0467000000000004</v>
      </c>
      <c r="V233" s="424">
        <f t="shared" si="317"/>
        <v>0</v>
      </c>
      <c r="W233" s="418">
        <f t="shared" si="318"/>
        <v>0</v>
      </c>
      <c r="X233" s="418">
        <v>0</v>
      </c>
      <c r="Y233" s="418">
        <v>0</v>
      </c>
      <c r="Z233" s="418">
        <v>0</v>
      </c>
      <c r="AA233" s="418">
        <v>0</v>
      </c>
      <c r="AB233" s="418">
        <v>0</v>
      </c>
      <c r="AC233" s="418">
        <v>0</v>
      </c>
      <c r="AD233" s="418">
        <f>V233+X233+Y233+Z233+AB233</f>
        <v>0</v>
      </c>
      <c r="AE233" s="418">
        <f>W233+AA233+AC233</f>
        <v>0</v>
      </c>
      <c r="AF233" s="418">
        <f t="shared" si="319"/>
        <v>0</v>
      </c>
      <c r="AG233" s="418">
        <v>0</v>
      </c>
      <c r="AH233" s="418">
        <v>0</v>
      </c>
      <c r="AI233" s="418">
        <v>0</v>
      </c>
      <c r="AJ233" s="418">
        <v>0</v>
      </c>
      <c r="AK233" s="418">
        <v>0</v>
      </c>
      <c r="AL233" s="418">
        <f t="shared" si="320"/>
        <v>0</v>
      </c>
      <c r="AM233" s="418">
        <f t="shared" si="321"/>
        <v>0</v>
      </c>
      <c r="AN233" s="418">
        <f t="shared" si="322"/>
        <v>0</v>
      </c>
      <c r="AO233" s="418">
        <f t="shared" si="323"/>
        <v>0</v>
      </c>
      <c r="AP233" s="418">
        <f t="shared" si="324"/>
        <v>0</v>
      </c>
      <c r="AQ233" s="418">
        <f t="shared" si="325"/>
        <v>0</v>
      </c>
      <c r="AR233" s="68">
        <f t="shared" si="326"/>
        <v>0</v>
      </c>
      <c r="AS233" s="68">
        <f t="shared" si="327"/>
        <v>0</v>
      </c>
      <c r="AT233" s="418">
        <v>0</v>
      </c>
      <c r="AU233" s="418">
        <v>0</v>
      </c>
      <c r="AV233" s="418">
        <f t="shared" si="328"/>
        <v>0</v>
      </c>
      <c r="AW233" s="418">
        <f t="shared" si="329"/>
        <v>0</v>
      </c>
      <c r="AX233" s="419">
        <v>0</v>
      </c>
      <c r="AY233" s="419">
        <v>0</v>
      </c>
      <c r="AZ233" s="419">
        <v>0</v>
      </c>
      <c r="BA233" s="419">
        <v>0</v>
      </c>
      <c r="BB233" s="419">
        <v>0</v>
      </c>
      <c r="BC233" s="419">
        <v>0</v>
      </c>
      <c r="BD233" s="419">
        <v>0</v>
      </c>
      <c r="BE233" s="419">
        <v>0</v>
      </c>
      <c r="BF233" s="419">
        <f t="shared" si="330"/>
        <v>0</v>
      </c>
      <c r="BG233" s="419">
        <f t="shared" si="331"/>
        <v>0</v>
      </c>
      <c r="BH233" s="421">
        <f t="shared" si="332"/>
        <v>0</v>
      </c>
      <c r="BI233" s="780">
        <f>I233+AW233</f>
        <v>34857574</v>
      </c>
      <c r="BJ233" s="418">
        <f>J233+AF233</f>
        <v>25418396</v>
      </c>
      <c r="BK233" s="418">
        <f t="shared" ref="BK233:BL237" si="366">K233+AD233</f>
        <v>23763824</v>
      </c>
      <c r="BL233" s="418">
        <f t="shared" si="366"/>
        <v>1654572</v>
      </c>
      <c r="BM233" s="418">
        <f>M233+AN233</f>
        <v>75000</v>
      </c>
      <c r="BN233" s="418">
        <f t="shared" ref="BN233:BO237" si="367">N233+AL233</f>
        <v>35000</v>
      </c>
      <c r="BO233" s="418">
        <f t="shared" si="367"/>
        <v>40000</v>
      </c>
      <c r="BP233" s="418">
        <f t="shared" ref="BP233:BQ237" si="368">P233+AR233</f>
        <v>8616768</v>
      </c>
      <c r="BQ233" s="418">
        <f t="shared" si="368"/>
        <v>254184</v>
      </c>
      <c r="BR233" s="418">
        <f>R233+AV233</f>
        <v>493226</v>
      </c>
      <c r="BS233" s="419">
        <f>S233+BH233</f>
        <v>37.455599999999997</v>
      </c>
      <c r="BT233" s="419">
        <f t="shared" ref="BT233:BU237" si="369">T233+BF233</f>
        <v>32.408899999999996</v>
      </c>
      <c r="BU233" s="421">
        <f t="shared" si="369"/>
        <v>5.0467000000000004</v>
      </c>
      <c r="BV233" s="420">
        <v>380136</v>
      </c>
      <c r="BW233" s="415">
        <v>282000</v>
      </c>
      <c r="BX233" s="415">
        <v>0</v>
      </c>
      <c r="BY233" s="415">
        <v>95316</v>
      </c>
      <c r="BZ233" s="415">
        <v>2820</v>
      </c>
      <c r="CA233" s="510">
        <v>0.5</v>
      </c>
    </row>
    <row r="234" spans="1:79" ht="14.1" customHeight="1" x14ac:dyDescent="0.2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631</v>
      </c>
      <c r="F234" s="66">
        <v>3113</v>
      </c>
      <c r="G234" s="77" t="s">
        <v>291</v>
      </c>
      <c r="H234" s="67" t="s">
        <v>272</v>
      </c>
      <c r="I234" s="420">
        <v>3083588</v>
      </c>
      <c r="J234" s="415">
        <v>2282706</v>
      </c>
      <c r="K234" s="415">
        <v>2282706</v>
      </c>
      <c r="L234" s="415">
        <v>0</v>
      </c>
      <c r="M234" s="415">
        <v>0</v>
      </c>
      <c r="N234" s="415">
        <v>0</v>
      </c>
      <c r="O234" s="415">
        <v>0</v>
      </c>
      <c r="P234" s="599">
        <v>771555</v>
      </c>
      <c r="Q234" s="599">
        <v>22827</v>
      </c>
      <c r="R234" s="415">
        <v>6500</v>
      </c>
      <c r="S234" s="416">
        <v>6.0600000000000005</v>
      </c>
      <c r="T234" s="417">
        <v>6.0600000000000005</v>
      </c>
      <c r="U234" s="423">
        <v>0</v>
      </c>
      <c r="V234" s="424">
        <f t="shared" si="317"/>
        <v>0</v>
      </c>
      <c r="W234" s="418">
        <f t="shared" si="318"/>
        <v>0</v>
      </c>
      <c r="X234" s="418">
        <v>-118453</v>
      </c>
      <c r="Y234" s="418">
        <v>0</v>
      </c>
      <c r="Z234" s="418">
        <v>0</v>
      </c>
      <c r="AA234" s="418">
        <v>0</v>
      </c>
      <c r="AB234" s="418">
        <v>0</v>
      </c>
      <c r="AC234" s="418">
        <v>0</v>
      </c>
      <c r="AD234" s="418">
        <f>V234+X234+Y234+Z234+AB234</f>
        <v>-118453</v>
      </c>
      <c r="AE234" s="418">
        <f>W234+AA234+AC234</f>
        <v>0</v>
      </c>
      <c r="AF234" s="418">
        <f t="shared" si="319"/>
        <v>-118453</v>
      </c>
      <c r="AG234" s="418">
        <v>0</v>
      </c>
      <c r="AH234" s="418">
        <v>0</v>
      </c>
      <c r="AI234" s="418">
        <v>0</v>
      </c>
      <c r="AJ234" s="418">
        <v>0</v>
      </c>
      <c r="AK234" s="418">
        <v>0</v>
      </c>
      <c r="AL234" s="418">
        <f t="shared" si="320"/>
        <v>0</v>
      </c>
      <c r="AM234" s="418">
        <f t="shared" si="321"/>
        <v>0</v>
      </c>
      <c r="AN234" s="418">
        <f t="shared" si="322"/>
        <v>0</v>
      </c>
      <c r="AO234" s="418">
        <f t="shared" si="323"/>
        <v>-118453</v>
      </c>
      <c r="AP234" s="418">
        <f t="shared" si="324"/>
        <v>0</v>
      </c>
      <c r="AQ234" s="418">
        <f t="shared" si="325"/>
        <v>-118453</v>
      </c>
      <c r="AR234" s="68">
        <f t="shared" si="326"/>
        <v>-40037</v>
      </c>
      <c r="AS234" s="68">
        <f t="shared" si="327"/>
        <v>-1185</v>
      </c>
      <c r="AT234" s="418">
        <v>0</v>
      </c>
      <c r="AU234" s="418">
        <v>0</v>
      </c>
      <c r="AV234" s="418">
        <f t="shared" si="328"/>
        <v>0</v>
      </c>
      <c r="AW234" s="418">
        <f t="shared" si="329"/>
        <v>-159675</v>
      </c>
      <c r="AX234" s="419">
        <v>0</v>
      </c>
      <c r="AY234" s="419">
        <v>0</v>
      </c>
      <c r="AZ234" s="419">
        <v>-0.32</v>
      </c>
      <c r="BA234" s="419">
        <v>0</v>
      </c>
      <c r="BB234" s="419">
        <v>0</v>
      </c>
      <c r="BC234" s="419">
        <v>0</v>
      </c>
      <c r="BD234" s="419">
        <v>0</v>
      </c>
      <c r="BE234" s="419">
        <v>0</v>
      </c>
      <c r="BF234" s="419">
        <f t="shared" si="330"/>
        <v>-0.32</v>
      </c>
      <c r="BG234" s="419">
        <f t="shared" si="331"/>
        <v>0</v>
      </c>
      <c r="BH234" s="421">
        <f t="shared" si="332"/>
        <v>-0.32</v>
      </c>
      <c r="BI234" s="780">
        <f>I234+AW234</f>
        <v>2923913</v>
      </c>
      <c r="BJ234" s="418">
        <f>J234+AF234</f>
        <v>2164253</v>
      </c>
      <c r="BK234" s="418">
        <f t="shared" si="366"/>
        <v>2164253</v>
      </c>
      <c r="BL234" s="418">
        <f t="shared" si="366"/>
        <v>0</v>
      </c>
      <c r="BM234" s="418">
        <f>M234+AN234</f>
        <v>0</v>
      </c>
      <c r="BN234" s="418">
        <f t="shared" si="367"/>
        <v>0</v>
      </c>
      <c r="BO234" s="418">
        <f t="shared" si="367"/>
        <v>0</v>
      </c>
      <c r="BP234" s="418">
        <f t="shared" si="368"/>
        <v>731518</v>
      </c>
      <c r="BQ234" s="418">
        <f t="shared" si="368"/>
        <v>21642</v>
      </c>
      <c r="BR234" s="418">
        <f>R234+AV234</f>
        <v>6500</v>
      </c>
      <c r="BS234" s="419">
        <f>S234+BH234</f>
        <v>5.74</v>
      </c>
      <c r="BT234" s="419">
        <f t="shared" si="369"/>
        <v>5.74</v>
      </c>
      <c r="BU234" s="421">
        <f t="shared" si="369"/>
        <v>0</v>
      </c>
      <c r="BV234" s="420"/>
      <c r="BW234" s="415"/>
      <c r="BX234" s="415"/>
      <c r="BY234" s="415"/>
      <c r="BZ234" s="415"/>
      <c r="CA234" s="510"/>
    </row>
    <row r="235" spans="1:79" ht="14.1" customHeight="1" x14ac:dyDescent="0.2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631</v>
      </c>
      <c r="F235" s="66">
        <v>3141</v>
      </c>
      <c r="G235" s="65" t="s">
        <v>294</v>
      </c>
      <c r="H235" s="67" t="s">
        <v>272</v>
      </c>
      <c r="I235" s="420">
        <v>1972902</v>
      </c>
      <c r="J235" s="415">
        <v>1451738</v>
      </c>
      <c r="K235" s="415">
        <v>0</v>
      </c>
      <c r="L235" s="750">
        <v>1451738</v>
      </c>
      <c r="M235" s="415">
        <v>0</v>
      </c>
      <c r="N235" s="204">
        <v>0</v>
      </c>
      <c r="O235" s="204">
        <v>0</v>
      </c>
      <c r="P235" s="599">
        <v>490687</v>
      </c>
      <c r="Q235" s="599">
        <v>14517</v>
      </c>
      <c r="R235" s="605">
        <v>15960</v>
      </c>
      <c r="S235" s="416">
        <v>4.3532999999999999</v>
      </c>
      <c r="T235" s="607">
        <v>0</v>
      </c>
      <c r="U235" s="737">
        <v>4.3532999999999999</v>
      </c>
      <c r="V235" s="424">
        <f t="shared" si="317"/>
        <v>0</v>
      </c>
      <c r="W235" s="418">
        <f t="shared" si="318"/>
        <v>0</v>
      </c>
      <c r="X235" s="418">
        <v>0</v>
      </c>
      <c r="Y235" s="418">
        <v>0</v>
      </c>
      <c r="Z235" s="418">
        <v>0</v>
      </c>
      <c r="AA235" s="418">
        <v>724551</v>
      </c>
      <c r="AB235" s="418">
        <v>0</v>
      </c>
      <c r="AC235" s="418">
        <v>0</v>
      </c>
      <c r="AD235" s="418">
        <f>V235+X235+Y235+Z235+AB235</f>
        <v>0</v>
      </c>
      <c r="AE235" s="418">
        <f>W235+AA235+AC235</f>
        <v>724551</v>
      </c>
      <c r="AF235" s="418">
        <f t="shared" si="319"/>
        <v>724551</v>
      </c>
      <c r="AG235" s="418">
        <v>0</v>
      </c>
      <c r="AH235" s="418">
        <v>0</v>
      </c>
      <c r="AI235" s="418">
        <v>0</v>
      </c>
      <c r="AJ235" s="418">
        <v>0</v>
      </c>
      <c r="AK235" s="418">
        <v>0</v>
      </c>
      <c r="AL235" s="418">
        <f t="shared" si="320"/>
        <v>0</v>
      </c>
      <c r="AM235" s="418">
        <f t="shared" si="321"/>
        <v>0</v>
      </c>
      <c r="AN235" s="418">
        <f t="shared" si="322"/>
        <v>0</v>
      </c>
      <c r="AO235" s="418">
        <f t="shared" si="323"/>
        <v>0</v>
      </c>
      <c r="AP235" s="418">
        <f t="shared" si="324"/>
        <v>724551</v>
      </c>
      <c r="AQ235" s="418">
        <f t="shared" si="325"/>
        <v>724551</v>
      </c>
      <c r="AR235" s="68">
        <f t="shared" si="326"/>
        <v>244898</v>
      </c>
      <c r="AS235" s="68">
        <f t="shared" si="327"/>
        <v>7246</v>
      </c>
      <c r="AT235" s="418">
        <v>0</v>
      </c>
      <c r="AU235" s="418">
        <v>7752</v>
      </c>
      <c r="AV235" s="418">
        <f t="shared" si="328"/>
        <v>7752</v>
      </c>
      <c r="AW235" s="418">
        <f t="shared" si="329"/>
        <v>984447</v>
      </c>
      <c r="AX235" s="419">
        <v>0</v>
      </c>
      <c r="AY235" s="419">
        <v>0</v>
      </c>
      <c r="AZ235" s="419">
        <v>0</v>
      </c>
      <c r="BA235" s="419">
        <v>0</v>
      </c>
      <c r="BB235" s="419">
        <v>2.1800000000000002</v>
      </c>
      <c r="BC235" s="419">
        <v>0</v>
      </c>
      <c r="BD235" s="419">
        <v>0</v>
      </c>
      <c r="BE235" s="419">
        <v>0</v>
      </c>
      <c r="BF235" s="419">
        <f t="shared" si="330"/>
        <v>0</v>
      </c>
      <c r="BG235" s="419">
        <f t="shared" si="331"/>
        <v>2.1800000000000002</v>
      </c>
      <c r="BH235" s="421">
        <f t="shared" si="332"/>
        <v>2.1800000000000002</v>
      </c>
      <c r="BI235" s="780">
        <f>I235+AW235</f>
        <v>2957349</v>
      </c>
      <c r="BJ235" s="418">
        <f>J235+AF235</f>
        <v>2176289</v>
      </c>
      <c r="BK235" s="418">
        <f t="shared" si="366"/>
        <v>0</v>
      </c>
      <c r="BL235" s="418">
        <f t="shared" si="366"/>
        <v>2176289</v>
      </c>
      <c r="BM235" s="418">
        <f>M235+AN235</f>
        <v>0</v>
      </c>
      <c r="BN235" s="418">
        <f t="shared" si="367"/>
        <v>0</v>
      </c>
      <c r="BO235" s="418">
        <f t="shared" si="367"/>
        <v>0</v>
      </c>
      <c r="BP235" s="418">
        <f t="shared" si="368"/>
        <v>735585</v>
      </c>
      <c r="BQ235" s="418">
        <f t="shared" si="368"/>
        <v>21763</v>
      </c>
      <c r="BR235" s="418">
        <f>R235+AV235</f>
        <v>23712</v>
      </c>
      <c r="BS235" s="419">
        <f>S235+BH235</f>
        <v>6.5333000000000006</v>
      </c>
      <c r="BT235" s="419">
        <f t="shared" si="369"/>
        <v>0</v>
      </c>
      <c r="BU235" s="421">
        <f t="shared" si="369"/>
        <v>6.5333000000000006</v>
      </c>
      <c r="BV235" s="420"/>
      <c r="BW235" s="415"/>
      <c r="BX235" s="415"/>
      <c r="BY235" s="415"/>
      <c r="BZ235" s="415"/>
      <c r="CA235" s="510"/>
    </row>
    <row r="236" spans="1:79" ht="14.1" customHeight="1" x14ac:dyDescent="0.2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631</v>
      </c>
      <c r="F236" s="66">
        <v>3143</v>
      </c>
      <c r="G236" s="77" t="s">
        <v>595</v>
      </c>
      <c r="H236" s="67" t="s">
        <v>271</v>
      </c>
      <c r="I236" s="420">
        <v>3258293</v>
      </c>
      <c r="J236" s="415">
        <v>2412168</v>
      </c>
      <c r="K236" s="415">
        <v>2412168</v>
      </c>
      <c r="L236" s="415">
        <v>0</v>
      </c>
      <c r="M236" s="415">
        <v>5000</v>
      </c>
      <c r="N236" s="415">
        <v>5000</v>
      </c>
      <c r="O236" s="415">
        <v>0</v>
      </c>
      <c r="P236" s="599">
        <v>817003</v>
      </c>
      <c r="Q236" s="599">
        <v>24122</v>
      </c>
      <c r="R236" s="415">
        <v>0</v>
      </c>
      <c r="S236" s="416">
        <v>4.6566000000000001</v>
      </c>
      <c r="T236" s="416">
        <v>4.6566000000000001</v>
      </c>
      <c r="U236" s="423">
        <v>0</v>
      </c>
      <c r="V236" s="424">
        <f t="shared" si="317"/>
        <v>0</v>
      </c>
      <c r="W236" s="418">
        <f t="shared" si="318"/>
        <v>0</v>
      </c>
      <c r="X236" s="418">
        <v>0</v>
      </c>
      <c r="Y236" s="418">
        <v>0</v>
      </c>
      <c r="Z236" s="418">
        <v>0</v>
      </c>
      <c r="AA236" s="418">
        <v>0</v>
      </c>
      <c r="AB236" s="418">
        <v>0</v>
      </c>
      <c r="AC236" s="418">
        <v>0</v>
      </c>
      <c r="AD236" s="418">
        <f>V236+X236+Y236+Z236+AB236</f>
        <v>0</v>
      </c>
      <c r="AE236" s="418">
        <f>W236+AA236+AC236</f>
        <v>0</v>
      </c>
      <c r="AF236" s="418">
        <f t="shared" si="319"/>
        <v>0</v>
      </c>
      <c r="AG236" s="418">
        <v>0</v>
      </c>
      <c r="AH236" s="418">
        <v>0</v>
      </c>
      <c r="AI236" s="418">
        <v>0</v>
      </c>
      <c r="AJ236" s="418">
        <v>0</v>
      </c>
      <c r="AK236" s="418">
        <v>0</v>
      </c>
      <c r="AL236" s="418">
        <f t="shared" si="320"/>
        <v>0</v>
      </c>
      <c r="AM236" s="418">
        <f t="shared" si="321"/>
        <v>0</v>
      </c>
      <c r="AN236" s="418">
        <f t="shared" si="322"/>
        <v>0</v>
      </c>
      <c r="AO236" s="418">
        <f t="shared" si="323"/>
        <v>0</v>
      </c>
      <c r="AP236" s="418">
        <f t="shared" si="324"/>
        <v>0</v>
      </c>
      <c r="AQ236" s="418">
        <f t="shared" si="325"/>
        <v>0</v>
      </c>
      <c r="AR236" s="68">
        <f t="shared" si="326"/>
        <v>0</v>
      </c>
      <c r="AS236" s="68">
        <f t="shared" si="327"/>
        <v>0</v>
      </c>
      <c r="AT236" s="418">
        <v>0</v>
      </c>
      <c r="AU236" s="418">
        <v>0</v>
      </c>
      <c r="AV236" s="418">
        <f t="shared" si="328"/>
        <v>0</v>
      </c>
      <c r="AW236" s="418">
        <f t="shared" si="329"/>
        <v>0</v>
      </c>
      <c r="AX236" s="419">
        <v>0</v>
      </c>
      <c r="AY236" s="419">
        <v>0</v>
      </c>
      <c r="AZ236" s="419">
        <v>0</v>
      </c>
      <c r="BA236" s="419">
        <v>0</v>
      </c>
      <c r="BB236" s="419">
        <v>0</v>
      </c>
      <c r="BC236" s="419">
        <v>0</v>
      </c>
      <c r="BD236" s="419">
        <v>0</v>
      </c>
      <c r="BE236" s="419">
        <v>0</v>
      </c>
      <c r="BF236" s="419">
        <f t="shared" si="330"/>
        <v>0</v>
      </c>
      <c r="BG236" s="419">
        <f t="shared" si="331"/>
        <v>0</v>
      </c>
      <c r="BH236" s="421">
        <f t="shared" si="332"/>
        <v>0</v>
      </c>
      <c r="BI236" s="780">
        <f>I236+AW236</f>
        <v>3258293</v>
      </c>
      <c r="BJ236" s="418">
        <f>J236+AF236</f>
        <v>2412168</v>
      </c>
      <c r="BK236" s="418">
        <f t="shared" si="366"/>
        <v>2412168</v>
      </c>
      <c r="BL236" s="418">
        <f t="shared" si="366"/>
        <v>0</v>
      </c>
      <c r="BM236" s="418">
        <f>M236+AN236</f>
        <v>5000</v>
      </c>
      <c r="BN236" s="418">
        <f t="shared" si="367"/>
        <v>5000</v>
      </c>
      <c r="BO236" s="418">
        <f t="shared" si="367"/>
        <v>0</v>
      </c>
      <c r="BP236" s="418">
        <f t="shared" si="368"/>
        <v>817003</v>
      </c>
      <c r="BQ236" s="418">
        <f t="shared" si="368"/>
        <v>24122</v>
      </c>
      <c r="BR236" s="418">
        <f>R236+AV236</f>
        <v>0</v>
      </c>
      <c r="BS236" s="419">
        <f>S236+BH236</f>
        <v>4.6566000000000001</v>
      </c>
      <c r="BT236" s="419">
        <f t="shared" si="369"/>
        <v>4.6566000000000001</v>
      </c>
      <c r="BU236" s="421">
        <f t="shared" si="369"/>
        <v>0</v>
      </c>
      <c r="BV236" s="420"/>
      <c r="BW236" s="415"/>
      <c r="BX236" s="415"/>
      <c r="BY236" s="415"/>
      <c r="BZ236" s="415"/>
      <c r="CA236" s="510"/>
    </row>
    <row r="237" spans="1:79" ht="14.1" customHeight="1" x14ac:dyDescent="0.2">
      <c r="A237" s="66">
        <v>48</v>
      </c>
      <c r="B237" s="63">
        <v>2489</v>
      </c>
      <c r="C237" s="64">
        <v>600080188</v>
      </c>
      <c r="D237" s="63">
        <v>64040402</v>
      </c>
      <c r="E237" s="65" t="s">
        <v>631</v>
      </c>
      <c r="F237" s="66">
        <v>3143</v>
      </c>
      <c r="G237" s="77" t="s">
        <v>596</v>
      </c>
      <c r="H237" s="67" t="s">
        <v>272</v>
      </c>
      <c r="I237" s="420">
        <v>92208</v>
      </c>
      <c r="J237" s="415">
        <v>66000</v>
      </c>
      <c r="K237" s="415">
        <v>0</v>
      </c>
      <c r="L237" s="605">
        <v>66000</v>
      </c>
      <c r="M237" s="415">
        <v>0</v>
      </c>
      <c r="N237" s="415">
        <v>0</v>
      </c>
      <c r="O237" s="415">
        <v>0</v>
      </c>
      <c r="P237" s="599">
        <v>22308</v>
      </c>
      <c r="Q237" s="599">
        <v>660</v>
      </c>
      <c r="R237" s="605">
        <v>3240</v>
      </c>
      <c r="S237" s="416">
        <v>0.25</v>
      </c>
      <c r="T237" s="607">
        <v>0</v>
      </c>
      <c r="U237" s="737">
        <v>0.25</v>
      </c>
      <c r="V237" s="424">
        <f t="shared" si="317"/>
        <v>0</v>
      </c>
      <c r="W237" s="418">
        <f t="shared" si="318"/>
        <v>0</v>
      </c>
      <c r="X237" s="418">
        <v>0</v>
      </c>
      <c r="Y237" s="418">
        <v>0</v>
      </c>
      <c r="Z237" s="418">
        <v>0</v>
      </c>
      <c r="AA237" s="418">
        <v>33000</v>
      </c>
      <c r="AB237" s="418">
        <v>0</v>
      </c>
      <c r="AC237" s="418">
        <v>0</v>
      </c>
      <c r="AD237" s="418">
        <f>V237+X237+Y237+Z237+AB237</f>
        <v>0</v>
      </c>
      <c r="AE237" s="418">
        <f>W237+AA237+AC237</f>
        <v>33000</v>
      </c>
      <c r="AF237" s="418">
        <f t="shared" si="319"/>
        <v>33000</v>
      </c>
      <c r="AG237" s="418">
        <v>0</v>
      </c>
      <c r="AH237" s="418">
        <v>0</v>
      </c>
      <c r="AI237" s="418">
        <v>0</v>
      </c>
      <c r="AJ237" s="418">
        <v>0</v>
      </c>
      <c r="AK237" s="418">
        <v>0</v>
      </c>
      <c r="AL237" s="418">
        <f t="shared" si="320"/>
        <v>0</v>
      </c>
      <c r="AM237" s="418">
        <f t="shared" si="321"/>
        <v>0</v>
      </c>
      <c r="AN237" s="418">
        <f t="shared" si="322"/>
        <v>0</v>
      </c>
      <c r="AO237" s="418">
        <f t="shared" si="323"/>
        <v>0</v>
      </c>
      <c r="AP237" s="418">
        <f t="shared" si="324"/>
        <v>33000</v>
      </c>
      <c r="AQ237" s="418">
        <f t="shared" si="325"/>
        <v>33000</v>
      </c>
      <c r="AR237" s="68">
        <f t="shared" si="326"/>
        <v>11154</v>
      </c>
      <c r="AS237" s="68">
        <f t="shared" si="327"/>
        <v>330</v>
      </c>
      <c r="AT237" s="418">
        <v>0</v>
      </c>
      <c r="AU237" s="418">
        <v>1620</v>
      </c>
      <c r="AV237" s="418">
        <f t="shared" si="328"/>
        <v>1620</v>
      </c>
      <c r="AW237" s="418">
        <f t="shared" si="329"/>
        <v>46104</v>
      </c>
      <c r="AX237" s="419">
        <v>0</v>
      </c>
      <c r="AY237" s="419">
        <v>0</v>
      </c>
      <c r="AZ237" s="419">
        <v>0</v>
      </c>
      <c r="BA237" s="419">
        <v>0</v>
      </c>
      <c r="BB237" s="419">
        <v>0.13</v>
      </c>
      <c r="BC237" s="419">
        <v>0</v>
      </c>
      <c r="BD237" s="419">
        <v>0</v>
      </c>
      <c r="BE237" s="419">
        <v>0</v>
      </c>
      <c r="BF237" s="419">
        <f t="shared" si="330"/>
        <v>0</v>
      </c>
      <c r="BG237" s="419">
        <f t="shared" si="331"/>
        <v>0.13</v>
      </c>
      <c r="BH237" s="421">
        <f t="shared" si="332"/>
        <v>0.13</v>
      </c>
      <c r="BI237" s="780">
        <f>I237+AW237</f>
        <v>138312</v>
      </c>
      <c r="BJ237" s="418">
        <f>J237+AF237</f>
        <v>99000</v>
      </c>
      <c r="BK237" s="418">
        <f t="shared" si="366"/>
        <v>0</v>
      </c>
      <c r="BL237" s="418">
        <f t="shared" si="366"/>
        <v>99000</v>
      </c>
      <c r="BM237" s="418">
        <f>M237+AN237</f>
        <v>0</v>
      </c>
      <c r="BN237" s="418">
        <f t="shared" si="367"/>
        <v>0</v>
      </c>
      <c r="BO237" s="418">
        <f t="shared" si="367"/>
        <v>0</v>
      </c>
      <c r="BP237" s="418">
        <f t="shared" si="368"/>
        <v>33462</v>
      </c>
      <c r="BQ237" s="418">
        <f t="shared" si="368"/>
        <v>990</v>
      </c>
      <c r="BR237" s="418">
        <f>R237+AV237</f>
        <v>4860</v>
      </c>
      <c r="BS237" s="419">
        <f>S237+BH237</f>
        <v>0.38</v>
      </c>
      <c r="BT237" s="419">
        <f t="shared" si="369"/>
        <v>0</v>
      </c>
      <c r="BU237" s="421">
        <f t="shared" si="369"/>
        <v>0.38</v>
      </c>
      <c r="BV237" s="420"/>
      <c r="BW237" s="415"/>
      <c r="BX237" s="415"/>
      <c r="BY237" s="415"/>
      <c r="BZ237" s="415"/>
      <c r="CA237" s="510"/>
    </row>
    <row r="238" spans="1:79" ht="14.1" customHeight="1" x14ac:dyDescent="0.2">
      <c r="A238" s="72">
        <v>48</v>
      </c>
      <c r="B238" s="69">
        <v>2489</v>
      </c>
      <c r="C238" s="70">
        <v>600080188</v>
      </c>
      <c r="D238" s="69">
        <v>64040402</v>
      </c>
      <c r="E238" s="71" t="s">
        <v>632</v>
      </c>
      <c r="F238" s="72"/>
      <c r="G238" s="71"/>
      <c r="H238" s="73"/>
      <c r="I238" s="517">
        <v>43264565</v>
      </c>
      <c r="J238" s="74">
        <v>31631008</v>
      </c>
      <c r="K238" s="74">
        <v>28458698</v>
      </c>
      <c r="L238" s="74">
        <v>3172310</v>
      </c>
      <c r="M238" s="74">
        <v>80000</v>
      </c>
      <c r="N238" s="74">
        <v>40000</v>
      </c>
      <c r="O238" s="74">
        <v>40000</v>
      </c>
      <c r="P238" s="74">
        <v>10718321</v>
      </c>
      <c r="Q238" s="74">
        <v>316310</v>
      </c>
      <c r="R238" s="74">
        <v>518926</v>
      </c>
      <c r="S238" s="75">
        <v>52.775499999999994</v>
      </c>
      <c r="T238" s="75">
        <v>43.125499999999995</v>
      </c>
      <c r="U238" s="658">
        <v>9.65</v>
      </c>
      <c r="V238" s="517">
        <f t="shared" ref="V238:BU238" si="370">SUM(V233:V237)</f>
        <v>0</v>
      </c>
      <c r="W238" s="74">
        <f t="shared" si="370"/>
        <v>0</v>
      </c>
      <c r="X238" s="74">
        <f t="shared" si="370"/>
        <v>-118453</v>
      </c>
      <c r="Y238" s="74">
        <f t="shared" si="370"/>
        <v>0</v>
      </c>
      <c r="Z238" s="74">
        <f t="shared" si="370"/>
        <v>0</v>
      </c>
      <c r="AA238" s="74">
        <f t="shared" si="370"/>
        <v>757551</v>
      </c>
      <c r="AB238" s="74">
        <f t="shared" si="370"/>
        <v>0</v>
      </c>
      <c r="AC238" s="74">
        <f t="shared" si="370"/>
        <v>0</v>
      </c>
      <c r="AD238" s="74">
        <f t="shared" si="370"/>
        <v>-118453</v>
      </c>
      <c r="AE238" s="74">
        <f t="shared" si="370"/>
        <v>757551</v>
      </c>
      <c r="AF238" s="74">
        <f t="shared" si="370"/>
        <v>639098</v>
      </c>
      <c r="AG238" s="74">
        <f t="shared" si="370"/>
        <v>0</v>
      </c>
      <c r="AH238" s="74">
        <f t="shared" si="370"/>
        <v>0</v>
      </c>
      <c r="AI238" s="74">
        <f t="shared" si="370"/>
        <v>0</v>
      </c>
      <c r="AJ238" s="74">
        <f t="shared" si="370"/>
        <v>0</v>
      </c>
      <c r="AK238" s="74">
        <f t="shared" si="370"/>
        <v>0</v>
      </c>
      <c r="AL238" s="74">
        <f t="shared" si="370"/>
        <v>0</v>
      </c>
      <c r="AM238" s="74">
        <f t="shared" si="370"/>
        <v>0</v>
      </c>
      <c r="AN238" s="74">
        <f t="shared" si="370"/>
        <v>0</v>
      </c>
      <c r="AO238" s="74">
        <f t="shared" si="370"/>
        <v>-118453</v>
      </c>
      <c r="AP238" s="74">
        <f t="shared" si="370"/>
        <v>757551</v>
      </c>
      <c r="AQ238" s="74">
        <f t="shared" si="370"/>
        <v>639098</v>
      </c>
      <c r="AR238" s="74">
        <f t="shared" si="370"/>
        <v>216015</v>
      </c>
      <c r="AS238" s="74">
        <f t="shared" si="370"/>
        <v>6391</v>
      </c>
      <c r="AT238" s="74">
        <f t="shared" si="370"/>
        <v>0</v>
      </c>
      <c r="AU238" s="74">
        <f t="shared" si="370"/>
        <v>9372</v>
      </c>
      <c r="AV238" s="74">
        <f t="shared" si="370"/>
        <v>9372</v>
      </c>
      <c r="AW238" s="74">
        <f t="shared" si="370"/>
        <v>870876</v>
      </c>
      <c r="AX238" s="75">
        <f t="shared" si="370"/>
        <v>0</v>
      </c>
      <c r="AY238" s="75">
        <f t="shared" si="370"/>
        <v>0</v>
      </c>
      <c r="AZ238" s="75">
        <f t="shared" si="370"/>
        <v>-0.32</v>
      </c>
      <c r="BA238" s="75">
        <f t="shared" si="370"/>
        <v>0</v>
      </c>
      <c r="BB238" s="75">
        <f t="shared" si="370"/>
        <v>2.31</v>
      </c>
      <c r="BC238" s="75">
        <f t="shared" si="370"/>
        <v>0</v>
      </c>
      <c r="BD238" s="75">
        <f t="shared" si="370"/>
        <v>0</v>
      </c>
      <c r="BE238" s="75">
        <f t="shared" si="370"/>
        <v>0</v>
      </c>
      <c r="BF238" s="75">
        <f t="shared" si="370"/>
        <v>-0.32</v>
      </c>
      <c r="BG238" s="75">
        <f t="shared" si="370"/>
        <v>2.31</v>
      </c>
      <c r="BH238" s="76">
        <f t="shared" si="370"/>
        <v>1.9900000000000002</v>
      </c>
      <c r="BI238" s="799">
        <f t="shared" si="370"/>
        <v>44135441</v>
      </c>
      <c r="BJ238" s="74">
        <f t="shared" si="370"/>
        <v>32270106</v>
      </c>
      <c r="BK238" s="74">
        <f t="shared" si="370"/>
        <v>28340245</v>
      </c>
      <c r="BL238" s="74">
        <f t="shared" si="370"/>
        <v>3929861</v>
      </c>
      <c r="BM238" s="74">
        <f t="shared" si="370"/>
        <v>80000</v>
      </c>
      <c r="BN238" s="74">
        <f t="shared" si="370"/>
        <v>40000</v>
      </c>
      <c r="BO238" s="74">
        <f t="shared" si="370"/>
        <v>40000</v>
      </c>
      <c r="BP238" s="74">
        <f t="shared" si="370"/>
        <v>10934336</v>
      </c>
      <c r="BQ238" s="74">
        <f t="shared" si="370"/>
        <v>322701</v>
      </c>
      <c r="BR238" s="74">
        <f t="shared" si="370"/>
        <v>528298</v>
      </c>
      <c r="BS238" s="75">
        <f t="shared" si="370"/>
        <v>54.765499999999996</v>
      </c>
      <c r="BT238" s="75">
        <f t="shared" si="370"/>
        <v>42.805499999999995</v>
      </c>
      <c r="BU238" s="76">
        <f t="shared" si="370"/>
        <v>11.960000000000003</v>
      </c>
      <c r="BV238" s="809">
        <f t="shared" ref="BV238:CA238" si="371">SUM(BV233:BV237)</f>
        <v>380136</v>
      </c>
      <c r="BW238" s="684">
        <f t="shared" si="371"/>
        <v>282000</v>
      </c>
      <c r="BX238" s="684">
        <f t="shared" si="371"/>
        <v>0</v>
      </c>
      <c r="BY238" s="684">
        <f t="shared" si="371"/>
        <v>95316</v>
      </c>
      <c r="BZ238" s="684">
        <f t="shared" si="371"/>
        <v>2820</v>
      </c>
      <c r="CA238" s="810">
        <f t="shared" si="371"/>
        <v>0.5</v>
      </c>
    </row>
    <row r="239" spans="1:79" ht="14.1" customHeight="1" x14ac:dyDescent="0.2">
      <c r="A239" s="66">
        <v>49</v>
      </c>
      <c r="B239" s="63">
        <v>2473</v>
      </c>
      <c r="C239" s="64">
        <v>600080285</v>
      </c>
      <c r="D239" s="63">
        <v>65642376</v>
      </c>
      <c r="E239" s="65" t="s">
        <v>633</v>
      </c>
      <c r="F239" s="66">
        <v>3113</v>
      </c>
      <c r="G239" s="65" t="s">
        <v>293</v>
      </c>
      <c r="H239" s="67" t="s">
        <v>271</v>
      </c>
      <c r="I239" s="420">
        <v>44197915</v>
      </c>
      <c r="J239" s="415">
        <v>31919305</v>
      </c>
      <c r="K239" s="415">
        <v>30067161</v>
      </c>
      <c r="L239" s="415">
        <v>1852144</v>
      </c>
      <c r="M239" s="415">
        <v>420000</v>
      </c>
      <c r="N239" s="415">
        <v>300000</v>
      </c>
      <c r="O239" s="415">
        <v>120000</v>
      </c>
      <c r="P239" s="599">
        <v>10930686</v>
      </c>
      <c r="Q239" s="599">
        <v>319194</v>
      </c>
      <c r="R239" s="415">
        <v>608730</v>
      </c>
      <c r="S239" s="416">
        <v>49.033699999999996</v>
      </c>
      <c r="T239" s="416">
        <v>43.407899999999998</v>
      </c>
      <c r="U239" s="423">
        <v>5.6257999999999999</v>
      </c>
      <c r="V239" s="424">
        <f t="shared" si="317"/>
        <v>0</v>
      </c>
      <c r="W239" s="418">
        <f t="shared" si="318"/>
        <v>0</v>
      </c>
      <c r="X239" s="418">
        <v>0</v>
      </c>
      <c r="Y239" s="418">
        <v>0</v>
      </c>
      <c r="Z239" s="418">
        <v>0</v>
      </c>
      <c r="AA239" s="418">
        <v>0</v>
      </c>
      <c r="AB239" s="418">
        <v>0</v>
      </c>
      <c r="AC239" s="418">
        <v>0</v>
      </c>
      <c r="AD239" s="418">
        <f>V239+X239+Y239+Z239+AB239</f>
        <v>0</v>
      </c>
      <c r="AE239" s="418">
        <f>W239+AA239+AC239</f>
        <v>0</v>
      </c>
      <c r="AF239" s="418">
        <f t="shared" si="319"/>
        <v>0</v>
      </c>
      <c r="AG239" s="418">
        <v>0</v>
      </c>
      <c r="AH239" s="418">
        <v>0</v>
      </c>
      <c r="AI239" s="418">
        <v>0</v>
      </c>
      <c r="AJ239" s="418">
        <v>0</v>
      </c>
      <c r="AK239" s="418">
        <v>0</v>
      </c>
      <c r="AL239" s="418">
        <f t="shared" si="320"/>
        <v>0</v>
      </c>
      <c r="AM239" s="418">
        <f t="shared" si="321"/>
        <v>0</v>
      </c>
      <c r="AN239" s="418">
        <f t="shared" si="322"/>
        <v>0</v>
      </c>
      <c r="AO239" s="418">
        <f t="shared" si="323"/>
        <v>0</v>
      </c>
      <c r="AP239" s="418">
        <f t="shared" si="324"/>
        <v>0</v>
      </c>
      <c r="AQ239" s="418">
        <f t="shared" si="325"/>
        <v>0</v>
      </c>
      <c r="AR239" s="68">
        <f t="shared" si="326"/>
        <v>0</v>
      </c>
      <c r="AS239" s="68">
        <f t="shared" si="327"/>
        <v>0</v>
      </c>
      <c r="AT239" s="418">
        <v>0</v>
      </c>
      <c r="AU239" s="418">
        <v>0</v>
      </c>
      <c r="AV239" s="418">
        <f t="shared" si="328"/>
        <v>0</v>
      </c>
      <c r="AW239" s="418">
        <f t="shared" si="329"/>
        <v>0</v>
      </c>
      <c r="AX239" s="419">
        <v>0</v>
      </c>
      <c r="AY239" s="419">
        <v>0</v>
      </c>
      <c r="AZ239" s="419">
        <v>0</v>
      </c>
      <c r="BA239" s="419">
        <v>0</v>
      </c>
      <c r="BB239" s="419">
        <v>0</v>
      </c>
      <c r="BC239" s="419">
        <v>0</v>
      </c>
      <c r="BD239" s="419">
        <v>0</v>
      </c>
      <c r="BE239" s="419">
        <v>0</v>
      </c>
      <c r="BF239" s="419">
        <f t="shared" si="330"/>
        <v>0</v>
      </c>
      <c r="BG239" s="419">
        <f t="shared" si="331"/>
        <v>0</v>
      </c>
      <c r="BH239" s="421">
        <f t="shared" si="332"/>
        <v>0</v>
      </c>
      <c r="BI239" s="780">
        <f>I239+AW239</f>
        <v>44197915</v>
      </c>
      <c r="BJ239" s="418">
        <f>J239+AF239</f>
        <v>31919305</v>
      </c>
      <c r="BK239" s="418">
        <f t="shared" ref="BK239:BL243" si="372">K239+AD239</f>
        <v>30067161</v>
      </c>
      <c r="BL239" s="418">
        <f t="shared" si="372"/>
        <v>1852144</v>
      </c>
      <c r="BM239" s="418">
        <f>M239+AN239</f>
        <v>420000</v>
      </c>
      <c r="BN239" s="418">
        <f t="shared" ref="BN239:BO243" si="373">N239+AL239</f>
        <v>300000</v>
      </c>
      <c r="BO239" s="418">
        <f t="shared" si="373"/>
        <v>120000</v>
      </c>
      <c r="BP239" s="418">
        <f t="shared" ref="BP239:BQ243" si="374">P239+AR239</f>
        <v>10930686</v>
      </c>
      <c r="BQ239" s="418">
        <f t="shared" si="374"/>
        <v>319194</v>
      </c>
      <c r="BR239" s="418">
        <f>R239+AV239</f>
        <v>608730</v>
      </c>
      <c r="BS239" s="419">
        <f>S239+BH239</f>
        <v>49.033699999999996</v>
      </c>
      <c r="BT239" s="419">
        <f t="shared" ref="BT239:BU243" si="375">T239+BF239</f>
        <v>43.407899999999998</v>
      </c>
      <c r="BU239" s="421">
        <f t="shared" si="375"/>
        <v>5.6257999999999999</v>
      </c>
      <c r="BV239" s="420">
        <v>760272</v>
      </c>
      <c r="BW239" s="415">
        <v>564000</v>
      </c>
      <c r="BX239" s="415">
        <v>0</v>
      </c>
      <c r="BY239" s="415">
        <v>190632</v>
      </c>
      <c r="BZ239" s="415">
        <v>5640</v>
      </c>
      <c r="CA239" s="510">
        <v>1</v>
      </c>
    </row>
    <row r="240" spans="1:79" ht="14.1" customHeight="1" x14ac:dyDescent="0.2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633</v>
      </c>
      <c r="F240" s="66">
        <v>3113</v>
      </c>
      <c r="G240" s="77" t="s">
        <v>291</v>
      </c>
      <c r="H240" s="67" t="s">
        <v>272</v>
      </c>
      <c r="I240" s="420">
        <v>11204953</v>
      </c>
      <c r="J240" s="415">
        <v>8311908</v>
      </c>
      <c r="K240" s="415">
        <v>8311908</v>
      </c>
      <c r="L240" s="415">
        <v>0</v>
      </c>
      <c r="M240" s="415">
        <v>0</v>
      </c>
      <c r="N240" s="415">
        <v>0</v>
      </c>
      <c r="O240" s="415">
        <v>0</v>
      </c>
      <c r="P240" s="599">
        <v>2809425</v>
      </c>
      <c r="Q240" s="599">
        <v>83120</v>
      </c>
      <c r="R240" s="415">
        <v>500</v>
      </c>
      <c r="S240" s="416">
        <v>22.11</v>
      </c>
      <c r="T240" s="417">
        <v>22.11</v>
      </c>
      <c r="U240" s="423">
        <v>0</v>
      </c>
      <c r="V240" s="424">
        <f t="shared" si="317"/>
        <v>0</v>
      </c>
      <c r="W240" s="418">
        <f t="shared" si="318"/>
        <v>0</v>
      </c>
      <c r="X240" s="418">
        <v>0</v>
      </c>
      <c r="Y240" s="418">
        <v>0</v>
      </c>
      <c r="Z240" s="418">
        <v>0</v>
      </c>
      <c r="AA240" s="418">
        <v>0</v>
      </c>
      <c r="AB240" s="418">
        <v>0</v>
      </c>
      <c r="AC240" s="418">
        <v>0</v>
      </c>
      <c r="AD240" s="418">
        <f>V240+X240+Y240+Z240+AB240</f>
        <v>0</v>
      </c>
      <c r="AE240" s="418">
        <f>W240+AA240+AC240</f>
        <v>0</v>
      </c>
      <c r="AF240" s="418">
        <f t="shared" si="319"/>
        <v>0</v>
      </c>
      <c r="AG240" s="418">
        <v>0</v>
      </c>
      <c r="AH240" s="418">
        <v>0</v>
      </c>
      <c r="AI240" s="418">
        <v>0</v>
      </c>
      <c r="AJ240" s="418">
        <v>0</v>
      </c>
      <c r="AK240" s="418">
        <v>0</v>
      </c>
      <c r="AL240" s="418">
        <f t="shared" si="320"/>
        <v>0</v>
      </c>
      <c r="AM240" s="418">
        <f t="shared" si="321"/>
        <v>0</v>
      </c>
      <c r="AN240" s="418">
        <f t="shared" si="322"/>
        <v>0</v>
      </c>
      <c r="AO240" s="418">
        <f t="shared" si="323"/>
        <v>0</v>
      </c>
      <c r="AP240" s="418">
        <f t="shared" si="324"/>
        <v>0</v>
      </c>
      <c r="AQ240" s="418">
        <f t="shared" si="325"/>
        <v>0</v>
      </c>
      <c r="AR240" s="68">
        <f t="shared" si="326"/>
        <v>0</v>
      </c>
      <c r="AS240" s="68">
        <f t="shared" si="327"/>
        <v>0</v>
      </c>
      <c r="AT240" s="418">
        <v>0</v>
      </c>
      <c r="AU240" s="418">
        <v>0</v>
      </c>
      <c r="AV240" s="418">
        <f t="shared" si="328"/>
        <v>0</v>
      </c>
      <c r="AW240" s="418">
        <f t="shared" si="329"/>
        <v>0</v>
      </c>
      <c r="AX240" s="419">
        <v>0</v>
      </c>
      <c r="AY240" s="419">
        <v>0</v>
      </c>
      <c r="AZ240" s="419">
        <v>0</v>
      </c>
      <c r="BA240" s="419">
        <v>0</v>
      </c>
      <c r="BB240" s="419">
        <v>0</v>
      </c>
      <c r="BC240" s="419">
        <v>0</v>
      </c>
      <c r="BD240" s="419">
        <v>0</v>
      </c>
      <c r="BE240" s="419">
        <v>0</v>
      </c>
      <c r="BF240" s="419">
        <f t="shared" si="330"/>
        <v>0</v>
      </c>
      <c r="BG240" s="419">
        <f t="shared" si="331"/>
        <v>0</v>
      </c>
      <c r="BH240" s="421">
        <f t="shared" si="332"/>
        <v>0</v>
      </c>
      <c r="BI240" s="780">
        <f>I240+AW240</f>
        <v>11204953</v>
      </c>
      <c r="BJ240" s="418">
        <f>J240+AF240</f>
        <v>8311908</v>
      </c>
      <c r="BK240" s="418">
        <f t="shared" si="372"/>
        <v>8311908</v>
      </c>
      <c r="BL240" s="418">
        <f t="shared" si="372"/>
        <v>0</v>
      </c>
      <c r="BM240" s="418">
        <f>M240+AN240</f>
        <v>0</v>
      </c>
      <c r="BN240" s="418">
        <f t="shared" si="373"/>
        <v>0</v>
      </c>
      <c r="BO240" s="418">
        <f t="shared" si="373"/>
        <v>0</v>
      </c>
      <c r="BP240" s="418">
        <f t="shared" si="374"/>
        <v>2809425</v>
      </c>
      <c r="BQ240" s="418">
        <f t="shared" si="374"/>
        <v>83120</v>
      </c>
      <c r="BR240" s="418">
        <f>R240+AV240</f>
        <v>500</v>
      </c>
      <c r="BS240" s="419">
        <f>S240+BH240</f>
        <v>22.11</v>
      </c>
      <c r="BT240" s="419">
        <f t="shared" si="375"/>
        <v>22.11</v>
      </c>
      <c r="BU240" s="421">
        <f t="shared" si="375"/>
        <v>0</v>
      </c>
      <c r="BV240" s="420"/>
      <c r="BW240" s="415"/>
      <c r="BX240" s="415"/>
      <c r="BY240" s="415"/>
      <c r="BZ240" s="415"/>
      <c r="CA240" s="510"/>
    </row>
    <row r="241" spans="1:79" ht="14.1" customHeight="1" x14ac:dyDescent="0.2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633</v>
      </c>
      <c r="F241" s="66">
        <v>3141</v>
      </c>
      <c r="G241" s="65" t="s">
        <v>294</v>
      </c>
      <c r="H241" s="67" t="s">
        <v>272</v>
      </c>
      <c r="I241" s="420">
        <v>916119</v>
      </c>
      <c r="J241" s="415">
        <v>646951</v>
      </c>
      <c r="K241" s="415">
        <v>0</v>
      </c>
      <c r="L241" s="750">
        <v>646951</v>
      </c>
      <c r="M241" s="415">
        <v>32000</v>
      </c>
      <c r="N241" s="204">
        <v>0</v>
      </c>
      <c r="O241" s="204">
        <v>32000</v>
      </c>
      <c r="P241" s="599">
        <v>218669</v>
      </c>
      <c r="Q241" s="599">
        <v>6470</v>
      </c>
      <c r="R241" s="605">
        <v>12029</v>
      </c>
      <c r="S241" s="416">
        <v>1.94</v>
      </c>
      <c r="T241" s="607">
        <v>0</v>
      </c>
      <c r="U241" s="737">
        <v>1.94</v>
      </c>
      <c r="V241" s="424">
        <f t="shared" si="317"/>
        <v>0</v>
      </c>
      <c r="W241" s="418">
        <f t="shared" si="318"/>
        <v>0</v>
      </c>
      <c r="X241" s="418">
        <v>0</v>
      </c>
      <c r="Y241" s="418">
        <v>0</v>
      </c>
      <c r="Z241" s="418">
        <v>0</v>
      </c>
      <c r="AA241" s="418">
        <v>324746</v>
      </c>
      <c r="AB241" s="418">
        <v>0</v>
      </c>
      <c r="AC241" s="418">
        <v>0</v>
      </c>
      <c r="AD241" s="418">
        <f>V241+X241+Y241+Z241+AB241</f>
        <v>0</v>
      </c>
      <c r="AE241" s="418">
        <f>W241+AA241+AC241</f>
        <v>324746</v>
      </c>
      <c r="AF241" s="418">
        <f t="shared" si="319"/>
        <v>324746</v>
      </c>
      <c r="AG241" s="418">
        <v>0</v>
      </c>
      <c r="AH241" s="418">
        <v>0</v>
      </c>
      <c r="AI241" s="418">
        <v>0</v>
      </c>
      <c r="AJ241" s="418">
        <v>0</v>
      </c>
      <c r="AK241" s="418">
        <v>0</v>
      </c>
      <c r="AL241" s="418">
        <f t="shared" si="320"/>
        <v>0</v>
      </c>
      <c r="AM241" s="418">
        <f t="shared" si="321"/>
        <v>0</v>
      </c>
      <c r="AN241" s="418">
        <f t="shared" si="322"/>
        <v>0</v>
      </c>
      <c r="AO241" s="418">
        <f t="shared" si="323"/>
        <v>0</v>
      </c>
      <c r="AP241" s="418">
        <f t="shared" si="324"/>
        <v>324746</v>
      </c>
      <c r="AQ241" s="418">
        <f t="shared" si="325"/>
        <v>324746</v>
      </c>
      <c r="AR241" s="68">
        <f t="shared" si="326"/>
        <v>109764</v>
      </c>
      <c r="AS241" s="68">
        <f t="shared" si="327"/>
        <v>3247</v>
      </c>
      <c r="AT241" s="418">
        <v>0</v>
      </c>
      <c r="AU241" s="418">
        <v>5753</v>
      </c>
      <c r="AV241" s="418">
        <f t="shared" si="328"/>
        <v>5753</v>
      </c>
      <c r="AW241" s="418">
        <f t="shared" si="329"/>
        <v>443510</v>
      </c>
      <c r="AX241" s="419">
        <v>0</v>
      </c>
      <c r="AY241" s="419">
        <v>0</v>
      </c>
      <c r="AZ241" s="419">
        <v>0</v>
      </c>
      <c r="BA241" s="419">
        <v>0</v>
      </c>
      <c r="BB241" s="419">
        <v>0.97</v>
      </c>
      <c r="BC241" s="419">
        <v>0</v>
      </c>
      <c r="BD241" s="419">
        <v>0</v>
      </c>
      <c r="BE241" s="419">
        <v>0</v>
      </c>
      <c r="BF241" s="419">
        <f t="shared" si="330"/>
        <v>0</v>
      </c>
      <c r="BG241" s="419">
        <f t="shared" si="331"/>
        <v>0.97</v>
      </c>
      <c r="BH241" s="421">
        <f t="shared" si="332"/>
        <v>0.97</v>
      </c>
      <c r="BI241" s="780">
        <f>I241+AW241</f>
        <v>1359629</v>
      </c>
      <c r="BJ241" s="418">
        <f>J241+AF241</f>
        <v>971697</v>
      </c>
      <c r="BK241" s="418">
        <f t="shared" si="372"/>
        <v>0</v>
      </c>
      <c r="BL241" s="418">
        <f t="shared" si="372"/>
        <v>971697</v>
      </c>
      <c r="BM241" s="418">
        <f>M241+AN241</f>
        <v>32000</v>
      </c>
      <c r="BN241" s="418">
        <f t="shared" si="373"/>
        <v>0</v>
      </c>
      <c r="BO241" s="418">
        <f t="shared" si="373"/>
        <v>32000</v>
      </c>
      <c r="BP241" s="418">
        <f t="shared" si="374"/>
        <v>328433</v>
      </c>
      <c r="BQ241" s="418">
        <f t="shared" si="374"/>
        <v>9717</v>
      </c>
      <c r="BR241" s="418">
        <f>R241+AV241</f>
        <v>17782</v>
      </c>
      <c r="BS241" s="419">
        <f>S241+BH241</f>
        <v>2.91</v>
      </c>
      <c r="BT241" s="419">
        <f t="shared" si="375"/>
        <v>0</v>
      </c>
      <c r="BU241" s="421">
        <f t="shared" si="375"/>
        <v>2.91</v>
      </c>
      <c r="BV241" s="420"/>
      <c r="BW241" s="415"/>
      <c r="BX241" s="415"/>
      <c r="BY241" s="415"/>
      <c r="BZ241" s="415"/>
      <c r="CA241" s="510"/>
    </row>
    <row r="242" spans="1:79" ht="14.1" customHeight="1" x14ac:dyDescent="0.2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633</v>
      </c>
      <c r="F242" s="66">
        <v>3143</v>
      </c>
      <c r="G242" s="77" t="s">
        <v>595</v>
      </c>
      <c r="H242" s="67" t="s">
        <v>271</v>
      </c>
      <c r="I242" s="420">
        <v>4933565</v>
      </c>
      <c r="J242" s="415">
        <v>3659915</v>
      </c>
      <c r="K242" s="415">
        <v>3659915</v>
      </c>
      <c r="L242" s="415">
        <v>0</v>
      </c>
      <c r="M242" s="415">
        <v>0</v>
      </c>
      <c r="N242" s="415">
        <v>0</v>
      </c>
      <c r="O242" s="415">
        <v>0</v>
      </c>
      <c r="P242" s="599">
        <v>1237051</v>
      </c>
      <c r="Q242" s="599">
        <v>36599</v>
      </c>
      <c r="R242" s="415">
        <v>0</v>
      </c>
      <c r="S242" s="416">
        <v>7.4417</v>
      </c>
      <c r="T242" s="416">
        <v>7.4417</v>
      </c>
      <c r="U242" s="423">
        <v>0</v>
      </c>
      <c r="V242" s="424">
        <f t="shared" si="317"/>
        <v>0</v>
      </c>
      <c r="W242" s="418">
        <f t="shared" si="318"/>
        <v>0</v>
      </c>
      <c r="X242" s="418">
        <v>0</v>
      </c>
      <c r="Y242" s="418">
        <v>0</v>
      </c>
      <c r="Z242" s="418">
        <v>0</v>
      </c>
      <c r="AA242" s="418">
        <v>0</v>
      </c>
      <c r="AB242" s="418">
        <v>0</v>
      </c>
      <c r="AC242" s="418">
        <v>0</v>
      </c>
      <c r="AD242" s="418">
        <f>V242+X242+Y242+Z242+AB242</f>
        <v>0</v>
      </c>
      <c r="AE242" s="418">
        <f>W242+AA242+AC242</f>
        <v>0</v>
      </c>
      <c r="AF242" s="418">
        <f t="shared" si="319"/>
        <v>0</v>
      </c>
      <c r="AG242" s="418">
        <v>0</v>
      </c>
      <c r="AH242" s="418">
        <v>0</v>
      </c>
      <c r="AI242" s="418">
        <v>0</v>
      </c>
      <c r="AJ242" s="418">
        <v>0</v>
      </c>
      <c r="AK242" s="418">
        <v>0</v>
      </c>
      <c r="AL242" s="418">
        <f t="shared" si="320"/>
        <v>0</v>
      </c>
      <c r="AM242" s="418">
        <f t="shared" si="321"/>
        <v>0</v>
      </c>
      <c r="AN242" s="418">
        <f t="shared" si="322"/>
        <v>0</v>
      </c>
      <c r="AO242" s="418">
        <f t="shared" si="323"/>
        <v>0</v>
      </c>
      <c r="AP242" s="418">
        <f t="shared" si="324"/>
        <v>0</v>
      </c>
      <c r="AQ242" s="418">
        <f t="shared" si="325"/>
        <v>0</v>
      </c>
      <c r="AR242" s="68">
        <f t="shared" si="326"/>
        <v>0</v>
      </c>
      <c r="AS242" s="68">
        <f t="shared" si="327"/>
        <v>0</v>
      </c>
      <c r="AT242" s="418">
        <v>0</v>
      </c>
      <c r="AU242" s="418">
        <v>0</v>
      </c>
      <c r="AV242" s="418">
        <f t="shared" si="328"/>
        <v>0</v>
      </c>
      <c r="AW242" s="418">
        <f t="shared" si="329"/>
        <v>0</v>
      </c>
      <c r="AX242" s="419">
        <v>0</v>
      </c>
      <c r="AY242" s="419">
        <v>0</v>
      </c>
      <c r="AZ242" s="419">
        <v>0</v>
      </c>
      <c r="BA242" s="419">
        <v>0</v>
      </c>
      <c r="BB242" s="419">
        <v>0</v>
      </c>
      <c r="BC242" s="419">
        <v>0</v>
      </c>
      <c r="BD242" s="419">
        <v>0</v>
      </c>
      <c r="BE242" s="419">
        <v>0</v>
      </c>
      <c r="BF242" s="419">
        <f t="shared" si="330"/>
        <v>0</v>
      </c>
      <c r="BG242" s="419">
        <f t="shared" si="331"/>
        <v>0</v>
      </c>
      <c r="BH242" s="421">
        <f t="shared" si="332"/>
        <v>0</v>
      </c>
      <c r="BI242" s="780">
        <f>I242+AW242</f>
        <v>4933565</v>
      </c>
      <c r="BJ242" s="418">
        <f>J242+AF242</f>
        <v>3659915</v>
      </c>
      <c r="BK242" s="418">
        <f t="shared" si="372"/>
        <v>3659915</v>
      </c>
      <c r="BL242" s="418">
        <f t="shared" si="372"/>
        <v>0</v>
      </c>
      <c r="BM242" s="418">
        <f>M242+AN242</f>
        <v>0</v>
      </c>
      <c r="BN242" s="418">
        <f t="shared" si="373"/>
        <v>0</v>
      </c>
      <c r="BO242" s="418">
        <f t="shared" si="373"/>
        <v>0</v>
      </c>
      <c r="BP242" s="418">
        <f t="shared" si="374"/>
        <v>1237051</v>
      </c>
      <c r="BQ242" s="418">
        <f t="shared" si="374"/>
        <v>36599</v>
      </c>
      <c r="BR242" s="418">
        <f>R242+AV242</f>
        <v>0</v>
      </c>
      <c r="BS242" s="419">
        <f>S242+BH242</f>
        <v>7.4417</v>
      </c>
      <c r="BT242" s="419">
        <f t="shared" si="375"/>
        <v>7.4417</v>
      </c>
      <c r="BU242" s="421">
        <f t="shared" si="375"/>
        <v>0</v>
      </c>
      <c r="BV242" s="420"/>
      <c r="BW242" s="415"/>
      <c r="BX242" s="415"/>
      <c r="BY242" s="415"/>
      <c r="BZ242" s="415"/>
      <c r="CA242" s="510"/>
    </row>
    <row r="243" spans="1:79" ht="14.1" customHeight="1" x14ac:dyDescent="0.2">
      <c r="A243" s="66">
        <v>49</v>
      </c>
      <c r="B243" s="63">
        <v>2473</v>
      </c>
      <c r="C243" s="64">
        <v>600080285</v>
      </c>
      <c r="D243" s="63">
        <v>65642376</v>
      </c>
      <c r="E243" s="65" t="s">
        <v>633</v>
      </c>
      <c r="F243" s="66">
        <v>3143</v>
      </c>
      <c r="G243" s="77" t="s">
        <v>596</v>
      </c>
      <c r="H243" s="67" t="s">
        <v>272</v>
      </c>
      <c r="I243" s="420">
        <v>128059</v>
      </c>
      <c r="J243" s="415">
        <v>91661</v>
      </c>
      <c r="K243" s="415">
        <v>0</v>
      </c>
      <c r="L243" s="605">
        <v>91661</v>
      </c>
      <c r="M243" s="415">
        <v>0</v>
      </c>
      <c r="N243" s="415">
        <v>0</v>
      </c>
      <c r="O243" s="415">
        <v>0</v>
      </c>
      <c r="P243" s="599">
        <v>30981</v>
      </c>
      <c r="Q243" s="599">
        <v>917</v>
      </c>
      <c r="R243" s="606">
        <v>4500</v>
      </c>
      <c r="S243" s="416">
        <v>0.34720000000000001</v>
      </c>
      <c r="T243" s="609">
        <v>0</v>
      </c>
      <c r="U243" s="737">
        <v>0.34720000000000001</v>
      </c>
      <c r="V243" s="424">
        <f t="shared" si="317"/>
        <v>0</v>
      </c>
      <c r="W243" s="418">
        <f t="shared" si="318"/>
        <v>0</v>
      </c>
      <c r="X243" s="418">
        <v>0</v>
      </c>
      <c r="Y243" s="418">
        <v>0</v>
      </c>
      <c r="Z243" s="418">
        <v>0</v>
      </c>
      <c r="AA243" s="418">
        <v>45839</v>
      </c>
      <c r="AB243" s="418">
        <v>0</v>
      </c>
      <c r="AC243" s="418">
        <v>0</v>
      </c>
      <c r="AD243" s="418">
        <f>V243+X243+Y243+Z243+AB243</f>
        <v>0</v>
      </c>
      <c r="AE243" s="418">
        <f>W243+AA243+AC243</f>
        <v>45839</v>
      </c>
      <c r="AF243" s="418">
        <f t="shared" si="319"/>
        <v>45839</v>
      </c>
      <c r="AG243" s="418">
        <v>0</v>
      </c>
      <c r="AH243" s="418">
        <v>0</v>
      </c>
      <c r="AI243" s="418">
        <v>0</v>
      </c>
      <c r="AJ243" s="418">
        <v>0</v>
      </c>
      <c r="AK243" s="418">
        <v>0</v>
      </c>
      <c r="AL243" s="418">
        <f t="shared" si="320"/>
        <v>0</v>
      </c>
      <c r="AM243" s="418">
        <f t="shared" si="321"/>
        <v>0</v>
      </c>
      <c r="AN243" s="418">
        <f t="shared" si="322"/>
        <v>0</v>
      </c>
      <c r="AO243" s="418">
        <f t="shared" si="323"/>
        <v>0</v>
      </c>
      <c r="AP243" s="418">
        <f t="shared" si="324"/>
        <v>45839</v>
      </c>
      <c r="AQ243" s="418">
        <f t="shared" si="325"/>
        <v>45839</v>
      </c>
      <c r="AR243" s="68">
        <f t="shared" si="326"/>
        <v>15494</v>
      </c>
      <c r="AS243" s="68">
        <f t="shared" si="327"/>
        <v>458</v>
      </c>
      <c r="AT243" s="418">
        <v>0</v>
      </c>
      <c r="AU243" s="418">
        <v>2250</v>
      </c>
      <c r="AV243" s="418">
        <f t="shared" si="328"/>
        <v>2250</v>
      </c>
      <c r="AW243" s="418">
        <f t="shared" si="329"/>
        <v>64041</v>
      </c>
      <c r="AX243" s="419">
        <v>0</v>
      </c>
      <c r="AY243" s="419">
        <v>0</v>
      </c>
      <c r="AZ243" s="419">
        <v>0</v>
      </c>
      <c r="BA243" s="419">
        <v>0</v>
      </c>
      <c r="BB243" s="419">
        <v>0.17</v>
      </c>
      <c r="BC243" s="419">
        <v>0</v>
      </c>
      <c r="BD243" s="419">
        <v>0</v>
      </c>
      <c r="BE243" s="419">
        <v>0</v>
      </c>
      <c r="BF243" s="419">
        <f t="shared" si="330"/>
        <v>0</v>
      </c>
      <c r="BG243" s="419">
        <f t="shared" si="331"/>
        <v>0.17</v>
      </c>
      <c r="BH243" s="421">
        <f t="shared" si="332"/>
        <v>0.17</v>
      </c>
      <c r="BI243" s="780">
        <f>I243+AW243</f>
        <v>192100</v>
      </c>
      <c r="BJ243" s="418">
        <f>J243+AF243</f>
        <v>137500</v>
      </c>
      <c r="BK243" s="418">
        <f t="shared" si="372"/>
        <v>0</v>
      </c>
      <c r="BL243" s="418">
        <f t="shared" si="372"/>
        <v>137500</v>
      </c>
      <c r="BM243" s="418">
        <f>M243+AN243</f>
        <v>0</v>
      </c>
      <c r="BN243" s="418">
        <f t="shared" si="373"/>
        <v>0</v>
      </c>
      <c r="BO243" s="418">
        <f t="shared" si="373"/>
        <v>0</v>
      </c>
      <c r="BP243" s="418">
        <f t="shared" si="374"/>
        <v>46475</v>
      </c>
      <c r="BQ243" s="418">
        <f t="shared" si="374"/>
        <v>1375</v>
      </c>
      <c r="BR243" s="418">
        <f>R243+AV243</f>
        <v>6750</v>
      </c>
      <c r="BS243" s="419">
        <f>S243+BH243</f>
        <v>0.51719999999999999</v>
      </c>
      <c r="BT243" s="419">
        <f t="shared" si="375"/>
        <v>0</v>
      </c>
      <c r="BU243" s="421">
        <f t="shared" si="375"/>
        <v>0.51719999999999999</v>
      </c>
      <c r="BV243" s="420"/>
      <c r="BW243" s="415"/>
      <c r="BX243" s="415"/>
      <c r="BY243" s="415"/>
      <c r="BZ243" s="415"/>
      <c r="CA243" s="510"/>
    </row>
    <row r="244" spans="1:79" ht="14.1" customHeight="1" x14ac:dyDescent="0.2">
      <c r="A244" s="72">
        <v>49</v>
      </c>
      <c r="B244" s="69">
        <v>2473</v>
      </c>
      <c r="C244" s="70">
        <v>600080285</v>
      </c>
      <c r="D244" s="69">
        <v>65642376</v>
      </c>
      <c r="E244" s="71" t="s">
        <v>634</v>
      </c>
      <c r="F244" s="72"/>
      <c r="G244" s="71"/>
      <c r="H244" s="73"/>
      <c r="I244" s="517">
        <v>61380611</v>
      </c>
      <c r="J244" s="74">
        <v>44629740</v>
      </c>
      <c r="K244" s="74">
        <v>42038984</v>
      </c>
      <c r="L244" s="74">
        <v>2590756</v>
      </c>
      <c r="M244" s="74">
        <v>452000</v>
      </c>
      <c r="N244" s="74">
        <v>300000</v>
      </c>
      <c r="O244" s="74">
        <v>152000</v>
      </c>
      <c r="P244" s="74">
        <v>15226812</v>
      </c>
      <c r="Q244" s="74">
        <v>446300</v>
      </c>
      <c r="R244" s="74">
        <v>625759</v>
      </c>
      <c r="S244" s="75">
        <v>80.872599999999991</v>
      </c>
      <c r="T244" s="75">
        <v>72.959599999999995</v>
      </c>
      <c r="U244" s="658">
        <v>7.9129999999999994</v>
      </c>
      <c r="V244" s="517">
        <f t="shared" ref="V244:BU244" si="376">SUM(V239:V243)</f>
        <v>0</v>
      </c>
      <c r="W244" s="74">
        <f t="shared" si="376"/>
        <v>0</v>
      </c>
      <c r="X244" s="74">
        <f t="shared" si="376"/>
        <v>0</v>
      </c>
      <c r="Y244" s="74">
        <f t="shared" si="376"/>
        <v>0</v>
      </c>
      <c r="Z244" s="74">
        <f t="shared" si="376"/>
        <v>0</v>
      </c>
      <c r="AA244" s="74">
        <f t="shared" si="376"/>
        <v>370585</v>
      </c>
      <c r="AB244" s="74">
        <f t="shared" si="376"/>
        <v>0</v>
      </c>
      <c r="AC244" s="74">
        <f t="shared" si="376"/>
        <v>0</v>
      </c>
      <c r="AD244" s="74">
        <f t="shared" si="376"/>
        <v>0</v>
      </c>
      <c r="AE244" s="74">
        <f t="shared" si="376"/>
        <v>370585</v>
      </c>
      <c r="AF244" s="74">
        <f t="shared" si="376"/>
        <v>370585</v>
      </c>
      <c r="AG244" s="74">
        <f t="shared" si="376"/>
        <v>0</v>
      </c>
      <c r="AH244" s="74">
        <f t="shared" si="376"/>
        <v>0</v>
      </c>
      <c r="AI244" s="74">
        <f t="shared" si="376"/>
        <v>0</v>
      </c>
      <c r="AJ244" s="74">
        <f t="shared" si="376"/>
        <v>0</v>
      </c>
      <c r="AK244" s="74">
        <f t="shared" si="376"/>
        <v>0</v>
      </c>
      <c r="AL244" s="74">
        <f t="shared" si="376"/>
        <v>0</v>
      </c>
      <c r="AM244" s="74">
        <f t="shared" si="376"/>
        <v>0</v>
      </c>
      <c r="AN244" s="74">
        <f t="shared" si="376"/>
        <v>0</v>
      </c>
      <c r="AO244" s="74">
        <f t="shared" si="376"/>
        <v>0</v>
      </c>
      <c r="AP244" s="74">
        <f t="shared" si="376"/>
        <v>370585</v>
      </c>
      <c r="AQ244" s="74">
        <f t="shared" si="376"/>
        <v>370585</v>
      </c>
      <c r="AR244" s="74">
        <f t="shared" si="376"/>
        <v>125258</v>
      </c>
      <c r="AS244" s="74">
        <f t="shared" si="376"/>
        <v>3705</v>
      </c>
      <c r="AT244" s="74">
        <f t="shared" si="376"/>
        <v>0</v>
      </c>
      <c r="AU244" s="74">
        <f t="shared" si="376"/>
        <v>8003</v>
      </c>
      <c r="AV244" s="74">
        <f t="shared" si="376"/>
        <v>8003</v>
      </c>
      <c r="AW244" s="74">
        <f t="shared" si="376"/>
        <v>507551</v>
      </c>
      <c r="AX244" s="75">
        <f t="shared" si="376"/>
        <v>0</v>
      </c>
      <c r="AY244" s="75">
        <f t="shared" si="376"/>
        <v>0</v>
      </c>
      <c r="AZ244" s="75">
        <f t="shared" si="376"/>
        <v>0</v>
      </c>
      <c r="BA244" s="75">
        <f t="shared" si="376"/>
        <v>0</v>
      </c>
      <c r="BB244" s="75">
        <f t="shared" si="376"/>
        <v>1.1399999999999999</v>
      </c>
      <c r="BC244" s="75">
        <f t="shared" si="376"/>
        <v>0</v>
      </c>
      <c r="BD244" s="75">
        <f t="shared" si="376"/>
        <v>0</v>
      </c>
      <c r="BE244" s="75">
        <f t="shared" si="376"/>
        <v>0</v>
      </c>
      <c r="BF244" s="75">
        <f t="shared" si="376"/>
        <v>0</v>
      </c>
      <c r="BG244" s="75">
        <f t="shared" si="376"/>
        <v>1.1399999999999999</v>
      </c>
      <c r="BH244" s="76">
        <f t="shared" si="376"/>
        <v>1.1399999999999999</v>
      </c>
      <c r="BI244" s="799">
        <f t="shared" si="376"/>
        <v>61888162</v>
      </c>
      <c r="BJ244" s="74">
        <f t="shared" si="376"/>
        <v>45000325</v>
      </c>
      <c r="BK244" s="74">
        <f t="shared" si="376"/>
        <v>42038984</v>
      </c>
      <c r="BL244" s="74">
        <f t="shared" si="376"/>
        <v>2961341</v>
      </c>
      <c r="BM244" s="74">
        <f t="shared" si="376"/>
        <v>452000</v>
      </c>
      <c r="BN244" s="74">
        <f t="shared" si="376"/>
        <v>300000</v>
      </c>
      <c r="BO244" s="74">
        <f t="shared" si="376"/>
        <v>152000</v>
      </c>
      <c r="BP244" s="74">
        <f t="shared" si="376"/>
        <v>15352070</v>
      </c>
      <c r="BQ244" s="74">
        <f t="shared" si="376"/>
        <v>450005</v>
      </c>
      <c r="BR244" s="74">
        <f t="shared" si="376"/>
        <v>633762</v>
      </c>
      <c r="BS244" s="75">
        <f t="shared" si="376"/>
        <v>82.012599999999992</v>
      </c>
      <c r="BT244" s="75">
        <f t="shared" si="376"/>
        <v>72.959599999999995</v>
      </c>
      <c r="BU244" s="76">
        <f t="shared" si="376"/>
        <v>9.0530000000000008</v>
      </c>
      <c r="BV244" s="809">
        <f t="shared" ref="BV244:CA244" si="377">SUM(BV239:BV243)</f>
        <v>760272</v>
      </c>
      <c r="BW244" s="684">
        <f t="shared" si="377"/>
        <v>564000</v>
      </c>
      <c r="BX244" s="684">
        <f t="shared" si="377"/>
        <v>0</v>
      </c>
      <c r="BY244" s="684">
        <f t="shared" si="377"/>
        <v>190632</v>
      </c>
      <c r="BZ244" s="684">
        <f t="shared" si="377"/>
        <v>5640</v>
      </c>
      <c r="CA244" s="810">
        <f t="shared" si="377"/>
        <v>1</v>
      </c>
    </row>
    <row r="245" spans="1:79" ht="14.1" customHeight="1" x14ac:dyDescent="0.2">
      <c r="A245" s="66">
        <v>50</v>
      </c>
      <c r="B245" s="63">
        <v>2490</v>
      </c>
      <c r="C245" s="64">
        <v>600080005</v>
      </c>
      <c r="D245" s="63">
        <v>46746757</v>
      </c>
      <c r="E245" s="65" t="s">
        <v>635</v>
      </c>
      <c r="F245" s="66">
        <v>3113</v>
      </c>
      <c r="G245" s="65" t="s">
        <v>293</v>
      </c>
      <c r="H245" s="67" t="s">
        <v>271</v>
      </c>
      <c r="I245" s="420">
        <v>27224981</v>
      </c>
      <c r="J245" s="415">
        <v>19870795</v>
      </c>
      <c r="K245" s="415">
        <v>18513076</v>
      </c>
      <c r="L245" s="415">
        <v>1357719</v>
      </c>
      <c r="M245" s="415">
        <v>60000</v>
      </c>
      <c r="N245" s="415">
        <v>40000</v>
      </c>
      <c r="O245" s="415">
        <v>20000</v>
      </c>
      <c r="P245" s="599">
        <v>6736609</v>
      </c>
      <c r="Q245" s="599">
        <v>198708</v>
      </c>
      <c r="R245" s="415">
        <v>358869</v>
      </c>
      <c r="S245" s="416">
        <v>30.628</v>
      </c>
      <c r="T245" s="416">
        <v>26.6419</v>
      </c>
      <c r="U245" s="423">
        <v>3.9861</v>
      </c>
      <c r="V245" s="424">
        <f t="shared" si="317"/>
        <v>0</v>
      </c>
      <c r="W245" s="418">
        <f t="shared" si="318"/>
        <v>0</v>
      </c>
      <c r="X245" s="418">
        <v>0</v>
      </c>
      <c r="Y245" s="418">
        <v>0</v>
      </c>
      <c r="Z245" s="418">
        <v>0</v>
      </c>
      <c r="AA245" s="418">
        <v>0</v>
      </c>
      <c r="AB245" s="418">
        <v>0</v>
      </c>
      <c r="AC245" s="418">
        <v>0</v>
      </c>
      <c r="AD245" s="418">
        <f>V245+X245+Y245+Z245+AB245</f>
        <v>0</v>
      </c>
      <c r="AE245" s="418">
        <f>W245+AA245+AC245</f>
        <v>0</v>
      </c>
      <c r="AF245" s="418">
        <f t="shared" si="319"/>
        <v>0</v>
      </c>
      <c r="AG245" s="418">
        <v>0</v>
      </c>
      <c r="AH245" s="418">
        <v>0</v>
      </c>
      <c r="AI245" s="418">
        <v>0</v>
      </c>
      <c r="AJ245" s="418">
        <v>0</v>
      </c>
      <c r="AK245" s="418">
        <v>0</v>
      </c>
      <c r="AL245" s="418">
        <f t="shared" si="320"/>
        <v>0</v>
      </c>
      <c r="AM245" s="418">
        <f t="shared" si="321"/>
        <v>0</v>
      </c>
      <c r="AN245" s="418">
        <f t="shared" si="322"/>
        <v>0</v>
      </c>
      <c r="AO245" s="418">
        <f t="shared" si="323"/>
        <v>0</v>
      </c>
      <c r="AP245" s="418">
        <f t="shared" si="324"/>
        <v>0</v>
      </c>
      <c r="AQ245" s="418">
        <f t="shared" si="325"/>
        <v>0</v>
      </c>
      <c r="AR245" s="68">
        <f t="shared" si="326"/>
        <v>0</v>
      </c>
      <c r="AS245" s="68">
        <f t="shared" si="327"/>
        <v>0</v>
      </c>
      <c r="AT245" s="418">
        <v>0</v>
      </c>
      <c r="AU245" s="418">
        <v>0</v>
      </c>
      <c r="AV245" s="418">
        <f t="shared" si="328"/>
        <v>0</v>
      </c>
      <c r="AW245" s="418">
        <f t="shared" si="329"/>
        <v>0</v>
      </c>
      <c r="AX245" s="419">
        <v>0</v>
      </c>
      <c r="AY245" s="419">
        <v>0</v>
      </c>
      <c r="AZ245" s="419">
        <v>0</v>
      </c>
      <c r="BA245" s="419">
        <v>0</v>
      </c>
      <c r="BB245" s="419">
        <v>0</v>
      </c>
      <c r="BC245" s="419">
        <v>0</v>
      </c>
      <c r="BD245" s="419">
        <v>0</v>
      </c>
      <c r="BE245" s="419">
        <v>0</v>
      </c>
      <c r="BF245" s="419">
        <f t="shared" si="330"/>
        <v>0</v>
      </c>
      <c r="BG245" s="419">
        <f t="shared" si="331"/>
        <v>0</v>
      </c>
      <c r="BH245" s="421">
        <f t="shared" si="332"/>
        <v>0</v>
      </c>
      <c r="BI245" s="780">
        <f>I245+AW245</f>
        <v>27224981</v>
      </c>
      <c r="BJ245" s="418">
        <f>J245+AF245</f>
        <v>19870795</v>
      </c>
      <c r="BK245" s="418">
        <f t="shared" ref="BK245:BL249" si="378">K245+AD245</f>
        <v>18513076</v>
      </c>
      <c r="BL245" s="418">
        <f t="shared" si="378"/>
        <v>1357719</v>
      </c>
      <c r="BM245" s="418">
        <f>M245+AN245</f>
        <v>60000</v>
      </c>
      <c r="BN245" s="418">
        <f t="shared" ref="BN245:BO249" si="379">N245+AL245</f>
        <v>40000</v>
      </c>
      <c r="BO245" s="418">
        <f t="shared" si="379"/>
        <v>20000</v>
      </c>
      <c r="BP245" s="418">
        <f t="shared" ref="BP245:BQ249" si="380">P245+AR245</f>
        <v>6736609</v>
      </c>
      <c r="BQ245" s="418">
        <f t="shared" si="380"/>
        <v>198708</v>
      </c>
      <c r="BR245" s="418">
        <f>R245+AV245</f>
        <v>358869</v>
      </c>
      <c r="BS245" s="419">
        <f>S245+BH245</f>
        <v>30.628</v>
      </c>
      <c r="BT245" s="419">
        <f t="shared" ref="BT245:BU249" si="381">T245+BF245</f>
        <v>26.6419</v>
      </c>
      <c r="BU245" s="421">
        <f t="shared" si="381"/>
        <v>3.9861</v>
      </c>
      <c r="BV245" s="420"/>
      <c r="BW245" s="415"/>
      <c r="BX245" s="415"/>
      <c r="BY245" s="415"/>
      <c r="BZ245" s="415"/>
      <c r="CA245" s="510"/>
    </row>
    <row r="246" spans="1:79" ht="14.1" customHeight="1" x14ac:dyDescent="0.2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635</v>
      </c>
      <c r="F246" s="66">
        <v>3113</v>
      </c>
      <c r="G246" s="77" t="s">
        <v>291</v>
      </c>
      <c r="H246" s="67" t="s">
        <v>272</v>
      </c>
      <c r="I246" s="420">
        <v>2566990</v>
      </c>
      <c r="J246" s="415">
        <v>1899659</v>
      </c>
      <c r="K246" s="415">
        <v>1899659</v>
      </c>
      <c r="L246" s="415">
        <v>0</v>
      </c>
      <c r="M246" s="415">
        <v>0</v>
      </c>
      <c r="N246" s="415">
        <v>0</v>
      </c>
      <c r="O246" s="415">
        <v>0</v>
      </c>
      <c r="P246" s="599">
        <v>642084</v>
      </c>
      <c r="Q246" s="599">
        <v>18997</v>
      </c>
      <c r="R246" s="415">
        <v>6250</v>
      </c>
      <c r="S246" s="416">
        <v>5.0000000000000009</v>
      </c>
      <c r="T246" s="417">
        <v>5.0000000000000009</v>
      </c>
      <c r="U246" s="423">
        <v>0</v>
      </c>
      <c r="V246" s="424">
        <f t="shared" si="317"/>
        <v>0</v>
      </c>
      <c r="W246" s="418">
        <f t="shared" si="318"/>
        <v>0</v>
      </c>
      <c r="X246" s="418">
        <v>0</v>
      </c>
      <c r="Y246" s="418">
        <v>0</v>
      </c>
      <c r="Z246" s="418">
        <v>0</v>
      </c>
      <c r="AA246" s="418">
        <v>0</v>
      </c>
      <c r="AB246" s="418">
        <v>0</v>
      </c>
      <c r="AC246" s="418">
        <v>0</v>
      </c>
      <c r="AD246" s="418">
        <f>V246+X246+Y246+Z246+AB246</f>
        <v>0</v>
      </c>
      <c r="AE246" s="418">
        <f>W246+AA246+AC246</f>
        <v>0</v>
      </c>
      <c r="AF246" s="418">
        <f t="shared" si="319"/>
        <v>0</v>
      </c>
      <c r="AG246" s="418">
        <v>0</v>
      </c>
      <c r="AH246" s="418">
        <v>0</v>
      </c>
      <c r="AI246" s="418">
        <v>0</v>
      </c>
      <c r="AJ246" s="418">
        <v>0</v>
      </c>
      <c r="AK246" s="418">
        <v>0</v>
      </c>
      <c r="AL246" s="418">
        <f t="shared" si="320"/>
        <v>0</v>
      </c>
      <c r="AM246" s="418">
        <f t="shared" si="321"/>
        <v>0</v>
      </c>
      <c r="AN246" s="418">
        <f t="shared" si="322"/>
        <v>0</v>
      </c>
      <c r="AO246" s="418">
        <f t="shared" si="323"/>
        <v>0</v>
      </c>
      <c r="AP246" s="418">
        <f t="shared" si="324"/>
        <v>0</v>
      </c>
      <c r="AQ246" s="418">
        <f t="shared" si="325"/>
        <v>0</v>
      </c>
      <c r="AR246" s="68">
        <f t="shared" si="326"/>
        <v>0</v>
      </c>
      <c r="AS246" s="68">
        <f t="shared" si="327"/>
        <v>0</v>
      </c>
      <c r="AT246" s="418">
        <v>0</v>
      </c>
      <c r="AU246" s="418">
        <v>0</v>
      </c>
      <c r="AV246" s="418">
        <f t="shared" si="328"/>
        <v>0</v>
      </c>
      <c r="AW246" s="418">
        <f t="shared" si="329"/>
        <v>0</v>
      </c>
      <c r="AX246" s="419">
        <v>0</v>
      </c>
      <c r="AY246" s="419">
        <v>0</v>
      </c>
      <c r="AZ246" s="419">
        <v>0</v>
      </c>
      <c r="BA246" s="419">
        <v>0</v>
      </c>
      <c r="BB246" s="419">
        <v>0</v>
      </c>
      <c r="BC246" s="419">
        <v>0</v>
      </c>
      <c r="BD246" s="419">
        <v>0</v>
      </c>
      <c r="BE246" s="419">
        <v>0</v>
      </c>
      <c r="BF246" s="419">
        <f t="shared" si="330"/>
        <v>0</v>
      </c>
      <c r="BG246" s="419">
        <f t="shared" si="331"/>
        <v>0</v>
      </c>
      <c r="BH246" s="421">
        <f t="shared" si="332"/>
        <v>0</v>
      </c>
      <c r="BI246" s="780">
        <f>I246+AW246</f>
        <v>2566990</v>
      </c>
      <c r="BJ246" s="418">
        <f>J246+AF246</f>
        <v>1899659</v>
      </c>
      <c r="BK246" s="418">
        <f t="shared" si="378"/>
        <v>1899659</v>
      </c>
      <c r="BL246" s="418">
        <f t="shared" si="378"/>
        <v>0</v>
      </c>
      <c r="BM246" s="418">
        <f>M246+AN246</f>
        <v>0</v>
      </c>
      <c r="BN246" s="418">
        <f t="shared" si="379"/>
        <v>0</v>
      </c>
      <c r="BO246" s="418">
        <f t="shared" si="379"/>
        <v>0</v>
      </c>
      <c r="BP246" s="418">
        <f t="shared" si="380"/>
        <v>642084</v>
      </c>
      <c r="BQ246" s="418">
        <f t="shared" si="380"/>
        <v>18997</v>
      </c>
      <c r="BR246" s="418">
        <f>R246+AV246</f>
        <v>6250</v>
      </c>
      <c r="BS246" s="419">
        <f>S246+BH246</f>
        <v>5.0000000000000009</v>
      </c>
      <c r="BT246" s="419">
        <f t="shared" si="381"/>
        <v>5.0000000000000009</v>
      </c>
      <c r="BU246" s="421">
        <f t="shared" si="381"/>
        <v>0</v>
      </c>
      <c r="BV246" s="420"/>
      <c r="BW246" s="415"/>
      <c r="BX246" s="415"/>
      <c r="BY246" s="415"/>
      <c r="BZ246" s="415"/>
      <c r="CA246" s="510"/>
    </row>
    <row r="247" spans="1:79" ht="14.1" customHeight="1" x14ac:dyDescent="0.2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635</v>
      </c>
      <c r="F247" s="66">
        <v>3141</v>
      </c>
      <c r="G247" s="65" t="s">
        <v>294</v>
      </c>
      <c r="H247" s="67" t="s">
        <v>272</v>
      </c>
      <c r="I247" s="420">
        <v>1370745</v>
      </c>
      <c r="J247" s="415">
        <v>1009344</v>
      </c>
      <c r="K247" s="415">
        <v>0</v>
      </c>
      <c r="L247" s="750">
        <v>1009344</v>
      </c>
      <c r="M247" s="415">
        <v>0</v>
      </c>
      <c r="N247" s="204">
        <v>0</v>
      </c>
      <c r="O247" s="204">
        <v>0</v>
      </c>
      <c r="P247" s="599">
        <v>341158</v>
      </c>
      <c r="Q247" s="599">
        <v>10093</v>
      </c>
      <c r="R247" s="605">
        <v>10150</v>
      </c>
      <c r="S247" s="416">
        <v>3.0266999999999999</v>
      </c>
      <c r="T247" s="607">
        <v>0</v>
      </c>
      <c r="U247" s="737">
        <v>3.0266999999999999</v>
      </c>
      <c r="V247" s="424">
        <f t="shared" si="317"/>
        <v>0</v>
      </c>
      <c r="W247" s="418">
        <f t="shared" si="318"/>
        <v>0</v>
      </c>
      <c r="X247" s="418">
        <v>0</v>
      </c>
      <c r="Y247" s="418">
        <v>0</v>
      </c>
      <c r="Z247" s="418">
        <v>0</v>
      </c>
      <c r="AA247" s="418">
        <v>506005</v>
      </c>
      <c r="AB247" s="418">
        <v>0</v>
      </c>
      <c r="AC247" s="418">
        <v>0</v>
      </c>
      <c r="AD247" s="418">
        <f>V247+X247+Y247+Z247+AB247</f>
        <v>0</v>
      </c>
      <c r="AE247" s="418">
        <f>W247+AA247+AC247</f>
        <v>506005</v>
      </c>
      <c r="AF247" s="418">
        <f t="shared" si="319"/>
        <v>506005</v>
      </c>
      <c r="AG247" s="418">
        <v>0</v>
      </c>
      <c r="AH247" s="418">
        <v>0</v>
      </c>
      <c r="AI247" s="418">
        <v>0</v>
      </c>
      <c r="AJ247" s="418">
        <v>0</v>
      </c>
      <c r="AK247" s="418">
        <v>0</v>
      </c>
      <c r="AL247" s="418">
        <f t="shared" si="320"/>
        <v>0</v>
      </c>
      <c r="AM247" s="418">
        <f t="shared" si="321"/>
        <v>0</v>
      </c>
      <c r="AN247" s="418">
        <f t="shared" si="322"/>
        <v>0</v>
      </c>
      <c r="AO247" s="418">
        <f t="shared" si="323"/>
        <v>0</v>
      </c>
      <c r="AP247" s="418">
        <f t="shared" si="324"/>
        <v>506005</v>
      </c>
      <c r="AQ247" s="418">
        <f t="shared" si="325"/>
        <v>506005</v>
      </c>
      <c r="AR247" s="68">
        <f t="shared" si="326"/>
        <v>171030</v>
      </c>
      <c r="AS247" s="68">
        <f t="shared" si="327"/>
        <v>5060</v>
      </c>
      <c r="AT247" s="418">
        <v>0</v>
      </c>
      <c r="AU247" s="418">
        <v>4930</v>
      </c>
      <c r="AV247" s="418">
        <f t="shared" si="328"/>
        <v>4930</v>
      </c>
      <c r="AW247" s="418">
        <f t="shared" si="329"/>
        <v>687025</v>
      </c>
      <c r="AX247" s="419">
        <v>0</v>
      </c>
      <c r="AY247" s="419">
        <v>0</v>
      </c>
      <c r="AZ247" s="419">
        <v>0</v>
      </c>
      <c r="BA247" s="419">
        <v>0</v>
      </c>
      <c r="BB247" s="419">
        <v>1.51</v>
      </c>
      <c r="BC247" s="419">
        <v>0</v>
      </c>
      <c r="BD247" s="419">
        <v>0</v>
      </c>
      <c r="BE247" s="419">
        <v>0</v>
      </c>
      <c r="BF247" s="419">
        <f t="shared" si="330"/>
        <v>0</v>
      </c>
      <c r="BG247" s="419">
        <f t="shared" si="331"/>
        <v>1.51</v>
      </c>
      <c r="BH247" s="421">
        <f t="shared" si="332"/>
        <v>1.51</v>
      </c>
      <c r="BI247" s="780">
        <f>I247+AW247</f>
        <v>2057770</v>
      </c>
      <c r="BJ247" s="418">
        <f>J247+AF247</f>
        <v>1515349</v>
      </c>
      <c r="BK247" s="418">
        <f t="shared" si="378"/>
        <v>0</v>
      </c>
      <c r="BL247" s="418">
        <f t="shared" si="378"/>
        <v>1515349</v>
      </c>
      <c r="BM247" s="418">
        <f>M247+AN247</f>
        <v>0</v>
      </c>
      <c r="BN247" s="418">
        <f t="shared" si="379"/>
        <v>0</v>
      </c>
      <c r="BO247" s="418">
        <f t="shared" si="379"/>
        <v>0</v>
      </c>
      <c r="BP247" s="418">
        <f t="shared" si="380"/>
        <v>512188</v>
      </c>
      <c r="BQ247" s="418">
        <f t="shared" si="380"/>
        <v>15153</v>
      </c>
      <c r="BR247" s="418">
        <f>R247+AV247</f>
        <v>15080</v>
      </c>
      <c r="BS247" s="419">
        <f>S247+BH247</f>
        <v>4.5366999999999997</v>
      </c>
      <c r="BT247" s="419">
        <f t="shared" si="381"/>
        <v>0</v>
      </c>
      <c r="BU247" s="421">
        <f t="shared" si="381"/>
        <v>4.5366999999999997</v>
      </c>
      <c r="BV247" s="420"/>
      <c r="BW247" s="415"/>
      <c r="BX247" s="415"/>
      <c r="BY247" s="415"/>
      <c r="BZ247" s="415"/>
      <c r="CA247" s="510"/>
    </row>
    <row r="248" spans="1:79" ht="14.1" customHeight="1" x14ac:dyDescent="0.2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635</v>
      </c>
      <c r="F248" s="66">
        <v>3143</v>
      </c>
      <c r="G248" s="77" t="s">
        <v>595</v>
      </c>
      <c r="H248" s="67" t="s">
        <v>271</v>
      </c>
      <c r="I248" s="420">
        <v>2570725</v>
      </c>
      <c r="J248" s="415">
        <v>1907066</v>
      </c>
      <c r="K248" s="415">
        <v>1907066</v>
      </c>
      <c r="L248" s="415">
        <v>0</v>
      </c>
      <c r="M248" s="415">
        <v>0</v>
      </c>
      <c r="N248" s="415">
        <v>0</v>
      </c>
      <c r="O248" s="415">
        <v>0</v>
      </c>
      <c r="P248" s="599">
        <v>644588</v>
      </c>
      <c r="Q248" s="599">
        <v>19071</v>
      </c>
      <c r="R248" s="415">
        <v>0</v>
      </c>
      <c r="S248" s="416">
        <v>3.65</v>
      </c>
      <c r="T248" s="416">
        <v>3.65</v>
      </c>
      <c r="U248" s="423">
        <v>0</v>
      </c>
      <c r="V248" s="424">
        <f t="shared" si="317"/>
        <v>0</v>
      </c>
      <c r="W248" s="418">
        <f t="shared" si="318"/>
        <v>0</v>
      </c>
      <c r="X248" s="418">
        <v>0</v>
      </c>
      <c r="Y248" s="418">
        <v>0</v>
      </c>
      <c r="Z248" s="418">
        <v>0</v>
      </c>
      <c r="AA248" s="418">
        <v>0</v>
      </c>
      <c r="AB248" s="418">
        <v>0</v>
      </c>
      <c r="AC248" s="418">
        <v>0</v>
      </c>
      <c r="AD248" s="418">
        <f>V248+X248+Y248+Z248+AB248</f>
        <v>0</v>
      </c>
      <c r="AE248" s="418">
        <f>W248+AA248+AC248</f>
        <v>0</v>
      </c>
      <c r="AF248" s="418">
        <f t="shared" si="319"/>
        <v>0</v>
      </c>
      <c r="AG248" s="418">
        <v>0</v>
      </c>
      <c r="AH248" s="418">
        <v>0</v>
      </c>
      <c r="AI248" s="418">
        <v>0</v>
      </c>
      <c r="AJ248" s="418">
        <v>0</v>
      </c>
      <c r="AK248" s="418">
        <v>0</v>
      </c>
      <c r="AL248" s="418">
        <f t="shared" si="320"/>
        <v>0</v>
      </c>
      <c r="AM248" s="418">
        <f t="shared" si="321"/>
        <v>0</v>
      </c>
      <c r="AN248" s="418">
        <f t="shared" si="322"/>
        <v>0</v>
      </c>
      <c r="AO248" s="418">
        <f t="shared" si="323"/>
        <v>0</v>
      </c>
      <c r="AP248" s="418">
        <f t="shared" si="324"/>
        <v>0</v>
      </c>
      <c r="AQ248" s="418">
        <f t="shared" si="325"/>
        <v>0</v>
      </c>
      <c r="AR248" s="68">
        <f t="shared" si="326"/>
        <v>0</v>
      </c>
      <c r="AS248" s="68">
        <f t="shared" si="327"/>
        <v>0</v>
      </c>
      <c r="AT248" s="418">
        <v>0</v>
      </c>
      <c r="AU248" s="418">
        <v>0</v>
      </c>
      <c r="AV248" s="418">
        <f t="shared" si="328"/>
        <v>0</v>
      </c>
      <c r="AW248" s="418">
        <f t="shared" si="329"/>
        <v>0</v>
      </c>
      <c r="AX248" s="419">
        <v>0</v>
      </c>
      <c r="AY248" s="419">
        <v>0</v>
      </c>
      <c r="AZ248" s="419">
        <v>0</v>
      </c>
      <c r="BA248" s="419">
        <v>0</v>
      </c>
      <c r="BB248" s="419">
        <v>0</v>
      </c>
      <c r="BC248" s="419">
        <v>0</v>
      </c>
      <c r="BD248" s="419">
        <v>0</v>
      </c>
      <c r="BE248" s="419">
        <v>0</v>
      </c>
      <c r="BF248" s="419">
        <f t="shared" si="330"/>
        <v>0</v>
      </c>
      <c r="BG248" s="419">
        <f t="shared" si="331"/>
        <v>0</v>
      </c>
      <c r="BH248" s="421">
        <f t="shared" si="332"/>
        <v>0</v>
      </c>
      <c r="BI248" s="780">
        <f>I248+AW248</f>
        <v>2570725</v>
      </c>
      <c r="BJ248" s="418">
        <f>J248+AF248</f>
        <v>1907066</v>
      </c>
      <c r="BK248" s="418">
        <f t="shared" si="378"/>
        <v>1907066</v>
      </c>
      <c r="BL248" s="418">
        <f t="shared" si="378"/>
        <v>0</v>
      </c>
      <c r="BM248" s="418">
        <f>M248+AN248</f>
        <v>0</v>
      </c>
      <c r="BN248" s="418">
        <f t="shared" si="379"/>
        <v>0</v>
      </c>
      <c r="BO248" s="418">
        <f t="shared" si="379"/>
        <v>0</v>
      </c>
      <c r="BP248" s="418">
        <f t="shared" si="380"/>
        <v>644588</v>
      </c>
      <c r="BQ248" s="418">
        <f t="shared" si="380"/>
        <v>19071</v>
      </c>
      <c r="BR248" s="418">
        <f>R248+AV248</f>
        <v>0</v>
      </c>
      <c r="BS248" s="419">
        <f>S248+BH248</f>
        <v>3.65</v>
      </c>
      <c r="BT248" s="419">
        <f t="shared" si="381"/>
        <v>3.65</v>
      </c>
      <c r="BU248" s="421">
        <f t="shared" si="381"/>
        <v>0</v>
      </c>
      <c r="BV248" s="420"/>
      <c r="BW248" s="415"/>
      <c r="BX248" s="415"/>
      <c r="BY248" s="415"/>
      <c r="BZ248" s="415"/>
      <c r="CA248" s="510"/>
    </row>
    <row r="249" spans="1:79" ht="14.1" customHeight="1" x14ac:dyDescent="0.2">
      <c r="A249" s="66">
        <v>50</v>
      </c>
      <c r="B249" s="63">
        <v>2490</v>
      </c>
      <c r="C249" s="64">
        <v>600080005</v>
      </c>
      <c r="D249" s="63">
        <v>46746757</v>
      </c>
      <c r="E249" s="65" t="s">
        <v>635</v>
      </c>
      <c r="F249" s="66">
        <v>3143</v>
      </c>
      <c r="G249" s="77" t="s">
        <v>596</v>
      </c>
      <c r="H249" s="67" t="s">
        <v>272</v>
      </c>
      <c r="I249" s="420">
        <v>61484</v>
      </c>
      <c r="J249" s="415">
        <v>44009</v>
      </c>
      <c r="K249" s="415">
        <v>0</v>
      </c>
      <c r="L249" s="605">
        <v>44009</v>
      </c>
      <c r="M249" s="415">
        <v>0</v>
      </c>
      <c r="N249" s="415">
        <v>0</v>
      </c>
      <c r="O249" s="415">
        <v>0</v>
      </c>
      <c r="P249" s="599">
        <v>14875</v>
      </c>
      <c r="Q249" s="599">
        <v>440</v>
      </c>
      <c r="R249" s="606">
        <v>2160</v>
      </c>
      <c r="S249" s="416">
        <v>0.16669999999999999</v>
      </c>
      <c r="T249" s="609">
        <v>0</v>
      </c>
      <c r="U249" s="737">
        <v>0.16669999999999999</v>
      </c>
      <c r="V249" s="424">
        <f t="shared" si="317"/>
        <v>0</v>
      </c>
      <c r="W249" s="418">
        <f t="shared" si="318"/>
        <v>0</v>
      </c>
      <c r="X249" s="418">
        <v>0</v>
      </c>
      <c r="Y249" s="418">
        <v>0</v>
      </c>
      <c r="Z249" s="418">
        <v>0</v>
      </c>
      <c r="AA249" s="418">
        <v>21991</v>
      </c>
      <c r="AB249" s="418">
        <v>0</v>
      </c>
      <c r="AC249" s="418">
        <v>0</v>
      </c>
      <c r="AD249" s="418">
        <f>V249+X249+Y249+Z249+AB249</f>
        <v>0</v>
      </c>
      <c r="AE249" s="418">
        <f>W249+AA249+AC249</f>
        <v>21991</v>
      </c>
      <c r="AF249" s="418">
        <f t="shared" si="319"/>
        <v>21991</v>
      </c>
      <c r="AG249" s="418">
        <v>0</v>
      </c>
      <c r="AH249" s="418">
        <v>0</v>
      </c>
      <c r="AI249" s="418">
        <v>0</v>
      </c>
      <c r="AJ249" s="418">
        <v>0</v>
      </c>
      <c r="AK249" s="418">
        <v>0</v>
      </c>
      <c r="AL249" s="418">
        <f t="shared" si="320"/>
        <v>0</v>
      </c>
      <c r="AM249" s="418">
        <f t="shared" si="321"/>
        <v>0</v>
      </c>
      <c r="AN249" s="418">
        <f t="shared" si="322"/>
        <v>0</v>
      </c>
      <c r="AO249" s="418">
        <f t="shared" si="323"/>
        <v>0</v>
      </c>
      <c r="AP249" s="418">
        <f t="shared" si="324"/>
        <v>21991</v>
      </c>
      <c r="AQ249" s="418">
        <f t="shared" si="325"/>
        <v>21991</v>
      </c>
      <c r="AR249" s="68">
        <f t="shared" si="326"/>
        <v>7433</v>
      </c>
      <c r="AS249" s="68">
        <f t="shared" si="327"/>
        <v>220</v>
      </c>
      <c r="AT249" s="418">
        <v>0</v>
      </c>
      <c r="AU249" s="418">
        <v>1080</v>
      </c>
      <c r="AV249" s="418">
        <f t="shared" si="328"/>
        <v>1080</v>
      </c>
      <c r="AW249" s="418">
        <f t="shared" si="329"/>
        <v>30724</v>
      </c>
      <c r="AX249" s="419">
        <v>0</v>
      </c>
      <c r="AY249" s="419">
        <v>0</v>
      </c>
      <c r="AZ249" s="419">
        <v>0</v>
      </c>
      <c r="BA249" s="419">
        <v>0</v>
      </c>
      <c r="BB249" s="419">
        <v>0.08</v>
      </c>
      <c r="BC249" s="419">
        <v>0</v>
      </c>
      <c r="BD249" s="419">
        <v>0</v>
      </c>
      <c r="BE249" s="419">
        <v>0</v>
      </c>
      <c r="BF249" s="419">
        <f t="shared" si="330"/>
        <v>0</v>
      </c>
      <c r="BG249" s="419">
        <f t="shared" si="331"/>
        <v>0.08</v>
      </c>
      <c r="BH249" s="421">
        <f t="shared" si="332"/>
        <v>0.08</v>
      </c>
      <c r="BI249" s="780">
        <f>I249+AW249</f>
        <v>92208</v>
      </c>
      <c r="BJ249" s="418">
        <f>J249+AF249</f>
        <v>66000</v>
      </c>
      <c r="BK249" s="418">
        <f t="shared" si="378"/>
        <v>0</v>
      </c>
      <c r="BL249" s="418">
        <f t="shared" si="378"/>
        <v>66000</v>
      </c>
      <c r="BM249" s="418">
        <f>M249+AN249</f>
        <v>0</v>
      </c>
      <c r="BN249" s="418">
        <f t="shared" si="379"/>
        <v>0</v>
      </c>
      <c r="BO249" s="418">
        <f t="shared" si="379"/>
        <v>0</v>
      </c>
      <c r="BP249" s="418">
        <f t="shared" si="380"/>
        <v>22308</v>
      </c>
      <c r="BQ249" s="418">
        <f t="shared" si="380"/>
        <v>660</v>
      </c>
      <c r="BR249" s="418">
        <f>R249+AV249</f>
        <v>3240</v>
      </c>
      <c r="BS249" s="419">
        <f>S249+BH249</f>
        <v>0.24669999999999997</v>
      </c>
      <c r="BT249" s="419">
        <f t="shared" si="381"/>
        <v>0</v>
      </c>
      <c r="BU249" s="421">
        <f t="shared" si="381"/>
        <v>0.24669999999999997</v>
      </c>
      <c r="BV249" s="420"/>
      <c r="BW249" s="415"/>
      <c r="BX249" s="415"/>
      <c r="BY249" s="415"/>
      <c r="BZ249" s="415"/>
      <c r="CA249" s="510"/>
    </row>
    <row r="250" spans="1:79" ht="14.1" customHeight="1" x14ac:dyDescent="0.2">
      <c r="A250" s="72">
        <v>50</v>
      </c>
      <c r="B250" s="69">
        <v>2490</v>
      </c>
      <c r="C250" s="70">
        <v>600080005</v>
      </c>
      <c r="D250" s="69">
        <v>46746757</v>
      </c>
      <c r="E250" s="71" t="s">
        <v>636</v>
      </c>
      <c r="F250" s="72"/>
      <c r="G250" s="71"/>
      <c r="H250" s="73"/>
      <c r="I250" s="517">
        <v>33794925</v>
      </c>
      <c r="J250" s="74">
        <v>24730873</v>
      </c>
      <c r="K250" s="74">
        <v>22319801</v>
      </c>
      <c r="L250" s="74">
        <v>2411072</v>
      </c>
      <c r="M250" s="74">
        <v>60000</v>
      </c>
      <c r="N250" s="74">
        <v>40000</v>
      </c>
      <c r="O250" s="74">
        <v>20000</v>
      </c>
      <c r="P250" s="74">
        <v>8379314</v>
      </c>
      <c r="Q250" s="74">
        <v>247309</v>
      </c>
      <c r="R250" s="74">
        <v>377429</v>
      </c>
      <c r="S250" s="75">
        <v>42.471399999999996</v>
      </c>
      <c r="T250" s="75">
        <v>35.291899999999998</v>
      </c>
      <c r="U250" s="658">
        <v>7.1795</v>
      </c>
      <c r="V250" s="517">
        <f t="shared" ref="V250:BU250" si="382">SUM(V245:V249)</f>
        <v>0</v>
      </c>
      <c r="W250" s="74">
        <f t="shared" si="382"/>
        <v>0</v>
      </c>
      <c r="X250" s="74">
        <f t="shared" si="382"/>
        <v>0</v>
      </c>
      <c r="Y250" s="74">
        <f t="shared" si="382"/>
        <v>0</v>
      </c>
      <c r="Z250" s="74">
        <f t="shared" si="382"/>
        <v>0</v>
      </c>
      <c r="AA250" s="74">
        <f t="shared" si="382"/>
        <v>527996</v>
      </c>
      <c r="AB250" s="74">
        <f t="shared" si="382"/>
        <v>0</v>
      </c>
      <c r="AC250" s="74">
        <f t="shared" si="382"/>
        <v>0</v>
      </c>
      <c r="AD250" s="74">
        <f t="shared" si="382"/>
        <v>0</v>
      </c>
      <c r="AE250" s="74">
        <f t="shared" si="382"/>
        <v>527996</v>
      </c>
      <c r="AF250" s="74">
        <f t="shared" si="382"/>
        <v>527996</v>
      </c>
      <c r="AG250" s="74">
        <f t="shared" si="382"/>
        <v>0</v>
      </c>
      <c r="AH250" s="74">
        <f t="shared" si="382"/>
        <v>0</v>
      </c>
      <c r="AI250" s="74">
        <f t="shared" si="382"/>
        <v>0</v>
      </c>
      <c r="AJ250" s="74">
        <f t="shared" si="382"/>
        <v>0</v>
      </c>
      <c r="AK250" s="74">
        <f t="shared" si="382"/>
        <v>0</v>
      </c>
      <c r="AL250" s="74">
        <f t="shared" si="382"/>
        <v>0</v>
      </c>
      <c r="AM250" s="74">
        <f t="shared" si="382"/>
        <v>0</v>
      </c>
      <c r="AN250" s="74">
        <f t="shared" si="382"/>
        <v>0</v>
      </c>
      <c r="AO250" s="74">
        <f t="shared" si="382"/>
        <v>0</v>
      </c>
      <c r="AP250" s="74">
        <f t="shared" si="382"/>
        <v>527996</v>
      </c>
      <c r="AQ250" s="74">
        <f t="shared" si="382"/>
        <v>527996</v>
      </c>
      <c r="AR250" s="74">
        <f t="shared" si="382"/>
        <v>178463</v>
      </c>
      <c r="AS250" s="74">
        <f t="shared" si="382"/>
        <v>5280</v>
      </c>
      <c r="AT250" s="74">
        <f t="shared" si="382"/>
        <v>0</v>
      </c>
      <c r="AU250" s="74">
        <f t="shared" si="382"/>
        <v>6010</v>
      </c>
      <c r="AV250" s="74">
        <f t="shared" si="382"/>
        <v>6010</v>
      </c>
      <c r="AW250" s="74">
        <f t="shared" si="382"/>
        <v>717749</v>
      </c>
      <c r="AX250" s="75">
        <f t="shared" si="382"/>
        <v>0</v>
      </c>
      <c r="AY250" s="75">
        <f t="shared" si="382"/>
        <v>0</v>
      </c>
      <c r="AZ250" s="75">
        <f t="shared" si="382"/>
        <v>0</v>
      </c>
      <c r="BA250" s="75">
        <f t="shared" si="382"/>
        <v>0</v>
      </c>
      <c r="BB250" s="75">
        <f t="shared" si="382"/>
        <v>1.59</v>
      </c>
      <c r="BC250" s="75">
        <f t="shared" si="382"/>
        <v>0</v>
      </c>
      <c r="BD250" s="75">
        <f t="shared" si="382"/>
        <v>0</v>
      </c>
      <c r="BE250" s="75">
        <f t="shared" si="382"/>
        <v>0</v>
      </c>
      <c r="BF250" s="75">
        <f t="shared" si="382"/>
        <v>0</v>
      </c>
      <c r="BG250" s="75">
        <f t="shared" si="382"/>
        <v>1.59</v>
      </c>
      <c r="BH250" s="76">
        <f t="shared" si="382"/>
        <v>1.59</v>
      </c>
      <c r="BI250" s="799">
        <f t="shared" si="382"/>
        <v>34512674</v>
      </c>
      <c r="BJ250" s="74">
        <f t="shared" si="382"/>
        <v>25258869</v>
      </c>
      <c r="BK250" s="74">
        <f t="shared" si="382"/>
        <v>22319801</v>
      </c>
      <c r="BL250" s="74">
        <f t="shared" si="382"/>
        <v>2939068</v>
      </c>
      <c r="BM250" s="74">
        <f t="shared" si="382"/>
        <v>60000</v>
      </c>
      <c r="BN250" s="74">
        <f t="shared" si="382"/>
        <v>40000</v>
      </c>
      <c r="BO250" s="74">
        <f t="shared" si="382"/>
        <v>20000</v>
      </c>
      <c r="BP250" s="74">
        <f t="shared" si="382"/>
        <v>8557777</v>
      </c>
      <c r="BQ250" s="74">
        <f t="shared" si="382"/>
        <v>252589</v>
      </c>
      <c r="BR250" s="74">
        <f t="shared" si="382"/>
        <v>383439</v>
      </c>
      <c r="BS250" s="75">
        <f t="shared" si="382"/>
        <v>44.061399999999992</v>
      </c>
      <c r="BT250" s="75">
        <f t="shared" si="382"/>
        <v>35.291899999999998</v>
      </c>
      <c r="BU250" s="76">
        <f t="shared" si="382"/>
        <v>8.7695000000000007</v>
      </c>
      <c r="BV250" s="809">
        <f t="shared" ref="BV250:CA250" si="383">SUM(BV245:BV249)</f>
        <v>0</v>
      </c>
      <c r="BW250" s="684">
        <f t="shared" si="383"/>
        <v>0</v>
      </c>
      <c r="BX250" s="684">
        <f t="shared" si="383"/>
        <v>0</v>
      </c>
      <c r="BY250" s="684">
        <f t="shared" si="383"/>
        <v>0</v>
      </c>
      <c r="BZ250" s="684">
        <f t="shared" si="383"/>
        <v>0</v>
      </c>
      <c r="CA250" s="810">
        <f t="shared" si="383"/>
        <v>0</v>
      </c>
    </row>
    <row r="251" spans="1:79" ht="14.1" customHeight="1" x14ac:dyDescent="0.2">
      <c r="A251" s="66">
        <v>51</v>
      </c>
      <c r="B251" s="63">
        <v>2310</v>
      </c>
      <c r="C251" s="64">
        <v>600080412</v>
      </c>
      <c r="D251" s="63">
        <v>72742038</v>
      </c>
      <c r="E251" s="65" t="s">
        <v>637</v>
      </c>
      <c r="F251" s="66">
        <v>3114</v>
      </c>
      <c r="G251" s="165" t="s">
        <v>525</v>
      </c>
      <c r="H251" s="67" t="s">
        <v>271</v>
      </c>
      <c r="I251" s="420">
        <v>29222568</v>
      </c>
      <c r="J251" s="415">
        <v>21448742</v>
      </c>
      <c r="K251" s="415">
        <v>19889970</v>
      </c>
      <c r="L251" s="415">
        <v>1558772</v>
      </c>
      <c r="M251" s="415">
        <v>74000</v>
      </c>
      <c r="N251" s="415">
        <v>0</v>
      </c>
      <c r="O251" s="415">
        <v>74000</v>
      </c>
      <c r="P251" s="599">
        <v>7274687</v>
      </c>
      <c r="Q251" s="599">
        <v>214487</v>
      </c>
      <c r="R251" s="415">
        <v>210652</v>
      </c>
      <c r="S251" s="416">
        <v>31.1145</v>
      </c>
      <c r="T251" s="416">
        <v>26.454499999999999</v>
      </c>
      <c r="U251" s="423">
        <v>4.66</v>
      </c>
      <c r="V251" s="424">
        <f t="shared" si="317"/>
        <v>0</v>
      </c>
      <c r="W251" s="418">
        <f t="shared" si="318"/>
        <v>0</v>
      </c>
      <c r="X251" s="418">
        <v>0</v>
      </c>
      <c r="Y251" s="418">
        <v>0</v>
      </c>
      <c r="Z251" s="418">
        <v>0</v>
      </c>
      <c r="AA251" s="418">
        <v>0</v>
      </c>
      <c r="AB251" s="418">
        <v>0</v>
      </c>
      <c r="AC251" s="418">
        <v>0</v>
      </c>
      <c r="AD251" s="418">
        <f t="shared" ref="AD251:AD256" si="384">V251+X251+Y251+Z251+AB251</f>
        <v>0</v>
      </c>
      <c r="AE251" s="418">
        <f t="shared" ref="AE251:AE256" si="385">W251+AA251+AC251</f>
        <v>0</v>
      </c>
      <c r="AF251" s="418">
        <f t="shared" si="319"/>
        <v>0</v>
      </c>
      <c r="AG251" s="418">
        <v>0</v>
      </c>
      <c r="AH251" s="418">
        <v>0</v>
      </c>
      <c r="AI251" s="418">
        <v>0</v>
      </c>
      <c r="AJ251" s="418">
        <v>0</v>
      </c>
      <c r="AK251" s="418">
        <v>0</v>
      </c>
      <c r="AL251" s="418">
        <f t="shared" si="320"/>
        <v>0</v>
      </c>
      <c r="AM251" s="418">
        <f t="shared" si="321"/>
        <v>0</v>
      </c>
      <c r="AN251" s="418">
        <f t="shared" si="322"/>
        <v>0</v>
      </c>
      <c r="AO251" s="418">
        <f t="shared" si="323"/>
        <v>0</v>
      </c>
      <c r="AP251" s="418">
        <f t="shared" si="324"/>
        <v>0</v>
      </c>
      <c r="AQ251" s="418">
        <f t="shared" si="325"/>
        <v>0</v>
      </c>
      <c r="AR251" s="68">
        <f t="shared" si="326"/>
        <v>0</v>
      </c>
      <c r="AS251" s="68">
        <f t="shared" si="327"/>
        <v>0</v>
      </c>
      <c r="AT251" s="418">
        <v>0</v>
      </c>
      <c r="AU251" s="418">
        <v>0</v>
      </c>
      <c r="AV251" s="418">
        <f t="shared" si="328"/>
        <v>0</v>
      </c>
      <c r="AW251" s="418">
        <f t="shared" si="329"/>
        <v>0</v>
      </c>
      <c r="AX251" s="419">
        <v>0</v>
      </c>
      <c r="AY251" s="419">
        <v>0</v>
      </c>
      <c r="AZ251" s="419">
        <v>0</v>
      </c>
      <c r="BA251" s="419">
        <v>0</v>
      </c>
      <c r="BB251" s="419">
        <v>0</v>
      </c>
      <c r="BC251" s="419">
        <v>0</v>
      </c>
      <c r="BD251" s="419">
        <v>0</v>
      </c>
      <c r="BE251" s="419">
        <v>0</v>
      </c>
      <c r="BF251" s="419">
        <f t="shared" si="330"/>
        <v>0</v>
      </c>
      <c r="BG251" s="419">
        <f t="shared" si="331"/>
        <v>0</v>
      </c>
      <c r="BH251" s="421">
        <f t="shared" si="332"/>
        <v>0</v>
      </c>
      <c r="BI251" s="780">
        <f t="shared" ref="BI251:BI256" si="386">I251+AW251</f>
        <v>29222568</v>
      </c>
      <c r="BJ251" s="418">
        <f t="shared" ref="BJ251:BJ256" si="387">J251+AF251</f>
        <v>21448742</v>
      </c>
      <c r="BK251" s="418">
        <f t="shared" ref="BK251:BL256" si="388">K251+AD251</f>
        <v>19889970</v>
      </c>
      <c r="BL251" s="418">
        <f t="shared" si="388"/>
        <v>1558772</v>
      </c>
      <c r="BM251" s="418">
        <f t="shared" ref="BM251:BM256" si="389">M251+AN251</f>
        <v>74000</v>
      </c>
      <c r="BN251" s="418">
        <f t="shared" ref="BN251:BO256" si="390">N251+AL251</f>
        <v>0</v>
      </c>
      <c r="BO251" s="418">
        <f t="shared" si="390"/>
        <v>74000</v>
      </c>
      <c r="BP251" s="418">
        <f t="shared" ref="BP251:BQ256" si="391">P251+AR251</f>
        <v>7274687</v>
      </c>
      <c r="BQ251" s="418">
        <f t="shared" si="391"/>
        <v>214487</v>
      </c>
      <c r="BR251" s="418">
        <f t="shared" ref="BR251:BR256" si="392">R251+AV251</f>
        <v>210652</v>
      </c>
      <c r="BS251" s="419">
        <f t="shared" ref="BS251:BS256" si="393">S251+BH251</f>
        <v>31.1145</v>
      </c>
      <c r="BT251" s="419">
        <f t="shared" ref="BT251:BU256" si="394">T251+BF251</f>
        <v>26.454499999999999</v>
      </c>
      <c r="BU251" s="421">
        <f t="shared" si="394"/>
        <v>4.66</v>
      </c>
      <c r="BV251" s="420"/>
      <c r="BW251" s="415"/>
      <c r="BX251" s="415"/>
      <c r="BY251" s="415"/>
      <c r="BZ251" s="415"/>
      <c r="CA251" s="510"/>
    </row>
    <row r="252" spans="1:79" ht="14.1" customHeight="1" x14ac:dyDescent="0.2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637</v>
      </c>
      <c r="F252" s="66">
        <v>3114</v>
      </c>
      <c r="G252" s="43" t="s">
        <v>292</v>
      </c>
      <c r="H252" s="67" t="s">
        <v>271</v>
      </c>
      <c r="I252" s="420">
        <v>12047873</v>
      </c>
      <c r="J252" s="415">
        <v>8937591</v>
      </c>
      <c r="K252" s="415">
        <v>8937591</v>
      </c>
      <c r="L252" s="415">
        <v>0</v>
      </c>
      <c r="M252" s="415">
        <v>0</v>
      </c>
      <c r="N252" s="415">
        <v>0</v>
      </c>
      <c r="O252" s="415">
        <v>0</v>
      </c>
      <c r="P252" s="599">
        <v>3020906</v>
      </c>
      <c r="Q252" s="599">
        <v>89376</v>
      </c>
      <c r="R252" s="415">
        <v>0</v>
      </c>
      <c r="S252" s="416">
        <v>22.6113</v>
      </c>
      <c r="T252" s="416">
        <v>22.6113</v>
      </c>
      <c r="U252" s="423">
        <v>0</v>
      </c>
      <c r="V252" s="424">
        <f t="shared" si="317"/>
        <v>0</v>
      </c>
      <c r="W252" s="418">
        <f t="shared" si="318"/>
        <v>0</v>
      </c>
      <c r="X252" s="418">
        <v>0</v>
      </c>
      <c r="Y252" s="418">
        <v>0</v>
      </c>
      <c r="Z252" s="418">
        <v>0</v>
      </c>
      <c r="AA252" s="418">
        <v>0</v>
      </c>
      <c r="AB252" s="418">
        <v>0</v>
      </c>
      <c r="AC252" s="418">
        <v>0</v>
      </c>
      <c r="AD252" s="418">
        <f t="shared" si="384"/>
        <v>0</v>
      </c>
      <c r="AE252" s="418">
        <f t="shared" si="385"/>
        <v>0</v>
      </c>
      <c r="AF252" s="418">
        <f t="shared" si="319"/>
        <v>0</v>
      </c>
      <c r="AG252" s="418">
        <v>0</v>
      </c>
      <c r="AH252" s="418">
        <v>0</v>
      </c>
      <c r="AI252" s="418">
        <v>0</v>
      </c>
      <c r="AJ252" s="418">
        <v>0</v>
      </c>
      <c r="AK252" s="418">
        <v>0</v>
      </c>
      <c r="AL252" s="418">
        <f t="shared" si="320"/>
        <v>0</v>
      </c>
      <c r="AM252" s="418">
        <f t="shared" si="321"/>
        <v>0</v>
      </c>
      <c r="AN252" s="418">
        <f t="shared" si="322"/>
        <v>0</v>
      </c>
      <c r="AO252" s="418">
        <f t="shared" si="323"/>
        <v>0</v>
      </c>
      <c r="AP252" s="418">
        <f t="shared" si="324"/>
        <v>0</v>
      </c>
      <c r="AQ252" s="418">
        <f t="shared" si="325"/>
        <v>0</v>
      </c>
      <c r="AR252" s="68">
        <f t="shared" si="326"/>
        <v>0</v>
      </c>
      <c r="AS252" s="68">
        <f t="shared" si="327"/>
        <v>0</v>
      </c>
      <c r="AT252" s="418">
        <v>0</v>
      </c>
      <c r="AU252" s="418">
        <v>0</v>
      </c>
      <c r="AV252" s="418">
        <f t="shared" si="328"/>
        <v>0</v>
      </c>
      <c r="AW252" s="418">
        <f t="shared" si="329"/>
        <v>0</v>
      </c>
      <c r="AX252" s="419">
        <v>0</v>
      </c>
      <c r="AY252" s="419">
        <v>0</v>
      </c>
      <c r="AZ252" s="419">
        <v>0</v>
      </c>
      <c r="BA252" s="419">
        <v>0</v>
      </c>
      <c r="BB252" s="419">
        <v>0</v>
      </c>
      <c r="BC252" s="419">
        <v>0</v>
      </c>
      <c r="BD252" s="419">
        <v>0</v>
      </c>
      <c r="BE252" s="419">
        <v>0</v>
      </c>
      <c r="BF252" s="419">
        <f t="shared" si="330"/>
        <v>0</v>
      </c>
      <c r="BG252" s="419">
        <f t="shared" si="331"/>
        <v>0</v>
      </c>
      <c r="BH252" s="421">
        <f t="shared" si="332"/>
        <v>0</v>
      </c>
      <c r="BI252" s="780">
        <f t="shared" si="386"/>
        <v>12047873</v>
      </c>
      <c r="BJ252" s="418">
        <f t="shared" si="387"/>
        <v>8937591</v>
      </c>
      <c r="BK252" s="418">
        <f t="shared" si="388"/>
        <v>8937591</v>
      </c>
      <c r="BL252" s="418">
        <f t="shared" si="388"/>
        <v>0</v>
      </c>
      <c r="BM252" s="418">
        <f t="shared" si="389"/>
        <v>0</v>
      </c>
      <c r="BN252" s="418">
        <f t="shared" si="390"/>
        <v>0</v>
      </c>
      <c r="BO252" s="418">
        <f t="shared" si="390"/>
        <v>0</v>
      </c>
      <c r="BP252" s="418">
        <f t="shared" si="391"/>
        <v>3020906</v>
      </c>
      <c r="BQ252" s="418">
        <f t="shared" si="391"/>
        <v>89376</v>
      </c>
      <c r="BR252" s="418">
        <f t="shared" si="392"/>
        <v>0</v>
      </c>
      <c r="BS252" s="419">
        <f t="shared" si="393"/>
        <v>22.6113</v>
      </c>
      <c r="BT252" s="419">
        <f t="shared" si="394"/>
        <v>22.6113</v>
      </c>
      <c r="BU252" s="421">
        <f t="shared" si="394"/>
        <v>0</v>
      </c>
      <c r="BV252" s="420"/>
      <c r="BW252" s="415"/>
      <c r="BX252" s="415"/>
      <c r="BY252" s="415"/>
      <c r="BZ252" s="415"/>
      <c r="CA252" s="510"/>
    </row>
    <row r="253" spans="1:79" ht="14.1" customHeight="1" x14ac:dyDescent="0.2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637</v>
      </c>
      <c r="F253" s="66">
        <v>3114</v>
      </c>
      <c r="G253" s="77" t="s">
        <v>291</v>
      </c>
      <c r="H253" s="67" t="s">
        <v>272</v>
      </c>
      <c r="I253" s="420">
        <v>0</v>
      </c>
      <c r="J253" s="415">
        <v>0</v>
      </c>
      <c r="K253" s="415">
        <v>0</v>
      </c>
      <c r="L253" s="415">
        <v>0</v>
      </c>
      <c r="M253" s="415">
        <v>0</v>
      </c>
      <c r="N253" s="415">
        <v>0</v>
      </c>
      <c r="O253" s="415">
        <v>0</v>
      </c>
      <c r="P253" s="599">
        <v>0</v>
      </c>
      <c r="Q253" s="599">
        <v>0</v>
      </c>
      <c r="R253" s="415">
        <v>0</v>
      </c>
      <c r="S253" s="416">
        <v>0</v>
      </c>
      <c r="T253" s="417">
        <v>0</v>
      </c>
      <c r="U253" s="423">
        <v>0</v>
      </c>
      <c r="V253" s="424">
        <f t="shared" si="317"/>
        <v>0</v>
      </c>
      <c r="W253" s="418">
        <f t="shared" si="318"/>
        <v>0</v>
      </c>
      <c r="X253" s="418">
        <v>0</v>
      </c>
      <c r="Y253" s="418">
        <v>0</v>
      </c>
      <c r="Z253" s="418">
        <v>0</v>
      </c>
      <c r="AA253" s="418">
        <v>0</v>
      </c>
      <c r="AB253" s="418">
        <v>0</v>
      </c>
      <c r="AC253" s="418">
        <v>0</v>
      </c>
      <c r="AD253" s="418">
        <f t="shared" si="384"/>
        <v>0</v>
      </c>
      <c r="AE253" s="418">
        <f t="shared" si="385"/>
        <v>0</v>
      </c>
      <c r="AF253" s="418">
        <f t="shared" si="319"/>
        <v>0</v>
      </c>
      <c r="AG253" s="418">
        <v>0</v>
      </c>
      <c r="AH253" s="418">
        <v>0</v>
      </c>
      <c r="AI253" s="418">
        <v>0</v>
      </c>
      <c r="AJ253" s="418">
        <v>0</v>
      </c>
      <c r="AK253" s="418">
        <v>0</v>
      </c>
      <c r="AL253" s="418">
        <f t="shared" si="320"/>
        <v>0</v>
      </c>
      <c r="AM253" s="418">
        <f t="shared" si="321"/>
        <v>0</v>
      </c>
      <c r="AN253" s="418">
        <f t="shared" si="322"/>
        <v>0</v>
      </c>
      <c r="AO253" s="418">
        <f t="shared" si="323"/>
        <v>0</v>
      </c>
      <c r="AP253" s="418">
        <f t="shared" si="324"/>
        <v>0</v>
      </c>
      <c r="AQ253" s="418">
        <f t="shared" si="325"/>
        <v>0</v>
      </c>
      <c r="AR253" s="68">
        <f t="shared" si="326"/>
        <v>0</v>
      </c>
      <c r="AS253" s="68">
        <f t="shared" si="327"/>
        <v>0</v>
      </c>
      <c r="AT253" s="418">
        <v>0</v>
      </c>
      <c r="AU253" s="418">
        <v>0</v>
      </c>
      <c r="AV253" s="418">
        <f t="shared" si="328"/>
        <v>0</v>
      </c>
      <c r="AW253" s="418">
        <f t="shared" si="329"/>
        <v>0</v>
      </c>
      <c r="AX253" s="419">
        <v>0</v>
      </c>
      <c r="AY253" s="419">
        <v>0</v>
      </c>
      <c r="AZ253" s="419">
        <v>0</v>
      </c>
      <c r="BA253" s="419">
        <v>0</v>
      </c>
      <c r="BB253" s="419">
        <v>0</v>
      </c>
      <c r="BC253" s="419">
        <v>0</v>
      </c>
      <c r="BD253" s="419">
        <v>0</v>
      </c>
      <c r="BE253" s="419">
        <v>0</v>
      </c>
      <c r="BF253" s="419">
        <f t="shared" si="330"/>
        <v>0</v>
      </c>
      <c r="BG253" s="419">
        <f t="shared" si="331"/>
        <v>0</v>
      </c>
      <c r="BH253" s="421">
        <f t="shared" si="332"/>
        <v>0</v>
      </c>
      <c r="BI253" s="780">
        <f t="shared" si="386"/>
        <v>0</v>
      </c>
      <c r="BJ253" s="418">
        <f t="shared" si="387"/>
        <v>0</v>
      </c>
      <c r="BK253" s="418">
        <f t="shared" si="388"/>
        <v>0</v>
      </c>
      <c r="BL253" s="418">
        <f t="shared" si="388"/>
        <v>0</v>
      </c>
      <c r="BM253" s="418">
        <f t="shared" si="389"/>
        <v>0</v>
      </c>
      <c r="BN253" s="418">
        <f t="shared" si="390"/>
        <v>0</v>
      </c>
      <c r="BO253" s="418">
        <f t="shared" si="390"/>
        <v>0</v>
      </c>
      <c r="BP253" s="418">
        <f t="shared" si="391"/>
        <v>0</v>
      </c>
      <c r="BQ253" s="418">
        <f t="shared" si="391"/>
        <v>0</v>
      </c>
      <c r="BR253" s="418">
        <f t="shared" si="392"/>
        <v>0</v>
      </c>
      <c r="BS253" s="419">
        <f t="shared" si="393"/>
        <v>0</v>
      </c>
      <c r="BT253" s="419">
        <f t="shared" si="394"/>
        <v>0</v>
      </c>
      <c r="BU253" s="421">
        <f t="shared" si="394"/>
        <v>0</v>
      </c>
      <c r="BV253" s="420"/>
      <c r="BW253" s="415"/>
      <c r="BX253" s="415"/>
      <c r="BY253" s="415"/>
      <c r="BZ253" s="415"/>
      <c r="CA253" s="510"/>
    </row>
    <row r="254" spans="1:79" ht="14.1" customHeight="1" x14ac:dyDescent="0.2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637</v>
      </c>
      <c r="F254" s="66">
        <v>3141</v>
      </c>
      <c r="G254" s="65" t="s">
        <v>294</v>
      </c>
      <c r="H254" s="67" t="s">
        <v>272</v>
      </c>
      <c r="I254" s="420">
        <v>280964</v>
      </c>
      <c r="J254" s="415">
        <v>206758</v>
      </c>
      <c r="K254" s="415">
        <v>0</v>
      </c>
      <c r="L254" s="750">
        <v>206758</v>
      </c>
      <c r="M254" s="415">
        <v>0</v>
      </c>
      <c r="N254" s="605">
        <v>0</v>
      </c>
      <c r="O254" s="605">
        <v>0</v>
      </c>
      <c r="P254" s="599">
        <v>69884</v>
      </c>
      <c r="Q254" s="599">
        <v>2068</v>
      </c>
      <c r="R254" s="605">
        <v>2254</v>
      </c>
      <c r="S254" s="416">
        <v>0.62</v>
      </c>
      <c r="T254" s="607">
        <v>0</v>
      </c>
      <c r="U254" s="737">
        <v>0.62</v>
      </c>
      <c r="V254" s="424">
        <f t="shared" si="317"/>
        <v>0</v>
      </c>
      <c r="W254" s="418">
        <f t="shared" si="318"/>
        <v>0</v>
      </c>
      <c r="X254" s="418">
        <v>0</v>
      </c>
      <c r="Y254" s="418">
        <v>0</v>
      </c>
      <c r="Z254" s="418">
        <v>0</v>
      </c>
      <c r="AA254" s="418">
        <v>102036</v>
      </c>
      <c r="AB254" s="418">
        <v>0</v>
      </c>
      <c r="AC254" s="418">
        <v>0</v>
      </c>
      <c r="AD254" s="418">
        <f t="shared" si="384"/>
        <v>0</v>
      </c>
      <c r="AE254" s="418">
        <f t="shared" si="385"/>
        <v>102036</v>
      </c>
      <c r="AF254" s="418">
        <f t="shared" si="319"/>
        <v>102036</v>
      </c>
      <c r="AG254" s="418">
        <v>0</v>
      </c>
      <c r="AH254" s="418">
        <v>0</v>
      </c>
      <c r="AI254" s="418">
        <v>0</v>
      </c>
      <c r="AJ254" s="418">
        <v>0</v>
      </c>
      <c r="AK254" s="418">
        <v>0</v>
      </c>
      <c r="AL254" s="418">
        <f t="shared" si="320"/>
        <v>0</v>
      </c>
      <c r="AM254" s="418">
        <f t="shared" si="321"/>
        <v>0</v>
      </c>
      <c r="AN254" s="418">
        <f t="shared" si="322"/>
        <v>0</v>
      </c>
      <c r="AO254" s="418">
        <f t="shared" si="323"/>
        <v>0</v>
      </c>
      <c r="AP254" s="418">
        <f t="shared" si="324"/>
        <v>102036</v>
      </c>
      <c r="AQ254" s="418">
        <f t="shared" si="325"/>
        <v>102036</v>
      </c>
      <c r="AR254" s="68">
        <f t="shared" si="326"/>
        <v>34488</v>
      </c>
      <c r="AS254" s="68">
        <f t="shared" si="327"/>
        <v>1020</v>
      </c>
      <c r="AT254" s="418">
        <v>0</v>
      </c>
      <c r="AU254" s="418">
        <v>1078</v>
      </c>
      <c r="AV254" s="418">
        <f t="shared" si="328"/>
        <v>1078</v>
      </c>
      <c r="AW254" s="418">
        <f t="shared" si="329"/>
        <v>138622</v>
      </c>
      <c r="AX254" s="419">
        <v>0</v>
      </c>
      <c r="AY254" s="419">
        <v>0</v>
      </c>
      <c r="AZ254" s="419">
        <v>0</v>
      </c>
      <c r="BA254" s="419">
        <v>0</v>
      </c>
      <c r="BB254" s="419">
        <v>0.31</v>
      </c>
      <c r="BC254" s="419">
        <v>0</v>
      </c>
      <c r="BD254" s="419">
        <v>0</v>
      </c>
      <c r="BE254" s="419">
        <v>0</v>
      </c>
      <c r="BF254" s="419">
        <f t="shared" si="330"/>
        <v>0</v>
      </c>
      <c r="BG254" s="419">
        <f t="shared" si="331"/>
        <v>0.31</v>
      </c>
      <c r="BH254" s="421">
        <f t="shared" si="332"/>
        <v>0.31</v>
      </c>
      <c r="BI254" s="780">
        <f t="shared" si="386"/>
        <v>419586</v>
      </c>
      <c r="BJ254" s="418">
        <f t="shared" si="387"/>
        <v>308794</v>
      </c>
      <c r="BK254" s="418">
        <f t="shared" si="388"/>
        <v>0</v>
      </c>
      <c r="BL254" s="418">
        <f t="shared" si="388"/>
        <v>308794</v>
      </c>
      <c r="BM254" s="418">
        <f t="shared" si="389"/>
        <v>0</v>
      </c>
      <c r="BN254" s="418">
        <f t="shared" si="390"/>
        <v>0</v>
      </c>
      <c r="BO254" s="418">
        <f t="shared" si="390"/>
        <v>0</v>
      </c>
      <c r="BP254" s="418">
        <f t="shared" si="391"/>
        <v>104372</v>
      </c>
      <c r="BQ254" s="418">
        <f t="shared" si="391"/>
        <v>3088</v>
      </c>
      <c r="BR254" s="418">
        <f t="shared" si="392"/>
        <v>3332</v>
      </c>
      <c r="BS254" s="419">
        <f t="shared" si="393"/>
        <v>0.92999999999999994</v>
      </c>
      <c r="BT254" s="419">
        <f t="shared" si="394"/>
        <v>0</v>
      </c>
      <c r="BU254" s="421">
        <f t="shared" si="394"/>
        <v>0.92999999999999994</v>
      </c>
      <c r="BV254" s="420"/>
      <c r="BW254" s="415"/>
      <c r="BX254" s="415"/>
      <c r="BY254" s="415"/>
      <c r="BZ254" s="415"/>
      <c r="CA254" s="510"/>
    </row>
    <row r="255" spans="1:79" ht="14.1" customHeight="1" x14ac:dyDescent="0.2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637</v>
      </c>
      <c r="F255" s="66">
        <v>3143</v>
      </c>
      <c r="G255" s="77" t="s">
        <v>595</v>
      </c>
      <c r="H255" s="67" t="s">
        <v>271</v>
      </c>
      <c r="I255" s="420">
        <v>2312440</v>
      </c>
      <c r="J255" s="415">
        <v>1715460</v>
      </c>
      <c r="K255" s="415">
        <v>1715460</v>
      </c>
      <c r="L255" s="415">
        <v>0</v>
      </c>
      <c r="M255" s="415">
        <v>0</v>
      </c>
      <c r="N255" s="415">
        <v>0</v>
      </c>
      <c r="O255" s="415">
        <v>0</v>
      </c>
      <c r="P255" s="599">
        <v>579825</v>
      </c>
      <c r="Q255" s="599">
        <v>17155</v>
      </c>
      <c r="R255" s="415">
        <v>0</v>
      </c>
      <c r="S255" s="416">
        <v>3.5</v>
      </c>
      <c r="T255" s="416">
        <v>3.5</v>
      </c>
      <c r="U255" s="423">
        <v>0</v>
      </c>
      <c r="V255" s="424">
        <f t="shared" si="317"/>
        <v>0</v>
      </c>
      <c r="W255" s="418">
        <f t="shared" si="318"/>
        <v>0</v>
      </c>
      <c r="X255" s="418">
        <v>0</v>
      </c>
      <c r="Y255" s="418">
        <v>0</v>
      </c>
      <c r="Z255" s="418">
        <v>0</v>
      </c>
      <c r="AA255" s="418">
        <v>0</v>
      </c>
      <c r="AB255" s="418">
        <v>0</v>
      </c>
      <c r="AC255" s="418">
        <v>0</v>
      </c>
      <c r="AD255" s="418">
        <f t="shared" si="384"/>
        <v>0</v>
      </c>
      <c r="AE255" s="418">
        <f t="shared" si="385"/>
        <v>0</v>
      </c>
      <c r="AF255" s="418">
        <f t="shared" si="319"/>
        <v>0</v>
      </c>
      <c r="AG255" s="418">
        <v>0</v>
      </c>
      <c r="AH255" s="418">
        <v>0</v>
      </c>
      <c r="AI255" s="418">
        <v>0</v>
      </c>
      <c r="AJ255" s="418">
        <v>0</v>
      </c>
      <c r="AK255" s="418">
        <v>0</v>
      </c>
      <c r="AL255" s="418">
        <f t="shared" si="320"/>
        <v>0</v>
      </c>
      <c r="AM255" s="418">
        <f t="shared" si="321"/>
        <v>0</v>
      </c>
      <c r="AN255" s="418">
        <f t="shared" si="322"/>
        <v>0</v>
      </c>
      <c r="AO255" s="418">
        <f t="shared" si="323"/>
        <v>0</v>
      </c>
      <c r="AP255" s="418">
        <f t="shared" si="324"/>
        <v>0</v>
      </c>
      <c r="AQ255" s="418">
        <f t="shared" si="325"/>
        <v>0</v>
      </c>
      <c r="AR255" s="68">
        <f t="shared" si="326"/>
        <v>0</v>
      </c>
      <c r="AS255" s="68">
        <f t="shared" si="327"/>
        <v>0</v>
      </c>
      <c r="AT255" s="418">
        <v>0</v>
      </c>
      <c r="AU255" s="418">
        <v>0</v>
      </c>
      <c r="AV255" s="418">
        <f t="shared" si="328"/>
        <v>0</v>
      </c>
      <c r="AW255" s="418">
        <f t="shared" si="329"/>
        <v>0</v>
      </c>
      <c r="AX255" s="419">
        <v>0</v>
      </c>
      <c r="AY255" s="419">
        <v>0</v>
      </c>
      <c r="AZ255" s="419">
        <v>0</v>
      </c>
      <c r="BA255" s="419">
        <v>0</v>
      </c>
      <c r="BB255" s="419">
        <v>0</v>
      </c>
      <c r="BC255" s="419">
        <v>0</v>
      </c>
      <c r="BD255" s="419">
        <v>0</v>
      </c>
      <c r="BE255" s="419">
        <v>0</v>
      </c>
      <c r="BF255" s="419">
        <f t="shared" si="330"/>
        <v>0</v>
      </c>
      <c r="BG255" s="419">
        <f t="shared" si="331"/>
        <v>0</v>
      </c>
      <c r="BH255" s="421">
        <f t="shared" si="332"/>
        <v>0</v>
      </c>
      <c r="BI255" s="780">
        <f t="shared" si="386"/>
        <v>2312440</v>
      </c>
      <c r="BJ255" s="418">
        <f t="shared" si="387"/>
        <v>1715460</v>
      </c>
      <c r="BK255" s="418">
        <f t="shared" si="388"/>
        <v>1715460</v>
      </c>
      <c r="BL255" s="418">
        <f t="shared" si="388"/>
        <v>0</v>
      </c>
      <c r="BM255" s="418">
        <f t="shared" si="389"/>
        <v>0</v>
      </c>
      <c r="BN255" s="418">
        <f t="shared" si="390"/>
        <v>0</v>
      </c>
      <c r="BO255" s="418">
        <f t="shared" si="390"/>
        <v>0</v>
      </c>
      <c r="BP255" s="418">
        <f t="shared" si="391"/>
        <v>579825</v>
      </c>
      <c r="BQ255" s="418">
        <f t="shared" si="391"/>
        <v>17155</v>
      </c>
      <c r="BR255" s="418">
        <f t="shared" si="392"/>
        <v>0</v>
      </c>
      <c r="BS255" s="419">
        <f t="shared" si="393"/>
        <v>3.5</v>
      </c>
      <c r="BT255" s="419">
        <f t="shared" si="394"/>
        <v>3.5</v>
      </c>
      <c r="BU255" s="421">
        <f t="shared" si="394"/>
        <v>0</v>
      </c>
      <c r="BV255" s="420"/>
      <c r="BW255" s="415"/>
      <c r="BX255" s="415"/>
      <c r="BY255" s="415"/>
      <c r="BZ255" s="415"/>
      <c r="CA255" s="510"/>
    </row>
    <row r="256" spans="1:79" ht="14.1" customHeight="1" x14ac:dyDescent="0.2">
      <c r="A256" s="66">
        <v>51</v>
      </c>
      <c r="B256" s="63">
        <v>2310</v>
      </c>
      <c r="C256" s="64">
        <v>600080412</v>
      </c>
      <c r="D256" s="63">
        <v>72742038</v>
      </c>
      <c r="E256" s="65" t="s">
        <v>637</v>
      </c>
      <c r="F256" s="66">
        <v>3143</v>
      </c>
      <c r="G256" s="77" t="s">
        <v>596</v>
      </c>
      <c r="H256" s="67" t="s">
        <v>272</v>
      </c>
      <c r="I256" s="420">
        <v>26114</v>
      </c>
      <c r="J256" s="415">
        <v>18691</v>
      </c>
      <c r="K256" s="415">
        <v>0</v>
      </c>
      <c r="L256" s="605">
        <v>18691</v>
      </c>
      <c r="M256" s="415">
        <v>0</v>
      </c>
      <c r="N256" s="415">
        <v>0</v>
      </c>
      <c r="O256" s="415">
        <v>0</v>
      </c>
      <c r="P256" s="599">
        <v>6318</v>
      </c>
      <c r="Q256" s="599">
        <v>187</v>
      </c>
      <c r="R256" s="606">
        <v>918</v>
      </c>
      <c r="S256" s="416">
        <v>7.0800000000000002E-2</v>
      </c>
      <c r="T256" s="609">
        <v>0</v>
      </c>
      <c r="U256" s="737">
        <v>7.0800000000000002E-2</v>
      </c>
      <c r="V256" s="424">
        <f t="shared" si="317"/>
        <v>0</v>
      </c>
      <c r="W256" s="418">
        <f t="shared" si="318"/>
        <v>0</v>
      </c>
      <c r="X256" s="418">
        <v>0</v>
      </c>
      <c r="Y256" s="418">
        <v>0</v>
      </c>
      <c r="Z256" s="418">
        <v>0</v>
      </c>
      <c r="AA256" s="418">
        <v>9359</v>
      </c>
      <c r="AB256" s="418">
        <v>0</v>
      </c>
      <c r="AC256" s="418">
        <v>0</v>
      </c>
      <c r="AD256" s="418">
        <f t="shared" si="384"/>
        <v>0</v>
      </c>
      <c r="AE256" s="418">
        <f t="shared" si="385"/>
        <v>9359</v>
      </c>
      <c r="AF256" s="418">
        <f t="shared" si="319"/>
        <v>9359</v>
      </c>
      <c r="AG256" s="418">
        <v>0</v>
      </c>
      <c r="AH256" s="418">
        <v>0</v>
      </c>
      <c r="AI256" s="418">
        <v>0</v>
      </c>
      <c r="AJ256" s="418">
        <v>0</v>
      </c>
      <c r="AK256" s="418">
        <v>0</v>
      </c>
      <c r="AL256" s="418">
        <f t="shared" si="320"/>
        <v>0</v>
      </c>
      <c r="AM256" s="418">
        <f t="shared" si="321"/>
        <v>0</v>
      </c>
      <c r="AN256" s="418">
        <f t="shared" si="322"/>
        <v>0</v>
      </c>
      <c r="AO256" s="418">
        <f t="shared" si="323"/>
        <v>0</v>
      </c>
      <c r="AP256" s="418">
        <f t="shared" si="324"/>
        <v>9359</v>
      </c>
      <c r="AQ256" s="418">
        <f t="shared" si="325"/>
        <v>9359</v>
      </c>
      <c r="AR256" s="68">
        <f t="shared" si="326"/>
        <v>3163</v>
      </c>
      <c r="AS256" s="68">
        <f t="shared" si="327"/>
        <v>94</v>
      </c>
      <c r="AT256" s="418">
        <v>0</v>
      </c>
      <c r="AU256" s="418">
        <v>459</v>
      </c>
      <c r="AV256" s="418">
        <f t="shared" si="328"/>
        <v>459</v>
      </c>
      <c r="AW256" s="418">
        <f t="shared" si="329"/>
        <v>13075</v>
      </c>
      <c r="AX256" s="419">
        <v>0</v>
      </c>
      <c r="AY256" s="419">
        <v>0</v>
      </c>
      <c r="AZ256" s="419">
        <v>0</v>
      </c>
      <c r="BA256" s="419">
        <v>0</v>
      </c>
      <c r="BB256" s="419">
        <v>0.04</v>
      </c>
      <c r="BC256" s="419">
        <v>0</v>
      </c>
      <c r="BD256" s="419">
        <v>0</v>
      </c>
      <c r="BE256" s="419">
        <v>0</v>
      </c>
      <c r="BF256" s="419">
        <f t="shared" si="330"/>
        <v>0</v>
      </c>
      <c r="BG256" s="419">
        <f t="shared" si="331"/>
        <v>0.04</v>
      </c>
      <c r="BH256" s="421">
        <f t="shared" si="332"/>
        <v>0.04</v>
      </c>
      <c r="BI256" s="780">
        <f t="shared" si="386"/>
        <v>39189</v>
      </c>
      <c r="BJ256" s="418">
        <f t="shared" si="387"/>
        <v>28050</v>
      </c>
      <c r="BK256" s="418">
        <f t="shared" si="388"/>
        <v>0</v>
      </c>
      <c r="BL256" s="418">
        <f t="shared" si="388"/>
        <v>28050</v>
      </c>
      <c r="BM256" s="418">
        <f t="shared" si="389"/>
        <v>0</v>
      </c>
      <c r="BN256" s="418">
        <f t="shared" si="390"/>
        <v>0</v>
      </c>
      <c r="BO256" s="418">
        <f t="shared" si="390"/>
        <v>0</v>
      </c>
      <c r="BP256" s="418">
        <f t="shared" si="391"/>
        <v>9481</v>
      </c>
      <c r="BQ256" s="418">
        <f t="shared" si="391"/>
        <v>281</v>
      </c>
      <c r="BR256" s="418">
        <f t="shared" si="392"/>
        <v>1377</v>
      </c>
      <c r="BS256" s="419">
        <f t="shared" si="393"/>
        <v>0.11080000000000001</v>
      </c>
      <c r="BT256" s="419">
        <f t="shared" si="394"/>
        <v>0</v>
      </c>
      <c r="BU256" s="421">
        <f t="shared" si="394"/>
        <v>0.11080000000000001</v>
      </c>
      <c r="BV256" s="420"/>
      <c r="BW256" s="415"/>
      <c r="BX256" s="415"/>
      <c r="BY256" s="415"/>
      <c r="BZ256" s="415"/>
      <c r="CA256" s="510"/>
    </row>
    <row r="257" spans="1:79" ht="14.1" customHeight="1" x14ac:dyDescent="0.2">
      <c r="A257" s="72">
        <v>51</v>
      </c>
      <c r="B257" s="69">
        <v>2310</v>
      </c>
      <c r="C257" s="70">
        <v>600080412</v>
      </c>
      <c r="D257" s="69">
        <v>72742038</v>
      </c>
      <c r="E257" s="71" t="s">
        <v>638</v>
      </c>
      <c r="F257" s="72"/>
      <c r="G257" s="71"/>
      <c r="H257" s="73"/>
      <c r="I257" s="517">
        <v>43889959</v>
      </c>
      <c r="J257" s="74">
        <v>32327242</v>
      </c>
      <c r="K257" s="74">
        <v>30543021</v>
      </c>
      <c r="L257" s="74">
        <v>1784221</v>
      </c>
      <c r="M257" s="74">
        <v>74000</v>
      </c>
      <c r="N257" s="74">
        <v>0</v>
      </c>
      <c r="O257" s="74">
        <v>74000</v>
      </c>
      <c r="P257" s="74">
        <v>10951620</v>
      </c>
      <c r="Q257" s="74">
        <v>323273</v>
      </c>
      <c r="R257" s="74">
        <v>213824</v>
      </c>
      <c r="S257" s="75">
        <v>57.916599999999995</v>
      </c>
      <c r="T257" s="75">
        <v>52.565799999999996</v>
      </c>
      <c r="U257" s="658">
        <v>5.3508000000000004</v>
      </c>
      <c r="V257" s="517">
        <f t="shared" ref="V257:BU257" si="395">SUM(V251:V256)</f>
        <v>0</v>
      </c>
      <c r="W257" s="74">
        <f t="shared" si="395"/>
        <v>0</v>
      </c>
      <c r="X257" s="74">
        <f t="shared" si="395"/>
        <v>0</v>
      </c>
      <c r="Y257" s="74">
        <f t="shared" si="395"/>
        <v>0</v>
      </c>
      <c r="Z257" s="74">
        <f t="shared" si="395"/>
        <v>0</v>
      </c>
      <c r="AA257" s="74">
        <f t="shared" si="395"/>
        <v>111395</v>
      </c>
      <c r="AB257" s="74">
        <f t="shared" si="395"/>
        <v>0</v>
      </c>
      <c r="AC257" s="74">
        <f t="shared" si="395"/>
        <v>0</v>
      </c>
      <c r="AD257" s="74">
        <f t="shared" si="395"/>
        <v>0</v>
      </c>
      <c r="AE257" s="74">
        <f t="shared" si="395"/>
        <v>111395</v>
      </c>
      <c r="AF257" s="74">
        <f t="shared" si="395"/>
        <v>111395</v>
      </c>
      <c r="AG257" s="74">
        <f t="shared" si="395"/>
        <v>0</v>
      </c>
      <c r="AH257" s="74">
        <f t="shared" si="395"/>
        <v>0</v>
      </c>
      <c r="AI257" s="74">
        <f t="shared" si="395"/>
        <v>0</v>
      </c>
      <c r="AJ257" s="74">
        <f t="shared" si="395"/>
        <v>0</v>
      </c>
      <c r="AK257" s="74">
        <f t="shared" si="395"/>
        <v>0</v>
      </c>
      <c r="AL257" s="74">
        <f t="shared" si="395"/>
        <v>0</v>
      </c>
      <c r="AM257" s="74">
        <f t="shared" si="395"/>
        <v>0</v>
      </c>
      <c r="AN257" s="74">
        <f t="shared" si="395"/>
        <v>0</v>
      </c>
      <c r="AO257" s="74">
        <f t="shared" si="395"/>
        <v>0</v>
      </c>
      <c r="AP257" s="74">
        <f t="shared" si="395"/>
        <v>111395</v>
      </c>
      <c r="AQ257" s="74">
        <f t="shared" si="395"/>
        <v>111395</v>
      </c>
      <c r="AR257" s="74">
        <f t="shared" si="395"/>
        <v>37651</v>
      </c>
      <c r="AS257" s="74">
        <f t="shared" si="395"/>
        <v>1114</v>
      </c>
      <c r="AT257" s="74">
        <f t="shared" si="395"/>
        <v>0</v>
      </c>
      <c r="AU257" s="74">
        <f t="shared" si="395"/>
        <v>1537</v>
      </c>
      <c r="AV257" s="74">
        <f t="shared" si="395"/>
        <v>1537</v>
      </c>
      <c r="AW257" s="74">
        <f t="shared" si="395"/>
        <v>151697</v>
      </c>
      <c r="AX257" s="75">
        <f t="shared" si="395"/>
        <v>0</v>
      </c>
      <c r="AY257" s="75">
        <f t="shared" si="395"/>
        <v>0</v>
      </c>
      <c r="AZ257" s="75">
        <f t="shared" si="395"/>
        <v>0</v>
      </c>
      <c r="BA257" s="75">
        <f t="shared" si="395"/>
        <v>0</v>
      </c>
      <c r="BB257" s="75">
        <f t="shared" si="395"/>
        <v>0.35</v>
      </c>
      <c r="BC257" s="75">
        <f t="shared" si="395"/>
        <v>0</v>
      </c>
      <c r="BD257" s="75">
        <f t="shared" si="395"/>
        <v>0</v>
      </c>
      <c r="BE257" s="75">
        <f t="shared" si="395"/>
        <v>0</v>
      </c>
      <c r="BF257" s="75">
        <f t="shared" si="395"/>
        <v>0</v>
      </c>
      <c r="BG257" s="75">
        <f t="shared" si="395"/>
        <v>0.35</v>
      </c>
      <c r="BH257" s="76">
        <f t="shared" si="395"/>
        <v>0.35</v>
      </c>
      <c r="BI257" s="799">
        <f t="shared" si="395"/>
        <v>44041656</v>
      </c>
      <c r="BJ257" s="74">
        <f t="shared" si="395"/>
        <v>32438637</v>
      </c>
      <c r="BK257" s="74">
        <f t="shared" si="395"/>
        <v>30543021</v>
      </c>
      <c r="BL257" s="74">
        <f t="shared" si="395"/>
        <v>1895616</v>
      </c>
      <c r="BM257" s="74">
        <f t="shared" si="395"/>
        <v>74000</v>
      </c>
      <c r="BN257" s="74">
        <f t="shared" si="395"/>
        <v>0</v>
      </c>
      <c r="BO257" s="74">
        <f t="shared" si="395"/>
        <v>74000</v>
      </c>
      <c r="BP257" s="74">
        <f t="shared" si="395"/>
        <v>10989271</v>
      </c>
      <c r="BQ257" s="74">
        <f t="shared" si="395"/>
        <v>324387</v>
      </c>
      <c r="BR257" s="74">
        <f t="shared" si="395"/>
        <v>215361</v>
      </c>
      <c r="BS257" s="75">
        <f t="shared" si="395"/>
        <v>58.266599999999997</v>
      </c>
      <c r="BT257" s="75">
        <f t="shared" si="395"/>
        <v>52.565799999999996</v>
      </c>
      <c r="BU257" s="76">
        <f t="shared" si="395"/>
        <v>5.7008000000000001</v>
      </c>
      <c r="BV257" s="809">
        <f t="shared" ref="BV257:CA257" si="396">SUM(BV251:BV256)</f>
        <v>0</v>
      </c>
      <c r="BW257" s="684">
        <f t="shared" si="396"/>
        <v>0</v>
      </c>
      <c r="BX257" s="684">
        <f t="shared" si="396"/>
        <v>0</v>
      </c>
      <c r="BY257" s="684">
        <f t="shared" si="396"/>
        <v>0</v>
      </c>
      <c r="BZ257" s="684">
        <f t="shared" si="396"/>
        <v>0</v>
      </c>
      <c r="CA257" s="810">
        <f t="shared" si="396"/>
        <v>0</v>
      </c>
    </row>
    <row r="258" spans="1:79" ht="14.1" customHeight="1" x14ac:dyDescent="0.2">
      <c r="A258" s="66">
        <v>52</v>
      </c>
      <c r="B258" s="63">
        <v>2313</v>
      </c>
      <c r="C258" s="64">
        <v>600080323</v>
      </c>
      <c r="D258" s="63">
        <v>64040445</v>
      </c>
      <c r="E258" s="65" t="s">
        <v>639</v>
      </c>
      <c r="F258" s="66">
        <v>3231</v>
      </c>
      <c r="G258" s="65" t="s">
        <v>295</v>
      </c>
      <c r="H258" s="67" t="s">
        <v>271</v>
      </c>
      <c r="I258" s="420">
        <v>58663612</v>
      </c>
      <c r="J258" s="415">
        <v>43441544</v>
      </c>
      <c r="K258" s="415">
        <v>41843381</v>
      </c>
      <c r="L258" s="415">
        <v>1598163</v>
      </c>
      <c r="M258" s="415">
        <v>20000</v>
      </c>
      <c r="N258" s="415">
        <v>20000</v>
      </c>
      <c r="O258" s="415">
        <v>0</v>
      </c>
      <c r="P258" s="599">
        <v>14690002</v>
      </c>
      <c r="Q258" s="599">
        <v>434415</v>
      </c>
      <c r="R258" s="415">
        <v>77651</v>
      </c>
      <c r="S258" s="416">
        <v>70.650000000000006</v>
      </c>
      <c r="T258" s="416">
        <v>66.17</v>
      </c>
      <c r="U258" s="423">
        <v>4.4800000000000004</v>
      </c>
      <c r="V258" s="424">
        <f t="shared" si="317"/>
        <v>0</v>
      </c>
      <c r="W258" s="418">
        <f t="shared" si="318"/>
        <v>0</v>
      </c>
      <c r="X258" s="418">
        <v>0</v>
      </c>
      <c r="Y258" s="418">
        <v>0</v>
      </c>
      <c r="Z258" s="418">
        <v>0</v>
      </c>
      <c r="AA258" s="418">
        <v>0</v>
      </c>
      <c r="AB258" s="418">
        <v>0</v>
      </c>
      <c r="AC258" s="418">
        <v>0</v>
      </c>
      <c r="AD258" s="418">
        <f>V258+X258+Y258+Z258+AB258</f>
        <v>0</v>
      </c>
      <c r="AE258" s="418">
        <f>W258+AA258+AC258</f>
        <v>0</v>
      </c>
      <c r="AF258" s="418">
        <f t="shared" si="319"/>
        <v>0</v>
      </c>
      <c r="AG258" s="418">
        <v>0</v>
      </c>
      <c r="AH258" s="418">
        <v>0</v>
      </c>
      <c r="AI258" s="418">
        <v>0</v>
      </c>
      <c r="AJ258" s="418">
        <v>0</v>
      </c>
      <c r="AK258" s="418">
        <v>0</v>
      </c>
      <c r="AL258" s="418">
        <f t="shared" si="320"/>
        <v>0</v>
      </c>
      <c r="AM258" s="418">
        <f t="shared" si="321"/>
        <v>0</v>
      </c>
      <c r="AN258" s="418">
        <f t="shared" si="322"/>
        <v>0</v>
      </c>
      <c r="AO258" s="418">
        <f t="shared" si="323"/>
        <v>0</v>
      </c>
      <c r="AP258" s="418">
        <f t="shared" si="324"/>
        <v>0</v>
      </c>
      <c r="AQ258" s="418">
        <f t="shared" si="325"/>
        <v>0</v>
      </c>
      <c r="AR258" s="68">
        <f t="shared" si="326"/>
        <v>0</v>
      </c>
      <c r="AS258" s="68">
        <f t="shared" si="327"/>
        <v>0</v>
      </c>
      <c r="AT258" s="418">
        <v>0</v>
      </c>
      <c r="AU258" s="418">
        <v>0</v>
      </c>
      <c r="AV258" s="418">
        <f t="shared" si="328"/>
        <v>0</v>
      </c>
      <c r="AW258" s="418">
        <f t="shared" si="329"/>
        <v>0</v>
      </c>
      <c r="AX258" s="419">
        <v>0</v>
      </c>
      <c r="AY258" s="419">
        <v>0</v>
      </c>
      <c r="AZ258" s="419">
        <v>0</v>
      </c>
      <c r="BA258" s="419">
        <v>0</v>
      </c>
      <c r="BB258" s="419">
        <v>0</v>
      </c>
      <c r="BC258" s="419">
        <v>0</v>
      </c>
      <c r="BD258" s="419">
        <v>0</v>
      </c>
      <c r="BE258" s="419">
        <v>0</v>
      </c>
      <c r="BF258" s="419">
        <f t="shared" si="330"/>
        <v>0</v>
      </c>
      <c r="BG258" s="419">
        <f t="shared" si="331"/>
        <v>0</v>
      </c>
      <c r="BH258" s="421">
        <f t="shared" si="332"/>
        <v>0</v>
      </c>
      <c r="BI258" s="780">
        <f>I258+AW258</f>
        <v>58663612</v>
      </c>
      <c r="BJ258" s="418">
        <f>J258+AF258</f>
        <v>43441544</v>
      </c>
      <c r="BK258" s="418">
        <f>K258+AD258</f>
        <v>41843381</v>
      </c>
      <c r="BL258" s="418">
        <f>L258+AE258</f>
        <v>1598163</v>
      </c>
      <c r="BM258" s="418">
        <f>M258+AN258</f>
        <v>20000</v>
      </c>
      <c r="BN258" s="418">
        <f>N258+AL258</f>
        <v>20000</v>
      </c>
      <c r="BO258" s="418">
        <f>O258+AM258</f>
        <v>0</v>
      </c>
      <c r="BP258" s="418">
        <f>P258+AR258</f>
        <v>14690002</v>
      </c>
      <c r="BQ258" s="418">
        <f>Q258+AS258</f>
        <v>434415</v>
      </c>
      <c r="BR258" s="418">
        <f>R258+AV258</f>
        <v>77651</v>
      </c>
      <c r="BS258" s="419">
        <f>S258+BH258</f>
        <v>70.650000000000006</v>
      </c>
      <c r="BT258" s="419">
        <f>T258+BF258</f>
        <v>66.17</v>
      </c>
      <c r="BU258" s="421">
        <f>U258+BG258</f>
        <v>4.4800000000000004</v>
      </c>
      <c r="BV258" s="420"/>
      <c r="BW258" s="415"/>
      <c r="BX258" s="415"/>
      <c r="BY258" s="415"/>
      <c r="BZ258" s="415"/>
      <c r="CA258" s="510"/>
    </row>
    <row r="259" spans="1:79" ht="14.1" customHeight="1" x14ac:dyDescent="0.2">
      <c r="A259" s="72">
        <v>52</v>
      </c>
      <c r="B259" s="69">
        <v>2313</v>
      </c>
      <c r="C259" s="70">
        <v>600080323</v>
      </c>
      <c r="D259" s="69">
        <v>64040445</v>
      </c>
      <c r="E259" s="71" t="s">
        <v>640</v>
      </c>
      <c r="F259" s="72"/>
      <c r="G259" s="71"/>
      <c r="H259" s="73"/>
      <c r="I259" s="518">
        <v>58663612</v>
      </c>
      <c r="J259" s="78">
        <v>43441544</v>
      </c>
      <c r="K259" s="78">
        <v>41843381</v>
      </c>
      <c r="L259" s="78">
        <v>1598163</v>
      </c>
      <c r="M259" s="78">
        <v>20000</v>
      </c>
      <c r="N259" s="78">
        <v>20000</v>
      </c>
      <c r="O259" s="78">
        <v>0</v>
      </c>
      <c r="P259" s="78">
        <v>14690002</v>
      </c>
      <c r="Q259" s="78">
        <v>434415</v>
      </c>
      <c r="R259" s="78">
        <v>77651</v>
      </c>
      <c r="S259" s="79">
        <v>70.650000000000006</v>
      </c>
      <c r="T259" s="79">
        <v>66.17</v>
      </c>
      <c r="U259" s="659">
        <v>4.4800000000000004</v>
      </c>
      <c r="V259" s="518">
        <f t="shared" ref="V259:BU259" si="397">SUM(V258)</f>
        <v>0</v>
      </c>
      <c r="W259" s="78">
        <f t="shared" si="397"/>
        <v>0</v>
      </c>
      <c r="X259" s="78">
        <f t="shared" si="397"/>
        <v>0</v>
      </c>
      <c r="Y259" s="78">
        <f t="shared" si="397"/>
        <v>0</v>
      </c>
      <c r="Z259" s="78">
        <f t="shared" si="397"/>
        <v>0</v>
      </c>
      <c r="AA259" s="78">
        <f t="shared" si="397"/>
        <v>0</v>
      </c>
      <c r="AB259" s="78">
        <f t="shared" si="397"/>
        <v>0</v>
      </c>
      <c r="AC259" s="78">
        <f t="shared" si="397"/>
        <v>0</v>
      </c>
      <c r="AD259" s="78">
        <f t="shared" si="397"/>
        <v>0</v>
      </c>
      <c r="AE259" s="78">
        <f t="shared" si="397"/>
        <v>0</v>
      </c>
      <c r="AF259" s="78">
        <f t="shared" si="397"/>
        <v>0</v>
      </c>
      <c r="AG259" s="78">
        <f t="shared" si="397"/>
        <v>0</v>
      </c>
      <c r="AH259" s="78">
        <f t="shared" si="397"/>
        <v>0</v>
      </c>
      <c r="AI259" s="78">
        <f t="shared" si="397"/>
        <v>0</v>
      </c>
      <c r="AJ259" s="78">
        <f t="shared" si="397"/>
        <v>0</v>
      </c>
      <c r="AK259" s="78">
        <f t="shared" si="397"/>
        <v>0</v>
      </c>
      <c r="AL259" s="78">
        <f t="shared" si="397"/>
        <v>0</v>
      </c>
      <c r="AM259" s="78">
        <f t="shared" si="397"/>
        <v>0</v>
      </c>
      <c r="AN259" s="78">
        <f t="shared" si="397"/>
        <v>0</v>
      </c>
      <c r="AO259" s="78">
        <f t="shared" si="397"/>
        <v>0</v>
      </c>
      <c r="AP259" s="78">
        <f t="shared" si="397"/>
        <v>0</v>
      </c>
      <c r="AQ259" s="78">
        <f t="shared" si="397"/>
        <v>0</v>
      </c>
      <c r="AR259" s="78">
        <f t="shared" si="397"/>
        <v>0</v>
      </c>
      <c r="AS259" s="78">
        <f t="shared" si="397"/>
        <v>0</v>
      </c>
      <c r="AT259" s="78">
        <f t="shared" si="397"/>
        <v>0</v>
      </c>
      <c r="AU259" s="78">
        <f t="shared" si="397"/>
        <v>0</v>
      </c>
      <c r="AV259" s="78">
        <f t="shared" si="397"/>
        <v>0</v>
      </c>
      <c r="AW259" s="78">
        <f t="shared" si="397"/>
        <v>0</v>
      </c>
      <c r="AX259" s="79">
        <f t="shared" si="397"/>
        <v>0</v>
      </c>
      <c r="AY259" s="79">
        <f t="shared" si="397"/>
        <v>0</v>
      </c>
      <c r="AZ259" s="79">
        <f t="shared" si="397"/>
        <v>0</v>
      </c>
      <c r="BA259" s="79">
        <f t="shared" si="397"/>
        <v>0</v>
      </c>
      <c r="BB259" s="79">
        <f t="shared" si="397"/>
        <v>0</v>
      </c>
      <c r="BC259" s="79">
        <f t="shared" si="397"/>
        <v>0</v>
      </c>
      <c r="BD259" s="79">
        <f t="shared" si="397"/>
        <v>0</v>
      </c>
      <c r="BE259" s="79">
        <f t="shared" si="397"/>
        <v>0</v>
      </c>
      <c r="BF259" s="79">
        <f t="shared" si="397"/>
        <v>0</v>
      </c>
      <c r="BG259" s="79">
        <f t="shared" si="397"/>
        <v>0</v>
      </c>
      <c r="BH259" s="80">
        <f t="shared" si="397"/>
        <v>0</v>
      </c>
      <c r="BI259" s="800">
        <f t="shared" si="397"/>
        <v>58663612</v>
      </c>
      <c r="BJ259" s="78">
        <f t="shared" si="397"/>
        <v>43441544</v>
      </c>
      <c r="BK259" s="78">
        <f t="shared" si="397"/>
        <v>41843381</v>
      </c>
      <c r="BL259" s="78">
        <f t="shared" si="397"/>
        <v>1598163</v>
      </c>
      <c r="BM259" s="78">
        <f t="shared" si="397"/>
        <v>20000</v>
      </c>
      <c r="BN259" s="78">
        <f t="shared" si="397"/>
        <v>20000</v>
      </c>
      <c r="BO259" s="78">
        <f t="shared" si="397"/>
        <v>0</v>
      </c>
      <c r="BP259" s="78">
        <f t="shared" si="397"/>
        <v>14690002</v>
      </c>
      <c r="BQ259" s="78">
        <f t="shared" si="397"/>
        <v>434415</v>
      </c>
      <c r="BR259" s="78">
        <f t="shared" si="397"/>
        <v>77651</v>
      </c>
      <c r="BS259" s="79">
        <f t="shared" si="397"/>
        <v>70.650000000000006</v>
      </c>
      <c r="BT259" s="79">
        <f t="shared" si="397"/>
        <v>66.17</v>
      </c>
      <c r="BU259" s="80">
        <f t="shared" si="397"/>
        <v>4.4800000000000004</v>
      </c>
      <c r="BV259" s="811">
        <f t="shared" ref="BV259:CA259" si="398">SUM(BV258)</f>
        <v>0</v>
      </c>
      <c r="BW259" s="685">
        <f t="shared" si="398"/>
        <v>0</v>
      </c>
      <c r="BX259" s="685">
        <f t="shared" si="398"/>
        <v>0</v>
      </c>
      <c r="BY259" s="685">
        <f t="shared" si="398"/>
        <v>0</v>
      </c>
      <c r="BZ259" s="685">
        <f t="shared" si="398"/>
        <v>0</v>
      </c>
      <c r="CA259" s="812">
        <f t="shared" si="398"/>
        <v>0</v>
      </c>
    </row>
    <row r="260" spans="1:79" ht="14.1" customHeight="1" x14ac:dyDescent="0.2">
      <c r="A260" s="66">
        <v>53</v>
      </c>
      <c r="B260" s="63">
        <v>2431</v>
      </c>
      <c r="C260" s="64">
        <v>600079228</v>
      </c>
      <c r="D260" s="63">
        <v>46746234</v>
      </c>
      <c r="E260" s="65" t="s">
        <v>641</v>
      </c>
      <c r="F260" s="66">
        <v>3111</v>
      </c>
      <c r="G260" s="65" t="s">
        <v>290</v>
      </c>
      <c r="H260" s="67" t="s">
        <v>271</v>
      </c>
      <c r="I260" s="420">
        <v>7708661</v>
      </c>
      <c r="J260" s="415">
        <v>5699972</v>
      </c>
      <c r="K260" s="415">
        <v>5229770</v>
      </c>
      <c r="L260" s="415">
        <v>470202</v>
      </c>
      <c r="M260" s="415">
        <v>0</v>
      </c>
      <c r="N260" s="415">
        <v>0</v>
      </c>
      <c r="O260" s="415">
        <v>0</v>
      </c>
      <c r="P260" s="599">
        <v>1926591</v>
      </c>
      <c r="Q260" s="599">
        <v>57000</v>
      </c>
      <c r="R260" s="415">
        <v>25098</v>
      </c>
      <c r="S260" s="416">
        <v>10.051599999999999</v>
      </c>
      <c r="T260" s="416">
        <v>8.4514999999999993</v>
      </c>
      <c r="U260" s="423">
        <v>1.6000999999999999</v>
      </c>
      <c r="V260" s="424">
        <f t="shared" si="317"/>
        <v>0</v>
      </c>
      <c r="W260" s="418">
        <f t="shared" si="318"/>
        <v>0</v>
      </c>
      <c r="X260" s="418">
        <v>0</v>
      </c>
      <c r="Y260" s="418">
        <v>0</v>
      </c>
      <c r="Z260" s="418">
        <v>0</v>
      </c>
      <c r="AA260" s="418">
        <v>0</v>
      </c>
      <c r="AB260" s="418">
        <v>0</v>
      </c>
      <c r="AC260" s="418">
        <v>0</v>
      </c>
      <c r="AD260" s="418">
        <f>V260+X260+Y260+Z260+AB260</f>
        <v>0</v>
      </c>
      <c r="AE260" s="418">
        <f>W260+AA260+AC260</f>
        <v>0</v>
      </c>
      <c r="AF260" s="418">
        <f t="shared" si="319"/>
        <v>0</v>
      </c>
      <c r="AG260" s="418">
        <v>0</v>
      </c>
      <c r="AH260" s="418">
        <v>0</v>
      </c>
      <c r="AI260" s="418">
        <v>0</v>
      </c>
      <c r="AJ260" s="418">
        <v>0</v>
      </c>
      <c r="AK260" s="418">
        <v>0</v>
      </c>
      <c r="AL260" s="418">
        <f t="shared" si="320"/>
        <v>0</v>
      </c>
      <c r="AM260" s="418">
        <f t="shared" si="321"/>
        <v>0</v>
      </c>
      <c r="AN260" s="418">
        <f t="shared" si="322"/>
        <v>0</v>
      </c>
      <c r="AO260" s="418">
        <f t="shared" si="323"/>
        <v>0</v>
      </c>
      <c r="AP260" s="418">
        <f t="shared" si="324"/>
        <v>0</v>
      </c>
      <c r="AQ260" s="418">
        <f t="shared" si="325"/>
        <v>0</v>
      </c>
      <c r="AR260" s="68">
        <f t="shared" si="326"/>
        <v>0</v>
      </c>
      <c r="AS260" s="68">
        <f t="shared" si="327"/>
        <v>0</v>
      </c>
      <c r="AT260" s="418">
        <v>0</v>
      </c>
      <c r="AU260" s="418">
        <v>0</v>
      </c>
      <c r="AV260" s="418">
        <f t="shared" si="328"/>
        <v>0</v>
      </c>
      <c r="AW260" s="418">
        <f t="shared" si="329"/>
        <v>0</v>
      </c>
      <c r="AX260" s="419">
        <v>0</v>
      </c>
      <c r="AY260" s="419">
        <v>0</v>
      </c>
      <c r="AZ260" s="419">
        <v>0</v>
      </c>
      <c r="BA260" s="419">
        <v>0</v>
      </c>
      <c r="BB260" s="419">
        <v>0</v>
      </c>
      <c r="BC260" s="419">
        <v>0</v>
      </c>
      <c r="BD260" s="419">
        <v>0</v>
      </c>
      <c r="BE260" s="419">
        <v>0</v>
      </c>
      <c r="BF260" s="419">
        <f t="shared" si="330"/>
        <v>0</v>
      </c>
      <c r="BG260" s="419">
        <f t="shared" si="331"/>
        <v>0</v>
      </c>
      <c r="BH260" s="421">
        <f t="shared" si="332"/>
        <v>0</v>
      </c>
      <c r="BI260" s="780">
        <f>I260+AW260</f>
        <v>7708661</v>
      </c>
      <c r="BJ260" s="418">
        <f>J260+AF260</f>
        <v>5699972</v>
      </c>
      <c r="BK260" s="418">
        <f t="shared" ref="BK260:BL262" si="399">K260+AD260</f>
        <v>5229770</v>
      </c>
      <c r="BL260" s="418">
        <f t="shared" si="399"/>
        <v>470202</v>
      </c>
      <c r="BM260" s="418">
        <f>M260+AN260</f>
        <v>0</v>
      </c>
      <c r="BN260" s="418">
        <f t="shared" ref="BN260:BO262" si="400">N260+AL260</f>
        <v>0</v>
      </c>
      <c r="BO260" s="418">
        <f t="shared" si="400"/>
        <v>0</v>
      </c>
      <c r="BP260" s="418">
        <f t="shared" ref="BP260:BQ262" si="401">P260+AR260</f>
        <v>1926591</v>
      </c>
      <c r="BQ260" s="418">
        <f t="shared" si="401"/>
        <v>57000</v>
      </c>
      <c r="BR260" s="418">
        <f>R260+AV260</f>
        <v>25098</v>
      </c>
      <c r="BS260" s="419">
        <f>S260+BH260</f>
        <v>10.051599999999999</v>
      </c>
      <c r="BT260" s="419">
        <f t="shared" ref="BT260:BU262" si="402">T260+BF260</f>
        <v>8.4514999999999993</v>
      </c>
      <c r="BU260" s="421">
        <f t="shared" si="402"/>
        <v>1.6000999999999999</v>
      </c>
      <c r="BV260" s="420"/>
      <c r="BW260" s="415"/>
      <c r="BX260" s="415"/>
      <c r="BY260" s="415"/>
      <c r="BZ260" s="415"/>
      <c r="CA260" s="510"/>
    </row>
    <row r="261" spans="1:79" ht="14.1" customHeight="1" x14ac:dyDescent="0.2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641</v>
      </c>
      <c r="F261" s="66">
        <v>3111</v>
      </c>
      <c r="G261" s="77" t="s">
        <v>291</v>
      </c>
      <c r="H261" s="67" t="s">
        <v>272</v>
      </c>
      <c r="I261" s="420">
        <v>2000</v>
      </c>
      <c r="J261" s="415">
        <v>0</v>
      </c>
      <c r="K261" s="415">
        <v>0</v>
      </c>
      <c r="L261" s="415">
        <v>0</v>
      </c>
      <c r="M261" s="415">
        <v>0</v>
      </c>
      <c r="N261" s="415">
        <v>0</v>
      </c>
      <c r="O261" s="415">
        <v>0</v>
      </c>
      <c r="P261" s="599">
        <v>0</v>
      </c>
      <c r="Q261" s="599">
        <v>0</v>
      </c>
      <c r="R261" s="415">
        <v>2000</v>
      </c>
      <c r="S261" s="416">
        <v>0</v>
      </c>
      <c r="T261" s="417">
        <v>0</v>
      </c>
      <c r="U261" s="423">
        <v>0</v>
      </c>
      <c r="V261" s="424">
        <f t="shared" si="317"/>
        <v>0</v>
      </c>
      <c r="W261" s="418">
        <f t="shared" si="318"/>
        <v>0</v>
      </c>
      <c r="X261" s="418">
        <v>0</v>
      </c>
      <c r="Y261" s="418">
        <v>0</v>
      </c>
      <c r="Z261" s="418">
        <v>0</v>
      </c>
      <c r="AA261" s="418">
        <v>0</v>
      </c>
      <c r="AB261" s="418">
        <v>0</v>
      </c>
      <c r="AC261" s="418">
        <v>0</v>
      </c>
      <c r="AD261" s="418">
        <f>V261+X261+Y261+Z261+AB261</f>
        <v>0</v>
      </c>
      <c r="AE261" s="418">
        <f>W261+AA261+AC261</f>
        <v>0</v>
      </c>
      <c r="AF261" s="418">
        <f t="shared" si="319"/>
        <v>0</v>
      </c>
      <c r="AG261" s="418">
        <v>0</v>
      </c>
      <c r="AH261" s="418">
        <v>0</v>
      </c>
      <c r="AI261" s="418">
        <v>0</v>
      </c>
      <c r="AJ261" s="418">
        <v>0</v>
      </c>
      <c r="AK261" s="418">
        <v>0</v>
      </c>
      <c r="AL261" s="418">
        <f t="shared" si="320"/>
        <v>0</v>
      </c>
      <c r="AM261" s="418">
        <f t="shared" si="321"/>
        <v>0</v>
      </c>
      <c r="AN261" s="418">
        <f t="shared" si="322"/>
        <v>0</v>
      </c>
      <c r="AO261" s="418">
        <f t="shared" si="323"/>
        <v>0</v>
      </c>
      <c r="AP261" s="418">
        <f t="shared" si="324"/>
        <v>0</v>
      </c>
      <c r="AQ261" s="418">
        <f t="shared" si="325"/>
        <v>0</v>
      </c>
      <c r="AR261" s="68">
        <f t="shared" si="326"/>
        <v>0</v>
      </c>
      <c r="AS261" s="68">
        <f t="shared" si="327"/>
        <v>0</v>
      </c>
      <c r="AT261" s="418">
        <v>0</v>
      </c>
      <c r="AU261" s="418">
        <v>0</v>
      </c>
      <c r="AV261" s="418">
        <f t="shared" si="328"/>
        <v>0</v>
      </c>
      <c r="AW261" s="418">
        <f t="shared" si="329"/>
        <v>0</v>
      </c>
      <c r="AX261" s="419">
        <v>0</v>
      </c>
      <c r="AY261" s="419">
        <v>0</v>
      </c>
      <c r="AZ261" s="419">
        <v>0</v>
      </c>
      <c r="BA261" s="419">
        <v>0</v>
      </c>
      <c r="BB261" s="419">
        <v>0</v>
      </c>
      <c r="BC261" s="419">
        <v>0</v>
      </c>
      <c r="BD261" s="419">
        <v>0</v>
      </c>
      <c r="BE261" s="419">
        <v>0</v>
      </c>
      <c r="BF261" s="419">
        <f t="shared" si="330"/>
        <v>0</v>
      </c>
      <c r="BG261" s="419">
        <f t="shared" si="331"/>
        <v>0</v>
      </c>
      <c r="BH261" s="421">
        <f t="shared" si="332"/>
        <v>0</v>
      </c>
      <c r="BI261" s="780">
        <f>I261+AW261</f>
        <v>2000</v>
      </c>
      <c r="BJ261" s="418">
        <f>J261+AF261</f>
        <v>0</v>
      </c>
      <c r="BK261" s="418">
        <f t="shared" si="399"/>
        <v>0</v>
      </c>
      <c r="BL261" s="418">
        <f t="shared" si="399"/>
        <v>0</v>
      </c>
      <c r="BM261" s="418">
        <f>M261+AN261</f>
        <v>0</v>
      </c>
      <c r="BN261" s="418">
        <f t="shared" si="400"/>
        <v>0</v>
      </c>
      <c r="BO261" s="418">
        <f t="shared" si="400"/>
        <v>0</v>
      </c>
      <c r="BP261" s="418">
        <f t="shared" si="401"/>
        <v>0</v>
      </c>
      <c r="BQ261" s="418">
        <f t="shared" si="401"/>
        <v>0</v>
      </c>
      <c r="BR261" s="418">
        <f>R261+AV261</f>
        <v>2000</v>
      </c>
      <c r="BS261" s="419">
        <f>S261+BH261</f>
        <v>0</v>
      </c>
      <c r="BT261" s="419">
        <f t="shared" si="402"/>
        <v>0</v>
      </c>
      <c r="BU261" s="421">
        <f t="shared" si="402"/>
        <v>0</v>
      </c>
      <c r="BV261" s="420"/>
      <c r="BW261" s="415"/>
      <c r="BX261" s="415"/>
      <c r="BY261" s="415"/>
      <c r="BZ261" s="415"/>
      <c r="CA261" s="510"/>
    </row>
    <row r="262" spans="1:79" ht="14.1" customHeight="1" x14ac:dyDescent="0.2">
      <c r="A262" s="66">
        <v>53</v>
      </c>
      <c r="B262" s="63">
        <v>2431</v>
      </c>
      <c r="C262" s="64">
        <v>600079228</v>
      </c>
      <c r="D262" s="63">
        <v>46746234</v>
      </c>
      <c r="E262" s="65" t="s">
        <v>641</v>
      </c>
      <c r="F262" s="66">
        <v>3141</v>
      </c>
      <c r="G262" s="65" t="s">
        <v>294</v>
      </c>
      <c r="H262" s="67" t="s">
        <v>272</v>
      </c>
      <c r="I262" s="420">
        <v>713549</v>
      </c>
      <c r="J262" s="415">
        <v>526898</v>
      </c>
      <c r="K262" s="415">
        <v>0</v>
      </c>
      <c r="L262" s="750">
        <v>526898</v>
      </c>
      <c r="M262" s="415">
        <v>0</v>
      </c>
      <c r="N262" s="204">
        <v>0</v>
      </c>
      <c r="O262" s="204">
        <v>0</v>
      </c>
      <c r="P262" s="599">
        <v>178092</v>
      </c>
      <c r="Q262" s="599">
        <v>5269</v>
      </c>
      <c r="R262" s="605">
        <v>3290</v>
      </c>
      <c r="S262" s="416">
        <v>1.58</v>
      </c>
      <c r="T262" s="607">
        <v>0</v>
      </c>
      <c r="U262" s="737">
        <v>1.58</v>
      </c>
      <c r="V262" s="424">
        <f t="shared" si="317"/>
        <v>0</v>
      </c>
      <c r="W262" s="418">
        <f t="shared" si="318"/>
        <v>0</v>
      </c>
      <c r="X262" s="418">
        <v>0</v>
      </c>
      <c r="Y262" s="418">
        <v>0</v>
      </c>
      <c r="Z262" s="418">
        <v>0</v>
      </c>
      <c r="AA262" s="418">
        <v>263290</v>
      </c>
      <c r="AB262" s="418">
        <v>0</v>
      </c>
      <c r="AC262" s="418">
        <v>0</v>
      </c>
      <c r="AD262" s="418">
        <f>V262+X262+Y262+Z262+AB262</f>
        <v>0</v>
      </c>
      <c r="AE262" s="418">
        <f>W262+AA262+AC262</f>
        <v>263290</v>
      </c>
      <c r="AF262" s="418">
        <f t="shared" si="319"/>
        <v>263290</v>
      </c>
      <c r="AG262" s="418">
        <v>0</v>
      </c>
      <c r="AH262" s="418">
        <v>0</v>
      </c>
      <c r="AI262" s="418">
        <v>0</v>
      </c>
      <c r="AJ262" s="418">
        <v>0</v>
      </c>
      <c r="AK262" s="418">
        <v>0</v>
      </c>
      <c r="AL262" s="418">
        <f t="shared" si="320"/>
        <v>0</v>
      </c>
      <c r="AM262" s="418">
        <f t="shared" si="321"/>
        <v>0</v>
      </c>
      <c r="AN262" s="418">
        <f t="shared" si="322"/>
        <v>0</v>
      </c>
      <c r="AO262" s="418">
        <f t="shared" si="323"/>
        <v>0</v>
      </c>
      <c r="AP262" s="418">
        <f t="shared" si="324"/>
        <v>263290</v>
      </c>
      <c r="AQ262" s="418">
        <f t="shared" si="325"/>
        <v>263290</v>
      </c>
      <c r="AR262" s="68">
        <f t="shared" si="326"/>
        <v>88992</v>
      </c>
      <c r="AS262" s="68">
        <f t="shared" si="327"/>
        <v>2633</v>
      </c>
      <c r="AT262" s="418">
        <v>0</v>
      </c>
      <c r="AU262" s="418">
        <v>1598</v>
      </c>
      <c r="AV262" s="418">
        <f t="shared" si="328"/>
        <v>1598</v>
      </c>
      <c r="AW262" s="418">
        <f t="shared" si="329"/>
        <v>356513</v>
      </c>
      <c r="AX262" s="419">
        <v>0</v>
      </c>
      <c r="AY262" s="419">
        <v>0</v>
      </c>
      <c r="AZ262" s="419">
        <v>0</v>
      </c>
      <c r="BA262" s="419">
        <v>0</v>
      </c>
      <c r="BB262" s="419">
        <v>0.79</v>
      </c>
      <c r="BC262" s="419">
        <v>0</v>
      </c>
      <c r="BD262" s="419">
        <v>0</v>
      </c>
      <c r="BE262" s="419">
        <v>0</v>
      </c>
      <c r="BF262" s="419">
        <f t="shared" si="330"/>
        <v>0</v>
      </c>
      <c r="BG262" s="419">
        <f t="shared" si="331"/>
        <v>0.79</v>
      </c>
      <c r="BH262" s="421">
        <f t="shared" si="332"/>
        <v>0.79</v>
      </c>
      <c r="BI262" s="780">
        <f>I262+AW262</f>
        <v>1070062</v>
      </c>
      <c r="BJ262" s="418">
        <f>J262+AF262</f>
        <v>790188</v>
      </c>
      <c r="BK262" s="418">
        <f t="shared" si="399"/>
        <v>0</v>
      </c>
      <c r="BL262" s="418">
        <f t="shared" si="399"/>
        <v>790188</v>
      </c>
      <c r="BM262" s="418">
        <f>M262+AN262</f>
        <v>0</v>
      </c>
      <c r="BN262" s="418">
        <f t="shared" si="400"/>
        <v>0</v>
      </c>
      <c r="BO262" s="418">
        <f t="shared" si="400"/>
        <v>0</v>
      </c>
      <c r="BP262" s="418">
        <f t="shared" si="401"/>
        <v>267084</v>
      </c>
      <c r="BQ262" s="418">
        <f t="shared" si="401"/>
        <v>7902</v>
      </c>
      <c r="BR262" s="418">
        <f>R262+AV262</f>
        <v>4888</v>
      </c>
      <c r="BS262" s="419">
        <f>S262+BH262</f>
        <v>2.37</v>
      </c>
      <c r="BT262" s="419">
        <f t="shared" si="402"/>
        <v>0</v>
      </c>
      <c r="BU262" s="421">
        <f t="shared" si="402"/>
        <v>2.37</v>
      </c>
      <c r="BV262" s="420"/>
      <c r="BW262" s="415"/>
      <c r="BX262" s="415"/>
      <c r="BY262" s="415"/>
      <c r="BZ262" s="415"/>
      <c r="CA262" s="510"/>
    </row>
    <row r="263" spans="1:79" ht="14.1" customHeight="1" x14ac:dyDescent="0.2">
      <c r="A263" s="72">
        <v>53</v>
      </c>
      <c r="B263" s="69">
        <v>2431</v>
      </c>
      <c r="C263" s="70">
        <v>600079228</v>
      </c>
      <c r="D263" s="69">
        <v>46746234</v>
      </c>
      <c r="E263" s="71" t="s">
        <v>642</v>
      </c>
      <c r="F263" s="72"/>
      <c r="G263" s="71"/>
      <c r="H263" s="73"/>
      <c r="I263" s="517">
        <v>8424210</v>
      </c>
      <c r="J263" s="74">
        <v>6226870</v>
      </c>
      <c r="K263" s="74">
        <v>5229770</v>
      </c>
      <c r="L263" s="74">
        <v>997100</v>
      </c>
      <c r="M263" s="74">
        <v>0</v>
      </c>
      <c r="N263" s="74">
        <v>0</v>
      </c>
      <c r="O263" s="74">
        <v>0</v>
      </c>
      <c r="P263" s="74">
        <v>2104683</v>
      </c>
      <c r="Q263" s="74">
        <v>62269</v>
      </c>
      <c r="R263" s="74">
        <v>30388</v>
      </c>
      <c r="S263" s="75">
        <v>11.631599999999999</v>
      </c>
      <c r="T263" s="75">
        <v>8.4514999999999993</v>
      </c>
      <c r="U263" s="658">
        <v>3.1800999999999999</v>
      </c>
      <c r="V263" s="517">
        <f t="shared" ref="V263:BU263" si="403">SUM(V260:V262)</f>
        <v>0</v>
      </c>
      <c r="W263" s="74">
        <f t="shared" si="403"/>
        <v>0</v>
      </c>
      <c r="X263" s="74">
        <f t="shared" si="403"/>
        <v>0</v>
      </c>
      <c r="Y263" s="74">
        <f t="shared" si="403"/>
        <v>0</v>
      </c>
      <c r="Z263" s="74">
        <f t="shared" si="403"/>
        <v>0</v>
      </c>
      <c r="AA263" s="74">
        <f t="shared" si="403"/>
        <v>263290</v>
      </c>
      <c r="AB263" s="74">
        <f t="shared" si="403"/>
        <v>0</v>
      </c>
      <c r="AC263" s="74">
        <f t="shared" si="403"/>
        <v>0</v>
      </c>
      <c r="AD263" s="74">
        <f t="shared" si="403"/>
        <v>0</v>
      </c>
      <c r="AE263" s="74">
        <f t="shared" si="403"/>
        <v>263290</v>
      </c>
      <c r="AF263" s="74">
        <f t="shared" si="403"/>
        <v>263290</v>
      </c>
      <c r="AG263" s="74">
        <f t="shared" si="403"/>
        <v>0</v>
      </c>
      <c r="AH263" s="74">
        <f t="shared" si="403"/>
        <v>0</v>
      </c>
      <c r="AI263" s="74">
        <f t="shared" si="403"/>
        <v>0</v>
      </c>
      <c r="AJ263" s="74">
        <f t="shared" si="403"/>
        <v>0</v>
      </c>
      <c r="AK263" s="74">
        <f t="shared" si="403"/>
        <v>0</v>
      </c>
      <c r="AL263" s="74">
        <f t="shared" si="403"/>
        <v>0</v>
      </c>
      <c r="AM263" s="74">
        <f t="shared" si="403"/>
        <v>0</v>
      </c>
      <c r="AN263" s="74">
        <f t="shared" si="403"/>
        <v>0</v>
      </c>
      <c r="AO263" s="74">
        <f t="shared" si="403"/>
        <v>0</v>
      </c>
      <c r="AP263" s="74">
        <f t="shared" si="403"/>
        <v>263290</v>
      </c>
      <c r="AQ263" s="74">
        <f t="shared" si="403"/>
        <v>263290</v>
      </c>
      <c r="AR263" s="74">
        <f t="shared" si="403"/>
        <v>88992</v>
      </c>
      <c r="AS263" s="74">
        <f t="shared" si="403"/>
        <v>2633</v>
      </c>
      <c r="AT263" s="74">
        <f t="shared" si="403"/>
        <v>0</v>
      </c>
      <c r="AU263" s="74">
        <f t="shared" si="403"/>
        <v>1598</v>
      </c>
      <c r="AV263" s="74">
        <f t="shared" si="403"/>
        <v>1598</v>
      </c>
      <c r="AW263" s="74">
        <f t="shared" si="403"/>
        <v>356513</v>
      </c>
      <c r="AX263" s="75">
        <f t="shared" si="403"/>
        <v>0</v>
      </c>
      <c r="AY263" s="75">
        <f t="shared" si="403"/>
        <v>0</v>
      </c>
      <c r="AZ263" s="75">
        <f t="shared" si="403"/>
        <v>0</v>
      </c>
      <c r="BA263" s="75">
        <f t="shared" si="403"/>
        <v>0</v>
      </c>
      <c r="BB263" s="75">
        <f t="shared" si="403"/>
        <v>0.79</v>
      </c>
      <c r="BC263" s="75">
        <f t="shared" si="403"/>
        <v>0</v>
      </c>
      <c r="BD263" s="75">
        <f t="shared" si="403"/>
        <v>0</v>
      </c>
      <c r="BE263" s="75">
        <f t="shared" si="403"/>
        <v>0</v>
      </c>
      <c r="BF263" s="75">
        <f t="shared" si="403"/>
        <v>0</v>
      </c>
      <c r="BG263" s="75">
        <f t="shared" si="403"/>
        <v>0.79</v>
      </c>
      <c r="BH263" s="76">
        <f t="shared" si="403"/>
        <v>0.79</v>
      </c>
      <c r="BI263" s="799">
        <f t="shared" si="403"/>
        <v>8780723</v>
      </c>
      <c r="BJ263" s="74">
        <f t="shared" si="403"/>
        <v>6490160</v>
      </c>
      <c r="BK263" s="74">
        <f t="shared" si="403"/>
        <v>5229770</v>
      </c>
      <c r="BL263" s="74">
        <f t="shared" si="403"/>
        <v>1260390</v>
      </c>
      <c r="BM263" s="74">
        <f t="shared" si="403"/>
        <v>0</v>
      </c>
      <c r="BN263" s="74">
        <f t="shared" si="403"/>
        <v>0</v>
      </c>
      <c r="BO263" s="74">
        <f t="shared" si="403"/>
        <v>0</v>
      </c>
      <c r="BP263" s="74">
        <f t="shared" si="403"/>
        <v>2193675</v>
      </c>
      <c r="BQ263" s="74">
        <f t="shared" si="403"/>
        <v>64902</v>
      </c>
      <c r="BR263" s="74">
        <f t="shared" si="403"/>
        <v>31986</v>
      </c>
      <c r="BS263" s="75">
        <f t="shared" si="403"/>
        <v>12.421599999999998</v>
      </c>
      <c r="BT263" s="75">
        <f t="shared" si="403"/>
        <v>8.4514999999999993</v>
      </c>
      <c r="BU263" s="76">
        <f t="shared" si="403"/>
        <v>3.9701</v>
      </c>
      <c r="BV263" s="809">
        <f t="shared" ref="BV263:CA263" si="404">SUM(BV260:BV262)</f>
        <v>0</v>
      </c>
      <c r="BW263" s="684">
        <f t="shared" si="404"/>
        <v>0</v>
      </c>
      <c r="BX263" s="684">
        <f t="shared" si="404"/>
        <v>0</v>
      </c>
      <c r="BY263" s="684">
        <f t="shared" si="404"/>
        <v>0</v>
      </c>
      <c r="BZ263" s="684">
        <f t="shared" si="404"/>
        <v>0</v>
      </c>
      <c r="CA263" s="810">
        <f t="shared" si="404"/>
        <v>0</v>
      </c>
    </row>
    <row r="264" spans="1:79" ht="11.25" customHeight="1" x14ac:dyDescent="0.2">
      <c r="A264" s="66">
        <v>54</v>
      </c>
      <c r="B264" s="63">
        <v>2434</v>
      </c>
      <c r="C264" s="64">
        <v>600079317</v>
      </c>
      <c r="D264" s="63">
        <v>46746480</v>
      </c>
      <c r="E264" s="65" t="s">
        <v>643</v>
      </c>
      <c r="F264" s="66">
        <v>3111</v>
      </c>
      <c r="G264" s="65" t="s">
        <v>290</v>
      </c>
      <c r="H264" s="67" t="s">
        <v>271</v>
      </c>
      <c r="I264" s="420">
        <v>14179075</v>
      </c>
      <c r="J264" s="415">
        <v>10482750</v>
      </c>
      <c r="K264" s="415">
        <v>9381107</v>
      </c>
      <c r="L264" s="415">
        <v>1101643</v>
      </c>
      <c r="M264" s="415">
        <v>0</v>
      </c>
      <c r="N264" s="415">
        <v>0</v>
      </c>
      <c r="O264" s="415">
        <v>0</v>
      </c>
      <c r="P264" s="599">
        <v>3543170</v>
      </c>
      <c r="Q264" s="599">
        <v>104828</v>
      </c>
      <c r="R264" s="415">
        <v>48327</v>
      </c>
      <c r="S264" s="416">
        <v>19.840399999999999</v>
      </c>
      <c r="T264" s="416">
        <v>16</v>
      </c>
      <c r="U264" s="423">
        <v>3.8403999999999998</v>
      </c>
      <c r="V264" s="424">
        <f t="shared" si="317"/>
        <v>0</v>
      </c>
      <c r="W264" s="418">
        <f t="shared" si="318"/>
        <v>0</v>
      </c>
      <c r="X264" s="418">
        <v>0</v>
      </c>
      <c r="Y264" s="418">
        <v>0</v>
      </c>
      <c r="Z264" s="418">
        <v>0</v>
      </c>
      <c r="AA264" s="418">
        <v>0</v>
      </c>
      <c r="AB264" s="418">
        <v>0</v>
      </c>
      <c r="AC264" s="418">
        <v>0</v>
      </c>
      <c r="AD264" s="418">
        <f>V264+X264+Y264+Z264+AB264</f>
        <v>0</v>
      </c>
      <c r="AE264" s="418">
        <f>W264+AA264+AC264</f>
        <v>0</v>
      </c>
      <c r="AF264" s="418">
        <f t="shared" si="319"/>
        <v>0</v>
      </c>
      <c r="AG264" s="418">
        <v>0</v>
      </c>
      <c r="AH264" s="418">
        <v>0</v>
      </c>
      <c r="AI264" s="418">
        <v>0</v>
      </c>
      <c r="AJ264" s="418">
        <v>0</v>
      </c>
      <c r="AK264" s="418">
        <v>0</v>
      </c>
      <c r="AL264" s="418">
        <f t="shared" si="320"/>
        <v>0</v>
      </c>
      <c r="AM264" s="418">
        <f t="shared" si="321"/>
        <v>0</v>
      </c>
      <c r="AN264" s="418">
        <f t="shared" si="322"/>
        <v>0</v>
      </c>
      <c r="AO264" s="418">
        <f t="shared" si="323"/>
        <v>0</v>
      </c>
      <c r="AP264" s="418">
        <f t="shared" si="324"/>
        <v>0</v>
      </c>
      <c r="AQ264" s="418">
        <f t="shared" si="325"/>
        <v>0</v>
      </c>
      <c r="AR264" s="68">
        <f t="shared" si="326"/>
        <v>0</v>
      </c>
      <c r="AS264" s="68">
        <f t="shared" si="327"/>
        <v>0</v>
      </c>
      <c r="AT264" s="418">
        <v>0</v>
      </c>
      <c r="AU264" s="418">
        <v>0</v>
      </c>
      <c r="AV264" s="418">
        <f t="shared" si="328"/>
        <v>0</v>
      </c>
      <c r="AW264" s="418">
        <f t="shared" si="329"/>
        <v>0</v>
      </c>
      <c r="AX264" s="419">
        <v>0</v>
      </c>
      <c r="AY264" s="419">
        <v>0</v>
      </c>
      <c r="AZ264" s="419">
        <v>0</v>
      </c>
      <c r="BA264" s="419">
        <v>0</v>
      </c>
      <c r="BB264" s="419">
        <v>0</v>
      </c>
      <c r="BC264" s="419">
        <v>0</v>
      </c>
      <c r="BD264" s="419">
        <v>0</v>
      </c>
      <c r="BE264" s="419">
        <v>0</v>
      </c>
      <c r="BF264" s="419">
        <f t="shared" si="330"/>
        <v>0</v>
      </c>
      <c r="BG264" s="419">
        <f t="shared" si="331"/>
        <v>0</v>
      </c>
      <c r="BH264" s="421">
        <f t="shared" si="332"/>
        <v>0</v>
      </c>
      <c r="BI264" s="780">
        <f>I264+AW264</f>
        <v>14179075</v>
      </c>
      <c r="BJ264" s="418">
        <f>J264+AF264</f>
        <v>10482750</v>
      </c>
      <c r="BK264" s="418">
        <f t="shared" ref="BK264:BL266" si="405">K264+AD264</f>
        <v>9381107</v>
      </c>
      <c r="BL264" s="418">
        <f t="shared" si="405"/>
        <v>1101643</v>
      </c>
      <c r="BM264" s="418">
        <f>M264+AN264</f>
        <v>0</v>
      </c>
      <c r="BN264" s="418">
        <f t="shared" ref="BN264:BO266" si="406">N264+AL264</f>
        <v>0</v>
      </c>
      <c r="BO264" s="418">
        <f t="shared" si="406"/>
        <v>0</v>
      </c>
      <c r="BP264" s="418">
        <f t="shared" ref="BP264:BQ266" si="407">P264+AR264</f>
        <v>3543170</v>
      </c>
      <c r="BQ264" s="418">
        <f t="shared" si="407"/>
        <v>104828</v>
      </c>
      <c r="BR264" s="418">
        <f>R264+AV264</f>
        <v>48327</v>
      </c>
      <c r="BS264" s="419">
        <f>S264+BH264</f>
        <v>19.840399999999999</v>
      </c>
      <c r="BT264" s="419">
        <f t="shared" ref="BT264:BU266" si="408">T264+BF264</f>
        <v>16</v>
      </c>
      <c r="BU264" s="421">
        <f t="shared" si="408"/>
        <v>3.8403999999999998</v>
      </c>
      <c r="BV264" s="420"/>
      <c r="BW264" s="415"/>
      <c r="BX264" s="415"/>
      <c r="BY264" s="415"/>
      <c r="BZ264" s="415"/>
      <c r="CA264" s="510"/>
    </row>
    <row r="265" spans="1:79" ht="14.1" customHeight="1" x14ac:dyDescent="0.2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643</v>
      </c>
      <c r="F265" s="66">
        <v>3111</v>
      </c>
      <c r="G265" s="77" t="s">
        <v>291</v>
      </c>
      <c r="H265" s="67" t="s">
        <v>272</v>
      </c>
      <c r="I265" s="420">
        <v>1460866</v>
      </c>
      <c r="J265" s="415">
        <v>1081503</v>
      </c>
      <c r="K265" s="415">
        <v>1081503</v>
      </c>
      <c r="L265" s="415">
        <v>0</v>
      </c>
      <c r="M265" s="415">
        <v>0</v>
      </c>
      <c r="N265" s="415">
        <v>0</v>
      </c>
      <c r="O265" s="415">
        <v>0</v>
      </c>
      <c r="P265" s="599">
        <v>365548</v>
      </c>
      <c r="Q265" s="599">
        <v>10815</v>
      </c>
      <c r="R265" s="415">
        <v>3000</v>
      </c>
      <c r="S265" s="416">
        <v>2.92</v>
      </c>
      <c r="T265" s="417">
        <v>2.92</v>
      </c>
      <c r="U265" s="423">
        <v>0</v>
      </c>
      <c r="V265" s="424">
        <f t="shared" si="317"/>
        <v>0</v>
      </c>
      <c r="W265" s="418">
        <f t="shared" si="318"/>
        <v>0</v>
      </c>
      <c r="X265" s="418">
        <v>0</v>
      </c>
      <c r="Y265" s="418">
        <v>0</v>
      </c>
      <c r="Z265" s="418">
        <v>0</v>
      </c>
      <c r="AA265" s="418">
        <v>0</v>
      </c>
      <c r="AB265" s="418">
        <v>0</v>
      </c>
      <c r="AC265" s="418">
        <v>0</v>
      </c>
      <c r="AD265" s="418">
        <f>V265+X265+Y265+Z265+AB265</f>
        <v>0</v>
      </c>
      <c r="AE265" s="418">
        <f>W265+AA265+AC265</f>
        <v>0</v>
      </c>
      <c r="AF265" s="418">
        <f t="shared" si="319"/>
        <v>0</v>
      </c>
      <c r="AG265" s="418">
        <v>0</v>
      </c>
      <c r="AH265" s="418">
        <v>0</v>
      </c>
      <c r="AI265" s="418">
        <v>0</v>
      </c>
      <c r="AJ265" s="418">
        <v>0</v>
      </c>
      <c r="AK265" s="418">
        <v>0</v>
      </c>
      <c r="AL265" s="418">
        <f t="shared" si="320"/>
        <v>0</v>
      </c>
      <c r="AM265" s="418">
        <f t="shared" si="321"/>
        <v>0</v>
      </c>
      <c r="AN265" s="418">
        <f t="shared" si="322"/>
        <v>0</v>
      </c>
      <c r="AO265" s="418">
        <f t="shared" si="323"/>
        <v>0</v>
      </c>
      <c r="AP265" s="418">
        <f t="shared" si="324"/>
        <v>0</v>
      </c>
      <c r="AQ265" s="418">
        <f t="shared" si="325"/>
        <v>0</v>
      </c>
      <c r="AR265" s="68">
        <f t="shared" si="326"/>
        <v>0</v>
      </c>
      <c r="AS265" s="68">
        <f t="shared" si="327"/>
        <v>0</v>
      </c>
      <c r="AT265" s="418">
        <v>0</v>
      </c>
      <c r="AU265" s="418">
        <v>0</v>
      </c>
      <c r="AV265" s="418">
        <f t="shared" si="328"/>
        <v>0</v>
      </c>
      <c r="AW265" s="418">
        <f t="shared" si="329"/>
        <v>0</v>
      </c>
      <c r="AX265" s="419">
        <v>0</v>
      </c>
      <c r="AY265" s="419">
        <v>0</v>
      </c>
      <c r="AZ265" s="419">
        <v>0</v>
      </c>
      <c r="BA265" s="419">
        <v>0</v>
      </c>
      <c r="BB265" s="419">
        <v>0</v>
      </c>
      <c r="BC265" s="419">
        <v>0</v>
      </c>
      <c r="BD265" s="419">
        <v>0</v>
      </c>
      <c r="BE265" s="419">
        <v>0</v>
      </c>
      <c r="BF265" s="419">
        <f t="shared" si="330"/>
        <v>0</v>
      </c>
      <c r="BG265" s="419">
        <f t="shared" si="331"/>
        <v>0</v>
      </c>
      <c r="BH265" s="421">
        <f t="shared" si="332"/>
        <v>0</v>
      </c>
      <c r="BI265" s="780">
        <f>I265+AW265</f>
        <v>1460866</v>
      </c>
      <c r="BJ265" s="418">
        <f>J265+AF265</f>
        <v>1081503</v>
      </c>
      <c r="BK265" s="418">
        <f t="shared" si="405"/>
        <v>1081503</v>
      </c>
      <c r="BL265" s="418">
        <f t="shared" si="405"/>
        <v>0</v>
      </c>
      <c r="BM265" s="418">
        <f>M265+AN265</f>
        <v>0</v>
      </c>
      <c r="BN265" s="418">
        <f t="shared" si="406"/>
        <v>0</v>
      </c>
      <c r="BO265" s="418">
        <f t="shared" si="406"/>
        <v>0</v>
      </c>
      <c r="BP265" s="418">
        <f t="shared" si="407"/>
        <v>365548</v>
      </c>
      <c r="BQ265" s="418">
        <f t="shared" si="407"/>
        <v>10815</v>
      </c>
      <c r="BR265" s="418">
        <f>R265+AV265</f>
        <v>3000</v>
      </c>
      <c r="BS265" s="419">
        <f>S265+BH265</f>
        <v>2.92</v>
      </c>
      <c r="BT265" s="419">
        <f t="shared" si="408"/>
        <v>2.92</v>
      </c>
      <c r="BU265" s="421">
        <f t="shared" si="408"/>
        <v>0</v>
      </c>
      <c r="BV265" s="420"/>
      <c r="BW265" s="415"/>
      <c r="BX265" s="415"/>
      <c r="BY265" s="415"/>
      <c r="BZ265" s="415"/>
      <c r="CA265" s="510"/>
    </row>
    <row r="266" spans="1:79" ht="14.1" customHeight="1" x14ac:dyDescent="0.2">
      <c r="A266" s="66">
        <v>54</v>
      </c>
      <c r="B266" s="63">
        <v>2434</v>
      </c>
      <c r="C266" s="64">
        <v>600079317</v>
      </c>
      <c r="D266" s="63">
        <v>46746480</v>
      </c>
      <c r="E266" s="65" t="s">
        <v>643</v>
      </c>
      <c r="F266" s="66">
        <v>3141</v>
      </c>
      <c r="G266" s="65" t="s">
        <v>294</v>
      </c>
      <c r="H266" s="67" t="s">
        <v>272</v>
      </c>
      <c r="I266" s="420">
        <v>1429279</v>
      </c>
      <c r="J266" s="415">
        <v>1056031</v>
      </c>
      <c r="K266" s="415">
        <v>0</v>
      </c>
      <c r="L266" s="750">
        <v>1056031</v>
      </c>
      <c r="M266" s="415">
        <v>0</v>
      </c>
      <c r="N266" s="204">
        <v>0</v>
      </c>
      <c r="O266" s="204">
        <v>0</v>
      </c>
      <c r="P266" s="599">
        <v>356938</v>
      </c>
      <c r="Q266" s="599">
        <v>10560</v>
      </c>
      <c r="R266" s="605">
        <v>5750</v>
      </c>
      <c r="S266" s="416">
        <v>3.1666999999999996</v>
      </c>
      <c r="T266" s="607">
        <v>0</v>
      </c>
      <c r="U266" s="737">
        <v>3.1666999999999996</v>
      </c>
      <c r="V266" s="424">
        <f t="shared" si="317"/>
        <v>0</v>
      </c>
      <c r="W266" s="418">
        <f t="shared" si="318"/>
        <v>0</v>
      </c>
      <c r="X266" s="418">
        <v>0</v>
      </c>
      <c r="Y266" s="418">
        <v>0</v>
      </c>
      <c r="Z266" s="418">
        <v>0</v>
      </c>
      <c r="AA266" s="418">
        <v>527355</v>
      </c>
      <c r="AB266" s="418">
        <v>0</v>
      </c>
      <c r="AC266" s="418">
        <v>0</v>
      </c>
      <c r="AD266" s="418">
        <f>V266+X266+Y266+Z266+AB266</f>
        <v>0</v>
      </c>
      <c r="AE266" s="418">
        <f>W266+AA266+AC266</f>
        <v>527355</v>
      </c>
      <c r="AF266" s="418">
        <f t="shared" si="319"/>
        <v>527355</v>
      </c>
      <c r="AG266" s="418">
        <v>0</v>
      </c>
      <c r="AH266" s="418">
        <v>0</v>
      </c>
      <c r="AI266" s="418">
        <v>0</v>
      </c>
      <c r="AJ266" s="418">
        <v>0</v>
      </c>
      <c r="AK266" s="418">
        <v>0</v>
      </c>
      <c r="AL266" s="418">
        <f t="shared" si="320"/>
        <v>0</v>
      </c>
      <c r="AM266" s="418">
        <f t="shared" si="321"/>
        <v>0</v>
      </c>
      <c r="AN266" s="418">
        <f t="shared" si="322"/>
        <v>0</v>
      </c>
      <c r="AO266" s="418">
        <f t="shared" si="323"/>
        <v>0</v>
      </c>
      <c r="AP266" s="418">
        <f t="shared" si="324"/>
        <v>527355</v>
      </c>
      <c r="AQ266" s="418">
        <f t="shared" si="325"/>
        <v>527355</v>
      </c>
      <c r="AR266" s="68">
        <f t="shared" si="326"/>
        <v>178246</v>
      </c>
      <c r="AS266" s="68">
        <f t="shared" si="327"/>
        <v>5274</v>
      </c>
      <c r="AT266" s="418">
        <v>0</v>
      </c>
      <c r="AU266" s="418">
        <v>2786</v>
      </c>
      <c r="AV266" s="418">
        <f t="shared" si="328"/>
        <v>2786</v>
      </c>
      <c r="AW266" s="418">
        <f t="shared" si="329"/>
        <v>713661</v>
      </c>
      <c r="AX266" s="419">
        <v>0</v>
      </c>
      <c r="AY266" s="419">
        <v>0</v>
      </c>
      <c r="AZ266" s="419">
        <v>0</v>
      </c>
      <c r="BA266" s="419">
        <v>0</v>
      </c>
      <c r="BB266" s="419">
        <v>1.58</v>
      </c>
      <c r="BC266" s="419">
        <v>0</v>
      </c>
      <c r="BD266" s="419">
        <v>0</v>
      </c>
      <c r="BE266" s="419">
        <v>0</v>
      </c>
      <c r="BF266" s="419">
        <f t="shared" si="330"/>
        <v>0</v>
      </c>
      <c r="BG266" s="419">
        <f t="shared" si="331"/>
        <v>1.58</v>
      </c>
      <c r="BH266" s="421">
        <f t="shared" si="332"/>
        <v>1.58</v>
      </c>
      <c r="BI266" s="780">
        <f>I266+AW266</f>
        <v>2142940</v>
      </c>
      <c r="BJ266" s="418">
        <f>J266+AF266</f>
        <v>1583386</v>
      </c>
      <c r="BK266" s="418">
        <f t="shared" si="405"/>
        <v>0</v>
      </c>
      <c r="BL266" s="418">
        <f t="shared" si="405"/>
        <v>1583386</v>
      </c>
      <c r="BM266" s="418">
        <f>M266+AN266</f>
        <v>0</v>
      </c>
      <c r="BN266" s="418">
        <f t="shared" si="406"/>
        <v>0</v>
      </c>
      <c r="BO266" s="418">
        <f t="shared" si="406"/>
        <v>0</v>
      </c>
      <c r="BP266" s="418">
        <f t="shared" si="407"/>
        <v>535184</v>
      </c>
      <c r="BQ266" s="418">
        <f t="shared" si="407"/>
        <v>15834</v>
      </c>
      <c r="BR266" s="418">
        <f>R266+AV266</f>
        <v>8536</v>
      </c>
      <c r="BS266" s="419">
        <f>S266+BH266</f>
        <v>4.7466999999999997</v>
      </c>
      <c r="BT266" s="419">
        <f t="shared" si="408"/>
        <v>0</v>
      </c>
      <c r="BU266" s="421">
        <f t="shared" si="408"/>
        <v>4.7466999999999997</v>
      </c>
      <c r="BV266" s="420"/>
      <c r="BW266" s="415"/>
      <c r="BX266" s="415"/>
      <c r="BY266" s="415"/>
      <c r="BZ266" s="415"/>
      <c r="CA266" s="510"/>
    </row>
    <row r="267" spans="1:79" ht="14.1" customHeight="1" x14ac:dyDescent="0.2">
      <c r="A267" s="72">
        <v>54</v>
      </c>
      <c r="B267" s="69">
        <v>2434</v>
      </c>
      <c r="C267" s="70">
        <v>600079317</v>
      </c>
      <c r="D267" s="69">
        <v>46746480</v>
      </c>
      <c r="E267" s="71" t="s">
        <v>644</v>
      </c>
      <c r="F267" s="72"/>
      <c r="G267" s="71"/>
      <c r="H267" s="73"/>
      <c r="I267" s="517">
        <v>17069220</v>
      </c>
      <c r="J267" s="74">
        <v>12620284</v>
      </c>
      <c r="K267" s="74">
        <v>10462610</v>
      </c>
      <c r="L267" s="74">
        <v>2157674</v>
      </c>
      <c r="M267" s="74">
        <v>0</v>
      </c>
      <c r="N267" s="74">
        <v>0</v>
      </c>
      <c r="O267" s="74">
        <v>0</v>
      </c>
      <c r="P267" s="74">
        <v>4265656</v>
      </c>
      <c r="Q267" s="74">
        <v>126203</v>
      </c>
      <c r="R267" s="74">
        <v>57077</v>
      </c>
      <c r="S267" s="75">
        <v>25.927099999999996</v>
      </c>
      <c r="T267" s="75">
        <v>18.920000000000002</v>
      </c>
      <c r="U267" s="658">
        <v>7.0070999999999994</v>
      </c>
      <c r="V267" s="517">
        <f t="shared" ref="V267:BU267" si="409">SUM(V264:V266)</f>
        <v>0</v>
      </c>
      <c r="W267" s="74">
        <f t="shared" si="409"/>
        <v>0</v>
      </c>
      <c r="X267" s="74">
        <f t="shared" si="409"/>
        <v>0</v>
      </c>
      <c r="Y267" s="74">
        <f t="shared" si="409"/>
        <v>0</v>
      </c>
      <c r="Z267" s="74">
        <f t="shared" si="409"/>
        <v>0</v>
      </c>
      <c r="AA267" s="74">
        <f t="shared" si="409"/>
        <v>527355</v>
      </c>
      <c r="AB267" s="74">
        <f t="shared" si="409"/>
        <v>0</v>
      </c>
      <c r="AC267" s="74">
        <f t="shared" si="409"/>
        <v>0</v>
      </c>
      <c r="AD267" s="74">
        <f t="shared" si="409"/>
        <v>0</v>
      </c>
      <c r="AE267" s="74">
        <f t="shared" si="409"/>
        <v>527355</v>
      </c>
      <c r="AF267" s="74">
        <f t="shared" si="409"/>
        <v>527355</v>
      </c>
      <c r="AG267" s="74">
        <f t="shared" si="409"/>
        <v>0</v>
      </c>
      <c r="AH267" s="74">
        <f t="shared" si="409"/>
        <v>0</v>
      </c>
      <c r="AI267" s="74">
        <f t="shared" si="409"/>
        <v>0</v>
      </c>
      <c r="AJ267" s="74">
        <f t="shared" si="409"/>
        <v>0</v>
      </c>
      <c r="AK267" s="74">
        <f t="shared" si="409"/>
        <v>0</v>
      </c>
      <c r="AL267" s="74">
        <f t="shared" si="409"/>
        <v>0</v>
      </c>
      <c r="AM267" s="74">
        <f t="shared" si="409"/>
        <v>0</v>
      </c>
      <c r="AN267" s="74">
        <f t="shared" si="409"/>
        <v>0</v>
      </c>
      <c r="AO267" s="74">
        <f t="shared" si="409"/>
        <v>0</v>
      </c>
      <c r="AP267" s="74">
        <f t="shared" si="409"/>
        <v>527355</v>
      </c>
      <c r="AQ267" s="74">
        <f t="shared" si="409"/>
        <v>527355</v>
      </c>
      <c r="AR267" s="74">
        <f t="shared" si="409"/>
        <v>178246</v>
      </c>
      <c r="AS267" s="74">
        <f t="shared" si="409"/>
        <v>5274</v>
      </c>
      <c r="AT267" s="74">
        <f t="shared" si="409"/>
        <v>0</v>
      </c>
      <c r="AU267" s="74">
        <f t="shared" si="409"/>
        <v>2786</v>
      </c>
      <c r="AV267" s="74">
        <f t="shared" si="409"/>
        <v>2786</v>
      </c>
      <c r="AW267" s="74">
        <f t="shared" si="409"/>
        <v>713661</v>
      </c>
      <c r="AX267" s="75">
        <f t="shared" si="409"/>
        <v>0</v>
      </c>
      <c r="AY267" s="75">
        <f t="shared" si="409"/>
        <v>0</v>
      </c>
      <c r="AZ267" s="75">
        <f t="shared" si="409"/>
        <v>0</v>
      </c>
      <c r="BA267" s="75">
        <f t="shared" si="409"/>
        <v>0</v>
      </c>
      <c r="BB267" s="75">
        <f t="shared" si="409"/>
        <v>1.58</v>
      </c>
      <c r="BC267" s="75">
        <f t="shared" si="409"/>
        <v>0</v>
      </c>
      <c r="BD267" s="75">
        <f t="shared" si="409"/>
        <v>0</v>
      </c>
      <c r="BE267" s="75">
        <f t="shared" si="409"/>
        <v>0</v>
      </c>
      <c r="BF267" s="75">
        <f t="shared" si="409"/>
        <v>0</v>
      </c>
      <c r="BG267" s="75">
        <f t="shared" si="409"/>
        <v>1.58</v>
      </c>
      <c r="BH267" s="76">
        <f t="shared" si="409"/>
        <v>1.58</v>
      </c>
      <c r="BI267" s="799">
        <f t="shared" si="409"/>
        <v>17782881</v>
      </c>
      <c r="BJ267" s="74">
        <f t="shared" si="409"/>
        <v>13147639</v>
      </c>
      <c r="BK267" s="74">
        <f t="shared" si="409"/>
        <v>10462610</v>
      </c>
      <c r="BL267" s="74">
        <f t="shared" si="409"/>
        <v>2685029</v>
      </c>
      <c r="BM267" s="74">
        <f t="shared" si="409"/>
        <v>0</v>
      </c>
      <c r="BN267" s="74">
        <f t="shared" si="409"/>
        <v>0</v>
      </c>
      <c r="BO267" s="74">
        <f t="shared" si="409"/>
        <v>0</v>
      </c>
      <c r="BP267" s="74">
        <f t="shared" si="409"/>
        <v>4443902</v>
      </c>
      <c r="BQ267" s="74">
        <f t="shared" si="409"/>
        <v>131477</v>
      </c>
      <c r="BR267" s="74">
        <f t="shared" si="409"/>
        <v>59863</v>
      </c>
      <c r="BS267" s="75">
        <f t="shared" si="409"/>
        <v>27.507099999999998</v>
      </c>
      <c r="BT267" s="75">
        <f t="shared" si="409"/>
        <v>18.920000000000002</v>
      </c>
      <c r="BU267" s="76">
        <f t="shared" si="409"/>
        <v>8.5870999999999995</v>
      </c>
      <c r="BV267" s="809">
        <f t="shared" ref="BV267:CA267" si="410">SUM(BV264:BV266)</f>
        <v>0</v>
      </c>
      <c r="BW267" s="684">
        <f t="shared" si="410"/>
        <v>0</v>
      </c>
      <c r="BX267" s="684">
        <f t="shared" si="410"/>
        <v>0</v>
      </c>
      <c r="BY267" s="684">
        <f t="shared" si="410"/>
        <v>0</v>
      </c>
      <c r="BZ267" s="684">
        <f t="shared" si="410"/>
        <v>0</v>
      </c>
      <c r="CA267" s="810">
        <f t="shared" si="410"/>
        <v>0</v>
      </c>
    </row>
    <row r="268" spans="1:79" ht="14.1" customHeight="1" x14ac:dyDescent="0.2">
      <c r="A268" s="66">
        <v>55</v>
      </c>
      <c r="B268" s="63">
        <v>2484</v>
      </c>
      <c r="C268" s="64">
        <v>600079864</v>
      </c>
      <c r="D268" s="63">
        <v>46746145</v>
      </c>
      <c r="E268" s="65" t="s">
        <v>645</v>
      </c>
      <c r="F268" s="66">
        <v>3113</v>
      </c>
      <c r="G268" s="65" t="s">
        <v>293</v>
      </c>
      <c r="H268" s="67" t="s">
        <v>271</v>
      </c>
      <c r="I268" s="420">
        <v>49329373</v>
      </c>
      <c r="J268" s="415">
        <v>35336887</v>
      </c>
      <c r="K268" s="415">
        <v>33100383</v>
      </c>
      <c r="L268" s="415">
        <v>2236504</v>
      </c>
      <c r="M268" s="415">
        <v>704000</v>
      </c>
      <c r="N268" s="415">
        <v>664000</v>
      </c>
      <c r="O268" s="415">
        <v>40000</v>
      </c>
      <c r="P268" s="599">
        <v>12181820</v>
      </c>
      <c r="Q268" s="599">
        <v>353369</v>
      </c>
      <c r="R268" s="415">
        <v>753297</v>
      </c>
      <c r="S268" s="416">
        <v>53.456999999999994</v>
      </c>
      <c r="T268" s="416">
        <v>46.551499999999997</v>
      </c>
      <c r="U268" s="423">
        <v>6.9055000000000009</v>
      </c>
      <c r="V268" s="424">
        <f t="shared" si="317"/>
        <v>0</v>
      </c>
      <c r="W268" s="418">
        <f t="shared" si="318"/>
        <v>0</v>
      </c>
      <c r="X268" s="418">
        <v>0</v>
      </c>
      <c r="Y268" s="418">
        <v>0</v>
      </c>
      <c r="Z268" s="418">
        <v>0</v>
      </c>
      <c r="AA268" s="418">
        <v>0</v>
      </c>
      <c r="AB268" s="418">
        <v>0</v>
      </c>
      <c r="AC268" s="418">
        <v>0</v>
      </c>
      <c r="AD268" s="418">
        <f>V268+X268+Y268+Z268+AB268</f>
        <v>0</v>
      </c>
      <c r="AE268" s="418">
        <f>W268+AA268+AC268</f>
        <v>0</v>
      </c>
      <c r="AF268" s="418">
        <f t="shared" si="319"/>
        <v>0</v>
      </c>
      <c r="AG268" s="418">
        <v>0</v>
      </c>
      <c r="AH268" s="418">
        <v>0</v>
      </c>
      <c r="AI268" s="418">
        <v>0</v>
      </c>
      <c r="AJ268" s="418">
        <v>0</v>
      </c>
      <c r="AK268" s="418">
        <v>0</v>
      </c>
      <c r="AL268" s="418">
        <f t="shared" si="320"/>
        <v>0</v>
      </c>
      <c r="AM268" s="418">
        <f t="shared" si="321"/>
        <v>0</v>
      </c>
      <c r="AN268" s="418">
        <f t="shared" si="322"/>
        <v>0</v>
      </c>
      <c r="AO268" s="418">
        <f t="shared" si="323"/>
        <v>0</v>
      </c>
      <c r="AP268" s="418">
        <f t="shared" si="324"/>
        <v>0</v>
      </c>
      <c r="AQ268" s="418">
        <f t="shared" si="325"/>
        <v>0</v>
      </c>
      <c r="AR268" s="68">
        <f t="shared" si="326"/>
        <v>0</v>
      </c>
      <c r="AS268" s="68">
        <f t="shared" si="327"/>
        <v>0</v>
      </c>
      <c r="AT268" s="418">
        <v>0</v>
      </c>
      <c r="AU268" s="418">
        <v>0</v>
      </c>
      <c r="AV268" s="418">
        <f t="shared" si="328"/>
        <v>0</v>
      </c>
      <c r="AW268" s="418">
        <f t="shared" si="329"/>
        <v>0</v>
      </c>
      <c r="AX268" s="419">
        <v>0</v>
      </c>
      <c r="AY268" s="419">
        <v>0</v>
      </c>
      <c r="AZ268" s="419">
        <v>0</v>
      </c>
      <c r="BA268" s="419">
        <v>0</v>
      </c>
      <c r="BB268" s="419">
        <v>0</v>
      </c>
      <c r="BC268" s="419">
        <v>0</v>
      </c>
      <c r="BD268" s="419">
        <v>0</v>
      </c>
      <c r="BE268" s="419">
        <v>0</v>
      </c>
      <c r="BF268" s="419">
        <f t="shared" si="330"/>
        <v>0</v>
      </c>
      <c r="BG268" s="419">
        <f t="shared" si="331"/>
        <v>0</v>
      </c>
      <c r="BH268" s="421">
        <f t="shared" si="332"/>
        <v>0</v>
      </c>
      <c r="BI268" s="780">
        <f>I268+AW268</f>
        <v>49329373</v>
      </c>
      <c r="BJ268" s="418">
        <f>J268+AF268</f>
        <v>35336887</v>
      </c>
      <c r="BK268" s="418">
        <f t="shared" ref="BK268:BL272" si="411">K268+AD268</f>
        <v>33100383</v>
      </c>
      <c r="BL268" s="418">
        <f t="shared" si="411"/>
        <v>2236504</v>
      </c>
      <c r="BM268" s="418">
        <f>M268+AN268</f>
        <v>704000</v>
      </c>
      <c r="BN268" s="418">
        <f t="shared" ref="BN268:BO272" si="412">N268+AL268</f>
        <v>664000</v>
      </c>
      <c r="BO268" s="418">
        <f t="shared" si="412"/>
        <v>40000</v>
      </c>
      <c r="BP268" s="418">
        <f t="shared" ref="BP268:BQ272" si="413">P268+AR268</f>
        <v>12181820</v>
      </c>
      <c r="BQ268" s="418">
        <f t="shared" si="413"/>
        <v>353369</v>
      </c>
      <c r="BR268" s="418">
        <f>R268+AV268</f>
        <v>753297</v>
      </c>
      <c r="BS268" s="419">
        <f>S268+BH268</f>
        <v>53.456999999999994</v>
      </c>
      <c r="BT268" s="419">
        <f t="shared" ref="BT268:BU272" si="414">T268+BF268</f>
        <v>46.551499999999997</v>
      </c>
      <c r="BU268" s="421">
        <f t="shared" si="414"/>
        <v>6.9055000000000009</v>
      </c>
      <c r="BV268" s="420">
        <v>754632</v>
      </c>
      <c r="BW268" s="415">
        <v>0</v>
      </c>
      <c r="BX268" s="415">
        <v>564000</v>
      </c>
      <c r="BY268" s="415">
        <v>190632</v>
      </c>
      <c r="BZ268" s="415">
        <v>0</v>
      </c>
      <c r="CA268" s="510">
        <v>0</v>
      </c>
    </row>
    <row r="269" spans="1:79" ht="14.1" customHeight="1" x14ac:dyDescent="0.2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645</v>
      </c>
      <c r="F269" s="66">
        <v>3113</v>
      </c>
      <c r="G269" s="77" t="s">
        <v>291</v>
      </c>
      <c r="H269" s="67" t="s">
        <v>272</v>
      </c>
      <c r="I269" s="420">
        <v>6038086</v>
      </c>
      <c r="J269" s="415">
        <v>4478550</v>
      </c>
      <c r="K269" s="415">
        <v>4478550</v>
      </c>
      <c r="L269" s="415">
        <v>0</v>
      </c>
      <c r="M269" s="415">
        <v>0</v>
      </c>
      <c r="N269" s="415">
        <v>0</v>
      </c>
      <c r="O269" s="415">
        <v>0</v>
      </c>
      <c r="P269" s="599">
        <v>1513750</v>
      </c>
      <c r="Q269" s="599">
        <v>44786</v>
      </c>
      <c r="R269" s="415">
        <v>1000</v>
      </c>
      <c r="S269" s="416">
        <v>11.719999999999999</v>
      </c>
      <c r="T269" s="417">
        <v>11.719999999999999</v>
      </c>
      <c r="U269" s="423">
        <v>0</v>
      </c>
      <c r="V269" s="424">
        <f t="shared" si="317"/>
        <v>0</v>
      </c>
      <c r="W269" s="418">
        <f t="shared" si="318"/>
        <v>0</v>
      </c>
      <c r="X269" s="418">
        <v>-155589</v>
      </c>
      <c r="Y269" s="418">
        <v>0</v>
      </c>
      <c r="Z269" s="418">
        <v>0</v>
      </c>
      <c r="AA269" s="418">
        <v>0</v>
      </c>
      <c r="AB269" s="418">
        <v>0</v>
      </c>
      <c r="AC269" s="418">
        <v>0</v>
      </c>
      <c r="AD269" s="418">
        <f>V269+X269+Y269+Z269+AB269</f>
        <v>-155589</v>
      </c>
      <c r="AE269" s="418">
        <f>W269+AA269+AC269</f>
        <v>0</v>
      </c>
      <c r="AF269" s="418">
        <f t="shared" si="319"/>
        <v>-155589</v>
      </c>
      <c r="AG269" s="418">
        <v>0</v>
      </c>
      <c r="AH269" s="418">
        <v>0</v>
      </c>
      <c r="AI269" s="418">
        <v>0</v>
      </c>
      <c r="AJ269" s="418">
        <v>0</v>
      </c>
      <c r="AK269" s="418">
        <v>0</v>
      </c>
      <c r="AL269" s="418">
        <f t="shared" si="320"/>
        <v>0</v>
      </c>
      <c r="AM269" s="418">
        <f t="shared" si="321"/>
        <v>0</v>
      </c>
      <c r="AN269" s="418">
        <f t="shared" si="322"/>
        <v>0</v>
      </c>
      <c r="AO269" s="418">
        <f t="shared" si="323"/>
        <v>-155589</v>
      </c>
      <c r="AP269" s="418">
        <f t="shared" si="324"/>
        <v>0</v>
      </c>
      <c r="AQ269" s="418">
        <f t="shared" si="325"/>
        <v>-155589</v>
      </c>
      <c r="AR269" s="68">
        <f t="shared" si="326"/>
        <v>-52589</v>
      </c>
      <c r="AS269" s="68">
        <f t="shared" si="327"/>
        <v>-1556</v>
      </c>
      <c r="AT269" s="418">
        <v>0</v>
      </c>
      <c r="AU269" s="418">
        <v>0</v>
      </c>
      <c r="AV269" s="418">
        <f t="shared" si="328"/>
        <v>0</v>
      </c>
      <c r="AW269" s="418">
        <f t="shared" si="329"/>
        <v>-209734</v>
      </c>
      <c r="AX269" s="419">
        <v>0</v>
      </c>
      <c r="AY269" s="419">
        <v>0</v>
      </c>
      <c r="AZ269" s="419">
        <v>-0.4</v>
      </c>
      <c r="BA269" s="419">
        <v>0</v>
      </c>
      <c r="BB269" s="419">
        <v>0</v>
      </c>
      <c r="BC269" s="419">
        <v>0</v>
      </c>
      <c r="BD269" s="419">
        <v>0</v>
      </c>
      <c r="BE269" s="419">
        <v>0</v>
      </c>
      <c r="BF269" s="419">
        <f t="shared" si="330"/>
        <v>-0.4</v>
      </c>
      <c r="BG269" s="419">
        <f t="shared" si="331"/>
        <v>0</v>
      </c>
      <c r="BH269" s="421">
        <f t="shared" si="332"/>
        <v>-0.4</v>
      </c>
      <c r="BI269" s="780">
        <f>I269+AW269</f>
        <v>5828352</v>
      </c>
      <c r="BJ269" s="418">
        <f>J269+AF269</f>
        <v>4322961</v>
      </c>
      <c r="BK269" s="418">
        <f t="shared" si="411"/>
        <v>4322961</v>
      </c>
      <c r="BL269" s="418">
        <f t="shared" si="411"/>
        <v>0</v>
      </c>
      <c r="BM269" s="418">
        <f>M269+AN269</f>
        <v>0</v>
      </c>
      <c r="BN269" s="418">
        <f t="shared" si="412"/>
        <v>0</v>
      </c>
      <c r="BO269" s="418">
        <f t="shared" si="412"/>
        <v>0</v>
      </c>
      <c r="BP269" s="418">
        <f t="shared" si="413"/>
        <v>1461161</v>
      </c>
      <c r="BQ269" s="418">
        <f t="shared" si="413"/>
        <v>43230</v>
      </c>
      <c r="BR269" s="418">
        <f>R269+AV269</f>
        <v>1000</v>
      </c>
      <c r="BS269" s="419">
        <f>S269+BH269</f>
        <v>11.319999999999999</v>
      </c>
      <c r="BT269" s="419">
        <f t="shared" si="414"/>
        <v>11.319999999999999</v>
      </c>
      <c r="BU269" s="421">
        <f t="shared" si="414"/>
        <v>0</v>
      </c>
      <c r="BV269" s="420"/>
      <c r="BW269" s="415"/>
      <c r="BX269" s="415"/>
      <c r="BY269" s="415"/>
      <c r="BZ269" s="415"/>
      <c r="CA269" s="510"/>
    </row>
    <row r="270" spans="1:79" ht="14.1" customHeight="1" x14ac:dyDescent="0.2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645</v>
      </c>
      <c r="F270" s="66">
        <v>3141</v>
      </c>
      <c r="G270" s="65" t="s">
        <v>294</v>
      </c>
      <c r="H270" s="67" t="s">
        <v>272</v>
      </c>
      <c r="I270" s="420">
        <v>2626389</v>
      </c>
      <c r="J270" s="415">
        <v>1861950</v>
      </c>
      <c r="K270" s="415">
        <v>0</v>
      </c>
      <c r="L270" s="750">
        <v>1861950</v>
      </c>
      <c r="M270" s="415">
        <v>70000</v>
      </c>
      <c r="N270" s="204">
        <v>0</v>
      </c>
      <c r="O270" s="204">
        <v>70000</v>
      </c>
      <c r="P270" s="599">
        <v>652999</v>
      </c>
      <c r="Q270" s="599">
        <v>18620</v>
      </c>
      <c r="R270" s="605">
        <v>22820</v>
      </c>
      <c r="S270" s="416">
        <v>5.7033000000000005</v>
      </c>
      <c r="T270" s="607">
        <v>0</v>
      </c>
      <c r="U270" s="737">
        <v>5.7033000000000005</v>
      </c>
      <c r="V270" s="424">
        <f t="shared" ref="V270:V332" si="415">AG270*-1</f>
        <v>0</v>
      </c>
      <c r="W270" s="418">
        <f t="shared" ref="W270:W332" si="416">AH270*-1</f>
        <v>0</v>
      </c>
      <c r="X270" s="418">
        <v>0</v>
      </c>
      <c r="Y270" s="418">
        <v>0</v>
      </c>
      <c r="Z270" s="418">
        <v>0</v>
      </c>
      <c r="AA270" s="418">
        <v>967175</v>
      </c>
      <c r="AB270" s="418">
        <v>0</v>
      </c>
      <c r="AC270" s="418">
        <v>0</v>
      </c>
      <c r="AD270" s="418">
        <f>V270+X270+Y270+Z270+AB270</f>
        <v>0</v>
      </c>
      <c r="AE270" s="418">
        <f>W270+AA270+AC270</f>
        <v>967175</v>
      </c>
      <c r="AF270" s="418">
        <f t="shared" ref="AF270:AF332" si="417">SUM(AD270:AE270)</f>
        <v>967175</v>
      </c>
      <c r="AG270" s="418">
        <v>0</v>
      </c>
      <c r="AH270" s="418">
        <v>0</v>
      </c>
      <c r="AI270" s="418">
        <v>0</v>
      </c>
      <c r="AJ270" s="418">
        <v>0</v>
      </c>
      <c r="AK270" s="418">
        <v>0</v>
      </c>
      <c r="AL270" s="418">
        <f t="shared" ref="AL270:AL332" si="418">AG270+AI270+AJ270</f>
        <v>0</v>
      </c>
      <c r="AM270" s="418">
        <f t="shared" ref="AM270:AM332" si="419">AH270+AK270</f>
        <v>0</v>
      </c>
      <c r="AN270" s="418">
        <f t="shared" ref="AN270:AN332" si="420">SUM(AL270:AM270)</f>
        <v>0</v>
      </c>
      <c r="AO270" s="418">
        <f t="shared" ref="AO270:AO332" si="421">AD270+AL270</f>
        <v>0</v>
      </c>
      <c r="AP270" s="418">
        <f t="shared" ref="AP270:AP332" si="422">AE270+AM270</f>
        <v>967175</v>
      </c>
      <c r="AQ270" s="418">
        <f t="shared" ref="AQ270:AQ332" si="423">SUM(AO270:AP270)</f>
        <v>967175</v>
      </c>
      <c r="AR270" s="68">
        <f t="shared" ref="AR270:AR332" si="424">ROUND((AF270+AG270+AH270+AI270)*33.8%,0)</f>
        <v>326905</v>
      </c>
      <c r="AS270" s="68">
        <f t="shared" ref="AS270:AS332" si="425">ROUND(AF270*1%,0)</f>
        <v>9672</v>
      </c>
      <c r="AT270" s="418">
        <v>0</v>
      </c>
      <c r="AU270" s="418">
        <v>11084</v>
      </c>
      <c r="AV270" s="418">
        <f t="shared" ref="AV270:AV332" si="426">AT270+AU270</f>
        <v>11084</v>
      </c>
      <c r="AW270" s="418">
        <f t="shared" ref="AW270:AW332" si="427">AQ270+AR270+AS270+AV270</f>
        <v>1314836</v>
      </c>
      <c r="AX270" s="419">
        <v>0</v>
      </c>
      <c r="AY270" s="419">
        <v>0</v>
      </c>
      <c r="AZ270" s="419">
        <v>0</v>
      </c>
      <c r="BA270" s="419">
        <v>0</v>
      </c>
      <c r="BB270" s="419">
        <v>2.9</v>
      </c>
      <c r="BC270" s="419">
        <v>0</v>
      </c>
      <c r="BD270" s="419">
        <v>0</v>
      </c>
      <c r="BE270" s="419">
        <v>0</v>
      </c>
      <c r="BF270" s="419">
        <f t="shared" ref="BF270:BF332" si="428">AX270+AZ270+BA270+BC270+BD270</f>
        <v>0</v>
      </c>
      <c r="BG270" s="419">
        <f t="shared" ref="BG270:BG332" si="429">AY270+BB270+BE270</f>
        <v>2.9</v>
      </c>
      <c r="BH270" s="421">
        <f t="shared" ref="BH270:BH332" si="430">SUM(BF270:BG270)</f>
        <v>2.9</v>
      </c>
      <c r="BI270" s="780">
        <f>I270+AW270</f>
        <v>3941225</v>
      </c>
      <c r="BJ270" s="418">
        <f>J270+AF270</f>
        <v>2829125</v>
      </c>
      <c r="BK270" s="418">
        <f t="shared" si="411"/>
        <v>0</v>
      </c>
      <c r="BL270" s="418">
        <f t="shared" si="411"/>
        <v>2829125</v>
      </c>
      <c r="BM270" s="418">
        <f>M270+AN270</f>
        <v>70000</v>
      </c>
      <c r="BN270" s="418">
        <f t="shared" si="412"/>
        <v>0</v>
      </c>
      <c r="BO270" s="418">
        <f t="shared" si="412"/>
        <v>70000</v>
      </c>
      <c r="BP270" s="418">
        <f t="shared" si="413"/>
        <v>979904</v>
      </c>
      <c r="BQ270" s="418">
        <f t="shared" si="413"/>
        <v>28292</v>
      </c>
      <c r="BR270" s="418">
        <f>R270+AV270</f>
        <v>33904</v>
      </c>
      <c r="BS270" s="419">
        <f>S270+BH270</f>
        <v>8.6033000000000008</v>
      </c>
      <c r="BT270" s="419">
        <f t="shared" si="414"/>
        <v>0</v>
      </c>
      <c r="BU270" s="421">
        <f t="shared" si="414"/>
        <v>8.6033000000000008</v>
      </c>
      <c r="BV270" s="420"/>
      <c r="BW270" s="415"/>
      <c r="BX270" s="415"/>
      <c r="BY270" s="415"/>
      <c r="BZ270" s="415"/>
      <c r="CA270" s="510"/>
    </row>
    <row r="271" spans="1:79" ht="14.1" customHeight="1" x14ac:dyDescent="0.2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645</v>
      </c>
      <c r="F271" s="66">
        <v>3143</v>
      </c>
      <c r="G271" s="77" t="s">
        <v>595</v>
      </c>
      <c r="H271" s="67" t="s">
        <v>271</v>
      </c>
      <c r="I271" s="420">
        <v>4453301</v>
      </c>
      <c r="J271" s="415">
        <v>3244081</v>
      </c>
      <c r="K271" s="415">
        <v>3244081</v>
      </c>
      <c r="L271" s="415">
        <v>0</v>
      </c>
      <c r="M271" s="415">
        <v>60000</v>
      </c>
      <c r="N271" s="415">
        <v>60000</v>
      </c>
      <c r="O271" s="415">
        <v>0</v>
      </c>
      <c r="P271" s="599">
        <v>1116779</v>
      </c>
      <c r="Q271" s="599">
        <v>32441</v>
      </c>
      <c r="R271" s="415">
        <v>0</v>
      </c>
      <c r="S271" s="416">
        <v>6.4786999999999999</v>
      </c>
      <c r="T271" s="416">
        <v>6.4786999999999999</v>
      </c>
      <c r="U271" s="423">
        <v>0</v>
      </c>
      <c r="V271" s="424">
        <f t="shared" si="415"/>
        <v>0</v>
      </c>
      <c r="W271" s="418">
        <f t="shared" si="416"/>
        <v>0</v>
      </c>
      <c r="X271" s="418">
        <v>0</v>
      </c>
      <c r="Y271" s="418">
        <v>0</v>
      </c>
      <c r="Z271" s="418">
        <v>0</v>
      </c>
      <c r="AA271" s="418">
        <v>0</v>
      </c>
      <c r="AB271" s="418">
        <v>0</v>
      </c>
      <c r="AC271" s="418">
        <v>0</v>
      </c>
      <c r="AD271" s="418">
        <f>V271+X271+Y271+Z271+AB271</f>
        <v>0</v>
      </c>
      <c r="AE271" s="418">
        <f>W271+AA271+AC271</f>
        <v>0</v>
      </c>
      <c r="AF271" s="418">
        <f t="shared" si="417"/>
        <v>0</v>
      </c>
      <c r="AG271" s="418">
        <v>0</v>
      </c>
      <c r="AH271" s="418">
        <v>0</v>
      </c>
      <c r="AI271" s="418">
        <v>0</v>
      </c>
      <c r="AJ271" s="418">
        <v>0</v>
      </c>
      <c r="AK271" s="418">
        <v>0</v>
      </c>
      <c r="AL271" s="418">
        <f t="shared" si="418"/>
        <v>0</v>
      </c>
      <c r="AM271" s="418">
        <f t="shared" si="419"/>
        <v>0</v>
      </c>
      <c r="AN271" s="418">
        <f t="shared" si="420"/>
        <v>0</v>
      </c>
      <c r="AO271" s="418">
        <f t="shared" si="421"/>
        <v>0</v>
      </c>
      <c r="AP271" s="418">
        <f t="shared" si="422"/>
        <v>0</v>
      </c>
      <c r="AQ271" s="418">
        <f t="shared" si="423"/>
        <v>0</v>
      </c>
      <c r="AR271" s="68">
        <f t="shared" si="424"/>
        <v>0</v>
      </c>
      <c r="AS271" s="68">
        <f t="shared" si="425"/>
        <v>0</v>
      </c>
      <c r="AT271" s="418">
        <v>0</v>
      </c>
      <c r="AU271" s="418">
        <v>0</v>
      </c>
      <c r="AV271" s="418">
        <f t="shared" si="426"/>
        <v>0</v>
      </c>
      <c r="AW271" s="418">
        <f t="shared" si="427"/>
        <v>0</v>
      </c>
      <c r="AX271" s="419">
        <v>0</v>
      </c>
      <c r="AY271" s="419">
        <v>0</v>
      </c>
      <c r="AZ271" s="419">
        <v>0</v>
      </c>
      <c r="BA271" s="419">
        <v>0</v>
      </c>
      <c r="BB271" s="419">
        <v>0</v>
      </c>
      <c r="BC271" s="419">
        <v>0</v>
      </c>
      <c r="BD271" s="419">
        <v>0</v>
      </c>
      <c r="BE271" s="419">
        <v>0</v>
      </c>
      <c r="BF271" s="419">
        <f t="shared" si="428"/>
        <v>0</v>
      </c>
      <c r="BG271" s="419">
        <f t="shared" si="429"/>
        <v>0</v>
      </c>
      <c r="BH271" s="421">
        <f t="shared" si="430"/>
        <v>0</v>
      </c>
      <c r="BI271" s="780">
        <f>I271+AW271</f>
        <v>4453301</v>
      </c>
      <c r="BJ271" s="418">
        <f>J271+AF271</f>
        <v>3244081</v>
      </c>
      <c r="BK271" s="418">
        <f t="shared" si="411"/>
        <v>3244081</v>
      </c>
      <c r="BL271" s="418">
        <f t="shared" si="411"/>
        <v>0</v>
      </c>
      <c r="BM271" s="418">
        <f>M271+AN271</f>
        <v>60000</v>
      </c>
      <c r="BN271" s="418">
        <f t="shared" si="412"/>
        <v>60000</v>
      </c>
      <c r="BO271" s="418">
        <f t="shared" si="412"/>
        <v>0</v>
      </c>
      <c r="BP271" s="418">
        <f t="shared" si="413"/>
        <v>1116779</v>
      </c>
      <c r="BQ271" s="418">
        <f t="shared" si="413"/>
        <v>32441</v>
      </c>
      <c r="BR271" s="418">
        <f>R271+AV271</f>
        <v>0</v>
      </c>
      <c r="BS271" s="419">
        <f>S271+BH271</f>
        <v>6.4786999999999999</v>
      </c>
      <c r="BT271" s="419">
        <f t="shared" si="414"/>
        <v>6.4786999999999999</v>
      </c>
      <c r="BU271" s="421">
        <f t="shared" si="414"/>
        <v>0</v>
      </c>
      <c r="BV271" s="420"/>
      <c r="BW271" s="415"/>
      <c r="BX271" s="415"/>
      <c r="BY271" s="415"/>
      <c r="BZ271" s="415"/>
      <c r="CA271" s="510"/>
    </row>
    <row r="272" spans="1:79" ht="14.1" customHeight="1" x14ac:dyDescent="0.2">
      <c r="A272" s="66">
        <v>55</v>
      </c>
      <c r="B272" s="63">
        <v>2484</v>
      </c>
      <c r="C272" s="64">
        <v>600079864</v>
      </c>
      <c r="D272" s="63">
        <v>46746145</v>
      </c>
      <c r="E272" s="65" t="s">
        <v>645</v>
      </c>
      <c r="F272" s="66">
        <v>3143</v>
      </c>
      <c r="G272" s="77" t="s">
        <v>596</v>
      </c>
      <c r="H272" s="67" t="s">
        <v>272</v>
      </c>
      <c r="I272" s="420">
        <v>96818</v>
      </c>
      <c r="J272" s="415">
        <v>69300</v>
      </c>
      <c r="K272" s="415">
        <v>0</v>
      </c>
      <c r="L272" s="605">
        <v>69300</v>
      </c>
      <c r="M272" s="415">
        <v>0</v>
      </c>
      <c r="N272" s="415">
        <v>0</v>
      </c>
      <c r="O272" s="415">
        <v>0</v>
      </c>
      <c r="P272" s="599">
        <v>23423</v>
      </c>
      <c r="Q272" s="599">
        <v>693</v>
      </c>
      <c r="R272" s="605">
        <v>3402</v>
      </c>
      <c r="S272" s="416">
        <v>0.26250000000000001</v>
      </c>
      <c r="T272" s="607">
        <v>0</v>
      </c>
      <c r="U272" s="737">
        <v>0.26250000000000001</v>
      </c>
      <c r="V272" s="424">
        <f t="shared" si="415"/>
        <v>0</v>
      </c>
      <c r="W272" s="418">
        <f t="shared" si="416"/>
        <v>0</v>
      </c>
      <c r="X272" s="418">
        <v>0</v>
      </c>
      <c r="Y272" s="418">
        <v>0</v>
      </c>
      <c r="Z272" s="418">
        <v>0</v>
      </c>
      <c r="AA272" s="418">
        <v>34650</v>
      </c>
      <c r="AB272" s="418">
        <v>0</v>
      </c>
      <c r="AC272" s="418">
        <v>0</v>
      </c>
      <c r="AD272" s="418">
        <f>V272+X272+Y272+Z272+AB272</f>
        <v>0</v>
      </c>
      <c r="AE272" s="418">
        <f>W272+AA272+AC272</f>
        <v>34650</v>
      </c>
      <c r="AF272" s="418">
        <f t="shared" si="417"/>
        <v>34650</v>
      </c>
      <c r="AG272" s="418">
        <v>0</v>
      </c>
      <c r="AH272" s="418">
        <v>0</v>
      </c>
      <c r="AI272" s="418">
        <v>0</v>
      </c>
      <c r="AJ272" s="418">
        <v>0</v>
      </c>
      <c r="AK272" s="418">
        <v>0</v>
      </c>
      <c r="AL272" s="418">
        <f t="shared" si="418"/>
        <v>0</v>
      </c>
      <c r="AM272" s="418">
        <f t="shared" si="419"/>
        <v>0</v>
      </c>
      <c r="AN272" s="418">
        <f t="shared" si="420"/>
        <v>0</v>
      </c>
      <c r="AO272" s="418">
        <f t="shared" si="421"/>
        <v>0</v>
      </c>
      <c r="AP272" s="418">
        <f t="shared" si="422"/>
        <v>34650</v>
      </c>
      <c r="AQ272" s="418">
        <f t="shared" si="423"/>
        <v>34650</v>
      </c>
      <c r="AR272" s="68">
        <f t="shared" si="424"/>
        <v>11712</v>
      </c>
      <c r="AS272" s="68">
        <f t="shared" si="425"/>
        <v>347</v>
      </c>
      <c r="AT272" s="418">
        <v>0</v>
      </c>
      <c r="AU272" s="418">
        <v>1701</v>
      </c>
      <c r="AV272" s="418">
        <f t="shared" si="426"/>
        <v>1701</v>
      </c>
      <c r="AW272" s="418">
        <f t="shared" si="427"/>
        <v>48410</v>
      </c>
      <c r="AX272" s="419">
        <v>0</v>
      </c>
      <c r="AY272" s="419">
        <v>0</v>
      </c>
      <c r="AZ272" s="419">
        <v>0</v>
      </c>
      <c r="BA272" s="419">
        <v>0</v>
      </c>
      <c r="BB272" s="419">
        <v>0.13</v>
      </c>
      <c r="BC272" s="419">
        <v>0</v>
      </c>
      <c r="BD272" s="419">
        <v>0</v>
      </c>
      <c r="BE272" s="419">
        <v>0</v>
      </c>
      <c r="BF272" s="419">
        <f t="shared" si="428"/>
        <v>0</v>
      </c>
      <c r="BG272" s="419">
        <f t="shared" si="429"/>
        <v>0.13</v>
      </c>
      <c r="BH272" s="421">
        <f t="shared" si="430"/>
        <v>0.13</v>
      </c>
      <c r="BI272" s="780">
        <f>I272+AW272</f>
        <v>145228</v>
      </c>
      <c r="BJ272" s="418">
        <f>J272+AF272</f>
        <v>103950</v>
      </c>
      <c r="BK272" s="418">
        <f t="shared" si="411"/>
        <v>0</v>
      </c>
      <c r="BL272" s="418">
        <f t="shared" si="411"/>
        <v>103950</v>
      </c>
      <c r="BM272" s="418">
        <f>M272+AN272</f>
        <v>0</v>
      </c>
      <c r="BN272" s="418">
        <f t="shared" si="412"/>
        <v>0</v>
      </c>
      <c r="BO272" s="418">
        <f t="shared" si="412"/>
        <v>0</v>
      </c>
      <c r="BP272" s="418">
        <f t="shared" si="413"/>
        <v>35135</v>
      </c>
      <c r="BQ272" s="418">
        <f t="shared" si="413"/>
        <v>1040</v>
      </c>
      <c r="BR272" s="418">
        <f>R272+AV272</f>
        <v>5103</v>
      </c>
      <c r="BS272" s="419">
        <f>S272+BH272</f>
        <v>0.39250000000000002</v>
      </c>
      <c r="BT272" s="419">
        <f t="shared" si="414"/>
        <v>0</v>
      </c>
      <c r="BU272" s="421">
        <f t="shared" si="414"/>
        <v>0.39250000000000002</v>
      </c>
      <c r="BV272" s="420"/>
      <c r="BW272" s="415"/>
      <c r="BX272" s="415"/>
      <c r="BY272" s="415"/>
      <c r="BZ272" s="415"/>
      <c r="CA272" s="510"/>
    </row>
    <row r="273" spans="1:79" ht="14.1" customHeight="1" x14ac:dyDescent="0.2">
      <c r="A273" s="72">
        <v>55</v>
      </c>
      <c r="B273" s="69">
        <v>2484</v>
      </c>
      <c r="C273" s="70">
        <v>600079864</v>
      </c>
      <c r="D273" s="69">
        <v>46746145</v>
      </c>
      <c r="E273" s="71" t="s">
        <v>646</v>
      </c>
      <c r="F273" s="72"/>
      <c r="G273" s="71"/>
      <c r="H273" s="73"/>
      <c r="I273" s="517">
        <v>62543967</v>
      </c>
      <c r="J273" s="74">
        <v>44990768</v>
      </c>
      <c r="K273" s="74">
        <v>40823014</v>
      </c>
      <c r="L273" s="74">
        <v>4167754</v>
      </c>
      <c r="M273" s="74">
        <v>834000</v>
      </c>
      <c r="N273" s="74">
        <v>724000</v>
      </c>
      <c r="O273" s="74">
        <v>110000</v>
      </c>
      <c r="P273" s="74">
        <v>15488771</v>
      </c>
      <c r="Q273" s="74">
        <v>449909</v>
      </c>
      <c r="R273" s="74">
        <v>780519</v>
      </c>
      <c r="S273" s="75">
        <v>77.621499999999997</v>
      </c>
      <c r="T273" s="75">
        <v>64.750199999999992</v>
      </c>
      <c r="U273" s="658">
        <v>12.871300000000002</v>
      </c>
      <c r="V273" s="517">
        <f t="shared" ref="V273:BU273" si="431">SUM(V268:V272)</f>
        <v>0</v>
      </c>
      <c r="W273" s="74">
        <f t="shared" si="431"/>
        <v>0</v>
      </c>
      <c r="X273" s="74">
        <f t="shared" si="431"/>
        <v>-155589</v>
      </c>
      <c r="Y273" s="74">
        <f t="shared" si="431"/>
        <v>0</v>
      </c>
      <c r="Z273" s="74">
        <f t="shared" si="431"/>
        <v>0</v>
      </c>
      <c r="AA273" s="74">
        <f t="shared" si="431"/>
        <v>1001825</v>
      </c>
      <c r="AB273" s="74">
        <f t="shared" si="431"/>
        <v>0</v>
      </c>
      <c r="AC273" s="74">
        <f t="shared" si="431"/>
        <v>0</v>
      </c>
      <c r="AD273" s="74">
        <f t="shared" si="431"/>
        <v>-155589</v>
      </c>
      <c r="AE273" s="74">
        <f t="shared" si="431"/>
        <v>1001825</v>
      </c>
      <c r="AF273" s="74">
        <f t="shared" si="431"/>
        <v>846236</v>
      </c>
      <c r="AG273" s="74">
        <f t="shared" si="431"/>
        <v>0</v>
      </c>
      <c r="AH273" s="74">
        <f t="shared" si="431"/>
        <v>0</v>
      </c>
      <c r="AI273" s="74">
        <f t="shared" si="431"/>
        <v>0</v>
      </c>
      <c r="AJ273" s="74">
        <f t="shared" si="431"/>
        <v>0</v>
      </c>
      <c r="AK273" s="74">
        <f t="shared" si="431"/>
        <v>0</v>
      </c>
      <c r="AL273" s="74">
        <f t="shared" si="431"/>
        <v>0</v>
      </c>
      <c r="AM273" s="74">
        <f t="shared" si="431"/>
        <v>0</v>
      </c>
      <c r="AN273" s="74">
        <f t="shared" si="431"/>
        <v>0</v>
      </c>
      <c r="AO273" s="74">
        <f t="shared" si="431"/>
        <v>-155589</v>
      </c>
      <c r="AP273" s="74">
        <f t="shared" si="431"/>
        <v>1001825</v>
      </c>
      <c r="AQ273" s="74">
        <f t="shared" si="431"/>
        <v>846236</v>
      </c>
      <c r="AR273" s="74">
        <f t="shared" si="431"/>
        <v>286028</v>
      </c>
      <c r="AS273" s="74">
        <f t="shared" si="431"/>
        <v>8463</v>
      </c>
      <c r="AT273" s="74">
        <f t="shared" si="431"/>
        <v>0</v>
      </c>
      <c r="AU273" s="74">
        <f t="shared" si="431"/>
        <v>12785</v>
      </c>
      <c r="AV273" s="74">
        <f t="shared" si="431"/>
        <v>12785</v>
      </c>
      <c r="AW273" s="74">
        <f t="shared" si="431"/>
        <v>1153512</v>
      </c>
      <c r="AX273" s="75">
        <f t="shared" si="431"/>
        <v>0</v>
      </c>
      <c r="AY273" s="75">
        <f t="shared" si="431"/>
        <v>0</v>
      </c>
      <c r="AZ273" s="75">
        <f t="shared" si="431"/>
        <v>-0.4</v>
      </c>
      <c r="BA273" s="75">
        <f t="shared" si="431"/>
        <v>0</v>
      </c>
      <c r="BB273" s="75">
        <f t="shared" si="431"/>
        <v>3.03</v>
      </c>
      <c r="BC273" s="75">
        <f t="shared" si="431"/>
        <v>0</v>
      </c>
      <c r="BD273" s="75">
        <f t="shared" si="431"/>
        <v>0</v>
      </c>
      <c r="BE273" s="75">
        <f t="shared" si="431"/>
        <v>0</v>
      </c>
      <c r="BF273" s="75">
        <f t="shared" si="431"/>
        <v>-0.4</v>
      </c>
      <c r="BG273" s="75">
        <f t="shared" si="431"/>
        <v>3.03</v>
      </c>
      <c r="BH273" s="76">
        <f t="shared" si="431"/>
        <v>2.63</v>
      </c>
      <c r="BI273" s="799">
        <f t="shared" si="431"/>
        <v>63697479</v>
      </c>
      <c r="BJ273" s="74">
        <f t="shared" si="431"/>
        <v>45837004</v>
      </c>
      <c r="BK273" s="74">
        <f t="shared" si="431"/>
        <v>40667425</v>
      </c>
      <c r="BL273" s="74">
        <f t="shared" si="431"/>
        <v>5169579</v>
      </c>
      <c r="BM273" s="74">
        <f t="shared" si="431"/>
        <v>834000</v>
      </c>
      <c r="BN273" s="74">
        <f t="shared" si="431"/>
        <v>724000</v>
      </c>
      <c r="BO273" s="74">
        <f t="shared" si="431"/>
        <v>110000</v>
      </c>
      <c r="BP273" s="74">
        <f t="shared" si="431"/>
        <v>15774799</v>
      </c>
      <c r="BQ273" s="74">
        <f t="shared" si="431"/>
        <v>458372</v>
      </c>
      <c r="BR273" s="74">
        <f t="shared" si="431"/>
        <v>793304</v>
      </c>
      <c r="BS273" s="75">
        <f t="shared" si="431"/>
        <v>80.251499999999993</v>
      </c>
      <c r="BT273" s="75">
        <f t="shared" si="431"/>
        <v>64.350200000000001</v>
      </c>
      <c r="BU273" s="76">
        <f t="shared" si="431"/>
        <v>15.901300000000001</v>
      </c>
      <c r="BV273" s="809">
        <f t="shared" ref="BV273:CA273" si="432">SUM(BV268:BV272)</f>
        <v>754632</v>
      </c>
      <c r="BW273" s="684">
        <f t="shared" si="432"/>
        <v>0</v>
      </c>
      <c r="BX273" s="684">
        <f t="shared" si="432"/>
        <v>564000</v>
      </c>
      <c r="BY273" s="684">
        <f t="shared" si="432"/>
        <v>190632</v>
      </c>
      <c r="BZ273" s="684">
        <f t="shared" si="432"/>
        <v>0</v>
      </c>
      <c r="CA273" s="810">
        <f t="shared" si="432"/>
        <v>0</v>
      </c>
    </row>
    <row r="274" spans="1:79" ht="14.1" customHeight="1" x14ac:dyDescent="0.2">
      <c r="A274" s="66">
        <v>56</v>
      </c>
      <c r="B274" s="63">
        <v>2401</v>
      </c>
      <c r="C274" s="64">
        <v>600079597</v>
      </c>
      <c r="D274" s="63">
        <v>72741538</v>
      </c>
      <c r="E274" s="65" t="s">
        <v>647</v>
      </c>
      <c r="F274" s="66">
        <v>3111</v>
      </c>
      <c r="G274" s="65" t="s">
        <v>290</v>
      </c>
      <c r="H274" s="67" t="s">
        <v>271</v>
      </c>
      <c r="I274" s="420">
        <v>3532560</v>
      </c>
      <c r="J274" s="415">
        <v>2512620</v>
      </c>
      <c r="K274" s="415">
        <v>2307500</v>
      </c>
      <c r="L274" s="415">
        <v>205120</v>
      </c>
      <c r="M274" s="415">
        <v>100000</v>
      </c>
      <c r="N274" s="415">
        <v>70000</v>
      </c>
      <c r="O274" s="415">
        <v>30000</v>
      </c>
      <c r="P274" s="599">
        <v>883066</v>
      </c>
      <c r="Q274" s="599">
        <v>25126</v>
      </c>
      <c r="R274" s="415">
        <v>11748</v>
      </c>
      <c r="S274" s="416">
        <v>4.5800999999999998</v>
      </c>
      <c r="T274" s="416">
        <v>3.88</v>
      </c>
      <c r="U274" s="423">
        <v>0.70009999999999994</v>
      </c>
      <c r="V274" s="424">
        <f t="shared" si="415"/>
        <v>0</v>
      </c>
      <c r="W274" s="418">
        <f t="shared" si="416"/>
        <v>0</v>
      </c>
      <c r="X274" s="418">
        <v>0</v>
      </c>
      <c r="Y274" s="418">
        <v>0</v>
      </c>
      <c r="Z274" s="418">
        <v>0</v>
      </c>
      <c r="AA274" s="418">
        <v>0</v>
      </c>
      <c r="AB274" s="418">
        <v>0</v>
      </c>
      <c r="AC274" s="418">
        <v>0</v>
      </c>
      <c r="AD274" s="418">
        <f>V274+X274+Y274+Z274+AB274</f>
        <v>0</v>
      </c>
      <c r="AE274" s="418">
        <f>W274+AA274+AC274</f>
        <v>0</v>
      </c>
      <c r="AF274" s="418">
        <f t="shared" si="417"/>
        <v>0</v>
      </c>
      <c r="AG274" s="418">
        <v>0</v>
      </c>
      <c r="AH274" s="418">
        <v>0</v>
      </c>
      <c r="AI274" s="418">
        <v>0</v>
      </c>
      <c r="AJ274" s="418">
        <v>0</v>
      </c>
      <c r="AK274" s="418">
        <v>0</v>
      </c>
      <c r="AL274" s="418">
        <f t="shared" si="418"/>
        <v>0</v>
      </c>
      <c r="AM274" s="418">
        <f t="shared" si="419"/>
        <v>0</v>
      </c>
      <c r="AN274" s="418">
        <f t="shared" si="420"/>
        <v>0</v>
      </c>
      <c r="AO274" s="418">
        <f t="shared" si="421"/>
        <v>0</v>
      </c>
      <c r="AP274" s="418">
        <f t="shared" si="422"/>
        <v>0</v>
      </c>
      <c r="AQ274" s="418">
        <f t="shared" si="423"/>
        <v>0</v>
      </c>
      <c r="AR274" s="68">
        <f t="shared" si="424"/>
        <v>0</v>
      </c>
      <c r="AS274" s="68">
        <f t="shared" si="425"/>
        <v>0</v>
      </c>
      <c r="AT274" s="418">
        <v>0</v>
      </c>
      <c r="AU274" s="418">
        <v>0</v>
      </c>
      <c r="AV274" s="418">
        <f t="shared" si="426"/>
        <v>0</v>
      </c>
      <c r="AW274" s="418">
        <f t="shared" si="427"/>
        <v>0</v>
      </c>
      <c r="AX274" s="419">
        <v>0</v>
      </c>
      <c r="AY274" s="419">
        <v>0</v>
      </c>
      <c r="AZ274" s="419">
        <v>0</v>
      </c>
      <c r="BA274" s="419">
        <v>0</v>
      </c>
      <c r="BB274" s="419">
        <v>0</v>
      </c>
      <c r="BC274" s="419">
        <v>0</v>
      </c>
      <c r="BD274" s="419">
        <v>0</v>
      </c>
      <c r="BE274" s="419">
        <v>0</v>
      </c>
      <c r="BF274" s="419">
        <f t="shared" si="428"/>
        <v>0</v>
      </c>
      <c r="BG274" s="419">
        <f t="shared" si="429"/>
        <v>0</v>
      </c>
      <c r="BH274" s="421">
        <f t="shared" si="430"/>
        <v>0</v>
      </c>
      <c r="BI274" s="780">
        <f>I274+AW274</f>
        <v>3532560</v>
      </c>
      <c r="BJ274" s="418">
        <f>J274+AF274</f>
        <v>2512620</v>
      </c>
      <c r="BK274" s="418">
        <f t="shared" ref="BK274:BL276" si="433">K274+AD274</f>
        <v>2307500</v>
      </c>
      <c r="BL274" s="418">
        <f t="shared" si="433"/>
        <v>205120</v>
      </c>
      <c r="BM274" s="418">
        <f>M274+AN274</f>
        <v>100000</v>
      </c>
      <c r="BN274" s="418">
        <f t="shared" ref="BN274:BO276" si="434">N274+AL274</f>
        <v>70000</v>
      </c>
      <c r="BO274" s="418">
        <f t="shared" si="434"/>
        <v>30000</v>
      </c>
      <c r="BP274" s="418">
        <f t="shared" ref="BP274:BQ276" si="435">P274+AR274</f>
        <v>883066</v>
      </c>
      <c r="BQ274" s="418">
        <f t="shared" si="435"/>
        <v>25126</v>
      </c>
      <c r="BR274" s="418">
        <f>R274+AV274</f>
        <v>11748</v>
      </c>
      <c r="BS274" s="419">
        <f>S274+BH274</f>
        <v>4.5800999999999998</v>
      </c>
      <c r="BT274" s="419">
        <f t="shared" ref="BT274:BU276" si="436">T274+BF274</f>
        <v>3.88</v>
      </c>
      <c r="BU274" s="421">
        <f t="shared" si="436"/>
        <v>0.70009999999999994</v>
      </c>
      <c r="BV274" s="420"/>
      <c r="BW274" s="415"/>
      <c r="BX274" s="415"/>
      <c r="BY274" s="415"/>
      <c r="BZ274" s="415"/>
      <c r="CA274" s="510"/>
    </row>
    <row r="275" spans="1:79" ht="14.1" customHeight="1" x14ac:dyDescent="0.2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647</v>
      </c>
      <c r="F275" s="66">
        <v>3111</v>
      </c>
      <c r="G275" s="65" t="s">
        <v>291</v>
      </c>
      <c r="H275" s="67" t="s">
        <v>272</v>
      </c>
      <c r="I275" s="420">
        <v>952676</v>
      </c>
      <c r="J275" s="415">
        <v>706733</v>
      </c>
      <c r="K275" s="415">
        <v>706733</v>
      </c>
      <c r="L275" s="415">
        <v>0</v>
      </c>
      <c r="M275" s="415">
        <v>0</v>
      </c>
      <c r="N275" s="415">
        <v>0</v>
      </c>
      <c r="O275" s="415">
        <v>0</v>
      </c>
      <c r="P275" s="599">
        <v>238876</v>
      </c>
      <c r="Q275" s="599">
        <v>7067</v>
      </c>
      <c r="R275" s="415">
        <v>0</v>
      </c>
      <c r="S275" s="416">
        <v>1.8400000000000003</v>
      </c>
      <c r="T275" s="417">
        <v>1.8400000000000003</v>
      </c>
      <c r="U275" s="423">
        <v>0</v>
      </c>
      <c r="V275" s="424">
        <f t="shared" si="415"/>
        <v>0</v>
      </c>
      <c r="W275" s="418">
        <f t="shared" si="416"/>
        <v>0</v>
      </c>
      <c r="X275" s="418">
        <v>0</v>
      </c>
      <c r="Y275" s="418">
        <v>0</v>
      </c>
      <c r="Z275" s="418">
        <v>0</v>
      </c>
      <c r="AA275" s="418">
        <v>0</v>
      </c>
      <c r="AB275" s="418">
        <v>0</v>
      </c>
      <c r="AC275" s="418">
        <v>0</v>
      </c>
      <c r="AD275" s="418">
        <f>V275+X275+Y275+Z275+AB275</f>
        <v>0</v>
      </c>
      <c r="AE275" s="418">
        <f>W275+AA275+AC275</f>
        <v>0</v>
      </c>
      <c r="AF275" s="418">
        <f t="shared" si="417"/>
        <v>0</v>
      </c>
      <c r="AG275" s="418">
        <v>0</v>
      </c>
      <c r="AH275" s="418">
        <v>0</v>
      </c>
      <c r="AI275" s="418">
        <v>0</v>
      </c>
      <c r="AJ275" s="418">
        <v>0</v>
      </c>
      <c r="AK275" s="418">
        <v>0</v>
      </c>
      <c r="AL275" s="418">
        <f t="shared" si="418"/>
        <v>0</v>
      </c>
      <c r="AM275" s="418">
        <f t="shared" si="419"/>
        <v>0</v>
      </c>
      <c r="AN275" s="418">
        <f t="shared" si="420"/>
        <v>0</v>
      </c>
      <c r="AO275" s="418">
        <f t="shared" si="421"/>
        <v>0</v>
      </c>
      <c r="AP275" s="418">
        <f t="shared" si="422"/>
        <v>0</v>
      </c>
      <c r="AQ275" s="418">
        <f t="shared" si="423"/>
        <v>0</v>
      </c>
      <c r="AR275" s="68">
        <f t="shared" si="424"/>
        <v>0</v>
      </c>
      <c r="AS275" s="68">
        <f t="shared" si="425"/>
        <v>0</v>
      </c>
      <c r="AT275" s="418">
        <v>0</v>
      </c>
      <c r="AU275" s="418">
        <v>0</v>
      </c>
      <c r="AV275" s="418">
        <f t="shared" si="426"/>
        <v>0</v>
      </c>
      <c r="AW275" s="418">
        <f t="shared" si="427"/>
        <v>0</v>
      </c>
      <c r="AX275" s="419">
        <v>0</v>
      </c>
      <c r="AY275" s="419">
        <v>0</v>
      </c>
      <c r="AZ275" s="419">
        <v>0</v>
      </c>
      <c r="BA275" s="419">
        <v>0</v>
      </c>
      <c r="BB275" s="419">
        <v>0</v>
      </c>
      <c r="BC275" s="419">
        <v>0</v>
      </c>
      <c r="BD275" s="419">
        <v>0</v>
      </c>
      <c r="BE275" s="419">
        <v>0</v>
      </c>
      <c r="BF275" s="419">
        <f t="shared" si="428"/>
        <v>0</v>
      </c>
      <c r="BG275" s="419">
        <f t="shared" si="429"/>
        <v>0</v>
      </c>
      <c r="BH275" s="421">
        <f t="shared" si="430"/>
        <v>0</v>
      </c>
      <c r="BI275" s="780">
        <f>I275+AW275</f>
        <v>952676</v>
      </c>
      <c r="BJ275" s="418">
        <f>J275+AF275</f>
        <v>706733</v>
      </c>
      <c r="BK275" s="418">
        <f t="shared" si="433"/>
        <v>706733</v>
      </c>
      <c r="BL275" s="418">
        <f t="shared" si="433"/>
        <v>0</v>
      </c>
      <c r="BM275" s="418">
        <f>M275+AN275</f>
        <v>0</v>
      </c>
      <c r="BN275" s="418">
        <f t="shared" si="434"/>
        <v>0</v>
      </c>
      <c r="BO275" s="418">
        <f t="shared" si="434"/>
        <v>0</v>
      </c>
      <c r="BP275" s="418">
        <f t="shared" si="435"/>
        <v>238876</v>
      </c>
      <c r="BQ275" s="418">
        <f t="shared" si="435"/>
        <v>7067</v>
      </c>
      <c r="BR275" s="418">
        <f>R275+AV275</f>
        <v>0</v>
      </c>
      <c r="BS275" s="419">
        <f>S275+BH275</f>
        <v>1.8400000000000003</v>
      </c>
      <c r="BT275" s="419">
        <f t="shared" si="436"/>
        <v>1.8400000000000003</v>
      </c>
      <c r="BU275" s="421">
        <f t="shared" si="436"/>
        <v>0</v>
      </c>
      <c r="BV275" s="420"/>
      <c r="BW275" s="415"/>
      <c r="BX275" s="415"/>
      <c r="BY275" s="415"/>
      <c r="BZ275" s="415"/>
      <c r="CA275" s="510"/>
    </row>
    <row r="276" spans="1:79" ht="14.1" customHeight="1" x14ac:dyDescent="0.2">
      <c r="A276" s="66">
        <v>56</v>
      </c>
      <c r="B276" s="63">
        <v>2401</v>
      </c>
      <c r="C276" s="64">
        <v>600079597</v>
      </c>
      <c r="D276" s="63">
        <v>72741538</v>
      </c>
      <c r="E276" s="65" t="s">
        <v>647</v>
      </c>
      <c r="F276" s="66">
        <v>3141</v>
      </c>
      <c r="G276" s="65" t="s">
        <v>294</v>
      </c>
      <c r="H276" s="67" t="s">
        <v>272</v>
      </c>
      <c r="I276" s="420">
        <v>424099</v>
      </c>
      <c r="J276" s="415">
        <v>313471</v>
      </c>
      <c r="K276" s="415">
        <v>0</v>
      </c>
      <c r="L276" s="750">
        <v>313471</v>
      </c>
      <c r="M276" s="415">
        <v>0</v>
      </c>
      <c r="N276" s="204">
        <v>0</v>
      </c>
      <c r="O276" s="204">
        <v>0</v>
      </c>
      <c r="P276" s="599">
        <v>105953</v>
      </c>
      <c r="Q276" s="599">
        <v>3135</v>
      </c>
      <c r="R276" s="605">
        <v>1540</v>
      </c>
      <c r="S276" s="416">
        <v>0.94</v>
      </c>
      <c r="T276" s="607">
        <v>0</v>
      </c>
      <c r="U276" s="737">
        <v>0.94</v>
      </c>
      <c r="V276" s="424">
        <f t="shared" si="415"/>
        <v>0</v>
      </c>
      <c r="W276" s="418">
        <f t="shared" si="416"/>
        <v>0</v>
      </c>
      <c r="X276" s="418">
        <v>0</v>
      </c>
      <c r="Y276" s="418">
        <v>0</v>
      </c>
      <c r="Z276" s="418">
        <v>0</v>
      </c>
      <c r="AA276" s="418">
        <v>157496</v>
      </c>
      <c r="AB276" s="418">
        <v>0</v>
      </c>
      <c r="AC276" s="418">
        <v>0</v>
      </c>
      <c r="AD276" s="418">
        <f>V276+X276+Y276+Z276+AB276</f>
        <v>0</v>
      </c>
      <c r="AE276" s="418">
        <f>W276+AA276+AC276</f>
        <v>157496</v>
      </c>
      <c r="AF276" s="418">
        <f t="shared" si="417"/>
        <v>157496</v>
      </c>
      <c r="AG276" s="418">
        <v>0</v>
      </c>
      <c r="AH276" s="418">
        <v>0</v>
      </c>
      <c r="AI276" s="418">
        <v>0</v>
      </c>
      <c r="AJ276" s="418">
        <v>0</v>
      </c>
      <c r="AK276" s="418">
        <v>0</v>
      </c>
      <c r="AL276" s="418">
        <f t="shared" si="418"/>
        <v>0</v>
      </c>
      <c r="AM276" s="418">
        <f t="shared" si="419"/>
        <v>0</v>
      </c>
      <c r="AN276" s="418">
        <f t="shared" si="420"/>
        <v>0</v>
      </c>
      <c r="AO276" s="418">
        <f t="shared" si="421"/>
        <v>0</v>
      </c>
      <c r="AP276" s="418">
        <f t="shared" si="422"/>
        <v>157496</v>
      </c>
      <c r="AQ276" s="418">
        <f t="shared" si="423"/>
        <v>157496</v>
      </c>
      <c r="AR276" s="68">
        <f t="shared" si="424"/>
        <v>53234</v>
      </c>
      <c r="AS276" s="68">
        <f t="shared" si="425"/>
        <v>1575</v>
      </c>
      <c r="AT276" s="418">
        <v>0</v>
      </c>
      <c r="AU276" s="418">
        <v>748</v>
      </c>
      <c r="AV276" s="418">
        <f t="shared" si="426"/>
        <v>748</v>
      </c>
      <c r="AW276" s="418">
        <f t="shared" si="427"/>
        <v>213053</v>
      </c>
      <c r="AX276" s="419">
        <v>0</v>
      </c>
      <c r="AY276" s="419">
        <v>0</v>
      </c>
      <c r="AZ276" s="419">
        <v>0</v>
      </c>
      <c r="BA276" s="419">
        <v>0</v>
      </c>
      <c r="BB276" s="419">
        <v>0.47</v>
      </c>
      <c r="BC276" s="419">
        <v>0</v>
      </c>
      <c r="BD276" s="419">
        <v>0</v>
      </c>
      <c r="BE276" s="419">
        <v>0</v>
      </c>
      <c r="BF276" s="419">
        <f t="shared" si="428"/>
        <v>0</v>
      </c>
      <c r="BG276" s="419">
        <f t="shared" si="429"/>
        <v>0.47</v>
      </c>
      <c r="BH276" s="421">
        <f t="shared" si="430"/>
        <v>0.47</v>
      </c>
      <c r="BI276" s="780">
        <f>I276+AW276</f>
        <v>637152</v>
      </c>
      <c r="BJ276" s="418">
        <f>J276+AF276</f>
        <v>470967</v>
      </c>
      <c r="BK276" s="418">
        <f t="shared" si="433"/>
        <v>0</v>
      </c>
      <c r="BL276" s="418">
        <f t="shared" si="433"/>
        <v>470967</v>
      </c>
      <c r="BM276" s="418">
        <f>M276+AN276</f>
        <v>0</v>
      </c>
      <c r="BN276" s="418">
        <f t="shared" si="434"/>
        <v>0</v>
      </c>
      <c r="BO276" s="418">
        <f t="shared" si="434"/>
        <v>0</v>
      </c>
      <c r="BP276" s="418">
        <f t="shared" si="435"/>
        <v>159187</v>
      </c>
      <c r="BQ276" s="418">
        <f t="shared" si="435"/>
        <v>4710</v>
      </c>
      <c r="BR276" s="418">
        <f>R276+AV276</f>
        <v>2288</v>
      </c>
      <c r="BS276" s="419">
        <f>S276+BH276</f>
        <v>1.41</v>
      </c>
      <c r="BT276" s="419">
        <f t="shared" si="436"/>
        <v>0</v>
      </c>
      <c r="BU276" s="421">
        <f t="shared" si="436"/>
        <v>1.41</v>
      </c>
      <c r="BV276" s="420"/>
      <c r="BW276" s="415"/>
      <c r="BX276" s="415"/>
      <c r="BY276" s="415"/>
      <c r="BZ276" s="415"/>
      <c r="CA276" s="510"/>
    </row>
    <row r="277" spans="1:79" ht="14.1" customHeight="1" x14ac:dyDescent="0.2">
      <c r="A277" s="72">
        <v>56</v>
      </c>
      <c r="B277" s="69">
        <v>2401</v>
      </c>
      <c r="C277" s="70">
        <v>600079597</v>
      </c>
      <c r="D277" s="69">
        <v>72741538</v>
      </c>
      <c r="E277" s="71" t="s">
        <v>648</v>
      </c>
      <c r="F277" s="72"/>
      <c r="G277" s="71"/>
      <c r="H277" s="73"/>
      <c r="I277" s="517">
        <v>4909335</v>
      </c>
      <c r="J277" s="74">
        <v>3532824</v>
      </c>
      <c r="K277" s="74">
        <v>3014233</v>
      </c>
      <c r="L277" s="74">
        <v>518591</v>
      </c>
      <c r="M277" s="74">
        <v>100000</v>
      </c>
      <c r="N277" s="74">
        <v>70000</v>
      </c>
      <c r="O277" s="74">
        <v>30000</v>
      </c>
      <c r="P277" s="74">
        <v>1227895</v>
      </c>
      <c r="Q277" s="74">
        <v>35328</v>
      </c>
      <c r="R277" s="74">
        <v>13288</v>
      </c>
      <c r="S277" s="75">
        <v>7.3600999999999992</v>
      </c>
      <c r="T277" s="75">
        <v>5.7200000000000006</v>
      </c>
      <c r="U277" s="658">
        <v>1.6400999999999999</v>
      </c>
      <c r="V277" s="517">
        <f t="shared" ref="V277:BU277" si="437">SUM(V274:V276)</f>
        <v>0</v>
      </c>
      <c r="W277" s="74">
        <f t="shared" si="437"/>
        <v>0</v>
      </c>
      <c r="X277" s="74">
        <f t="shared" si="437"/>
        <v>0</v>
      </c>
      <c r="Y277" s="74">
        <f t="shared" si="437"/>
        <v>0</v>
      </c>
      <c r="Z277" s="74">
        <f t="shared" si="437"/>
        <v>0</v>
      </c>
      <c r="AA277" s="74">
        <f t="shared" si="437"/>
        <v>157496</v>
      </c>
      <c r="AB277" s="74">
        <f t="shared" si="437"/>
        <v>0</v>
      </c>
      <c r="AC277" s="74">
        <f t="shared" si="437"/>
        <v>0</v>
      </c>
      <c r="AD277" s="74">
        <f t="shared" si="437"/>
        <v>0</v>
      </c>
      <c r="AE277" s="74">
        <f t="shared" si="437"/>
        <v>157496</v>
      </c>
      <c r="AF277" s="74">
        <f t="shared" si="437"/>
        <v>157496</v>
      </c>
      <c r="AG277" s="74">
        <f t="shared" si="437"/>
        <v>0</v>
      </c>
      <c r="AH277" s="74">
        <f t="shared" si="437"/>
        <v>0</v>
      </c>
      <c r="AI277" s="74">
        <f t="shared" si="437"/>
        <v>0</v>
      </c>
      <c r="AJ277" s="74">
        <f t="shared" si="437"/>
        <v>0</v>
      </c>
      <c r="AK277" s="74">
        <f t="shared" si="437"/>
        <v>0</v>
      </c>
      <c r="AL277" s="74">
        <f t="shared" si="437"/>
        <v>0</v>
      </c>
      <c r="AM277" s="74">
        <f t="shared" si="437"/>
        <v>0</v>
      </c>
      <c r="AN277" s="74">
        <f t="shared" si="437"/>
        <v>0</v>
      </c>
      <c r="AO277" s="74">
        <f t="shared" si="437"/>
        <v>0</v>
      </c>
      <c r="AP277" s="74">
        <f t="shared" si="437"/>
        <v>157496</v>
      </c>
      <c r="AQ277" s="74">
        <f t="shared" si="437"/>
        <v>157496</v>
      </c>
      <c r="AR277" s="74">
        <f t="shared" si="437"/>
        <v>53234</v>
      </c>
      <c r="AS277" s="74">
        <f t="shared" si="437"/>
        <v>1575</v>
      </c>
      <c r="AT277" s="74">
        <f t="shared" si="437"/>
        <v>0</v>
      </c>
      <c r="AU277" s="74">
        <f t="shared" si="437"/>
        <v>748</v>
      </c>
      <c r="AV277" s="74">
        <f t="shared" si="437"/>
        <v>748</v>
      </c>
      <c r="AW277" s="74">
        <f t="shared" si="437"/>
        <v>213053</v>
      </c>
      <c r="AX277" s="75">
        <f t="shared" si="437"/>
        <v>0</v>
      </c>
      <c r="AY277" s="75">
        <f t="shared" si="437"/>
        <v>0</v>
      </c>
      <c r="AZ277" s="75">
        <f t="shared" si="437"/>
        <v>0</v>
      </c>
      <c r="BA277" s="75">
        <f t="shared" si="437"/>
        <v>0</v>
      </c>
      <c r="BB277" s="75">
        <f t="shared" si="437"/>
        <v>0.47</v>
      </c>
      <c r="BC277" s="75">
        <f t="shared" si="437"/>
        <v>0</v>
      </c>
      <c r="BD277" s="75">
        <f t="shared" si="437"/>
        <v>0</v>
      </c>
      <c r="BE277" s="75">
        <f t="shared" si="437"/>
        <v>0</v>
      </c>
      <c r="BF277" s="75">
        <f t="shared" si="437"/>
        <v>0</v>
      </c>
      <c r="BG277" s="75">
        <f t="shared" si="437"/>
        <v>0.47</v>
      </c>
      <c r="BH277" s="76">
        <f t="shared" si="437"/>
        <v>0.47</v>
      </c>
      <c r="BI277" s="799">
        <f t="shared" si="437"/>
        <v>5122388</v>
      </c>
      <c r="BJ277" s="74">
        <f t="shared" si="437"/>
        <v>3690320</v>
      </c>
      <c r="BK277" s="74">
        <f t="shared" si="437"/>
        <v>3014233</v>
      </c>
      <c r="BL277" s="74">
        <f t="shared" si="437"/>
        <v>676087</v>
      </c>
      <c r="BM277" s="74">
        <f t="shared" si="437"/>
        <v>100000</v>
      </c>
      <c r="BN277" s="74">
        <f t="shared" si="437"/>
        <v>70000</v>
      </c>
      <c r="BO277" s="74">
        <f t="shared" si="437"/>
        <v>30000</v>
      </c>
      <c r="BP277" s="74">
        <f t="shared" si="437"/>
        <v>1281129</v>
      </c>
      <c r="BQ277" s="74">
        <f t="shared" si="437"/>
        <v>36903</v>
      </c>
      <c r="BR277" s="74">
        <f t="shared" si="437"/>
        <v>14036</v>
      </c>
      <c r="BS277" s="75">
        <f t="shared" si="437"/>
        <v>7.8300999999999998</v>
      </c>
      <c r="BT277" s="75">
        <f t="shared" si="437"/>
        <v>5.7200000000000006</v>
      </c>
      <c r="BU277" s="76">
        <f t="shared" si="437"/>
        <v>2.1101000000000001</v>
      </c>
      <c r="BV277" s="809">
        <f t="shared" ref="BV277:CA277" si="438">SUM(BV274:BV276)</f>
        <v>0</v>
      </c>
      <c r="BW277" s="684">
        <f t="shared" si="438"/>
        <v>0</v>
      </c>
      <c r="BX277" s="684">
        <f t="shared" si="438"/>
        <v>0</v>
      </c>
      <c r="BY277" s="684">
        <f t="shared" si="438"/>
        <v>0</v>
      </c>
      <c r="BZ277" s="684">
        <f t="shared" si="438"/>
        <v>0</v>
      </c>
      <c r="CA277" s="810">
        <f t="shared" si="438"/>
        <v>0</v>
      </c>
    </row>
    <row r="278" spans="1:79" ht="14.1" customHeight="1" x14ac:dyDescent="0.2">
      <c r="A278" s="66">
        <v>57</v>
      </c>
      <c r="B278" s="63">
        <v>2449</v>
      </c>
      <c r="C278" s="64">
        <v>650029348</v>
      </c>
      <c r="D278" s="63">
        <v>72742071</v>
      </c>
      <c r="E278" s="65" t="s">
        <v>649</v>
      </c>
      <c r="F278" s="66">
        <v>3111</v>
      </c>
      <c r="G278" s="65" t="s">
        <v>290</v>
      </c>
      <c r="H278" s="67" t="s">
        <v>271</v>
      </c>
      <c r="I278" s="420">
        <v>3331835</v>
      </c>
      <c r="J278" s="415">
        <v>2428388</v>
      </c>
      <c r="K278" s="415">
        <v>2295252</v>
      </c>
      <c r="L278" s="415">
        <v>133136</v>
      </c>
      <c r="M278" s="415">
        <v>33000</v>
      </c>
      <c r="N278" s="415">
        <v>33000</v>
      </c>
      <c r="O278" s="415">
        <v>0</v>
      </c>
      <c r="P278" s="599">
        <v>831949</v>
      </c>
      <c r="Q278" s="599">
        <v>24284</v>
      </c>
      <c r="R278" s="415">
        <v>14214</v>
      </c>
      <c r="S278" s="416">
        <v>4.4734000000000007</v>
      </c>
      <c r="T278" s="416">
        <v>3.94</v>
      </c>
      <c r="U278" s="423">
        <v>0.53339999999999999</v>
      </c>
      <c r="V278" s="424">
        <f t="shared" si="415"/>
        <v>0</v>
      </c>
      <c r="W278" s="418">
        <f t="shared" si="416"/>
        <v>0</v>
      </c>
      <c r="X278" s="418">
        <v>0</v>
      </c>
      <c r="Y278" s="418">
        <v>0</v>
      </c>
      <c r="Z278" s="418">
        <v>0</v>
      </c>
      <c r="AA278" s="418">
        <v>0</v>
      </c>
      <c r="AB278" s="418">
        <v>0</v>
      </c>
      <c r="AC278" s="418">
        <v>0</v>
      </c>
      <c r="AD278" s="418">
        <f t="shared" ref="AD278:AD283" si="439">V278+X278+Y278+Z278+AB278</f>
        <v>0</v>
      </c>
      <c r="AE278" s="418">
        <f t="shared" ref="AE278:AE283" si="440">W278+AA278+AC278</f>
        <v>0</v>
      </c>
      <c r="AF278" s="418">
        <f t="shared" si="417"/>
        <v>0</v>
      </c>
      <c r="AG278" s="418">
        <v>0</v>
      </c>
      <c r="AH278" s="418">
        <v>0</v>
      </c>
      <c r="AI278" s="418">
        <v>0</v>
      </c>
      <c r="AJ278" s="418">
        <v>0</v>
      </c>
      <c r="AK278" s="418">
        <v>0</v>
      </c>
      <c r="AL278" s="418">
        <f t="shared" si="418"/>
        <v>0</v>
      </c>
      <c r="AM278" s="418">
        <f t="shared" si="419"/>
        <v>0</v>
      </c>
      <c r="AN278" s="418">
        <f t="shared" si="420"/>
        <v>0</v>
      </c>
      <c r="AO278" s="418">
        <f t="shared" si="421"/>
        <v>0</v>
      </c>
      <c r="AP278" s="418">
        <f t="shared" si="422"/>
        <v>0</v>
      </c>
      <c r="AQ278" s="418">
        <f t="shared" si="423"/>
        <v>0</v>
      </c>
      <c r="AR278" s="68">
        <f t="shared" si="424"/>
        <v>0</v>
      </c>
      <c r="AS278" s="68">
        <f t="shared" si="425"/>
        <v>0</v>
      </c>
      <c r="AT278" s="418">
        <v>0</v>
      </c>
      <c r="AU278" s="418">
        <v>0</v>
      </c>
      <c r="AV278" s="418">
        <f t="shared" si="426"/>
        <v>0</v>
      </c>
      <c r="AW278" s="418">
        <f t="shared" si="427"/>
        <v>0</v>
      </c>
      <c r="AX278" s="419">
        <v>0</v>
      </c>
      <c r="AY278" s="419">
        <v>0</v>
      </c>
      <c r="AZ278" s="419">
        <v>0</v>
      </c>
      <c r="BA278" s="419">
        <v>0</v>
      </c>
      <c r="BB278" s="419">
        <v>0</v>
      </c>
      <c r="BC278" s="419">
        <v>0</v>
      </c>
      <c r="BD278" s="419">
        <v>0</v>
      </c>
      <c r="BE278" s="419">
        <v>0</v>
      </c>
      <c r="BF278" s="419">
        <f t="shared" si="428"/>
        <v>0</v>
      </c>
      <c r="BG278" s="419">
        <f t="shared" si="429"/>
        <v>0</v>
      </c>
      <c r="BH278" s="421">
        <f t="shared" si="430"/>
        <v>0</v>
      </c>
      <c r="BI278" s="780">
        <f t="shared" ref="BI278:BI283" si="441">I278+AW278</f>
        <v>3331835</v>
      </c>
      <c r="BJ278" s="418">
        <f t="shared" ref="BJ278:BJ283" si="442">J278+AF278</f>
        <v>2428388</v>
      </c>
      <c r="BK278" s="418">
        <f t="shared" ref="BK278:BL283" si="443">K278+AD278</f>
        <v>2295252</v>
      </c>
      <c r="BL278" s="418">
        <f t="shared" si="443"/>
        <v>133136</v>
      </c>
      <c r="BM278" s="418">
        <f t="shared" ref="BM278:BM283" si="444">M278+AN278</f>
        <v>33000</v>
      </c>
      <c r="BN278" s="418">
        <f t="shared" ref="BN278:BO283" si="445">N278+AL278</f>
        <v>33000</v>
      </c>
      <c r="BO278" s="418">
        <f t="shared" si="445"/>
        <v>0</v>
      </c>
      <c r="BP278" s="418">
        <f t="shared" ref="BP278:BQ283" si="446">P278+AR278</f>
        <v>831949</v>
      </c>
      <c r="BQ278" s="418">
        <f t="shared" si="446"/>
        <v>24284</v>
      </c>
      <c r="BR278" s="418">
        <f t="shared" ref="BR278:BR283" si="447">R278+AV278</f>
        <v>14214</v>
      </c>
      <c r="BS278" s="419">
        <f t="shared" ref="BS278:BS283" si="448">S278+BH278</f>
        <v>4.4734000000000007</v>
      </c>
      <c r="BT278" s="419">
        <f t="shared" ref="BT278:BU283" si="449">T278+BF278</f>
        <v>3.94</v>
      </c>
      <c r="BU278" s="421">
        <f t="shared" si="449"/>
        <v>0.53339999999999999</v>
      </c>
      <c r="BV278" s="420"/>
      <c r="BW278" s="415"/>
      <c r="BX278" s="415"/>
      <c r="BY278" s="415"/>
      <c r="BZ278" s="415"/>
      <c r="CA278" s="510"/>
    </row>
    <row r="279" spans="1:79" ht="14.1" customHeight="1" x14ac:dyDescent="0.2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649</v>
      </c>
      <c r="F279" s="66">
        <v>3117</v>
      </c>
      <c r="G279" s="65" t="s">
        <v>293</v>
      </c>
      <c r="H279" s="67" t="s">
        <v>271</v>
      </c>
      <c r="I279" s="420">
        <v>4589551</v>
      </c>
      <c r="J279" s="415">
        <v>3358667</v>
      </c>
      <c r="K279" s="415">
        <v>2896995</v>
      </c>
      <c r="L279" s="415">
        <v>461672</v>
      </c>
      <c r="M279" s="415">
        <v>0</v>
      </c>
      <c r="N279" s="415">
        <v>0</v>
      </c>
      <c r="O279" s="415">
        <v>0</v>
      </c>
      <c r="P279" s="599">
        <v>1135230</v>
      </c>
      <c r="Q279" s="599">
        <v>33587</v>
      </c>
      <c r="R279" s="415">
        <v>62067</v>
      </c>
      <c r="S279" s="416">
        <v>5.8592999999999993</v>
      </c>
      <c r="T279" s="416">
        <v>4.5926999999999998</v>
      </c>
      <c r="U279" s="423">
        <v>1.2665999999999999</v>
      </c>
      <c r="V279" s="424">
        <f t="shared" si="415"/>
        <v>0</v>
      </c>
      <c r="W279" s="418">
        <f t="shared" si="416"/>
        <v>0</v>
      </c>
      <c r="X279" s="418">
        <v>0</v>
      </c>
      <c r="Y279" s="418">
        <v>0</v>
      </c>
      <c r="Z279" s="418">
        <v>0</v>
      </c>
      <c r="AA279" s="418">
        <v>0</v>
      </c>
      <c r="AB279" s="418">
        <v>0</v>
      </c>
      <c r="AC279" s="418">
        <v>0</v>
      </c>
      <c r="AD279" s="418">
        <f t="shared" si="439"/>
        <v>0</v>
      </c>
      <c r="AE279" s="418">
        <f t="shared" si="440"/>
        <v>0</v>
      </c>
      <c r="AF279" s="418">
        <f t="shared" si="417"/>
        <v>0</v>
      </c>
      <c r="AG279" s="418">
        <v>0</v>
      </c>
      <c r="AH279" s="418">
        <v>0</v>
      </c>
      <c r="AI279" s="418">
        <v>0</v>
      </c>
      <c r="AJ279" s="418">
        <v>0</v>
      </c>
      <c r="AK279" s="418">
        <v>0</v>
      </c>
      <c r="AL279" s="418">
        <f t="shared" si="418"/>
        <v>0</v>
      </c>
      <c r="AM279" s="418">
        <f t="shared" si="419"/>
        <v>0</v>
      </c>
      <c r="AN279" s="418">
        <f t="shared" si="420"/>
        <v>0</v>
      </c>
      <c r="AO279" s="418">
        <f t="shared" si="421"/>
        <v>0</v>
      </c>
      <c r="AP279" s="418">
        <f t="shared" si="422"/>
        <v>0</v>
      </c>
      <c r="AQ279" s="418">
        <f t="shared" si="423"/>
        <v>0</v>
      </c>
      <c r="AR279" s="68">
        <f t="shared" si="424"/>
        <v>0</v>
      </c>
      <c r="AS279" s="68">
        <f t="shared" si="425"/>
        <v>0</v>
      </c>
      <c r="AT279" s="418">
        <v>0</v>
      </c>
      <c r="AU279" s="418">
        <v>0</v>
      </c>
      <c r="AV279" s="418">
        <f t="shared" si="426"/>
        <v>0</v>
      </c>
      <c r="AW279" s="418">
        <f t="shared" si="427"/>
        <v>0</v>
      </c>
      <c r="AX279" s="419">
        <v>0</v>
      </c>
      <c r="AY279" s="419">
        <v>0</v>
      </c>
      <c r="AZ279" s="419">
        <v>0</v>
      </c>
      <c r="BA279" s="419">
        <v>0</v>
      </c>
      <c r="BB279" s="419">
        <v>0</v>
      </c>
      <c r="BC279" s="419">
        <v>0</v>
      </c>
      <c r="BD279" s="419">
        <v>0</v>
      </c>
      <c r="BE279" s="419">
        <v>0</v>
      </c>
      <c r="BF279" s="419">
        <f t="shared" si="428"/>
        <v>0</v>
      </c>
      <c r="BG279" s="419">
        <f t="shared" si="429"/>
        <v>0</v>
      </c>
      <c r="BH279" s="421">
        <f t="shared" si="430"/>
        <v>0</v>
      </c>
      <c r="BI279" s="780">
        <f t="shared" si="441"/>
        <v>4589551</v>
      </c>
      <c r="BJ279" s="418">
        <f t="shared" si="442"/>
        <v>3358667</v>
      </c>
      <c r="BK279" s="418">
        <f t="shared" si="443"/>
        <v>2896995</v>
      </c>
      <c r="BL279" s="418">
        <f t="shared" si="443"/>
        <v>461672</v>
      </c>
      <c r="BM279" s="418">
        <f t="shared" si="444"/>
        <v>0</v>
      </c>
      <c r="BN279" s="418">
        <f t="shared" si="445"/>
        <v>0</v>
      </c>
      <c r="BO279" s="418">
        <f t="shared" si="445"/>
        <v>0</v>
      </c>
      <c r="BP279" s="418">
        <f t="shared" si="446"/>
        <v>1135230</v>
      </c>
      <c r="BQ279" s="418">
        <f t="shared" si="446"/>
        <v>33587</v>
      </c>
      <c r="BR279" s="418">
        <f t="shared" si="447"/>
        <v>62067</v>
      </c>
      <c r="BS279" s="419">
        <f t="shared" si="448"/>
        <v>5.8592999999999993</v>
      </c>
      <c r="BT279" s="419">
        <f t="shared" si="449"/>
        <v>4.5926999999999998</v>
      </c>
      <c r="BU279" s="421">
        <f t="shared" si="449"/>
        <v>1.2665999999999999</v>
      </c>
      <c r="BV279" s="420"/>
      <c r="BW279" s="415"/>
      <c r="BX279" s="415"/>
      <c r="BY279" s="415"/>
      <c r="BZ279" s="415"/>
      <c r="CA279" s="510"/>
    </row>
    <row r="280" spans="1:79" ht="14.1" customHeight="1" x14ac:dyDescent="0.2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649</v>
      </c>
      <c r="F280" s="66">
        <v>3117</v>
      </c>
      <c r="G280" s="77" t="s">
        <v>291</v>
      </c>
      <c r="H280" s="67" t="s">
        <v>272</v>
      </c>
      <c r="I280" s="420">
        <v>319348</v>
      </c>
      <c r="J280" s="415">
        <v>236905</v>
      </c>
      <c r="K280" s="415">
        <v>236905</v>
      </c>
      <c r="L280" s="415">
        <v>0</v>
      </c>
      <c r="M280" s="415">
        <v>0</v>
      </c>
      <c r="N280" s="415">
        <v>0</v>
      </c>
      <c r="O280" s="415">
        <v>0</v>
      </c>
      <c r="P280" s="599">
        <v>80074</v>
      </c>
      <c r="Q280" s="599">
        <v>2369</v>
      </c>
      <c r="R280" s="415">
        <v>0</v>
      </c>
      <c r="S280" s="416">
        <v>0.64</v>
      </c>
      <c r="T280" s="417">
        <v>0.64</v>
      </c>
      <c r="U280" s="423">
        <v>0</v>
      </c>
      <c r="V280" s="424">
        <f t="shared" si="415"/>
        <v>0</v>
      </c>
      <c r="W280" s="418">
        <f t="shared" si="416"/>
        <v>0</v>
      </c>
      <c r="X280" s="418">
        <v>0</v>
      </c>
      <c r="Y280" s="418">
        <v>0</v>
      </c>
      <c r="Z280" s="418">
        <v>0</v>
      </c>
      <c r="AA280" s="418">
        <v>0</v>
      </c>
      <c r="AB280" s="418">
        <v>0</v>
      </c>
      <c r="AC280" s="418">
        <v>0</v>
      </c>
      <c r="AD280" s="418">
        <f t="shared" si="439"/>
        <v>0</v>
      </c>
      <c r="AE280" s="418">
        <f t="shared" si="440"/>
        <v>0</v>
      </c>
      <c r="AF280" s="418">
        <f t="shared" si="417"/>
        <v>0</v>
      </c>
      <c r="AG280" s="418">
        <v>0</v>
      </c>
      <c r="AH280" s="418">
        <v>0</v>
      </c>
      <c r="AI280" s="418">
        <v>0</v>
      </c>
      <c r="AJ280" s="418">
        <v>0</v>
      </c>
      <c r="AK280" s="418">
        <v>0</v>
      </c>
      <c r="AL280" s="418">
        <f t="shared" si="418"/>
        <v>0</v>
      </c>
      <c r="AM280" s="418">
        <f t="shared" si="419"/>
        <v>0</v>
      </c>
      <c r="AN280" s="418">
        <f t="shared" si="420"/>
        <v>0</v>
      </c>
      <c r="AO280" s="418">
        <f t="shared" si="421"/>
        <v>0</v>
      </c>
      <c r="AP280" s="418">
        <f t="shared" si="422"/>
        <v>0</v>
      </c>
      <c r="AQ280" s="418">
        <f t="shared" si="423"/>
        <v>0</v>
      </c>
      <c r="AR280" s="68">
        <f t="shared" si="424"/>
        <v>0</v>
      </c>
      <c r="AS280" s="68">
        <f t="shared" si="425"/>
        <v>0</v>
      </c>
      <c r="AT280" s="418">
        <v>0</v>
      </c>
      <c r="AU280" s="418">
        <v>0</v>
      </c>
      <c r="AV280" s="418">
        <f t="shared" si="426"/>
        <v>0</v>
      </c>
      <c r="AW280" s="418">
        <f t="shared" si="427"/>
        <v>0</v>
      </c>
      <c r="AX280" s="419">
        <v>0</v>
      </c>
      <c r="AY280" s="419">
        <v>0</v>
      </c>
      <c r="AZ280" s="419">
        <v>0</v>
      </c>
      <c r="BA280" s="419">
        <v>0</v>
      </c>
      <c r="BB280" s="419">
        <v>0</v>
      </c>
      <c r="BC280" s="419">
        <v>0</v>
      </c>
      <c r="BD280" s="419">
        <v>0</v>
      </c>
      <c r="BE280" s="419">
        <v>0</v>
      </c>
      <c r="BF280" s="419">
        <f t="shared" si="428"/>
        <v>0</v>
      </c>
      <c r="BG280" s="419">
        <f t="shared" si="429"/>
        <v>0</v>
      </c>
      <c r="BH280" s="421">
        <f t="shared" si="430"/>
        <v>0</v>
      </c>
      <c r="BI280" s="780">
        <f t="shared" si="441"/>
        <v>319348</v>
      </c>
      <c r="BJ280" s="418">
        <f t="shared" si="442"/>
        <v>236905</v>
      </c>
      <c r="BK280" s="418">
        <f t="shared" si="443"/>
        <v>236905</v>
      </c>
      <c r="BL280" s="418">
        <f t="shared" si="443"/>
        <v>0</v>
      </c>
      <c r="BM280" s="418">
        <f t="shared" si="444"/>
        <v>0</v>
      </c>
      <c r="BN280" s="418">
        <f t="shared" si="445"/>
        <v>0</v>
      </c>
      <c r="BO280" s="418">
        <f t="shared" si="445"/>
        <v>0</v>
      </c>
      <c r="BP280" s="418">
        <f t="shared" si="446"/>
        <v>80074</v>
      </c>
      <c r="BQ280" s="418">
        <f t="shared" si="446"/>
        <v>2369</v>
      </c>
      <c r="BR280" s="418">
        <f t="shared" si="447"/>
        <v>0</v>
      </c>
      <c r="BS280" s="419">
        <f t="shared" si="448"/>
        <v>0.64</v>
      </c>
      <c r="BT280" s="419">
        <f t="shared" si="449"/>
        <v>0.64</v>
      </c>
      <c r="BU280" s="421">
        <f t="shared" si="449"/>
        <v>0</v>
      </c>
      <c r="BV280" s="420"/>
      <c r="BW280" s="415"/>
      <c r="BX280" s="415"/>
      <c r="BY280" s="415"/>
      <c r="BZ280" s="415"/>
      <c r="CA280" s="510"/>
    </row>
    <row r="281" spans="1:79" ht="14.1" customHeight="1" x14ac:dyDescent="0.2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649</v>
      </c>
      <c r="F281" s="66">
        <v>3141</v>
      </c>
      <c r="G281" s="65" t="s">
        <v>294</v>
      </c>
      <c r="H281" s="67" t="s">
        <v>272</v>
      </c>
      <c r="I281" s="420">
        <v>767423</v>
      </c>
      <c r="J281" s="415">
        <v>566916</v>
      </c>
      <c r="K281" s="415">
        <v>0</v>
      </c>
      <c r="L281" s="750">
        <v>566916</v>
      </c>
      <c r="M281" s="415">
        <v>0</v>
      </c>
      <c r="N281" s="204">
        <v>0</v>
      </c>
      <c r="O281" s="204">
        <v>0</v>
      </c>
      <c r="P281" s="599">
        <v>191618</v>
      </c>
      <c r="Q281" s="599">
        <v>5669</v>
      </c>
      <c r="R281" s="605">
        <v>3220</v>
      </c>
      <c r="S281" s="416">
        <v>1.7</v>
      </c>
      <c r="T281" s="607">
        <v>0</v>
      </c>
      <c r="U281" s="737">
        <v>1.7</v>
      </c>
      <c r="V281" s="424">
        <f t="shared" si="415"/>
        <v>0</v>
      </c>
      <c r="W281" s="418">
        <f t="shared" si="416"/>
        <v>0</v>
      </c>
      <c r="X281" s="418">
        <v>0</v>
      </c>
      <c r="Y281" s="418">
        <v>0</v>
      </c>
      <c r="Z281" s="418">
        <v>0</v>
      </c>
      <c r="AA281" s="418">
        <v>282037</v>
      </c>
      <c r="AB281" s="418">
        <v>0</v>
      </c>
      <c r="AC281" s="418">
        <v>0</v>
      </c>
      <c r="AD281" s="418">
        <f t="shared" si="439"/>
        <v>0</v>
      </c>
      <c r="AE281" s="418">
        <f t="shared" si="440"/>
        <v>282037</v>
      </c>
      <c r="AF281" s="418">
        <f t="shared" si="417"/>
        <v>282037</v>
      </c>
      <c r="AG281" s="418">
        <v>0</v>
      </c>
      <c r="AH281" s="418">
        <v>0</v>
      </c>
      <c r="AI281" s="418">
        <v>0</v>
      </c>
      <c r="AJ281" s="418">
        <v>0</v>
      </c>
      <c r="AK281" s="418">
        <v>0</v>
      </c>
      <c r="AL281" s="418">
        <f t="shared" si="418"/>
        <v>0</v>
      </c>
      <c r="AM281" s="418">
        <f t="shared" si="419"/>
        <v>0</v>
      </c>
      <c r="AN281" s="418">
        <f t="shared" si="420"/>
        <v>0</v>
      </c>
      <c r="AO281" s="418">
        <f t="shared" si="421"/>
        <v>0</v>
      </c>
      <c r="AP281" s="418">
        <f t="shared" si="422"/>
        <v>282037</v>
      </c>
      <c r="AQ281" s="418">
        <f t="shared" si="423"/>
        <v>282037</v>
      </c>
      <c r="AR281" s="68">
        <f t="shared" si="424"/>
        <v>95329</v>
      </c>
      <c r="AS281" s="68">
        <f t="shared" si="425"/>
        <v>2820</v>
      </c>
      <c r="AT281" s="418">
        <v>0</v>
      </c>
      <c r="AU281" s="418">
        <v>1564</v>
      </c>
      <c r="AV281" s="418">
        <f t="shared" si="426"/>
        <v>1564</v>
      </c>
      <c r="AW281" s="418">
        <f t="shared" si="427"/>
        <v>381750</v>
      </c>
      <c r="AX281" s="419">
        <v>0</v>
      </c>
      <c r="AY281" s="419">
        <v>0</v>
      </c>
      <c r="AZ281" s="419">
        <v>0</v>
      </c>
      <c r="BA281" s="419">
        <v>0</v>
      </c>
      <c r="BB281" s="419">
        <v>0.85</v>
      </c>
      <c r="BC281" s="419">
        <v>0</v>
      </c>
      <c r="BD281" s="419">
        <v>0</v>
      </c>
      <c r="BE281" s="419">
        <v>0</v>
      </c>
      <c r="BF281" s="419">
        <f t="shared" si="428"/>
        <v>0</v>
      </c>
      <c r="BG281" s="419">
        <f t="shared" si="429"/>
        <v>0.85</v>
      </c>
      <c r="BH281" s="421">
        <f t="shared" si="430"/>
        <v>0.85</v>
      </c>
      <c r="BI281" s="780">
        <f t="shared" si="441"/>
        <v>1149173</v>
      </c>
      <c r="BJ281" s="418">
        <f t="shared" si="442"/>
        <v>848953</v>
      </c>
      <c r="BK281" s="418">
        <f t="shared" si="443"/>
        <v>0</v>
      </c>
      <c r="BL281" s="418">
        <f t="shared" si="443"/>
        <v>848953</v>
      </c>
      <c r="BM281" s="418">
        <f t="shared" si="444"/>
        <v>0</v>
      </c>
      <c r="BN281" s="418">
        <f t="shared" si="445"/>
        <v>0</v>
      </c>
      <c r="BO281" s="418">
        <f t="shared" si="445"/>
        <v>0</v>
      </c>
      <c r="BP281" s="418">
        <f t="shared" si="446"/>
        <v>286947</v>
      </c>
      <c r="BQ281" s="418">
        <f t="shared" si="446"/>
        <v>8489</v>
      </c>
      <c r="BR281" s="418">
        <f t="shared" si="447"/>
        <v>4784</v>
      </c>
      <c r="BS281" s="419">
        <f t="shared" si="448"/>
        <v>2.5499999999999998</v>
      </c>
      <c r="BT281" s="419">
        <f t="shared" si="449"/>
        <v>0</v>
      </c>
      <c r="BU281" s="421">
        <f t="shared" si="449"/>
        <v>2.5499999999999998</v>
      </c>
      <c r="BV281" s="420"/>
      <c r="BW281" s="415"/>
      <c r="BX281" s="415"/>
      <c r="BY281" s="415"/>
      <c r="BZ281" s="415"/>
      <c r="CA281" s="510"/>
    </row>
    <row r="282" spans="1:79" ht="14.1" customHeight="1" x14ac:dyDescent="0.2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649</v>
      </c>
      <c r="F282" s="66">
        <v>3143</v>
      </c>
      <c r="G282" s="77" t="s">
        <v>595</v>
      </c>
      <c r="H282" s="67" t="s">
        <v>271</v>
      </c>
      <c r="I282" s="420">
        <v>727421</v>
      </c>
      <c r="J282" s="415">
        <v>539630</v>
      </c>
      <c r="K282" s="415">
        <v>539630</v>
      </c>
      <c r="L282" s="415">
        <v>0</v>
      </c>
      <c r="M282" s="415">
        <v>0</v>
      </c>
      <c r="N282" s="415">
        <v>0</v>
      </c>
      <c r="O282" s="415">
        <v>0</v>
      </c>
      <c r="P282" s="599">
        <v>182395</v>
      </c>
      <c r="Q282" s="599">
        <v>5396</v>
      </c>
      <c r="R282" s="415">
        <v>0</v>
      </c>
      <c r="S282" s="416">
        <v>1</v>
      </c>
      <c r="T282" s="416">
        <v>1</v>
      </c>
      <c r="U282" s="423">
        <v>0</v>
      </c>
      <c r="V282" s="424">
        <f t="shared" si="415"/>
        <v>0</v>
      </c>
      <c r="W282" s="418">
        <f t="shared" si="416"/>
        <v>0</v>
      </c>
      <c r="X282" s="418">
        <v>0</v>
      </c>
      <c r="Y282" s="418">
        <v>0</v>
      </c>
      <c r="Z282" s="418">
        <v>0</v>
      </c>
      <c r="AA282" s="418">
        <v>0</v>
      </c>
      <c r="AB282" s="418">
        <v>0</v>
      </c>
      <c r="AC282" s="418">
        <v>0</v>
      </c>
      <c r="AD282" s="418">
        <f t="shared" si="439"/>
        <v>0</v>
      </c>
      <c r="AE282" s="418">
        <f t="shared" si="440"/>
        <v>0</v>
      </c>
      <c r="AF282" s="418">
        <f t="shared" si="417"/>
        <v>0</v>
      </c>
      <c r="AG282" s="418">
        <v>0</v>
      </c>
      <c r="AH282" s="418">
        <v>0</v>
      </c>
      <c r="AI282" s="418">
        <v>0</v>
      </c>
      <c r="AJ282" s="418">
        <v>0</v>
      </c>
      <c r="AK282" s="418">
        <v>0</v>
      </c>
      <c r="AL282" s="418">
        <f t="shared" si="418"/>
        <v>0</v>
      </c>
      <c r="AM282" s="418">
        <f t="shared" si="419"/>
        <v>0</v>
      </c>
      <c r="AN282" s="418">
        <f t="shared" si="420"/>
        <v>0</v>
      </c>
      <c r="AO282" s="418">
        <f t="shared" si="421"/>
        <v>0</v>
      </c>
      <c r="AP282" s="418">
        <f t="shared" si="422"/>
        <v>0</v>
      </c>
      <c r="AQ282" s="418">
        <f t="shared" si="423"/>
        <v>0</v>
      </c>
      <c r="AR282" s="68">
        <f t="shared" si="424"/>
        <v>0</v>
      </c>
      <c r="AS282" s="68">
        <f t="shared" si="425"/>
        <v>0</v>
      </c>
      <c r="AT282" s="418">
        <v>0</v>
      </c>
      <c r="AU282" s="418">
        <v>0</v>
      </c>
      <c r="AV282" s="418">
        <f t="shared" si="426"/>
        <v>0</v>
      </c>
      <c r="AW282" s="418">
        <f t="shared" si="427"/>
        <v>0</v>
      </c>
      <c r="AX282" s="419">
        <v>0</v>
      </c>
      <c r="AY282" s="419">
        <v>0</v>
      </c>
      <c r="AZ282" s="419">
        <v>0</v>
      </c>
      <c r="BA282" s="419">
        <v>0</v>
      </c>
      <c r="BB282" s="419">
        <v>0</v>
      </c>
      <c r="BC282" s="419">
        <v>0</v>
      </c>
      <c r="BD282" s="419">
        <v>0</v>
      </c>
      <c r="BE282" s="419">
        <v>0</v>
      </c>
      <c r="BF282" s="419">
        <f t="shared" si="428"/>
        <v>0</v>
      </c>
      <c r="BG282" s="419">
        <f t="shared" si="429"/>
        <v>0</v>
      </c>
      <c r="BH282" s="421">
        <f t="shared" si="430"/>
        <v>0</v>
      </c>
      <c r="BI282" s="780">
        <f t="shared" si="441"/>
        <v>727421</v>
      </c>
      <c r="BJ282" s="418">
        <f t="shared" si="442"/>
        <v>539630</v>
      </c>
      <c r="BK282" s="418">
        <f t="shared" si="443"/>
        <v>539630</v>
      </c>
      <c r="BL282" s="418">
        <f t="shared" si="443"/>
        <v>0</v>
      </c>
      <c r="BM282" s="418">
        <f t="shared" si="444"/>
        <v>0</v>
      </c>
      <c r="BN282" s="418">
        <f t="shared" si="445"/>
        <v>0</v>
      </c>
      <c r="BO282" s="418">
        <f t="shared" si="445"/>
        <v>0</v>
      </c>
      <c r="BP282" s="418">
        <f t="shared" si="446"/>
        <v>182395</v>
      </c>
      <c r="BQ282" s="418">
        <f t="shared" si="446"/>
        <v>5396</v>
      </c>
      <c r="BR282" s="418">
        <f t="shared" si="447"/>
        <v>0</v>
      </c>
      <c r="BS282" s="419">
        <f t="shared" si="448"/>
        <v>1</v>
      </c>
      <c r="BT282" s="419">
        <f t="shared" si="449"/>
        <v>1</v>
      </c>
      <c r="BU282" s="421">
        <f t="shared" si="449"/>
        <v>0</v>
      </c>
      <c r="BV282" s="420"/>
      <c r="BW282" s="415"/>
      <c r="BX282" s="415"/>
      <c r="BY282" s="415"/>
      <c r="BZ282" s="415"/>
      <c r="CA282" s="510"/>
    </row>
    <row r="283" spans="1:79" ht="14.1" customHeight="1" x14ac:dyDescent="0.2">
      <c r="A283" s="66">
        <v>57</v>
      </c>
      <c r="B283" s="63">
        <v>2449</v>
      </c>
      <c r="C283" s="64">
        <v>650029348</v>
      </c>
      <c r="D283" s="63">
        <v>72742071</v>
      </c>
      <c r="E283" s="65" t="s">
        <v>649</v>
      </c>
      <c r="F283" s="66">
        <v>3143</v>
      </c>
      <c r="G283" s="77" t="s">
        <v>596</v>
      </c>
      <c r="H283" s="67" t="s">
        <v>272</v>
      </c>
      <c r="I283" s="420">
        <v>14863</v>
      </c>
      <c r="J283" s="415">
        <v>10639</v>
      </c>
      <c r="K283" s="415">
        <v>0</v>
      </c>
      <c r="L283" s="605">
        <v>10639</v>
      </c>
      <c r="M283" s="415">
        <v>0</v>
      </c>
      <c r="N283" s="415">
        <v>0</v>
      </c>
      <c r="O283" s="415">
        <v>0</v>
      </c>
      <c r="P283" s="599">
        <v>3596</v>
      </c>
      <c r="Q283" s="599">
        <v>106</v>
      </c>
      <c r="R283" s="606">
        <v>522</v>
      </c>
      <c r="S283" s="416">
        <v>4.0300000000000002E-2</v>
      </c>
      <c r="T283" s="609">
        <v>0</v>
      </c>
      <c r="U283" s="737">
        <v>4.0300000000000002E-2</v>
      </c>
      <c r="V283" s="424">
        <f t="shared" si="415"/>
        <v>0</v>
      </c>
      <c r="W283" s="418">
        <f t="shared" si="416"/>
        <v>0</v>
      </c>
      <c r="X283" s="418">
        <v>0</v>
      </c>
      <c r="Y283" s="418">
        <v>0</v>
      </c>
      <c r="Z283" s="418">
        <v>0</v>
      </c>
      <c r="AA283" s="418">
        <v>5311</v>
      </c>
      <c r="AB283" s="418">
        <v>0</v>
      </c>
      <c r="AC283" s="418">
        <v>0</v>
      </c>
      <c r="AD283" s="418">
        <f t="shared" si="439"/>
        <v>0</v>
      </c>
      <c r="AE283" s="418">
        <f t="shared" si="440"/>
        <v>5311</v>
      </c>
      <c r="AF283" s="418">
        <f t="shared" si="417"/>
        <v>5311</v>
      </c>
      <c r="AG283" s="418">
        <v>0</v>
      </c>
      <c r="AH283" s="418">
        <v>0</v>
      </c>
      <c r="AI283" s="418">
        <v>0</v>
      </c>
      <c r="AJ283" s="418">
        <v>0</v>
      </c>
      <c r="AK283" s="418">
        <v>0</v>
      </c>
      <c r="AL283" s="418">
        <f t="shared" si="418"/>
        <v>0</v>
      </c>
      <c r="AM283" s="418">
        <f t="shared" si="419"/>
        <v>0</v>
      </c>
      <c r="AN283" s="418">
        <f t="shared" si="420"/>
        <v>0</v>
      </c>
      <c r="AO283" s="418">
        <f t="shared" si="421"/>
        <v>0</v>
      </c>
      <c r="AP283" s="418">
        <f t="shared" si="422"/>
        <v>5311</v>
      </c>
      <c r="AQ283" s="418">
        <f t="shared" si="423"/>
        <v>5311</v>
      </c>
      <c r="AR283" s="68">
        <f t="shared" si="424"/>
        <v>1795</v>
      </c>
      <c r="AS283" s="68">
        <f t="shared" si="425"/>
        <v>53</v>
      </c>
      <c r="AT283" s="418">
        <v>0</v>
      </c>
      <c r="AU283" s="418">
        <v>261</v>
      </c>
      <c r="AV283" s="418">
        <f t="shared" si="426"/>
        <v>261</v>
      </c>
      <c r="AW283" s="418">
        <f t="shared" si="427"/>
        <v>7420</v>
      </c>
      <c r="AX283" s="419">
        <v>0</v>
      </c>
      <c r="AY283" s="419">
        <v>0</v>
      </c>
      <c r="AZ283" s="419">
        <v>0</v>
      </c>
      <c r="BA283" s="419">
        <v>0</v>
      </c>
      <c r="BB283" s="419">
        <v>0.02</v>
      </c>
      <c r="BC283" s="419">
        <v>0</v>
      </c>
      <c r="BD283" s="419">
        <v>0</v>
      </c>
      <c r="BE283" s="419">
        <v>0</v>
      </c>
      <c r="BF283" s="419">
        <f t="shared" si="428"/>
        <v>0</v>
      </c>
      <c r="BG283" s="419">
        <f t="shared" si="429"/>
        <v>0.02</v>
      </c>
      <c r="BH283" s="421">
        <f t="shared" si="430"/>
        <v>0.02</v>
      </c>
      <c r="BI283" s="780">
        <f t="shared" si="441"/>
        <v>22283</v>
      </c>
      <c r="BJ283" s="418">
        <f t="shared" si="442"/>
        <v>15950</v>
      </c>
      <c r="BK283" s="418">
        <f t="shared" si="443"/>
        <v>0</v>
      </c>
      <c r="BL283" s="418">
        <f t="shared" si="443"/>
        <v>15950</v>
      </c>
      <c r="BM283" s="418">
        <f t="shared" si="444"/>
        <v>0</v>
      </c>
      <c r="BN283" s="418">
        <f t="shared" si="445"/>
        <v>0</v>
      </c>
      <c r="BO283" s="418">
        <f t="shared" si="445"/>
        <v>0</v>
      </c>
      <c r="BP283" s="418">
        <f t="shared" si="446"/>
        <v>5391</v>
      </c>
      <c r="BQ283" s="418">
        <f t="shared" si="446"/>
        <v>159</v>
      </c>
      <c r="BR283" s="418">
        <f t="shared" si="447"/>
        <v>783</v>
      </c>
      <c r="BS283" s="419">
        <f t="shared" si="448"/>
        <v>6.0300000000000006E-2</v>
      </c>
      <c r="BT283" s="419">
        <f t="shared" si="449"/>
        <v>0</v>
      </c>
      <c r="BU283" s="421">
        <f t="shared" si="449"/>
        <v>6.0300000000000006E-2</v>
      </c>
      <c r="BV283" s="420"/>
      <c r="BW283" s="415"/>
      <c r="BX283" s="415"/>
      <c r="BY283" s="415"/>
      <c r="BZ283" s="415"/>
      <c r="CA283" s="510"/>
    </row>
    <row r="284" spans="1:79" ht="14.1" customHeight="1" x14ac:dyDescent="0.2">
      <c r="A284" s="72">
        <v>57</v>
      </c>
      <c r="B284" s="69">
        <v>2449</v>
      </c>
      <c r="C284" s="70">
        <v>650029348</v>
      </c>
      <c r="D284" s="69">
        <v>72742071</v>
      </c>
      <c r="E284" s="71" t="s">
        <v>650</v>
      </c>
      <c r="F284" s="72"/>
      <c r="G284" s="71"/>
      <c r="H284" s="73"/>
      <c r="I284" s="517">
        <v>9750441</v>
      </c>
      <c r="J284" s="74">
        <v>7141145</v>
      </c>
      <c r="K284" s="74">
        <v>5968782</v>
      </c>
      <c r="L284" s="74">
        <v>1172363</v>
      </c>
      <c r="M284" s="74">
        <v>33000</v>
      </c>
      <c r="N284" s="74">
        <v>33000</v>
      </c>
      <c r="O284" s="74">
        <v>0</v>
      </c>
      <c r="P284" s="74">
        <v>2424862</v>
      </c>
      <c r="Q284" s="74">
        <v>71411</v>
      </c>
      <c r="R284" s="74">
        <v>80023</v>
      </c>
      <c r="S284" s="75">
        <v>13.712999999999999</v>
      </c>
      <c r="T284" s="75">
        <v>10.172700000000001</v>
      </c>
      <c r="U284" s="658">
        <v>3.5403000000000002</v>
      </c>
      <c r="V284" s="517">
        <f t="shared" ref="V284:BU284" si="450">SUM(V278:V283)</f>
        <v>0</v>
      </c>
      <c r="W284" s="74">
        <f t="shared" si="450"/>
        <v>0</v>
      </c>
      <c r="X284" s="74">
        <f t="shared" si="450"/>
        <v>0</v>
      </c>
      <c r="Y284" s="74">
        <f t="shared" si="450"/>
        <v>0</v>
      </c>
      <c r="Z284" s="74">
        <f t="shared" si="450"/>
        <v>0</v>
      </c>
      <c r="AA284" s="74">
        <f t="shared" si="450"/>
        <v>287348</v>
      </c>
      <c r="AB284" s="74">
        <f t="shared" si="450"/>
        <v>0</v>
      </c>
      <c r="AC284" s="74">
        <f t="shared" si="450"/>
        <v>0</v>
      </c>
      <c r="AD284" s="74">
        <f t="shared" si="450"/>
        <v>0</v>
      </c>
      <c r="AE284" s="74">
        <f t="shared" si="450"/>
        <v>287348</v>
      </c>
      <c r="AF284" s="74">
        <f t="shared" si="450"/>
        <v>287348</v>
      </c>
      <c r="AG284" s="74">
        <f t="shared" si="450"/>
        <v>0</v>
      </c>
      <c r="AH284" s="74">
        <f t="shared" si="450"/>
        <v>0</v>
      </c>
      <c r="AI284" s="74">
        <f t="shared" si="450"/>
        <v>0</v>
      </c>
      <c r="AJ284" s="74">
        <f t="shared" si="450"/>
        <v>0</v>
      </c>
      <c r="AK284" s="74">
        <f t="shared" si="450"/>
        <v>0</v>
      </c>
      <c r="AL284" s="74">
        <f t="shared" si="450"/>
        <v>0</v>
      </c>
      <c r="AM284" s="74">
        <f t="shared" si="450"/>
        <v>0</v>
      </c>
      <c r="AN284" s="74">
        <f t="shared" si="450"/>
        <v>0</v>
      </c>
      <c r="AO284" s="74">
        <f t="shared" si="450"/>
        <v>0</v>
      </c>
      <c r="AP284" s="74">
        <f t="shared" si="450"/>
        <v>287348</v>
      </c>
      <c r="AQ284" s="74">
        <f t="shared" si="450"/>
        <v>287348</v>
      </c>
      <c r="AR284" s="74">
        <f t="shared" si="450"/>
        <v>97124</v>
      </c>
      <c r="AS284" s="74">
        <f t="shared" si="450"/>
        <v>2873</v>
      </c>
      <c r="AT284" s="74">
        <f t="shared" si="450"/>
        <v>0</v>
      </c>
      <c r="AU284" s="74">
        <f t="shared" si="450"/>
        <v>1825</v>
      </c>
      <c r="AV284" s="74">
        <f t="shared" si="450"/>
        <v>1825</v>
      </c>
      <c r="AW284" s="74">
        <f t="shared" si="450"/>
        <v>389170</v>
      </c>
      <c r="AX284" s="75">
        <f t="shared" si="450"/>
        <v>0</v>
      </c>
      <c r="AY284" s="75">
        <f t="shared" si="450"/>
        <v>0</v>
      </c>
      <c r="AZ284" s="75">
        <f t="shared" si="450"/>
        <v>0</v>
      </c>
      <c r="BA284" s="75">
        <f t="shared" si="450"/>
        <v>0</v>
      </c>
      <c r="BB284" s="75">
        <f t="shared" si="450"/>
        <v>0.87</v>
      </c>
      <c r="BC284" s="75">
        <f t="shared" si="450"/>
        <v>0</v>
      </c>
      <c r="BD284" s="75">
        <f t="shared" si="450"/>
        <v>0</v>
      </c>
      <c r="BE284" s="75">
        <f t="shared" si="450"/>
        <v>0</v>
      </c>
      <c r="BF284" s="75">
        <f t="shared" si="450"/>
        <v>0</v>
      </c>
      <c r="BG284" s="75">
        <f t="shared" si="450"/>
        <v>0.87</v>
      </c>
      <c r="BH284" s="76">
        <f t="shared" si="450"/>
        <v>0.87</v>
      </c>
      <c r="BI284" s="799">
        <f t="shared" si="450"/>
        <v>10139611</v>
      </c>
      <c r="BJ284" s="74">
        <f t="shared" si="450"/>
        <v>7428493</v>
      </c>
      <c r="BK284" s="74">
        <f t="shared" si="450"/>
        <v>5968782</v>
      </c>
      <c r="BL284" s="74">
        <f t="shared" si="450"/>
        <v>1459711</v>
      </c>
      <c r="BM284" s="74">
        <f t="shared" si="450"/>
        <v>33000</v>
      </c>
      <c r="BN284" s="74">
        <f t="shared" si="450"/>
        <v>33000</v>
      </c>
      <c r="BO284" s="74">
        <f t="shared" si="450"/>
        <v>0</v>
      </c>
      <c r="BP284" s="74">
        <f t="shared" si="450"/>
        <v>2521986</v>
      </c>
      <c r="BQ284" s="74">
        <f t="shared" si="450"/>
        <v>74284</v>
      </c>
      <c r="BR284" s="74">
        <f t="shared" si="450"/>
        <v>81848</v>
      </c>
      <c r="BS284" s="75">
        <f t="shared" si="450"/>
        <v>14.583</v>
      </c>
      <c r="BT284" s="75">
        <f t="shared" si="450"/>
        <v>10.172700000000001</v>
      </c>
      <c r="BU284" s="76">
        <f t="shared" si="450"/>
        <v>4.4102999999999994</v>
      </c>
      <c r="BV284" s="809">
        <f t="shared" ref="BV284:CA284" si="451">SUM(BV278:BV283)</f>
        <v>0</v>
      </c>
      <c r="BW284" s="684">
        <f t="shared" si="451"/>
        <v>0</v>
      </c>
      <c r="BX284" s="684">
        <f t="shared" si="451"/>
        <v>0</v>
      </c>
      <c r="BY284" s="684">
        <f t="shared" si="451"/>
        <v>0</v>
      </c>
      <c r="BZ284" s="684">
        <f t="shared" si="451"/>
        <v>0</v>
      </c>
      <c r="CA284" s="810">
        <f t="shared" si="451"/>
        <v>0</v>
      </c>
    </row>
    <row r="285" spans="1:79" ht="14.1" customHeight="1" x14ac:dyDescent="0.2">
      <c r="A285" s="66">
        <v>58</v>
      </c>
      <c r="B285" s="63">
        <v>2318</v>
      </c>
      <c r="C285" s="64">
        <v>600079546</v>
      </c>
      <c r="D285" s="63">
        <v>70695253</v>
      </c>
      <c r="E285" s="65" t="s">
        <v>651</v>
      </c>
      <c r="F285" s="66">
        <v>3111</v>
      </c>
      <c r="G285" s="65" t="s">
        <v>290</v>
      </c>
      <c r="H285" s="67" t="s">
        <v>271</v>
      </c>
      <c r="I285" s="420">
        <v>7681498</v>
      </c>
      <c r="J285" s="415">
        <v>5667668</v>
      </c>
      <c r="K285" s="415">
        <v>5101491</v>
      </c>
      <c r="L285" s="415">
        <v>566177</v>
      </c>
      <c r="M285" s="415">
        <v>5690</v>
      </c>
      <c r="N285" s="415">
        <v>0</v>
      </c>
      <c r="O285" s="415">
        <v>5690</v>
      </c>
      <c r="P285" s="599">
        <v>1917595</v>
      </c>
      <c r="Q285" s="599">
        <v>56678</v>
      </c>
      <c r="R285" s="415">
        <v>33867</v>
      </c>
      <c r="S285" s="416">
        <v>10.92</v>
      </c>
      <c r="T285" s="416">
        <v>9</v>
      </c>
      <c r="U285" s="423">
        <v>1.92</v>
      </c>
      <c r="V285" s="424">
        <f t="shared" si="415"/>
        <v>0</v>
      </c>
      <c r="W285" s="418">
        <f t="shared" si="416"/>
        <v>0</v>
      </c>
      <c r="X285" s="418">
        <v>0</v>
      </c>
      <c r="Y285" s="418">
        <v>0</v>
      </c>
      <c r="Z285" s="418">
        <v>0</v>
      </c>
      <c r="AA285" s="418">
        <v>0</v>
      </c>
      <c r="AB285" s="418">
        <v>0</v>
      </c>
      <c r="AC285" s="418">
        <v>0</v>
      </c>
      <c r="AD285" s="418">
        <f>V285+X285+Y285+Z285+AB285</f>
        <v>0</v>
      </c>
      <c r="AE285" s="418">
        <f>W285+AA285+AC285</f>
        <v>0</v>
      </c>
      <c r="AF285" s="418">
        <f t="shared" si="417"/>
        <v>0</v>
      </c>
      <c r="AG285" s="418">
        <v>0</v>
      </c>
      <c r="AH285" s="418">
        <v>0</v>
      </c>
      <c r="AI285" s="418">
        <v>0</v>
      </c>
      <c r="AJ285" s="418">
        <v>0</v>
      </c>
      <c r="AK285" s="418">
        <v>0</v>
      </c>
      <c r="AL285" s="418">
        <f t="shared" si="418"/>
        <v>0</v>
      </c>
      <c r="AM285" s="418">
        <f t="shared" si="419"/>
        <v>0</v>
      </c>
      <c r="AN285" s="418">
        <f t="shared" si="420"/>
        <v>0</v>
      </c>
      <c r="AO285" s="418">
        <f t="shared" si="421"/>
        <v>0</v>
      </c>
      <c r="AP285" s="418">
        <f t="shared" si="422"/>
        <v>0</v>
      </c>
      <c r="AQ285" s="418">
        <f t="shared" si="423"/>
        <v>0</v>
      </c>
      <c r="AR285" s="68">
        <f t="shared" si="424"/>
        <v>0</v>
      </c>
      <c r="AS285" s="68">
        <f t="shared" si="425"/>
        <v>0</v>
      </c>
      <c r="AT285" s="418">
        <v>0</v>
      </c>
      <c r="AU285" s="418">
        <v>0</v>
      </c>
      <c r="AV285" s="418">
        <f t="shared" si="426"/>
        <v>0</v>
      </c>
      <c r="AW285" s="418">
        <f t="shared" si="427"/>
        <v>0</v>
      </c>
      <c r="AX285" s="419">
        <v>0</v>
      </c>
      <c r="AY285" s="419">
        <v>0</v>
      </c>
      <c r="AZ285" s="419">
        <v>0</v>
      </c>
      <c r="BA285" s="419">
        <v>0</v>
      </c>
      <c r="BB285" s="419">
        <v>0</v>
      </c>
      <c r="BC285" s="419">
        <v>0</v>
      </c>
      <c r="BD285" s="419">
        <v>0</v>
      </c>
      <c r="BE285" s="419">
        <v>0</v>
      </c>
      <c r="BF285" s="419">
        <f t="shared" si="428"/>
        <v>0</v>
      </c>
      <c r="BG285" s="419">
        <f t="shared" si="429"/>
        <v>0</v>
      </c>
      <c r="BH285" s="421">
        <f t="shared" si="430"/>
        <v>0</v>
      </c>
      <c r="BI285" s="780">
        <f>I285+AW285</f>
        <v>7681498</v>
      </c>
      <c r="BJ285" s="418">
        <f>J285+AF285</f>
        <v>5667668</v>
      </c>
      <c r="BK285" s="418">
        <f t="shared" ref="BK285:BL288" si="452">K285+AD285</f>
        <v>5101491</v>
      </c>
      <c r="BL285" s="418">
        <f t="shared" si="452"/>
        <v>566177</v>
      </c>
      <c r="BM285" s="418">
        <f>M285+AN285</f>
        <v>5690</v>
      </c>
      <c r="BN285" s="418">
        <f t="shared" ref="BN285:BO288" si="453">N285+AL285</f>
        <v>0</v>
      </c>
      <c r="BO285" s="418">
        <f t="shared" si="453"/>
        <v>5690</v>
      </c>
      <c r="BP285" s="418">
        <f t="shared" ref="BP285:BQ288" si="454">P285+AR285</f>
        <v>1917595</v>
      </c>
      <c r="BQ285" s="418">
        <f t="shared" si="454"/>
        <v>56678</v>
      </c>
      <c r="BR285" s="418">
        <f>R285+AV285</f>
        <v>33867</v>
      </c>
      <c r="BS285" s="419">
        <f>S285+BH285</f>
        <v>10.92</v>
      </c>
      <c r="BT285" s="419">
        <f t="shared" ref="BT285:BU288" si="455">T285+BF285</f>
        <v>9</v>
      </c>
      <c r="BU285" s="421">
        <f t="shared" si="455"/>
        <v>1.92</v>
      </c>
      <c r="BV285" s="420"/>
      <c r="BW285" s="415"/>
      <c r="BX285" s="415"/>
      <c r="BY285" s="415"/>
      <c r="BZ285" s="415"/>
      <c r="CA285" s="510"/>
    </row>
    <row r="286" spans="1:79" ht="14.1" customHeight="1" x14ac:dyDescent="0.2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651</v>
      </c>
      <c r="F286" s="66">
        <v>3111</v>
      </c>
      <c r="G286" s="43" t="s">
        <v>292</v>
      </c>
      <c r="H286" s="67" t="s">
        <v>271</v>
      </c>
      <c r="I286" s="420">
        <v>464413</v>
      </c>
      <c r="J286" s="415">
        <v>344520</v>
      </c>
      <c r="K286" s="415">
        <v>344520</v>
      </c>
      <c r="L286" s="415">
        <v>0</v>
      </c>
      <c r="M286" s="415">
        <v>0</v>
      </c>
      <c r="N286" s="415">
        <v>0</v>
      </c>
      <c r="O286" s="415">
        <v>0</v>
      </c>
      <c r="P286" s="599">
        <v>116448</v>
      </c>
      <c r="Q286" s="599">
        <v>3445</v>
      </c>
      <c r="R286" s="415">
        <v>0</v>
      </c>
      <c r="S286" s="416">
        <v>1</v>
      </c>
      <c r="T286" s="416">
        <v>1</v>
      </c>
      <c r="U286" s="423">
        <v>0</v>
      </c>
      <c r="V286" s="424">
        <f t="shared" si="415"/>
        <v>0</v>
      </c>
      <c r="W286" s="418">
        <f t="shared" si="416"/>
        <v>0</v>
      </c>
      <c r="X286" s="418">
        <v>0</v>
      </c>
      <c r="Y286" s="418">
        <v>0</v>
      </c>
      <c r="Z286" s="418">
        <v>0</v>
      </c>
      <c r="AA286" s="418">
        <v>0</v>
      </c>
      <c r="AB286" s="418">
        <v>0</v>
      </c>
      <c r="AC286" s="418">
        <v>0</v>
      </c>
      <c r="AD286" s="418">
        <f>V286+X286+Y286+Z286+AB286</f>
        <v>0</v>
      </c>
      <c r="AE286" s="418">
        <f>W286+AA286+AC286</f>
        <v>0</v>
      </c>
      <c r="AF286" s="418">
        <f t="shared" si="417"/>
        <v>0</v>
      </c>
      <c r="AG286" s="418">
        <v>0</v>
      </c>
      <c r="AH286" s="418">
        <v>0</v>
      </c>
      <c r="AI286" s="418">
        <v>0</v>
      </c>
      <c r="AJ286" s="418">
        <v>0</v>
      </c>
      <c r="AK286" s="418">
        <v>0</v>
      </c>
      <c r="AL286" s="418">
        <f t="shared" si="418"/>
        <v>0</v>
      </c>
      <c r="AM286" s="418">
        <f t="shared" si="419"/>
        <v>0</v>
      </c>
      <c r="AN286" s="418">
        <f t="shared" si="420"/>
        <v>0</v>
      </c>
      <c r="AO286" s="418">
        <f t="shared" si="421"/>
        <v>0</v>
      </c>
      <c r="AP286" s="418">
        <f t="shared" si="422"/>
        <v>0</v>
      </c>
      <c r="AQ286" s="418">
        <f t="shared" si="423"/>
        <v>0</v>
      </c>
      <c r="AR286" s="68">
        <f t="shared" si="424"/>
        <v>0</v>
      </c>
      <c r="AS286" s="68">
        <f t="shared" si="425"/>
        <v>0</v>
      </c>
      <c r="AT286" s="418">
        <v>0</v>
      </c>
      <c r="AU286" s="418">
        <v>0</v>
      </c>
      <c r="AV286" s="418">
        <f t="shared" si="426"/>
        <v>0</v>
      </c>
      <c r="AW286" s="418">
        <f t="shared" si="427"/>
        <v>0</v>
      </c>
      <c r="AX286" s="419">
        <v>0</v>
      </c>
      <c r="AY286" s="419">
        <v>0</v>
      </c>
      <c r="AZ286" s="419">
        <v>0</v>
      </c>
      <c r="BA286" s="419">
        <v>0</v>
      </c>
      <c r="BB286" s="419">
        <v>0</v>
      </c>
      <c r="BC286" s="419">
        <v>0</v>
      </c>
      <c r="BD286" s="419">
        <v>0</v>
      </c>
      <c r="BE286" s="419">
        <v>0</v>
      </c>
      <c r="BF286" s="419">
        <f t="shared" si="428"/>
        <v>0</v>
      </c>
      <c r="BG286" s="419">
        <f t="shared" si="429"/>
        <v>0</v>
      </c>
      <c r="BH286" s="421">
        <f t="shared" si="430"/>
        <v>0</v>
      </c>
      <c r="BI286" s="780">
        <f>I286+AW286</f>
        <v>464413</v>
      </c>
      <c r="BJ286" s="418">
        <f>J286+AF286</f>
        <v>344520</v>
      </c>
      <c r="BK286" s="418">
        <f t="shared" si="452"/>
        <v>344520</v>
      </c>
      <c r="BL286" s="418">
        <f t="shared" si="452"/>
        <v>0</v>
      </c>
      <c r="BM286" s="418">
        <f>M286+AN286</f>
        <v>0</v>
      </c>
      <c r="BN286" s="418">
        <f t="shared" si="453"/>
        <v>0</v>
      </c>
      <c r="BO286" s="418">
        <f t="shared" si="453"/>
        <v>0</v>
      </c>
      <c r="BP286" s="418">
        <f t="shared" si="454"/>
        <v>116448</v>
      </c>
      <c r="BQ286" s="418">
        <f t="shared" si="454"/>
        <v>3445</v>
      </c>
      <c r="BR286" s="418">
        <f>R286+AV286</f>
        <v>0</v>
      </c>
      <c r="BS286" s="419">
        <f>S286+BH286</f>
        <v>1</v>
      </c>
      <c r="BT286" s="419">
        <f t="shared" si="455"/>
        <v>1</v>
      </c>
      <c r="BU286" s="421">
        <f t="shared" si="455"/>
        <v>0</v>
      </c>
      <c r="BV286" s="420"/>
      <c r="BW286" s="415"/>
      <c r="BX286" s="415"/>
      <c r="BY286" s="415"/>
      <c r="BZ286" s="415"/>
      <c r="CA286" s="510"/>
    </row>
    <row r="287" spans="1:79" ht="14.1" customHeight="1" x14ac:dyDescent="0.2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651</v>
      </c>
      <c r="F287" s="66">
        <v>3111</v>
      </c>
      <c r="G287" s="77" t="s">
        <v>291</v>
      </c>
      <c r="H287" s="67" t="s">
        <v>272</v>
      </c>
      <c r="I287" s="420">
        <v>0</v>
      </c>
      <c r="J287" s="415">
        <v>0</v>
      </c>
      <c r="K287" s="415">
        <v>0</v>
      </c>
      <c r="L287" s="415">
        <v>0</v>
      </c>
      <c r="M287" s="415">
        <v>0</v>
      </c>
      <c r="N287" s="415">
        <v>0</v>
      </c>
      <c r="O287" s="415">
        <v>0</v>
      </c>
      <c r="P287" s="599">
        <v>0</v>
      </c>
      <c r="Q287" s="599">
        <v>0</v>
      </c>
      <c r="R287" s="415">
        <v>0</v>
      </c>
      <c r="S287" s="416">
        <v>0</v>
      </c>
      <c r="T287" s="417">
        <v>0</v>
      </c>
      <c r="U287" s="423">
        <v>0</v>
      </c>
      <c r="V287" s="424">
        <f t="shared" si="415"/>
        <v>0</v>
      </c>
      <c r="W287" s="418">
        <f t="shared" si="416"/>
        <v>0</v>
      </c>
      <c r="X287" s="418">
        <v>0</v>
      </c>
      <c r="Y287" s="418">
        <v>0</v>
      </c>
      <c r="Z287" s="418">
        <v>0</v>
      </c>
      <c r="AA287" s="418">
        <v>0</v>
      </c>
      <c r="AB287" s="418">
        <v>0</v>
      </c>
      <c r="AC287" s="418">
        <v>0</v>
      </c>
      <c r="AD287" s="418">
        <f>V287+X287+Y287+Z287+AB287</f>
        <v>0</v>
      </c>
      <c r="AE287" s="418">
        <f>W287+AA287+AC287</f>
        <v>0</v>
      </c>
      <c r="AF287" s="418">
        <f t="shared" si="417"/>
        <v>0</v>
      </c>
      <c r="AG287" s="418">
        <v>0</v>
      </c>
      <c r="AH287" s="418">
        <v>0</v>
      </c>
      <c r="AI287" s="418">
        <v>0</v>
      </c>
      <c r="AJ287" s="418">
        <v>0</v>
      </c>
      <c r="AK287" s="418">
        <v>0</v>
      </c>
      <c r="AL287" s="418">
        <f t="shared" si="418"/>
        <v>0</v>
      </c>
      <c r="AM287" s="418">
        <f t="shared" si="419"/>
        <v>0</v>
      </c>
      <c r="AN287" s="418">
        <f t="shared" si="420"/>
        <v>0</v>
      </c>
      <c r="AO287" s="418">
        <f t="shared" si="421"/>
        <v>0</v>
      </c>
      <c r="AP287" s="418">
        <f t="shared" si="422"/>
        <v>0</v>
      </c>
      <c r="AQ287" s="418">
        <f t="shared" si="423"/>
        <v>0</v>
      </c>
      <c r="AR287" s="68">
        <f t="shared" si="424"/>
        <v>0</v>
      </c>
      <c r="AS287" s="68">
        <f t="shared" si="425"/>
        <v>0</v>
      </c>
      <c r="AT287" s="418">
        <v>0</v>
      </c>
      <c r="AU287" s="418">
        <v>0</v>
      </c>
      <c r="AV287" s="418">
        <f t="shared" si="426"/>
        <v>0</v>
      </c>
      <c r="AW287" s="418">
        <f t="shared" si="427"/>
        <v>0</v>
      </c>
      <c r="AX287" s="419">
        <v>0</v>
      </c>
      <c r="AY287" s="419">
        <v>0</v>
      </c>
      <c r="AZ287" s="419">
        <v>0</v>
      </c>
      <c r="BA287" s="419">
        <v>0</v>
      </c>
      <c r="BB287" s="419">
        <v>0</v>
      </c>
      <c r="BC287" s="419">
        <v>0</v>
      </c>
      <c r="BD287" s="419">
        <v>0</v>
      </c>
      <c r="BE287" s="419">
        <v>0</v>
      </c>
      <c r="BF287" s="419">
        <f t="shared" si="428"/>
        <v>0</v>
      </c>
      <c r="BG287" s="419">
        <f t="shared" si="429"/>
        <v>0</v>
      </c>
      <c r="BH287" s="421">
        <f t="shared" si="430"/>
        <v>0</v>
      </c>
      <c r="BI287" s="780">
        <f>I287+AW287</f>
        <v>0</v>
      </c>
      <c r="BJ287" s="418">
        <f>J287+AF287</f>
        <v>0</v>
      </c>
      <c r="BK287" s="418">
        <f t="shared" si="452"/>
        <v>0</v>
      </c>
      <c r="BL287" s="418">
        <f t="shared" si="452"/>
        <v>0</v>
      </c>
      <c r="BM287" s="418">
        <f>M287+AN287</f>
        <v>0</v>
      </c>
      <c r="BN287" s="418">
        <f t="shared" si="453"/>
        <v>0</v>
      </c>
      <c r="BO287" s="418">
        <f t="shared" si="453"/>
        <v>0</v>
      </c>
      <c r="BP287" s="418">
        <f t="shared" si="454"/>
        <v>0</v>
      </c>
      <c r="BQ287" s="418">
        <f t="shared" si="454"/>
        <v>0</v>
      </c>
      <c r="BR287" s="418">
        <f>R287+AV287</f>
        <v>0</v>
      </c>
      <c r="BS287" s="419">
        <f>S287+BH287</f>
        <v>0</v>
      </c>
      <c r="BT287" s="419">
        <f t="shared" si="455"/>
        <v>0</v>
      </c>
      <c r="BU287" s="421">
        <f t="shared" si="455"/>
        <v>0</v>
      </c>
      <c r="BV287" s="420"/>
      <c r="BW287" s="415"/>
      <c r="BX287" s="415"/>
      <c r="BY287" s="415"/>
      <c r="BZ287" s="415"/>
      <c r="CA287" s="510"/>
    </row>
    <row r="288" spans="1:79" ht="14.1" customHeight="1" x14ac:dyDescent="0.2">
      <c r="A288" s="66">
        <v>58</v>
      </c>
      <c r="B288" s="63">
        <v>2318</v>
      </c>
      <c r="C288" s="64">
        <v>600079546</v>
      </c>
      <c r="D288" s="63">
        <v>70695253</v>
      </c>
      <c r="E288" s="65" t="s">
        <v>651</v>
      </c>
      <c r="F288" s="66">
        <v>3141</v>
      </c>
      <c r="G288" s="65" t="s">
        <v>294</v>
      </c>
      <c r="H288" s="67" t="s">
        <v>272</v>
      </c>
      <c r="I288" s="420">
        <v>719563</v>
      </c>
      <c r="J288" s="415">
        <v>531334</v>
      </c>
      <c r="K288" s="415">
        <v>0</v>
      </c>
      <c r="L288" s="750">
        <v>531334</v>
      </c>
      <c r="M288" s="415">
        <v>0</v>
      </c>
      <c r="N288" s="204">
        <v>0</v>
      </c>
      <c r="O288" s="204">
        <v>0</v>
      </c>
      <c r="P288" s="599">
        <v>179591</v>
      </c>
      <c r="Q288" s="599">
        <v>5313</v>
      </c>
      <c r="R288" s="605">
        <v>3325</v>
      </c>
      <c r="S288" s="416">
        <v>1.5932999999999999</v>
      </c>
      <c r="T288" s="607">
        <v>0</v>
      </c>
      <c r="U288" s="737">
        <v>1.5932999999999999</v>
      </c>
      <c r="V288" s="424">
        <f t="shared" si="415"/>
        <v>0</v>
      </c>
      <c r="W288" s="418">
        <f t="shared" si="416"/>
        <v>0</v>
      </c>
      <c r="X288" s="418">
        <v>0</v>
      </c>
      <c r="Y288" s="418">
        <v>0</v>
      </c>
      <c r="Z288" s="418">
        <v>0</v>
      </c>
      <c r="AA288" s="418">
        <v>264811</v>
      </c>
      <c r="AB288" s="418">
        <v>0</v>
      </c>
      <c r="AC288" s="418">
        <v>0</v>
      </c>
      <c r="AD288" s="418">
        <f>V288+X288+Y288+Z288+AB288</f>
        <v>0</v>
      </c>
      <c r="AE288" s="418">
        <f>W288+AA288+AC288</f>
        <v>264811</v>
      </c>
      <c r="AF288" s="418">
        <f t="shared" si="417"/>
        <v>264811</v>
      </c>
      <c r="AG288" s="418">
        <v>0</v>
      </c>
      <c r="AH288" s="418">
        <v>0</v>
      </c>
      <c r="AI288" s="418">
        <v>0</v>
      </c>
      <c r="AJ288" s="418">
        <v>0</v>
      </c>
      <c r="AK288" s="418">
        <v>0</v>
      </c>
      <c r="AL288" s="418">
        <f t="shared" si="418"/>
        <v>0</v>
      </c>
      <c r="AM288" s="418">
        <f t="shared" si="419"/>
        <v>0</v>
      </c>
      <c r="AN288" s="418">
        <f t="shared" si="420"/>
        <v>0</v>
      </c>
      <c r="AO288" s="418">
        <f t="shared" si="421"/>
        <v>0</v>
      </c>
      <c r="AP288" s="418">
        <f t="shared" si="422"/>
        <v>264811</v>
      </c>
      <c r="AQ288" s="418">
        <f t="shared" si="423"/>
        <v>264811</v>
      </c>
      <c r="AR288" s="68">
        <f t="shared" si="424"/>
        <v>89506</v>
      </c>
      <c r="AS288" s="68">
        <f t="shared" si="425"/>
        <v>2648</v>
      </c>
      <c r="AT288" s="418">
        <v>0</v>
      </c>
      <c r="AU288" s="418">
        <v>1615</v>
      </c>
      <c r="AV288" s="418">
        <f t="shared" si="426"/>
        <v>1615</v>
      </c>
      <c r="AW288" s="418">
        <f t="shared" si="427"/>
        <v>358580</v>
      </c>
      <c r="AX288" s="419">
        <v>0</v>
      </c>
      <c r="AY288" s="419">
        <v>0</v>
      </c>
      <c r="AZ288" s="419">
        <v>0</v>
      </c>
      <c r="BA288" s="419">
        <v>0</v>
      </c>
      <c r="BB288" s="419">
        <v>0.8</v>
      </c>
      <c r="BC288" s="419">
        <v>0</v>
      </c>
      <c r="BD288" s="419">
        <v>0</v>
      </c>
      <c r="BE288" s="419">
        <v>0</v>
      </c>
      <c r="BF288" s="419">
        <f t="shared" si="428"/>
        <v>0</v>
      </c>
      <c r="BG288" s="419">
        <f t="shared" si="429"/>
        <v>0.8</v>
      </c>
      <c r="BH288" s="421">
        <f t="shared" si="430"/>
        <v>0.8</v>
      </c>
      <c r="BI288" s="780">
        <f>I288+AW288</f>
        <v>1078143</v>
      </c>
      <c r="BJ288" s="418">
        <f>J288+AF288</f>
        <v>796145</v>
      </c>
      <c r="BK288" s="418">
        <f t="shared" si="452"/>
        <v>0</v>
      </c>
      <c r="BL288" s="418">
        <f t="shared" si="452"/>
        <v>796145</v>
      </c>
      <c r="BM288" s="418">
        <f>M288+AN288</f>
        <v>0</v>
      </c>
      <c r="BN288" s="418">
        <f t="shared" si="453"/>
        <v>0</v>
      </c>
      <c r="BO288" s="418">
        <f t="shared" si="453"/>
        <v>0</v>
      </c>
      <c r="BP288" s="418">
        <f t="shared" si="454"/>
        <v>269097</v>
      </c>
      <c r="BQ288" s="418">
        <f t="shared" si="454"/>
        <v>7961</v>
      </c>
      <c r="BR288" s="418">
        <f>R288+AV288</f>
        <v>4940</v>
      </c>
      <c r="BS288" s="419">
        <f>S288+BH288</f>
        <v>2.3933</v>
      </c>
      <c r="BT288" s="419">
        <f t="shared" si="455"/>
        <v>0</v>
      </c>
      <c r="BU288" s="421">
        <f t="shared" si="455"/>
        <v>2.3933</v>
      </c>
      <c r="BV288" s="420"/>
      <c r="BW288" s="415"/>
      <c r="BX288" s="415"/>
      <c r="BY288" s="415"/>
      <c r="BZ288" s="415"/>
      <c r="CA288" s="510"/>
    </row>
    <row r="289" spans="1:79" ht="14.1" customHeight="1" x14ac:dyDescent="0.2">
      <c r="A289" s="72">
        <v>58</v>
      </c>
      <c r="B289" s="69">
        <v>2318</v>
      </c>
      <c r="C289" s="70">
        <v>600079546</v>
      </c>
      <c r="D289" s="69">
        <v>70695253</v>
      </c>
      <c r="E289" s="71" t="s">
        <v>652</v>
      </c>
      <c r="F289" s="72"/>
      <c r="G289" s="71"/>
      <c r="H289" s="73"/>
      <c r="I289" s="517">
        <v>8865474</v>
      </c>
      <c r="J289" s="74">
        <v>6543522</v>
      </c>
      <c r="K289" s="74">
        <v>5446011</v>
      </c>
      <c r="L289" s="74">
        <v>1097511</v>
      </c>
      <c r="M289" s="74">
        <v>5690</v>
      </c>
      <c r="N289" s="74">
        <v>0</v>
      </c>
      <c r="O289" s="74">
        <v>5690</v>
      </c>
      <c r="P289" s="74">
        <v>2213634</v>
      </c>
      <c r="Q289" s="74">
        <v>65436</v>
      </c>
      <c r="R289" s="74">
        <v>37192</v>
      </c>
      <c r="S289" s="75">
        <v>13.513299999999999</v>
      </c>
      <c r="T289" s="75">
        <v>10</v>
      </c>
      <c r="U289" s="658">
        <v>3.5133000000000001</v>
      </c>
      <c r="V289" s="517">
        <f t="shared" ref="V289:BU289" si="456">SUM(V285:V288)</f>
        <v>0</v>
      </c>
      <c r="W289" s="74">
        <f t="shared" si="456"/>
        <v>0</v>
      </c>
      <c r="X289" s="74">
        <f t="shared" si="456"/>
        <v>0</v>
      </c>
      <c r="Y289" s="74">
        <f t="shared" si="456"/>
        <v>0</v>
      </c>
      <c r="Z289" s="74">
        <f t="shared" si="456"/>
        <v>0</v>
      </c>
      <c r="AA289" s="74">
        <f t="shared" si="456"/>
        <v>264811</v>
      </c>
      <c r="AB289" s="74">
        <f t="shared" si="456"/>
        <v>0</v>
      </c>
      <c r="AC289" s="74">
        <f t="shared" si="456"/>
        <v>0</v>
      </c>
      <c r="AD289" s="74">
        <f t="shared" si="456"/>
        <v>0</v>
      </c>
      <c r="AE289" s="74">
        <f t="shared" si="456"/>
        <v>264811</v>
      </c>
      <c r="AF289" s="74">
        <f t="shared" si="456"/>
        <v>264811</v>
      </c>
      <c r="AG289" s="74">
        <f t="shared" si="456"/>
        <v>0</v>
      </c>
      <c r="AH289" s="74">
        <f t="shared" si="456"/>
        <v>0</v>
      </c>
      <c r="AI289" s="74">
        <f t="shared" si="456"/>
        <v>0</v>
      </c>
      <c r="AJ289" s="74">
        <f t="shared" si="456"/>
        <v>0</v>
      </c>
      <c r="AK289" s="74">
        <f t="shared" si="456"/>
        <v>0</v>
      </c>
      <c r="AL289" s="74">
        <f t="shared" si="456"/>
        <v>0</v>
      </c>
      <c r="AM289" s="74">
        <f t="shared" si="456"/>
        <v>0</v>
      </c>
      <c r="AN289" s="74">
        <f t="shared" si="456"/>
        <v>0</v>
      </c>
      <c r="AO289" s="74">
        <f t="shared" si="456"/>
        <v>0</v>
      </c>
      <c r="AP289" s="74">
        <f t="shared" si="456"/>
        <v>264811</v>
      </c>
      <c r="AQ289" s="74">
        <f t="shared" si="456"/>
        <v>264811</v>
      </c>
      <c r="AR289" s="74">
        <f t="shared" si="456"/>
        <v>89506</v>
      </c>
      <c r="AS289" s="74">
        <f t="shared" si="456"/>
        <v>2648</v>
      </c>
      <c r="AT289" s="74">
        <f t="shared" si="456"/>
        <v>0</v>
      </c>
      <c r="AU289" s="74">
        <f t="shared" si="456"/>
        <v>1615</v>
      </c>
      <c r="AV289" s="74">
        <f t="shared" si="456"/>
        <v>1615</v>
      </c>
      <c r="AW289" s="74">
        <f t="shared" si="456"/>
        <v>358580</v>
      </c>
      <c r="AX289" s="75">
        <f t="shared" si="456"/>
        <v>0</v>
      </c>
      <c r="AY289" s="75">
        <f t="shared" si="456"/>
        <v>0</v>
      </c>
      <c r="AZ289" s="75">
        <f t="shared" si="456"/>
        <v>0</v>
      </c>
      <c r="BA289" s="75">
        <f t="shared" si="456"/>
        <v>0</v>
      </c>
      <c r="BB289" s="75">
        <f t="shared" si="456"/>
        <v>0.8</v>
      </c>
      <c r="BC289" s="75">
        <f t="shared" si="456"/>
        <v>0</v>
      </c>
      <c r="BD289" s="75">
        <f t="shared" si="456"/>
        <v>0</v>
      </c>
      <c r="BE289" s="75">
        <f t="shared" si="456"/>
        <v>0</v>
      </c>
      <c r="BF289" s="75">
        <f t="shared" si="456"/>
        <v>0</v>
      </c>
      <c r="BG289" s="75">
        <f t="shared" si="456"/>
        <v>0.8</v>
      </c>
      <c r="BH289" s="76">
        <f t="shared" si="456"/>
        <v>0.8</v>
      </c>
      <c r="BI289" s="799">
        <f t="shared" si="456"/>
        <v>9224054</v>
      </c>
      <c r="BJ289" s="74">
        <f t="shared" si="456"/>
        <v>6808333</v>
      </c>
      <c r="BK289" s="74">
        <f t="shared" si="456"/>
        <v>5446011</v>
      </c>
      <c r="BL289" s="74">
        <f t="shared" si="456"/>
        <v>1362322</v>
      </c>
      <c r="BM289" s="74">
        <f t="shared" si="456"/>
        <v>5690</v>
      </c>
      <c r="BN289" s="74">
        <f t="shared" si="456"/>
        <v>0</v>
      </c>
      <c r="BO289" s="74">
        <f t="shared" si="456"/>
        <v>5690</v>
      </c>
      <c r="BP289" s="74">
        <f t="shared" si="456"/>
        <v>2303140</v>
      </c>
      <c r="BQ289" s="74">
        <f t="shared" si="456"/>
        <v>68084</v>
      </c>
      <c r="BR289" s="74">
        <f t="shared" si="456"/>
        <v>38807</v>
      </c>
      <c r="BS289" s="75">
        <f t="shared" si="456"/>
        <v>14.3133</v>
      </c>
      <c r="BT289" s="75">
        <f t="shared" si="456"/>
        <v>10</v>
      </c>
      <c r="BU289" s="76">
        <f t="shared" si="456"/>
        <v>4.3132999999999999</v>
      </c>
      <c r="BV289" s="809">
        <f t="shared" ref="BV289:CA289" si="457">SUM(BV285:BV288)</f>
        <v>0</v>
      </c>
      <c r="BW289" s="684">
        <f t="shared" si="457"/>
        <v>0</v>
      </c>
      <c r="BX289" s="684">
        <f t="shared" si="457"/>
        <v>0</v>
      </c>
      <c r="BY289" s="684">
        <f t="shared" si="457"/>
        <v>0</v>
      </c>
      <c r="BZ289" s="684">
        <f t="shared" si="457"/>
        <v>0</v>
      </c>
      <c r="CA289" s="810">
        <f t="shared" si="457"/>
        <v>0</v>
      </c>
    </row>
    <row r="290" spans="1:79" ht="14.1" customHeight="1" x14ac:dyDescent="0.2">
      <c r="A290" s="66">
        <v>59</v>
      </c>
      <c r="B290" s="63">
        <v>2452</v>
      </c>
      <c r="C290" s="64">
        <v>600079660</v>
      </c>
      <c r="D290" s="63">
        <v>70695261</v>
      </c>
      <c r="E290" s="65" t="s">
        <v>653</v>
      </c>
      <c r="F290" s="66">
        <v>3113</v>
      </c>
      <c r="G290" s="65" t="s">
        <v>293</v>
      </c>
      <c r="H290" s="67" t="s">
        <v>271</v>
      </c>
      <c r="I290" s="420">
        <v>35569500</v>
      </c>
      <c r="J290" s="415">
        <v>25906609</v>
      </c>
      <c r="K290" s="415">
        <v>24258865</v>
      </c>
      <c r="L290" s="415">
        <v>1647744</v>
      </c>
      <c r="M290" s="415">
        <v>155000</v>
      </c>
      <c r="N290" s="415">
        <v>100000</v>
      </c>
      <c r="O290" s="415">
        <v>55000</v>
      </c>
      <c r="P290" s="599">
        <v>8808824</v>
      </c>
      <c r="Q290" s="599">
        <v>259066</v>
      </c>
      <c r="R290" s="415">
        <v>440001</v>
      </c>
      <c r="S290" s="416">
        <v>39.420900000000003</v>
      </c>
      <c r="T290" s="416">
        <v>34.504900000000006</v>
      </c>
      <c r="U290" s="423">
        <v>4.9160000000000004</v>
      </c>
      <c r="V290" s="424">
        <f t="shared" si="415"/>
        <v>0</v>
      </c>
      <c r="W290" s="418">
        <f t="shared" si="416"/>
        <v>0</v>
      </c>
      <c r="X290" s="418">
        <v>0</v>
      </c>
      <c r="Y290" s="418">
        <v>0</v>
      </c>
      <c r="Z290" s="418">
        <v>0</v>
      </c>
      <c r="AA290" s="418">
        <v>0</v>
      </c>
      <c r="AB290" s="418">
        <v>0</v>
      </c>
      <c r="AC290" s="418">
        <v>0</v>
      </c>
      <c r="AD290" s="418">
        <f t="shared" ref="AD290:AD296" si="458">V290+X290+Y290+Z290+AB290</f>
        <v>0</v>
      </c>
      <c r="AE290" s="418">
        <f t="shared" ref="AE290:AE296" si="459">W290+AA290+AC290</f>
        <v>0</v>
      </c>
      <c r="AF290" s="418">
        <f t="shared" si="417"/>
        <v>0</v>
      </c>
      <c r="AG290" s="418">
        <v>0</v>
      </c>
      <c r="AH290" s="418">
        <v>0</v>
      </c>
      <c r="AI290" s="418">
        <v>0</v>
      </c>
      <c r="AJ290" s="418">
        <v>0</v>
      </c>
      <c r="AK290" s="418">
        <v>0</v>
      </c>
      <c r="AL290" s="418">
        <f t="shared" si="418"/>
        <v>0</v>
      </c>
      <c r="AM290" s="418">
        <f t="shared" si="419"/>
        <v>0</v>
      </c>
      <c r="AN290" s="418">
        <f t="shared" si="420"/>
        <v>0</v>
      </c>
      <c r="AO290" s="418">
        <f t="shared" si="421"/>
        <v>0</v>
      </c>
      <c r="AP290" s="418">
        <f t="shared" si="422"/>
        <v>0</v>
      </c>
      <c r="AQ290" s="418">
        <f t="shared" si="423"/>
        <v>0</v>
      </c>
      <c r="AR290" s="68">
        <f t="shared" si="424"/>
        <v>0</v>
      </c>
      <c r="AS290" s="68">
        <f t="shared" si="425"/>
        <v>0</v>
      </c>
      <c r="AT290" s="418">
        <v>0</v>
      </c>
      <c r="AU290" s="418">
        <v>0</v>
      </c>
      <c r="AV290" s="418">
        <f t="shared" si="426"/>
        <v>0</v>
      </c>
      <c r="AW290" s="418">
        <f t="shared" si="427"/>
        <v>0</v>
      </c>
      <c r="AX290" s="419">
        <v>0</v>
      </c>
      <c r="AY290" s="419">
        <v>0</v>
      </c>
      <c r="AZ290" s="419">
        <v>0</v>
      </c>
      <c r="BA290" s="419">
        <v>0</v>
      </c>
      <c r="BB290" s="419">
        <v>0</v>
      </c>
      <c r="BC290" s="419">
        <v>0</v>
      </c>
      <c r="BD290" s="419">
        <v>0</v>
      </c>
      <c r="BE290" s="419">
        <v>0</v>
      </c>
      <c r="BF290" s="419">
        <f t="shared" si="428"/>
        <v>0</v>
      </c>
      <c r="BG290" s="419">
        <f t="shared" si="429"/>
        <v>0</v>
      </c>
      <c r="BH290" s="421">
        <f t="shared" si="430"/>
        <v>0</v>
      </c>
      <c r="BI290" s="780">
        <f t="shared" ref="BI290:BI296" si="460">I290+AW290</f>
        <v>35569500</v>
      </c>
      <c r="BJ290" s="418">
        <f t="shared" ref="BJ290:BJ296" si="461">J290+AF290</f>
        <v>25906609</v>
      </c>
      <c r="BK290" s="418">
        <f t="shared" ref="BK290:BL296" si="462">K290+AD290</f>
        <v>24258865</v>
      </c>
      <c r="BL290" s="418">
        <f t="shared" si="462"/>
        <v>1647744</v>
      </c>
      <c r="BM290" s="418">
        <f t="shared" ref="BM290:BM296" si="463">M290+AN290</f>
        <v>155000</v>
      </c>
      <c r="BN290" s="418">
        <f t="shared" ref="BN290:BO296" si="464">N290+AL290</f>
        <v>100000</v>
      </c>
      <c r="BO290" s="418">
        <f t="shared" si="464"/>
        <v>55000</v>
      </c>
      <c r="BP290" s="418">
        <f t="shared" ref="BP290:BQ296" si="465">P290+AR290</f>
        <v>8808824</v>
      </c>
      <c r="BQ290" s="418">
        <f t="shared" si="465"/>
        <v>259066</v>
      </c>
      <c r="BR290" s="418">
        <f t="shared" ref="BR290:BR296" si="466">R290+AV290</f>
        <v>440001</v>
      </c>
      <c r="BS290" s="419">
        <f t="shared" ref="BS290:BS296" si="467">S290+BH290</f>
        <v>39.420900000000003</v>
      </c>
      <c r="BT290" s="419">
        <f t="shared" ref="BT290:BU296" si="468">T290+BF290</f>
        <v>34.504900000000006</v>
      </c>
      <c r="BU290" s="421">
        <f t="shared" si="468"/>
        <v>4.9160000000000004</v>
      </c>
      <c r="BV290" s="420"/>
      <c r="BW290" s="415"/>
      <c r="BX290" s="415"/>
      <c r="BY290" s="415"/>
      <c r="BZ290" s="415"/>
      <c r="CA290" s="510"/>
    </row>
    <row r="291" spans="1:79" ht="14.1" customHeight="1" x14ac:dyDescent="0.2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653</v>
      </c>
      <c r="F291" s="66">
        <v>3113</v>
      </c>
      <c r="G291" s="43" t="s">
        <v>292</v>
      </c>
      <c r="H291" s="67" t="s">
        <v>271</v>
      </c>
      <c r="I291" s="420">
        <v>1530503</v>
      </c>
      <c r="J291" s="415">
        <v>1135388</v>
      </c>
      <c r="K291" s="415">
        <v>1135388</v>
      </c>
      <c r="L291" s="415">
        <v>0</v>
      </c>
      <c r="M291" s="415">
        <v>0</v>
      </c>
      <c r="N291" s="415">
        <v>0</v>
      </c>
      <c r="O291" s="415">
        <v>0</v>
      </c>
      <c r="P291" s="599">
        <v>383761</v>
      </c>
      <c r="Q291" s="599">
        <v>11354</v>
      </c>
      <c r="R291" s="415">
        <v>0</v>
      </c>
      <c r="S291" s="416">
        <v>3.1389</v>
      </c>
      <c r="T291" s="416">
        <v>3.1389</v>
      </c>
      <c r="U291" s="423">
        <v>0</v>
      </c>
      <c r="V291" s="424">
        <f t="shared" si="415"/>
        <v>0</v>
      </c>
      <c r="W291" s="418">
        <f t="shared" si="416"/>
        <v>0</v>
      </c>
      <c r="X291" s="418">
        <v>0</v>
      </c>
      <c r="Y291" s="418">
        <v>0</v>
      </c>
      <c r="Z291" s="418">
        <v>0</v>
      </c>
      <c r="AA291" s="418">
        <v>0</v>
      </c>
      <c r="AB291" s="418">
        <v>0</v>
      </c>
      <c r="AC291" s="418">
        <v>0</v>
      </c>
      <c r="AD291" s="418">
        <f t="shared" si="458"/>
        <v>0</v>
      </c>
      <c r="AE291" s="418">
        <f t="shared" si="459"/>
        <v>0</v>
      </c>
      <c r="AF291" s="418">
        <f t="shared" si="417"/>
        <v>0</v>
      </c>
      <c r="AG291" s="418">
        <v>0</v>
      </c>
      <c r="AH291" s="418">
        <v>0</v>
      </c>
      <c r="AI291" s="418">
        <v>0</v>
      </c>
      <c r="AJ291" s="418">
        <v>0</v>
      </c>
      <c r="AK291" s="418">
        <v>0</v>
      </c>
      <c r="AL291" s="418">
        <f t="shared" si="418"/>
        <v>0</v>
      </c>
      <c r="AM291" s="418">
        <f t="shared" si="419"/>
        <v>0</v>
      </c>
      <c r="AN291" s="418">
        <f t="shared" si="420"/>
        <v>0</v>
      </c>
      <c r="AO291" s="418">
        <f t="shared" si="421"/>
        <v>0</v>
      </c>
      <c r="AP291" s="418">
        <f t="shared" si="422"/>
        <v>0</v>
      </c>
      <c r="AQ291" s="418">
        <f t="shared" si="423"/>
        <v>0</v>
      </c>
      <c r="AR291" s="68">
        <f t="shared" si="424"/>
        <v>0</v>
      </c>
      <c r="AS291" s="68">
        <f t="shared" si="425"/>
        <v>0</v>
      </c>
      <c r="AT291" s="418">
        <v>0</v>
      </c>
      <c r="AU291" s="418">
        <v>0</v>
      </c>
      <c r="AV291" s="418">
        <f t="shared" si="426"/>
        <v>0</v>
      </c>
      <c r="AW291" s="418">
        <f t="shared" si="427"/>
        <v>0</v>
      </c>
      <c r="AX291" s="419">
        <v>0</v>
      </c>
      <c r="AY291" s="419">
        <v>0</v>
      </c>
      <c r="AZ291" s="419">
        <v>0</v>
      </c>
      <c r="BA291" s="419">
        <v>0</v>
      </c>
      <c r="BB291" s="419">
        <v>0</v>
      </c>
      <c r="BC291" s="419">
        <v>0</v>
      </c>
      <c r="BD291" s="419">
        <v>0</v>
      </c>
      <c r="BE291" s="419">
        <v>0</v>
      </c>
      <c r="BF291" s="419">
        <f t="shared" si="428"/>
        <v>0</v>
      </c>
      <c r="BG291" s="419">
        <f t="shared" si="429"/>
        <v>0</v>
      </c>
      <c r="BH291" s="421">
        <f t="shared" si="430"/>
        <v>0</v>
      </c>
      <c r="BI291" s="780">
        <f t="shared" si="460"/>
        <v>1530503</v>
      </c>
      <c r="BJ291" s="418">
        <f t="shared" si="461"/>
        <v>1135388</v>
      </c>
      <c r="BK291" s="418">
        <f t="shared" si="462"/>
        <v>1135388</v>
      </c>
      <c r="BL291" s="418">
        <f t="shared" si="462"/>
        <v>0</v>
      </c>
      <c r="BM291" s="418">
        <f t="shared" si="463"/>
        <v>0</v>
      </c>
      <c r="BN291" s="418">
        <f t="shared" si="464"/>
        <v>0</v>
      </c>
      <c r="BO291" s="418">
        <f t="shared" si="464"/>
        <v>0</v>
      </c>
      <c r="BP291" s="418">
        <f t="shared" si="465"/>
        <v>383761</v>
      </c>
      <c r="BQ291" s="418">
        <f t="shared" si="465"/>
        <v>11354</v>
      </c>
      <c r="BR291" s="418">
        <f t="shared" si="466"/>
        <v>0</v>
      </c>
      <c r="BS291" s="419">
        <f t="shared" si="467"/>
        <v>3.1389</v>
      </c>
      <c r="BT291" s="419">
        <f t="shared" si="468"/>
        <v>3.1389</v>
      </c>
      <c r="BU291" s="421">
        <f t="shared" si="468"/>
        <v>0</v>
      </c>
      <c r="BV291" s="420"/>
      <c r="BW291" s="415"/>
      <c r="BX291" s="415"/>
      <c r="BY291" s="415"/>
      <c r="BZ291" s="415"/>
      <c r="CA291" s="510"/>
    </row>
    <row r="292" spans="1:79" ht="14.1" customHeight="1" x14ac:dyDescent="0.2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653</v>
      </c>
      <c r="F292" s="66">
        <v>3113</v>
      </c>
      <c r="G292" s="77" t="s">
        <v>291</v>
      </c>
      <c r="H292" s="67" t="s">
        <v>272</v>
      </c>
      <c r="I292" s="420">
        <v>3419656</v>
      </c>
      <c r="J292" s="415">
        <v>2536318</v>
      </c>
      <c r="K292" s="415">
        <v>2536318</v>
      </c>
      <c r="L292" s="415">
        <v>0</v>
      </c>
      <c r="M292" s="415">
        <v>0</v>
      </c>
      <c r="N292" s="415">
        <v>0</v>
      </c>
      <c r="O292" s="415">
        <v>0</v>
      </c>
      <c r="P292" s="599">
        <v>857275</v>
      </c>
      <c r="Q292" s="599">
        <v>25363</v>
      </c>
      <c r="R292" s="415">
        <v>700</v>
      </c>
      <c r="S292" s="416">
        <v>6.65</v>
      </c>
      <c r="T292" s="417">
        <v>6.65</v>
      </c>
      <c r="U292" s="423">
        <v>0</v>
      </c>
      <c r="V292" s="424">
        <f t="shared" si="415"/>
        <v>0</v>
      </c>
      <c r="W292" s="418">
        <f t="shared" si="416"/>
        <v>0</v>
      </c>
      <c r="X292" s="418">
        <v>-294640</v>
      </c>
      <c r="Y292" s="418">
        <v>0</v>
      </c>
      <c r="Z292" s="418">
        <v>0</v>
      </c>
      <c r="AA292" s="418">
        <v>0</v>
      </c>
      <c r="AB292" s="418">
        <v>0</v>
      </c>
      <c r="AC292" s="418">
        <v>0</v>
      </c>
      <c r="AD292" s="418">
        <f t="shared" si="458"/>
        <v>-294640</v>
      </c>
      <c r="AE292" s="418">
        <f t="shared" si="459"/>
        <v>0</v>
      </c>
      <c r="AF292" s="418">
        <f t="shared" si="417"/>
        <v>-294640</v>
      </c>
      <c r="AG292" s="418">
        <v>0</v>
      </c>
      <c r="AH292" s="418">
        <v>0</v>
      </c>
      <c r="AI292" s="418">
        <v>0</v>
      </c>
      <c r="AJ292" s="418">
        <v>0</v>
      </c>
      <c r="AK292" s="418">
        <v>0</v>
      </c>
      <c r="AL292" s="418">
        <f t="shared" si="418"/>
        <v>0</v>
      </c>
      <c r="AM292" s="418">
        <f t="shared" si="419"/>
        <v>0</v>
      </c>
      <c r="AN292" s="418">
        <f t="shared" si="420"/>
        <v>0</v>
      </c>
      <c r="AO292" s="418">
        <f t="shared" si="421"/>
        <v>-294640</v>
      </c>
      <c r="AP292" s="418">
        <f t="shared" si="422"/>
        <v>0</v>
      </c>
      <c r="AQ292" s="418">
        <f t="shared" si="423"/>
        <v>-294640</v>
      </c>
      <c r="AR292" s="68">
        <f t="shared" si="424"/>
        <v>-99588</v>
      </c>
      <c r="AS292" s="68">
        <f t="shared" si="425"/>
        <v>-2946</v>
      </c>
      <c r="AT292" s="418">
        <v>0</v>
      </c>
      <c r="AU292" s="418">
        <v>0</v>
      </c>
      <c r="AV292" s="418">
        <f t="shared" si="426"/>
        <v>0</v>
      </c>
      <c r="AW292" s="418">
        <f t="shared" si="427"/>
        <v>-397174</v>
      </c>
      <c r="AX292" s="419">
        <v>0</v>
      </c>
      <c r="AY292" s="419">
        <v>0</v>
      </c>
      <c r="AZ292" s="419">
        <v>-0.78</v>
      </c>
      <c r="BA292" s="419">
        <v>0</v>
      </c>
      <c r="BB292" s="419">
        <v>0</v>
      </c>
      <c r="BC292" s="419">
        <v>0</v>
      </c>
      <c r="BD292" s="419">
        <v>0</v>
      </c>
      <c r="BE292" s="419">
        <v>0</v>
      </c>
      <c r="BF292" s="419">
        <f t="shared" si="428"/>
        <v>-0.78</v>
      </c>
      <c r="BG292" s="419">
        <f t="shared" si="429"/>
        <v>0</v>
      </c>
      <c r="BH292" s="421">
        <f t="shared" si="430"/>
        <v>-0.78</v>
      </c>
      <c r="BI292" s="780">
        <f t="shared" si="460"/>
        <v>3022482</v>
      </c>
      <c r="BJ292" s="418">
        <f t="shared" si="461"/>
        <v>2241678</v>
      </c>
      <c r="BK292" s="418">
        <f t="shared" si="462"/>
        <v>2241678</v>
      </c>
      <c r="BL292" s="418">
        <f t="shared" si="462"/>
        <v>0</v>
      </c>
      <c r="BM292" s="418">
        <f t="shared" si="463"/>
        <v>0</v>
      </c>
      <c r="BN292" s="418">
        <f t="shared" si="464"/>
        <v>0</v>
      </c>
      <c r="BO292" s="418">
        <f t="shared" si="464"/>
        <v>0</v>
      </c>
      <c r="BP292" s="418">
        <f t="shared" si="465"/>
        <v>757687</v>
      </c>
      <c r="BQ292" s="418">
        <f t="shared" si="465"/>
        <v>22417</v>
      </c>
      <c r="BR292" s="418">
        <f t="shared" si="466"/>
        <v>700</v>
      </c>
      <c r="BS292" s="419">
        <f t="shared" si="467"/>
        <v>5.87</v>
      </c>
      <c r="BT292" s="419">
        <f t="shared" si="468"/>
        <v>5.87</v>
      </c>
      <c r="BU292" s="421">
        <f t="shared" si="468"/>
        <v>0</v>
      </c>
      <c r="BV292" s="420"/>
      <c r="BW292" s="415"/>
      <c r="BX292" s="415"/>
      <c r="BY292" s="415"/>
      <c r="BZ292" s="415"/>
      <c r="CA292" s="510"/>
    </row>
    <row r="293" spans="1:79" ht="14.1" customHeight="1" x14ac:dyDescent="0.2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653</v>
      </c>
      <c r="F293" s="66">
        <v>3141</v>
      </c>
      <c r="G293" s="65" t="s">
        <v>294</v>
      </c>
      <c r="H293" s="67" t="s">
        <v>272</v>
      </c>
      <c r="I293" s="420">
        <v>1703537</v>
      </c>
      <c r="J293" s="415">
        <v>1253885</v>
      </c>
      <c r="K293" s="415">
        <v>0</v>
      </c>
      <c r="L293" s="750">
        <v>1253885</v>
      </c>
      <c r="M293" s="415">
        <v>0</v>
      </c>
      <c r="N293" s="204">
        <v>0</v>
      </c>
      <c r="O293" s="204">
        <v>0</v>
      </c>
      <c r="P293" s="599">
        <v>423813</v>
      </c>
      <c r="Q293" s="599">
        <v>12539</v>
      </c>
      <c r="R293" s="605">
        <v>13300</v>
      </c>
      <c r="S293" s="416">
        <v>3.76</v>
      </c>
      <c r="T293" s="607">
        <v>0</v>
      </c>
      <c r="U293" s="737">
        <v>3.76</v>
      </c>
      <c r="V293" s="424">
        <f t="shared" si="415"/>
        <v>0</v>
      </c>
      <c r="W293" s="418">
        <f t="shared" si="416"/>
        <v>0</v>
      </c>
      <c r="X293" s="418">
        <v>0</v>
      </c>
      <c r="Y293" s="418">
        <v>0</v>
      </c>
      <c r="Z293" s="418">
        <v>0</v>
      </c>
      <c r="AA293" s="418">
        <v>626618</v>
      </c>
      <c r="AB293" s="418">
        <v>0</v>
      </c>
      <c r="AC293" s="418">
        <v>0</v>
      </c>
      <c r="AD293" s="418">
        <f t="shared" si="458"/>
        <v>0</v>
      </c>
      <c r="AE293" s="418">
        <f t="shared" si="459"/>
        <v>626618</v>
      </c>
      <c r="AF293" s="418">
        <f t="shared" si="417"/>
        <v>626618</v>
      </c>
      <c r="AG293" s="418">
        <v>0</v>
      </c>
      <c r="AH293" s="418">
        <v>0</v>
      </c>
      <c r="AI293" s="418">
        <v>0</v>
      </c>
      <c r="AJ293" s="418">
        <v>0</v>
      </c>
      <c r="AK293" s="418">
        <v>0</v>
      </c>
      <c r="AL293" s="418">
        <f t="shared" si="418"/>
        <v>0</v>
      </c>
      <c r="AM293" s="418">
        <f t="shared" si="419"/>
        <v>0</v>
      </c>
      <c r="AN293" s="418">
        <f t="shared" si="420"/>
        <v>0</v>
      </c>
      <c r="AO293" s="418">
        <f t="shared" si="421"/>
        <v>0</v>
      </c>
      <c r="AP293" s="418">
        <f t="shared" si="422"/>
        <v>626618</v>
      </c>
      <c r="AQ293" s="418">
        <f t="shared" si="423"/>
        <v>626618</v>
      </c>
      <c r="AR293" s="68">
        <f t="shared" si="424"/>
        <v>211797</v>
      </c>
      <c r="AS293" s="68">
        <f t="shared" si="425"/>
        <v>6266</v>
      </c>
      <c r="AT293" s="418">
        <v>0</v>
      </c>
      <c r="AU293" s="418">
        <v>6460</v>
      </c>
      <c r="AV293" s="418">
        <f t="shared" si="426"/>
        <v>6460</v>
      </c>
      <c r="AW293" s="418">
        <f t="shared" si="427"/>
        <v>851141</v>
      </c>
      <c r="AX293" s="419">
        <v>0</v>
      </c>
      <c r="AY293" s="419">
        <v>0</v>
      </c>
      <c r="AZ293" s="419">
        <v>0</v>
      </c>
      <c r="BA293" s="419">
        <v>0</v>
      </c>
      <c r="BB293" s="419">
        <v>1.88</v>
      </c>
      <c r="BC293" s="419">
        <v>0</v>
      </c>
      <c r="BD293" s="419">
        <v>0</v>
      </c>
      <c r="BE293" s="419">
        <v>0</v>
      </c>
      <c r="BF293" s="419">
        <f t="shared" si="428"/>
        <v>0</v>
      </c>
      <c r="BG293" s="419">
        <f t="shared" si="429"/>
        <v>1.88</v>
      </c>
      <c r="BH293" s="421">
        <f t="shared" si="430"/>
        <v>1.88</v>
      </c>
      <c r="BI293" s="780">
        <f t="shared" si="460"/>
        <v>2554678</v>
      </c>
      <c r="BJ293" s="418">
        <f t="shared" si="461"/>
        <v>1880503</v>
      </c>
      <c r="BK293" s="418">
        <f t="shared" si="462"/>
        <v>0</v>
      </c>
      <c r="BL293" s="418">
        <f t="shared" si="462"/>
        <v>1880503</v>
      </c>
      <c r="BM293" s="418">
        <f t="shared" si="463"/>
        <v>0</v>
      </c>
      <c r="BN293" s="418">
        <f t="shared" si="464"/>
        <v>0</v>
      </c>
      <c r="BO293" s="418">
        <f t="shared" si="464"/>
        <v>0</v>
      </c>
      <c r="BP293" s="418">
        <f t="shared" si="465"/>
        <v>635610</v>
      </c>
      <c r="BQ293" s="418">
        <f t="shared" si="465"/>
        <v>18805</v>
      </c>
      <c r="BR293" s="418">
        <f t="shared" si="466"/>
        <v>19760</v>
      </c>
      <c r="BS293" s="419">
        <f t="shared" si="467"/>
        <v>5.64</v>
      </c>
      <c r="BT293" s="419">
        <f t="shared" si="468"/>
        <v>0</v>
      </c>
      <c r="BU293" s="421">
        <f t="shared" si="468"/>
        <v>5.64</v>
      </c>
      <c r="BV293" s="420"/>
      <c r="BW293" s="415"/>
      <c r="BX293" s="415"/>
      <c r="BY293" s="415"/>
      <c r="BZ293" s="415"/>
      <c r="CA293" s="510"/>
    </row>
    <row r="294" spans="1:79" ht="14.1" customHeight="1" x14ac:dyDescent="0.2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653</v>
      </c>
      <c r="F294" s="66">
        <v>3143</v>
      </c>
      <c r="G294" s="77" t="s">
        <v>595</v>
      </c>
      <c r="H294" s="67" t="s">
        <v>271</v>
      </c>
      <c r="I294" s="420">
        <v>3377052</v>
      </c>
      <c r="J294" s="415">
        <v>2505232</v>
      </c>
      <c r="K294" s="415">
        <v>2505232</v>
      </c>
      <c r="L294" s="415">
        <v>0</v>
      </c>
      <c r="M294" s="415">
        <v>0</v>
      </c>
      <c r="N294" s="415">
        <v>0</v>
      </c>
      <c r="O294" s="415">
        <v>0</v>
      </c>
      <c r="P294" s="599">
        <v>846768</v>
      </c>
      <c r="Q294" s="599">
        <v>25052</v>
      </c>
      <c r="R294" s="415">
        <v>0</v>
      </c>
      <c r="S294" s="416">
        <v>5.5357000000000003</v>
      </c>
      <c r="T294" s="416">
        <v>5.5357000000000003</v>
      </c>
      <c r="U294" s="423">
        <v>0</v>
      </c>
      <c r="V294" s="424">
        <f t="shared" si="415"/>
        <v>0</v>
      </c>
      <c r="W294" s="418">
        <f t="shared" si="416"/>
        <v>0</v>
      </c>
      <c r="X294" s="418">
        <v>0</v>
      </c>
      <c r="Y294" s="418">
        <v>0</v>
      </c>
      <c r="Z294" s="418">
        <v>0</v>
      </c>
      <c r="AA294" s="418">
        <v>0</v>
      </c>
      <c r="AB294" s="418">
        <v>0</v>
      </c>
      <c r="AC294" s="418">
        <v>0</v>
      </c>
      <c r="AD294" s="418">
        <f t="shared" si="458"/>
        <v>0</v>
      </c>
      <c r="AE294" s="418">
        <f t="shared" si="459"/>
        <v>0</v>
      </c>
      <c r="AF294" s="418">
        <f t="shared" si="417"/>
        <v>0</v>
      </c>
      <c r="AG294" s="418">
        <v>0</v>
      </c>
      <c r="AH294" s="418">
        <v>0</v>
      </c>
      <c r="AI294" s="418">
        <v>0</v>
      </c>
      <c r="AJ294" s="418">
        <v>0</v>
      </c>
      <c r="AK294" s="418">
        <v>0</v>
      </c>
      <c r="AL294" s="418">
        <f t="shared" si="418"/>
        <v>0</v>
      </c>
      <c r="AM294" s="418">
        <f t="shared" si="419"/>
        <v>0</v>
      </c>
      <c r="AN294" s="418">
        <f t="shared" si="420"/>
        <v>0</v>
      </c>
      <c r="AO294" s="418">
        <f t="shared" si="421"/>
        <v>0</v>
      </c>
      <c r="AP294" s="418">
        <f t="shared" si="422"/>
        <v>0</v>
      </c>
      <c r="AQ294" s="418">
        <f t="shared" si="423"/>
        <v>0</v>
      </c>
      <c r="AR294" s="68">
        <f t="shared" si="424"/>
        <v>0</v>
      </c>
      <c r="AS294" s="68">
        <f t="shared" si="425"/>
        <v>0</v>
      </c>
      <c r="AT294" s="418">
        <v>0</v>
      </c>
      <c r="AU294" s="418">
        <v>0</v>
      </c>
      <c r="AV294" s="418">
        <f t="shared" si="426"/>
        <v>0</v>
      </c>
      <c r="AW294" s="418">
        <f t="shared" si="427"/>
        <v>0</v>
      </c>
      <c r="AX294" s="419">
        <v>0</v>
      </c>
      <c r="AY294" s="419">
        <v>0</v>
      </c>
      <c r="AZ294" s="419">
        <v>0</v>
      </c>
      <c r="BA294" s="419">
        <v>0</v>
      </c>
      <c r="BB294" s="419">
        <v>0</v>
      </c>
      <c r="BC294" s="419">
        <v>0</v>
      </c>
      <c r="BD294" s="419">
        <v>0</v>
      </c>
      <c r="BE294" s="419">
        <v>0</v>
      </c>
      <c r="BF294" s="419">
        <f t="shared" si="428"/>
        <v>0</v>
      </c>
      <c r="BG294" s="419">
        <f t="shared" si="429"/>
        <v>0</v>
      </c>
      <c r="BH294" s="421">
        <f t="shared" si="430"/>
        <v>0</v>
      </c>
      <c r="BI294" s="780">
        <f t="shared" si="460"/>
        <v>3377052</v>
      </c>
      <c r="BJ294" s="418">
        <f t="shared" si="461"/>
        <v>2505232</v>
      </c>
      <c r="BK294" s="418">
        <f t="shared" si="462"/>
        <v>2505232</v>
      </c>
      <c r="BL294" s="418">
        <f t="shared" si="462"/>
        <v>0</v>
      </c>
      <c r="BM294" s="418">
        <f t="shared" si="463"/>
        <v>0</v>
      </c>
      <c r="BN294" s="418">
        <f t="shared" si="464"/>
        <v>0</v>
      </c>
      <c r="BO294" s="418">
        <f t="shared" si="464"/>
        <v>0</v>
      </c>
      <c r="BP294" s="418">
        <f t="shared" si="465"/>
        <v>846768</v>
      </c>
      <c r="BQ294" s="418">
        <f t="shared" si="465"/>
        <v>25052</v>
      </c>
      <c r="BR294" s="418">
        <f t="shared" si="466"/>
        <v>0</v>
      </c>
      <c r="BS294" s="419">
        <f t="shared" si="467"/>
        <v>5.5357000000000003</v>
      </c>
      <c r="BT294" s="419">
        <f t="shared" si="468"/>
        <v>5.5357000000000003</v>
      </c>
      <c r="BU294" s="421">
        <f t="shared" si="468"/>
        <v>0</v>
      </c>
      <c r="BV294" s="420"/>
      <c r="BW294" s="415"/>
      <c r="BX294" s="415"/>
      <c r="BY294" s="415"/>
      <c r="BZ294" s="415"/>
      <c r="CA294" s="510"/>
    </row>
    <row r="295" spans="1:79" ht="14.1" customHeight="1" x14ac:dyDescent="0.2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653</v>
      </c>
      <c r="F295" s="66">
        <v>3143</v>
      </c>
      <c r="G295" s="77" t="s">
        <v>296</v>
      </c>
      <c r="H295" s="67" t="s">
        <v>272</v>
      </c>
      <c r="I295" s="420">
        <v>660360</v>
      </c>
      <c r="J295" s="415">
        <v>489258</v>
      </c>
      <c r="K295" s="415">
        <v>463597</v>
      </c>
      <c r="L295" s="415">
        <v>25661</v>
      </c>
      <c r="M295" s="415">
        <v>0</v>
      </c>
      <c r="N295" s="415">
        <v>0</v>
      </c>
      <c r="O295" s="415">
        <v>0</v>
      </c>
      <c r="P295" s="599">
        <v>165369</v>
      </c>
      <c r="Q295" s="599">
        <v>4893</v>
      </c>
      <c r="R295" s="415">
        <v>840</v>
      </c>
      <c r="S295" s="416">
        <v>1.02</v>
      </c>
      <c r="T295" s="417">
        <v>0.92</v>
      </c>
      <c r="U295" s="423">
        <v>0.1</v>
      </c>
      <c r="V295" s="424">
        <f t="shared" si="415"/>
        <v>0</v>
      </c>
      <c r="W295" s="418">
        <f t="shared" si="416"/>
        <v>0</v>
      </c>
      <c r="X295" s="418">
        <v>0</v>
      </c>
      <c r="Y295" s="418">
        <v>0</v>
      </c>
      <c r="Z295" s="418">
        <v>0</v>
      </c>
      <c r="AA295" s="418">
        <v>0</v>
      </c>
      <c r="AB295" s="418">
        <v>0</v>
      </c>
      <c r="AC295" s="418">
        <v>0</v>
      </c>
      <c r="AD295" s="418">
        <f t="shared" si="458"/>
        <v>0</v>
      </c>
      <c r="AE295" s="418">
        <f t="shared" si="459"/>
        <v>0</v>
      </c>
      <c r="AF295" s="418">
        <f t="shared" si="417"/>
        <v>0</v>
      </c>
      <c r="AG295" s="418">
        <v>0</v>
      </c>
      <c r="AH295" s="418">
        <v>0</v>
      </c>
      <c r="AI295" s="418">
        <v>0</v>
      </c>
      <c r="AJ295" s="418">
        <v>0</v>
      </c>
      <c r="AK295" s="418">
        <v>0</v>
      </c>
      <c r="AL295" s="418">
        <f t="shared" si="418"/>
        <v>0</v>
      </c>
      <c r="AM295" s="418">
        <f t="shared" si="419"/>
        <v>0</v>
      </c>
      <c r="AN295" s="418">
        <f t="shared" si="420"/>
        <v>0</v>
      </c>
      <c r="AO295" s="418">
        <f t="shared" si="421"/>
        <v>0</v>
      </c>
      <c r="AP295" s="418">
        <f t="shared" si="422"/>
        <v>0</v>
      </c>
      <c r="AQ295" s="418">
        <f t="shared" si="423"/>
        <v>0</v>
      </c>
      <c r="AR295" s="68">
        <f t="shared" si="424"/>
        <v>0</v>
      </c>
      <c r="AS295" s="68">
        <f t="shared" si="425"/>
        <v>0</v>
      </c>
      <c r="AT295" s="418">
        <v>0</v>
      </c>
      <c r="AU295" s="418">
        <v>0</v>
      </c>
      <c r="AV295" s="418">
        <f t="shared" si="426"/>
        <v>0</v>
      </c>
      <c r="AW295" s="418">
        <f t="shared" si="427"/>
        <v>0</v>
      </c>
      <c r="AX295" s="419">
        <v>0</v>
      </c>
      <c r="AY295" s="419">
        <v>0</v>
      </c>
      <c r="AZ295" s="419">
        <v>0</v>
      </c>
      <c r="BA295" s="419">
        <v>0</v>
      </c>
      <c r="BB295" s="419">
        <v>0</v>
      </c>
      <c r="BC295" s="419">
        <v>0</v>
      </c>
      <c r="BD295" s="419">
        <v>0</v>
      </c>
      <c r="BE295" s="419">
        <v>0</v>
      </c>
      <c r="BF295" s="419">
        <f t="shared" si="428"/>
        <v>0</v>
      </c>
      <c r="BG295" s="419">
        <f t="shared" si="429"/>
        <v>0</v>
      </c>
      <c r="BH295" s="421">
        <f t="shared" si="430"/>
        <v>0</v>
      </c>
      <c r="BI295" s="780">
        <f t="shared" si="460"/>
        <v>660360</v>
      </c>
      <c r="BJ295" s="418">
        <f t="shared" si="461"/>
        <v>489258</v>
      </c>
      <c r="BK295" s="418">
        <f t="shared" si="462"/>
        <v>463597</v>
      </c>
      <c r="BL295" s="418">
        <f t="shared" si="462"/>
        <v>25661</v>
      </c>
      <c r="BM295" s="418">
        <f t="shared" si="463"/>
        <v>0</v>
      </c>
      <c r="BN295" s="418">
        <f t="shared" si="464"/>
        <v>0</v>
      </c>
      <c r="BO295" s="418">
        <f t="shared" si="464"/>
        <v>0</v>
      </c>
      <c r="BP295" s="418">
        <f t="shared" si="465"/>
        <v>165369</v>
      </c>
      <c r="BQ295" s="418">
        <f t="shared" si="465"/>
        <v>4893</v>
      </c>
      <c r="BR295" s="418">
        <f t="shared" si="466"/>
        <v>840</v>
      </c>
      <c r="BS295" s="419">
        <f t="shared" si="467"/>
        <v>1.02</v>
      </c>
      <c r="BT295" s="419">
        <f t="shared" si="468"/>
        <v>0.92</v>
      </c>
      <c r="BU295" s="421">
        <f t="shared" si="468"/>
        <v>0.1</v>
      </c>
      <c r="BV295" s="420"/>
      <c r="BW295" s="415"/>
      <c r="BX295" s="415"/>
      <c r="BY295" s="415"/>
      <c r="BZ295" s="415"/>
      <c r="CA295" s="510"/>
    </row>
    <row r="296" spans="1:79" ht="14.1" customHeight="1" x14ac:dyDescent="0.2">
      <c r="A296" s="66">
        <v>59</v>
      </c>
      <c r="B296" s="63">
        <v>2452</v>
      </c>
      <c r="C296" s="64">
        <v>600079660</v>
      </c>
      <c r="D296" s="63">
        <v>70695261</v>
      </c>
      <c r="E296" s="65" t="s">
        <v>653</v>
      </c>
      <c r="F296" s="66">
        <v>3143</v>
      </c>
      <c r="G296" s="77" t="s">
        <v>596</v>
      </c>
      <c r="H296" s="67" t="s">
        <v>272</v>
      </c>
      <c r="I296" s="420">
        <v>80957</v>
      </c>
      <c r="J296" s="415">
        <v>57948</v>
      </c>
      <c r="K296" s="415">
        <v>0</v>
      </c>
      <c r="L296" s="605">
        <v>57948</v>
      </c>
      <c r="M296" s="415">
        <v>0</v>
      </c>
      <c r="N296" s="415">
        <v>0</v>
      </c>
      <c r="O296" s="415">
        <v>0</v>
      </c>
      <c r="P296" s="599">
        <v>19586</v>
      </c>
      <c r="Q296" s="599">
        <v>579</v>
      </c>
      <c r="R296" s="605">
        <v>2844</v>
      </c>
      <c r="S296" s="416">
        <v>0.2195</v>
      </c>
      <c r="T296" s="607">
        <v>0</v>
      </c>
      <c r="U296" s="737">
        <v>0.2195</v>
      </c>
      <c r="V296" s="424">
        <f t="shared" si="415"/>
        <v>0</v>
      </c>
      <c r="W296" s="418">
        <f t="shared" si="416"/>
        <v>0</v>
      </c>
      <c r="X296" s="418">
        <v>0</v>
      </c>
      <c r="Y296" s="418">
        <v>0</v>
      </c>
      <c r="Z296" s="418">
        <v>0</v>
      </c>
      <c r="AA296" s="418">
        <v>41791</v>
      </c>
      <c r="AB296" s="418">
        <v>0</v>
      </c>
      <c r="AC296" s="418">
        <v>0</v>
      </c>
      <c r="AD296" s="418">
        <f t="shared" si="458"/>
        <v>0</v>
      </c>
      <c r="AE296" s="418">
        <f t="shared" si="459"/>
        <v>41791</v>
      </c>
      <c r="AF296" s="418">
        <f t="shared" si="417"/>
        <v>41791</v>
      </c>
      <c r="AG296" s="418">
        <v>0</v>
      </c>
      <c r="AH296" s="418">
        <v>0</v>
      </c>
      <c r="AI296" s="418">
        <v>0</v>
      </c>
      <c r="AJ296" s="418">
        <v>0</v>
      </c>
      <c r="AK296" s="418">
        <v>0</v>
      </c>
      <c r="AL296" s="418">
        <f t="shared" si="418"/>
        <v>0</v>
      </c>
      <c r="AM296" s="418">
        <f t="shared" si="419"/>
        <v>0</v>
      </c>
      <c r="AN296" s="418">
        <f t="shared" si="420"/>
        <v>0</v>
      </c>
      <c r="AO296" s="418">
        <f t="shared" si="421"/>
        <v>0</v>
      </c>
      <c r="AP296" s="418">
        <f t="shared" si="422"/>
        <v>41791</v>
      </c>
      <c r="AQ296" s="418">
        <f t="shared" si="423"/>
        <v>41791</v>
      </c>
      <c r="AR296" s="68">
        <f t="shared" si="424"/>
        <v>14125</v>
      </c>
      <c r="AS296" s="68">
        <f t="shared" si="425"/>
        <v>418</v>
      </c>
      <c r="AT296" s="418">
        <v>0</v>
      </c>
      <c r="AU296" s="418">
        <v>1842</v>
      </c>
      <c r="AV296" s="418">
        <f t="shared" si="426"/>
        <v>1842</v>
      </c>
      <c r="AW296" s="418">
        <f t="shared" si="427"/>
        <v>58176</v>
      </c>
      <c r="AX296" s="419">
        <v>0</v>
      </c>
      <c r="AY296" s="419">
        <v>0</v>
      </c>
      <c r="AZ296" s="419">
        <v>0</v>
      </c>
      <c r="BA296" s="419">
        <v>0</v>
      </c>
      <c r="BB296" s="419">
        <v>0.16</v>
      </c>
      <c r="BC296" s="419">
        <v>0</v>
      </c>
      <c r="BD296" s="419">
        <v>0</v>
      </c>
      <c r="BE296" s="419">
        <v>0</v>
      </c>
      <c r="BF296" s="419">
        <f t="shared" si="428"/>
        <v>0</v>
      </c>
      <c r="BG296" s="419">
        <f t="shared" si="429"/>
        <v>0.16</v>
      </c>
      <c r="BH296" s="421">
        <f t="shared" si="430"/>
        <v>0.16</v>
      </c>
      <c r="BI296" s="780">
        <f t="shared" si="460"/>
        <v>139133</v>
      </c>
      <c r="BJ296" s="418">
        <f t="shared" si="461"/>
        <v>99739</v>
      </c>
      <c r="BK296" s="418">
        <f t="shared" si="462"/>
        <v>0</v>
      </c>
      <c r="BL296" s="418">
        <f t="shared" si="462"/>
        <v>99739</v>
      </c>
      <c r="BM296" s="418">
        <f t="shared" si="463"/>
        <v>0</v>
      </c>
      <c r="BN296" s="418">
        <f t="shared" si="464"/>
        <v>0</v>
      </c>
      <c r="BO296" s="418">
        <f t="shared" si="464"/>
        <v>0</v>
      </c>
      <c r="BP296" s="418">
        <f t="shared" si="465"/>
        <v>33711</v>
      </c>
      <c r="BQ296" s="418">
        <f t="shared" si="465"/>
        <v>997</v>
      </c>
      <c r="BR296" s="418">
        <f t="shared" si="466"/>
        <v>4686</v>
      </c>
      <c r="BS296" s="419">
        <f t="shared" si="467"/>
        <v>0.3795</v>
      </c>
      <c r="BT296" s="419">
        <f t="shared" si="468"/>
        <v>0</v>
      </c>
      <c r="BU296" s="421">
        <f t="shared" si="468"/>
        <v>0.3795</v>
      </c>
      <c r="BV296" s="420"/>
      <c r="BW296" s="415"/>
      <c r="BX296" s="415"/>
      <c r="BY296" s="415"/>
      <c r="BZ296" s="415"/>
      <c r="CA296" s="510"/>
    </row>
    <row r="297" spans="1:79" ht="14.1" customHeight="1" x14ac:dyDescent="0.2">
      <c r="A297" s="72">
        <v>59</v>
      </c>
      <c r="B297" s="69">
        <v>2452</v>
      </c>
      <c r="C297" s="70">
        <v>600079660</v>
      </c>
      <c r="D297" s="69">
        <v>70695261</v>
      </c>
      <c r="E297" s="71" t="s">
        <v>654</v>
      </c>
      <c r="F297" s="72"/>
      <c r="G297" s="71"/>
      <c r="H297" s="73"/>
      <c r="I297" s="517">
        <v>46341565</v>
      </c>
      <c r="J297" s="74">
        <v>33884638</v>
      </c>
      <c r="K297" s="74">
        <v>30899400</v>
      </c>
      <c r="L297" s="74">
        <v>2985238</v>
      </c>
      <c r="M297" s="74">
        <v>155000</v>
      </c>
      <c r="N297" s="74">
        <v>100000</v>
      </c>
      <c r="O297" s="74">
        <v>55000</v>
      </c>
      <c r="P297" s="74">
        <v>11505396</v>
      </c>
      <c r="Q297" s="74">
        <v>338846</v>
      </c>
      <c r="R297" s="74">
        <v>457685</v>
      </c>
      <c r="S297" s="75">
        <v>59.744999999999997</v>
      </c>
      <c r="T297" s="75">
        <v>50.749500000000005</v>
      </c>
      <c r="U297" s="658">
        <v>8.9954999999999998</v>
      </c>
      <c r="V297" s="517">
        <f t="shared" ref="V297:BU297" si="469">SUM(V290:V296)</f>
        <v>0</v>
      </c>
      <c r="W297" s="74">
        <f t="shared" si="469"/>
        <v>0</v>
      </c>
      <c r="X297" s="74">
        <f t="shared" si="469"/>
        <v>-294640</v>
      </c>
      <c r="Y297" s="74">
        <f t="shared" si="469"/>
        <v>0</v>
      </c>
      <c r="Z297" s="74">
        <f t="shared" si="469"/>
        <v>0</v>
      </c>
      <c r="AA297" s="74">
        <f t="shared" si="469"/>
        <v>668409</v>
      </c>
      <c r="AB297" s="74">
        <f t="shared" si="469"/>
        <v>0</v>
      </c>
      <c r="AC297" s="74">
        <f t="shared" si="469"/>
        <v>0</v>
      </c>
      <c r="AD297" s="74">
        <f t="shared" si="469"/>
        <v>-294640</v>
      </c>
      <c r="AE297" s="74">
        <f t="shared" si="469"/>
        <v>668409</v>
      </c>
      <c r="AF297" s="74">
        <f t="shared" si="469"/>
        <v>373769</v>
      </c>
      <c r="AG297" s="74">
        <f t="shared" si="469"/>
        <v>0</v>
      </c>
      <c r="AH297" s="74">
        <f t="shared" si="469"/>
        <v>0</v>
      </c>
      <c r="AI297" s="74">
        <f t="shared" si="469"/>
        <v>0</v>
      </c>
      <c r="AJ297" s="74">
        <f t="shared" si="469"/>
        <v>0</v>
      </c>
      <c r="AK297" s="74">
        <f t="shared" si="469"/>
        <v>0</v>
      </c>
      <c r="AL297" s="74">
        <f t="shared" si="469"/>
        <v>0</v>
      </c>
      <c r="AM297" s="74">
        <f t="shared" si="469"/>
        <v>0</v>
      </c>
      <c r="AN297" s="74">
        <f t="shared" si="469"/>
        <v>0</v>
      </c>
      <c r="AO297" s="74">
        <f t="shared" si="469"/>
        <v>-294640</v>
      </c>
      <c r="AP297" s="74">
        <f t="shared" si="469"/>
        <v>668409</v>
      </c>
      <c r="AQ297" s="74">
        <f t="shared" si="469"/>
        <v>373769</v>
      </c>
      <c r="AR297" s="74">
        <f t="shared" si="469"/>
        <v>126334</v>
      </c>
      <c r="AS297" s="74">
        <f t="shared" si="469"/>
        <v>3738</v>
      </c>
      <c r="AT297" s="74">
        <f t="shared" si="469"/>
        <v>0</v>
      </c>
      <c r="AU297" s="74">
        <f t="shared" si="469"/>
        <v>8302</v>
      </c>
      <c r="AV297" s="74">
        <f t="shared" si="469"/>
        <v>8302</v>
      </c>
      <c r="AW297" s="74">
        <f t="shared" si="469"/>
        <v>512143</v>
      </c>
      <c r="AX297" s="75">
        <f t="shared" si="469"/>
        <v>0</v>
      </c>
      <c r="AY297" s="75">
        <f t="shared" si="469"/>
        <v>0</v>
      </c>
      <c r="AZ297" s="75">
        <f t="shared" si="469"/>
        <v>-0.78</v>
      </c>
      <c r="BA297" s="75">
        <f t="shared" si="469"/>
        <v>0</v>
      </c>
      <c r="BB297" s="75">
        <f t="shared" si="469"/>
        <v>2.04</v>
      </c>
      <c r="BC297" s="75">
        <f t="shared" si="469"/>
        <v>0</v>
      </c>
      <c r="BD297" s="75">
        <f t="shared" si="469"/>
        <v>0</v>
      </c>
      <c r="BE297" s="75">
        <f t="shared" si="469"/>
        <v>0</v>
      </c>
      <c r="BF297" s="75">
        <f t="shared" si="469"/>
        <v>-0.78</v>
      </c>
      <c r="BG297" s="75">
        <f t="shared" si="469"/>
        <v>2.04</v>
      </c>
      <c r="BH297" s="76">
        <f t="shared" si="469"/>
        <v>1.2599999999999998</v>
      </c>
      <c r="BI297" s="799">
        <f t="shared" si="469"/>
        <v>46853708</v>
      </c>
      <c r="BJ297" s="74">
        <f t="shared" si="469"/>
        <v>34258407</v>
      </c>
      <c r="BK297" s="74">
        <f t="shared" si="469"/>
        <v>30604760</v>
      </c>
      <c r="BL297" s="74">
        <f t="shared" si="469"/>
        <v>3653647</v>
      </c>
      <c r="BM297" s="74">
        <f t="shared" si="469"/>
        <v>155000</v>
      </c>
      <c r="BN297" s="74">
        <f t="shared" si="469"/>
        <v>100000</v>
      </c>
      <c r="BO297" s="74">
        <f t="shared" si="469"/>
        <v>55000</v>
      </c>
      <c r="BP297" s="74">
        <f t="shared" si="469"/>
        <v>11631730</v>
      </c>
      <c r="BQ297" s="74">
        <f t="shared" si="469"/>
        <v>342584</v>
      </c>
      <c r="BR297" s="74">
        <f t="shared" si="469"/>
        <v>465987</v>
      </c>
      <c r="BS297" s="75">
        <f t="shared" si="469"/>
        <v>61.005000000000003</v>
      </c>
      <c r="BT297" s="75">
        <f t="shared" si="469"/>
        <v>49.969500000000004</v>
      </c>
      <c r="BU297" s="76">
        <f t="shared" si="469"/>
        <v>11.035500000000001</v>
      </c>
      <c r="BV297" s="809">
        <f t="shared" ref="BV297:CA297" si="470">SUM(BV290:BV296)</f>
        <v>0</v>
      </c>
      <c r="BW297" s="684">
        <f t="shared" si="470"/>
        <v>0</v>
      </c>
      <c r="BX297" s="684">
        <f t="shared" si="470"/>
        <v>0</v>
      </c>
      <c r="BY297" s="684">
        <f t="shared" si="470"/>
        <v>0</v>
      </c>
      <c r="BZ297" s="684">
        <f t="shared" si="470"/>
        <v>0</v>
      </c>
      <c r="CA297" s="810">
        <f t="shared" si="470"/>
        <v>0</v>
      </c>
    </row>
    <row r="298" spans="1:79" ht="14.1" customHeight="1" x14ac:dyDescent="0.2">
      <c r="A298" s="66">
        <v>60</v>
      </c>
      <c r="B298" s="63">
        <v>2319</v>
      </c>
      <c r="C298" s="64">
        <v>600080218</v>
      </c>
      <c r="D298" s="63">
        <v>70695245</v>
      </c>
      <c r="E298" s="65" t="s">
        <v>655</v>
      </c>
      <c r="F298" s="66">
        <v>3231</v>
      </c>
      <c r="G298" s="65" t="s">
        <v>295</v>
      </c>
      <c r="H298" s="67" t="s">
        <v>271</v>
      </c>
      <c r="I298" s="420">
        <v>7848216</v>
      </c>
      <c r="J298" s="415">
        <v>5811486</v>
      </c>
      <c r="K298" s="415">
        <v>5606147</v>
      </c>
      <c r="L298" s="415">
        <v>205339</v>
      </c>
      <c r="M298" s="415">
        <v>0</v>
      </c>
      <c r="N298" s="415">
        <v>0</v>
      </c>
      <c r="O298" s="415">
        <v>0</v>
      </c>
      <c r="P298" s="599">
        <v>1964282</v>
      </c>
      <c r="Q298" s="599">
        <v>58115</v>
      </c>
      <c r="R298" s="415">
        <v>14333</v>
      </c>
      <c r="S298" s="416">
        <v>9.39</v>
      </c>
      <c r="T298" s="416">
        <v>8.81</v>
      </c>
      <c r="U298" s="423">
        <v>0.57999999999999996</v>
      </c>
      <c r="V298" s="424">
        <f t="shared" si="415"/>
        <v>0</v>
      </c>
      <c r="W298" s="418">
        <f t="shared" si="416"/>
        <v>0</v>
      </c>
      <c r="X298" s="418">
        <v>0</v>
      </c>
      <c r="Y298" s="418">
        <v>0</v>
      </c>
      <c r="Z298" s="418">
        <v>0</v>
      </c>
      <c r="AA298" s="418">
        <v>0</v>
      </c>
      <c r="AB298" s="418">
        <v>0</v>
      </c>
      <c r="AC298" s="418">
        <v>0</v>
      </c>
      <c r="AD298" s="418">
        <f>V298+X298+Y298+Z298+AB298</f>
        <v>0</v>
      </c>
      <c r="AE298" s="418">
        <f>W298+AA298+AC298</f>
        <v>0</v>
      </c>
      <c r="AF298" s="418">
        <f t="shared" si="417"/>
        <v>0</v>
      </c>
      <c r="AG298" s="418">
        <v>0</v>
      </c>
      <c r="AH298" s="418">
        <v>0</v>
      </c>
      <c r="AI298" s="418">
        <v>0</v>
      </c>
      <c r="AJ298" s="418">
        <v>0</v>
      </c>
      <c r="AK298" s="418">
        <v>0</v>
      </c>
      <c r="AL298" s="418">
        <f t="shared" si="418"/>
        <v>0</v>
      </c>
      <c r="AM298" s="418">
        <f t="shared" si="419"/>
        <v>0</v>
      </c>
      <c r="AN298" s="418">
        <f t="shared" si="420"/>
        <v>0</v>
      </c>
      <c r="AO298" s="418">
        <f t="shared" si="421"/>
        <v>0</v>
      </c>
      <c r="AP298" s="418">
        <f t="shared" si="422"/>
        <v>0</v>
      </c>
      <c r="AQ298" s="418">
        <f t="shared" si="423"/>
        <v>0</v>
      </c>
      <c r="AR298" s="68">
        <f t="shared" si="424"/>
        <v>0</v>
      </c>
      <c r="AS298" s="68">
        <f t="shared" si="425"/>
        <v>0</v>
      </c>
      <c r="AT298" s="418">
        <v>0</v>
      </c>
      <c r="AU298" s="418">
        <v>0</v>
      </c>
      <c r="AV298" s="418">
        <f t="shared" si="426"/>
        <v>0</v>
      </c>
      <c r="AW298" s="418">
        <f t="shared" si="427"/>
        <v>0</v>
      </c>
      <c r="AX298" s="419">
        <v>0</v>
      </c>
      <c r="AY298" s="419">
        <v>0</v>
      </c>
      <c r="AZ298" s="419">
        <v>0</v>
      </c>
      <c r="BA298" s="419">
        <v>0</v>
      </c>
      <c r="BB298" s="419">
        <v>0</v>
      </c>
      <c r="BC298" s="419">
        <v>0</v>
      </c>
      <c r="BD298" s="419">
        <v>0</v>
      </c>
      <c r="BE298" s="419">
        <v>0</v>
      </c>
      <c r="BF298" s="419">
        <f t="shared" si="428"/>
        <v>0</v>
      </c>
      <c r="BG298" s="419">
        <f t="shared" si="429"/>
        <v>0</v>
      </c>
      <c r="BH298" s="421">
        <f t="shared" si="430"/>
        <v>0</v>
      </c>
      <c r="BI298" s="780">
        <f>I298+AW298</f>
        <v>7848216</v>
      </c>
      <c r="BJ298" s="418">
        <f>J298+AF298</f>
        <v>5811486</v>
      </c>
      <c r="BK298" s="418">
        <f>K298+AD298</f>
        <v>5606147</v>
      </c>
      <c r="BL298" s="418">
        <f>L298+AE298</f>
        <v>205339</v>
      </c>
      <c r="BM298" s="418">
        <f>M298+AN298</f>
        <v>0</v>
      </c>
      <c r="BN298" s="418">
        <f>N298+AL298</f>
        <v>0</v>
      </c>
      <c r="BO298" s="418">
        <f>O298+AM298</f>
        <v>0</v>
      </c>
      <c r="BP298" s="418">
        <f>P298+AR298</f>
        <v>1964282</v>
      </c>
      <c r="BQ298" s="418">
        <f>Q298+AS298</f>
        <v>58115</v>
      </c>
      <c r="BR298" s="418">
        <f>R298+AV298</f>
        <v>14333</v>
      </c>
      <c r="BS298" s="419">
        <f>S298+BH298</f>
        <v>9.39</v>
      </c>
      <c r="BT298" s="419">
        <f>T298+BF298</f>
        <v>8.81</v>
      </c>
      <c r="BU298" s="421">
        <f>U298+BG298</f>
        <v>0.57999999999999996</v>
      </c>
      <c r="BV298" s="420"/>
      <c r="BW298" s="415"/>
      <c r="BX298" s="415"/>
      <c r="BY298" s="415"/>
      <c r="BZ298" s="415"/>
      <c r="CA298" s="510"/>
    </row>
    <row r="299" spans="1:79" ht="14.1" customHeight="1" x14ac:dyDescent="0.2">
      <c r="A299" s="72">
        <v>60</v>
      </c>
      <c r="B299" s="69">
        <v>2319</v>
      </c>
      <c r="C299" s="70">
        <v>600080218</v>
      </c>
      <c r="D299" s="69">
        <v>70695245</v>
      </c>
      <c r="E299" s="71" t="s">
        <v>656</v>
      </c>
      <c r="F299" s="72"/>
      <c r="G299" s="71"/>
      <c r="H299" s="73"/>
      <c r="I299" s="518">
        <v>7848216</v>
      </c>
      <c r="J299" s="78">
        <v>5811486</v>
      </c>
      <c r="K299" s="78">
        <v>5606147</v>
      </c>
      <c r="L299" s="78">
        <v>205339</v>
      </c>
      <c r="M299" s="78">
        <v>0</v>
      </c>
      <c r="N299" s="78">
        <v>0</v>
      </c>
      <c r="O299" s="78">
        <v>0</v>
      </c>
      <c r="P299" s="78">
        <v>1964282</v>
      </c>
      <c r="Q299" s="78">
        <v>58115</v>
      </c>
      <c r="R299" s="78">
        <v>14333</v>
      </c>
      <c r="S299" s="79">
        <v>9.39</v>
      </c>
      <c r="T299" s="79">
        <v>8.81</v>
      </c>
      <c r="U299" s="659">
        <v>0.57999999999999996</v>
      </c>
      <c r="V299" s="518">
        <f t="shared" ref="V299:BU299" si="471">SUM(V298)</f>
        <v>0</v>
      </c>
      <c r="W299" s="78">
        <f t="shared" si="471"/>
        <v>0</v>
      </c>
      <c r="X299" s="78">
        <f t="shared" si="471"/>
        <v>0</v>
      </c>
      <c r="Y299" s="78">
        <f t="shared" si="471"/>
        <v>0</v>
      </c>
      <c r="Z299" s="78">
        <f t="shared" si="471"/>
        <v>0</v>
      </c>
      <c r="AA299" s="78">
        <f t="shared" si="471"/>
        <v>0</v>
      </c>
      <c r="AB299" s="78">
        <f t="shared" si="471"/>
        <v>0</v>
      </c>
      <c r="AC299" s="78">
        <f t="shared" si="471"/>
        <v>0</v>
      </c>
      <c r="AD299" s="78">
        <f t="shared" si="471"/>
        <v>0</v>
      </c>
      <c r="AE299" s="78">
        <f t="shared" si="471"/>
        <v>0</v>
      </c>
      <c r="AF299" s="78">
        <f t="shared" si="471"/>
        <v>0</v>
      </c>
      <c r="AG299" s="78">
        <f t="shared" si="471"/>
        <v>0</v>
      </c>
      <c r="AH299" s="78">
        <f t="shared" si="471"/>
        <v>0</v>
      </c>
      <c r="AI299" s="78">
        <f t="shared" si="471"/>
        <v>0</v>
      </c>
      <c r="AJ299" s="78">
        <f t="shared" si="471"/>
        <v>0</v>
      </c>
      <c r="AK299" s="78">
        <f t="shared" si="471"/>
        <v>0</v>
      </c>
      <c r="AL299" s="78">
        <f t="shared" si="471"/>
        <v>0</v>
      </c>
      <c r="AM299" s="78">
        <f t="shared" si="471"/>
        <v>0</v>
      </c>
      <c r="AN299" s="78">
        <f t="shared" si="471"/>
        <v>0</v>
      </c>
      <c r="AO299" s="78">
        <f t="shared" si="471"/>
        <v>0</v>
      </c>
      <c r="AP299" s="78">
        <f t="shared" si="471"/>
        <v>0</v>
      </c>
      <c r="AQ299" s="78">
        <f t="shared" si="471"/>
        <v>0</v>
      </c>
      <c r="AR299" s="78">
        <f t="shared" si="471"/>
        <v>0</v>
      </c>
      <c r="AS299" s="78">
        <f t="shared" si="471"/>
        <v>0</v>
      </c>
      <c r="AT299" s="78">
        <f t="shared" si="471"/>
        <v>0</v>
      </c>
      <c r="AU299" s="78">
        <f t="shared" si="471"/>
        <v>0</v>
      </c>
      <c r="AV299" s="78">
        <f t="shared" si="471"/>
        <v>0</v>
      </c>
      <c r="AW299" s="78">
        <f t="shared" si="471"/>
        <v>0</v>
      </c>
      <c r="AX299" s="79">
        <f t="shared" si="471"/>
        <v>0</v>
      </c>
      <c r="AY299" s="79">
        <f t="shared" si="471"/>
        <v>0</v>
      </c>
      <c r="AZ299" s="79">
        <f t="shared" si="471"/>
        <v>0</v>
      </c>
      <c r="BA299" s="79">
        <f t="shared" si="471"/>
        <v>0</v>
      </c>
      <c r="BB299" s="79">
        <f t="shared" si="471"/>
        <v>0</v>
      </c>
      <c r="BC299" s="79">
        <f t="shared" si="471"/>
        <v>0</v>
      </c>
      <c r="BD299" s="79">
        <f t="shared" si="471"/>
        <v>0</v>
      </c>
      <c r="BE299" s="79">
        <f t="shared" si="471"/>
        <v>0</v>
      </c>
      <c r="BF299" s="79">
        <f t="shared" si="471"/>
        <v>0</v>
      </c>
      <c r="BG299" s="79">
        <f t="shared" si="471"/>
        <v>0</v>
      </c>
      <c r="BH299" s="80">
        <f t="shared" si="471"/>
        <v>0</v>
      </c>
      <c r="BI299" s="800">
        <f t="shared" si="471"/>
        <v>7848216</v>
      </c>
      <c r="BJ299" s="78">
        <f t="shared" si="471"/>
        <v>5811486</v>
      </c>
      <c r="BK299" s="78">
        <f t="shared" si="471"/>
        <v>5606147</v>
      </c>
      <c r="BL299" s="78">
        <f t="shared" si="471"/>
        <v>205339</v>
      </c>
      <c r="BM299" s="78">
        <f t="shared" si="471"/>
        <v>0</v>
      </c>
      <c r="BN299" s="78">
        <f t="shared" si="471"/>
        <v>0</v>
      </c>
      <c r="BO299" s="78">
        <f t="shared" si="471"/>
        <v>0</v>
      </c>
      <c r="BP299" s="78">
        <f t="shared" si="471"/>
        <v>1964282</v>
      </c>
      <c r="BQ299" s="78">
        <f t="shared" si="471"/>
        <v>58115</v>
      </c>
      <c r="BR299" s="78">
        <f t="shared" si="471"/>
        <v>14333</v>
      </c>
      <c r="BS299" s="79">
        <f t="shared" si="471"/>
        <v>9.39</v>
      </c>
      <c r="BT299" s="79">
        <f t="shared" si="471"/>
        <v>8.81</v>
      </c>
      <c r="BU299" s="80">
        <f t="shared" si="471"/>
        <v>0.57999999999999996</v>
      </c>
      <c r="BV299" s="811">
        <f t="shared" ref="BV299:CA299" si="472">SUM(BV298)</f>
        <v>0</v>
      </c>
      <c r="BW299" s="685">
        <f t="shared" si="472"/>
        <v>0</v>
      </c>
      <c r="BX299" s="685">
        <f t="shared" si="472"/>
        <v>0</v>
      </c>
      <c r="BY299" s="685">
        <f t="shared" si="472"/>
        <v>0</v>
      </c>
      <c r="BZ299" s="685">
        <f t="shared" si="472"/>
        <v>0</v>
      </c>
      <c r="CA299" s="812">
        <f t="shared" si="472"/>
        <v>0</v>
      </c>
    </row>
    <row r="300" spans="1:79" ht="14.1" customHeight="1" x14ac:dyDescent="0.2">
      <c r="A300" s="66">
        <v>61</v>
      </c>
      <c r="B300" s="63">
        <v>2444</v>
      </c>
      <c r="C300" s="64">
        <v>600079848</v>
      </c>
      <c r="D300" s="63">
        <v>72742836</v>
      </c>
      <c r="E300" s="65" t="s">
        <v>657</v>
      </c>
      <c r="F300" s="66">
        <v>3111</v>
      </c>
      <c r="G300" s="65" t="s">
        <v>290</v>
      </c>
      <c r="H300" s="67" t="s">
        <v>271</v>
      </c>
      <c r="I300" s="420">
        <v>4641894</v>
      </c>
      <c r="J300" s="415">
        <v>3433044</v>
      </c>
      <c r="K300" s="415">
        <v>3253332</v>
      </c>
      <c r="L300" s="415">
        <v>179712</v>
      </c>
      <c r="M300" s="415">
        <v>0</v>
      </c>
      <c r="N300" s="415">
        <v>0</v>
      </c>
      <c r="O300" s="415">
        <v>0</v>
      </c>
      <c r="P300" s="599">
        <v>1160369</v>
      </c>
      <c r="Q300" s="599">
        <v>34330</v>
      </c>
      <c r="R300" s="415">
        <v>14151</v>
      </c>
      <c r="S300" s="416">
        <v>6.62</v>
      </c>
      <c r="T300" s="416">
        <v>5.9</v>
      </c>
      <c r="U300" s="423">
        <v>0.72</v>
      </c>
      <c r="V300" s="424">
        <f t="shared" si="415"/>
        <v>0</v>
      </c>
      <c r="W300" s="418">
        <f t="shared" si="416"/>
        <v>0</v>
      </c>
      <c r="X300" s="418">
        <v>0</v>
      </c>
      <c r="Y300" s="418">
        <v>0</v>
      </c>
      <c r="Z300" s="418">
        <v>0</v>
      </c>
      <c r="AA300" s="418">
        <v>0</v>
      </c>
      <c r="AB300" s="418">
        <v>0</v>
      </c>
      <c r="AC300" s="418">
        <v>0</v>
      </c>
      <c r="AD300" s="418">
        <f t="shared" ref="AD300:AD305" si="473">V300+X300+Y300+Z300+AB300</f>
        <v>0</v>
      </c>
      <c r="AE300" s="418">
        <f t="shared" ref="AE300:AE305" si="474">W300+AA300+AC300</f>
        <v>0</v>
      </c>
      <c r="AF300" s="418">
        <f t="shared" si="417"/>
        <v>0</v>
      </c>
      <c r="AG300" s="418">
        <v>0</v>
      </c>
      <c r="AH300" s="418">
        <v>0</v>
      </c>
      <c r="AI300" s="418">
        <v>0</v>
      </c>
      <c r="AJ300" s="418">
        <v>0</v>
      </c>
      <c r="AK300" s="418">
        <v>0</v>
      </c>
      <c r="AL300" s="418">
        <f t="shared" si="418"/>
        <v>0</v>
      </c>
      <c r="AM300" s="418">
        <f t="shared" si="419"/>
        <v>0</v>
      </c>
      <c r="AN300" s="418">
        <f t="shared" si="420"/>
        <v>0</v>
      </c>
      <c r="AO300" s="418">
        <f t="shared" si="421"/>
        <v>0</v>
      </c>
      <c r="AP300" s="418">
        <f t="shared" si="422"/>
        <v>0</v>
      </c>
      <c r="AQ300" s="418">
        <f t="shared" si="423"/>
        <v>0</v>
      </c>
      <c r="AR300" s="68">
        <f t="shared" si="424"/>
        <v>0</v>
      </c>
      <c r="AS300" s="68">
        <f t="shared" si="425"/>
        <v>0</v>
      </c>
      <c r="AT300" s="418">
        <v>0</v>
      </c>
      <c r="AU300" s="418">
        <v>0</v>
      </c>
      <c r="AV300" s="418">
        <f t="shared" si="426"/>
        <v>0</v>
      </c>
      <c r="AW300" s="418">
        <f t="shared" si="427"/>
        <v>0</v>
      </c>
      <c r="AX300" s="419">
        <v>0</v>
      </c>
      <c r="AY300" s="419">
        <v>0</v>
      </c>
      <c r="AZ300" s="419">
        <v>0</v>
      </c>
      <c r="BA300" s="419">
        <v>0</v>
      </c>
      <c r="BB300" s="419">
        <v>0</v>
      </c>
      <c r="BC300" s="419">
        <v>0</v>
      </c>
      <c r="BD300" s="419">
        <v>0</v>
      </c>
      <c r="BE300" s="419">
        <v>0</v>
      </c>
      <c r="BF300" s="419">
        <f t="shared" si="428"/>
        <v>0</v>
      </c>
      <c r="BG300" s="419">
        <f t="shared" si="429"/>
        <v>0</v>
      </c>
      <c r="BH300" s="421">
        <f t="shared" si="430"/>
        <v>0</v>
      </c>
      <c r="BI300" s="780">
        <f t="shared" ref="BI300:BI305" si="475">I300+AW300</f>
        <v>4641894</v>
      </c>
      <c r="BJ300" s="418">
        <f t="shared" ref="BJ300:BJ305" si="476">J300+AF300</f>
        <v>3433044</v>
      </c>
      <c r="BK300" s="418">
        <f t="shared" ref="BK300:BL305" si="477">K300+AD300</f>
        <v>3253332</v>
      </c>
      <c r="BL300" s="418">
        <f t="shared" si="477"/>
        <v>179712</v>
      </c>
      <c r="BM300" s="418">
        <f t="shared" ref="BM300:BM305" si="478">M300+AN300</f>
        <v>0</v>
      </c>
      <c r="BN300" s="418">
        <f t="shared" ref="BN300:BO305" si="479">N300+AL300</f>
        <v>0</v>
      </c>
      <c r="BO300" s="418">
        <f t="shared" si="479"/>
        <v>0</v>
      </c>
      <c r="BP300" s="418">
        <f t="shared" ref="BP300:BQ305" si="480">P300+AR300</f>
        <v>1160369</v>
      </c>
      <c r="BQ300" s="418">
        <f t="shared" si="480"/>
        <v>34330</v>
      </c>
      <c r="BR300" s="418">
        <f t="shared" ref="BR300:BR305" si="481">R300+AV300</f>
        <v>14151</v>
      </c>
      <c r="BS300" s="419">
        <f t="shared" ref="BS300:BS305" si="482">S300+BH300</f>
        <v>6.62</v>
      </c>
      <c r="BT300" s="419">
        <f t="shared" ref="BT300:BU305" si="483">T300+BF300</f>
        <v>5.9</v>
      </c>
      <c r="BU300" s="421">
        <f t="shared" si="483"/>
        <v>0.72</v>
      </c>
      <c r="BV300" s="420"/>
      <c r="BW300" s="415"/>
      <c r="BX300" s="415"/>
      <c r="BY300" s="415"/>
      <c r="BZ300" s="415"/>
      <c r="CA300" s="510"/>
    </row>
    <row r="301" spans="1:79" ht="14.1" customHeight="1" x14ac:dyDescent="0.2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657</v>
      </c>
      <c r="F301" s="66">
        <v>3117</v>
      </c>
      <c r="G301" s="81" t="s">
        <v>293</v>
      </c>
      <c r="H301" s="67" t="s">
        <v>271</v>
      </c>
      <c r="I301" s="420">
        <v>4208656</v>
      </c>
      <c r="J301" s="415">
        <v>3048038</v>
      </c>
      <c r="K301" s="415">
        <v>2618159</v>
      </c>
      <c r="L301" s="415">
        <v>429879</v>
      </c>
      <c r="M301" s="415">
        <v>21000</v>
      </c>
      <c r="N301" s="415">
        <v>21000</v>
      </c>
      <c r="O301" s="415">
        <v>0</v>
      </c>
      <c r="P301" s="599">
        <v>1037334</v>
      </c>
      <c r="Q301" s="599">
        <v>30481</v>
      </c>
      <c r="R301" s="415">
        <v>71803</v>
      </c>
      <c r="S301" s="416">
        <v>5.1632000000000007</v>
      </c>
      <c r="T301" s="416">
        <v>3.97</v>
      </c>
      <c r="U301" s="423">
        <v>1.1932</v>
      </c>
      <c r="V301" s="424">
        <f t="shared" si="415"/>
        <v>0</v>
      </c>
      <c r="W301" s="418">
        <f t="shared" si="416"/>
        <v>0</v>
      </c>
      <c r="X301" s="418">
        <v>0</v>
      </c>
      <c r="Y301" s="418">
        <v>0</v>
      </c>
      <c r="Z301" s="418">
        <v>0</v>
      </c>
      <c r="AA301" s="418">
        <v>0</v>
      </c>
      <c r="AB301" s="418">
        <v>0</v>
      </c>
      <c r="AC301" s="418">
        <v>0</v>
      </c>
      <c r="AD301" s="418">
        <f t="shared" si="473"/>
        <v>0</v>
      </c>
      <c r="AE301" s="418">
        <f t="shared" si="474"/>
        <v>0</v>
      </c>
      <c r="AF301" s="418">
        <f t="shared" si="417"/>
        <v>0</v>
      </c>
      <c r="AG301" s="418">
        <v>0</v>
      </c>
      <c r="AH301" s="418">
        <v>0</v>
      </c>
      <c r="AI301" s="418">
        <v>0</v>
      </c>
      <c r="AJ301" s="418">
        <v>0</v>
      </c>
      <c r="AK301" s="418">
        <v>0</v>
      </c>
      <c r="AL301" s="418">
        <f t="shared" si="418"/>
        <v>0</v>
      </c>
      <c r="AM301" s="418">
        <f t="shared" si="419"/>
        <v>0</v>
      </c>
      <c r="AN301" s="418">
        <f t="shared" si="420"/>
        <v>0</v>
      </c>
      <c r="AO301" s="418">
        <f t="shared" si="421"/>
        <v>0</v>
      </c>
      <c r="AP301" s="418">
        <f t="shared" si="422"/>
        <v>0</v>
      </c>
      <c r="AQ301" s="418">
        <f t="shared" si="423"/>
        <v>0</v>
      </c>
      <c r="AR301" s="68">
        <f t="shared" si="424"/>
        <v>0</v>
      </c>
      <c r="AS301" s="68">
        <f t="shared" si="425"/>
        <v>0</v>
      </c>
      <c r="AT301" s="418">
        <v>0</v>
      </c>
      <c r="AU301" s="418">
        <v>0</v>
      </c>
      <c r="AV301" s="418">
        <f t="shared" si="426"/>
        <v>0</v>
      </c>
      <c r="AW301" s="418">
        <f t="shared" si="427"/>
        <v>0</v>
      </c>
      <c r="AX301" s="419">
        <v>0</v>
      </c>
      <c r="AY301" s="419">
        <v>0</v>
      </c>
      <c r="AZ301" s="419">
        <v>0</v>
      </c>
      <c r="BA301" s="419">
        <v>0</v>
      </c>
      <c r="BB301" s="419">
        <v>0</v>
      </c>
      <c r="BC301" s="419">
        <v>0</v>
      </c>
      <c r="BD301" s="419">
        <v>0</v>
      </c>
      <c r="BE301" s="419">
        <v>0</v>
      </c>
      <c r="BF301" s="419">
        <f t="shared" si="428"/>
        <v>0</v>
      </c>
      <c r="BG301" s="419">
        <f t="shared" si="429"/>
        <v>0</v>
      </c>
      <c r="BH301" s="421">
        <f t="shared" si="430"/>
        <v>0</v>
      </c>
      <c r="BI301" s="780">
        <f t="shared" si="475"/>
        <v>4208656</v>
      </c>
      <c r="BJ301" s="418">
        <f t="shared" si="476"/>
        <v>3048038</v>
      </c>
      <c r="BK301" s="418">
        <f t="shared" si="477"/>
        <v>2618159</v>
      </c>
      <c r="BL301" s="418">
        <f t="shared" si="477"/>
        <v>429879</v>
      </c>
      <c r="BM301" s="418">
        <f t="shared" si="478"/>
        <v>21000</v>
      </c>
      <c r="BN301" s="418">
        <f t="shared" si="479"/>
        <v>21000</v>
      </c>
      <c r="BO301" s="418">
        <f t="shared" si="479"/>
        <v>0</v>
      </c>
      <c r="BP301" s="418">
        <f t="shared" si="480"/>
        <v>1037334</v>
      </c>
      <c r="BQ301" s="418">
        <f t="shared" si="480"/>
        <v>30481</v>
      </c>
      <c r="BR301" s="418">
        <f t="shared" si="481"/>
        <v>71803</v>
      </c>
      <c r="BS301" s="419">
        <f t="shared" si="482"/>
        <v>5.1632000000000007</v>
      </c>
      <c r="BT301" s="419">
        <f t="shared" si="483"/>
        <v>3.97</v>
      </c>
      <c r="BU301" s="421">
        <f t="shared" si="483"/>
        <v>1.1932</v>
      </c>
      <c r="BV301" s="420"/>
      <c r="BW301" s="415"/>
      <c r="BX301" s="415"/>
      <c r="BY301" s="415"/>
      <c r="BZ301" s="415"/>
      <c r="CA301" s="510"/>
    </row>
    <row r="302" spans="1:79" ht="14.1" customHeight="1" x14ac:dyDescent="0.2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657</v>
      </c>
      <c r="F302" s="66">
        <v>3117</v>
      </c>
      <c r="G302" s="77" t="s">
        <v>291</v>
      </c>
      <c r="H302" s="67" t="s">
        <v>272</v>
      </c>
      <c r="I302" s="420">
        <v>957485</v>
      </c>
      <c r="J302" s="415">
        <v>704366</v>
      </c>
      <c r="K302" s="415">
        <v>704366</v>
      </c>
      <c r="L302" s="415">
        <v>0</v>
      </c>
      <c r="M302" s="415">
        <v>0</v>
      </c>
      <c r="N302" s="415">
        <v>0</v>
      </c>
      <c r="O302" s="415">
        <v>0</v>
      </c>
      <c r="P302" s="599">
        <v>238075</v>
      </c>
      <c r="Q302" s="599">
        <v>7044</v>
      </c>
      <c r="R302" s="415">
        <v>8000</v>
      </c>
      <c r="S302" s="416">
        <v>2.0799999999999996</v>
      </c>
      <c r="T302" s="417">
        <v>2.0799999999999996</v>
      </c>
      <c r="U302" s="423">
        <v>0</v>
      </c>
      <c r="V302" s="424">
        <f t="shared" si="415"/>
        <v>0</v>
      </c>
      <c r="W302" s="418">
        <f t="shared" si="416"/>
        <v>0</v>
      </c>
      <c r="X302" s="418">
        <v>0</v>
      </c>
      <c r="Y302" s="418">
        <v>0</v>
      </c>
      <c r="Z302" s="418">
        <v>0</v>
      </c>
      <c r="AA302" s="418">
        <v>0</v>
      </c>
      <c r="AB302" s="418">
        <v>0</v>
      </c>
      <c r="AC302" s="418">
        <v>0</v>
      </c>
      <c r="AD302" s="418">
        <f t="shared" si="473"/>
        <v>0</v>
      </c>
      <c r="AE302" s="418">
        <f t="shared" si="474"/>
        <v>0</v>
      </c>
      <c r="AF302" s="418">
        <f t="shared" si="417"/>
        <v>0</v>
      </c>
      <c r="AG302" s="418">
        <v>0</v>
      </c>
      <c r="AH302" s="418">
        <v>0</v>
      </c>
      <c r="AI302" s="418">
        <v>0</v>
      </c>
      <c r="AJ302" s="418">
        <v>0</v>
      </c>
      <c r="AK302" s="418">
        <v>0</v>
      </c>
      <c r="AL302" s="418">
        <f t="shared" si="418"/>
        <v>0</v>
      </c>
      <c r="AM302" s="418">
        <f t="shared" si="419"/>
        <v>0</v>
      </c>
      <c r="AN302" s="418">
        <f t="shared" si="420"/>
        <v>0</v>
      </c>
      <c r="AO302" s="418">
        <f t="shared" si="421"/>
        <v>0</v>
      </c>
      <c r="AP302" s="418">
        <f t="shared" si="422"/>
        <v>0</v>
      </c>
      <c r="AQ302" s="418">
        <f t="shared" si="423"/>
        <v>0</v>
      </c>
      <c r="AR302" s="68">
        <f t="shared" si="424"/>
        <v>0</v>
      </c>
      <c r="AS302" s="68">
        <f t="shared" si="425"/>
        <v>0</v>
      </c>
      <c r="AT302" s="418">
        <v>0</v>
      </c>
      <c r="AU302" s="418">
        <v>0</v>
      </c>
      <c r="AV302" s="418">
        <f t="shared" si="426"/>
        <v>0</v>
      </c>
      <c r="AW302" s="418">
        <f t="shared" si="427"/>
        <v>0</v>
      </c>
      <c r="AX302" s="419">
        <v>0</v>
      </c>
      <c r="AY302" s="419">
        <v>0</v>
      </c>
      <c r="AZ302" s="419">
        <v>0</v>
      </c>
      <c r="BA302" s="419">
        <v>0</v>
      </c>
      <c r="BB302" s="419">
        <v>0</v>
      </c>
      <c r="BC302" s="419">
        <v>0</v>
      </c>
      <c r="BD302" s="419">
        <v>0</v>
      </c>
      <c r="BE302" s="419">
        <v>0</v>
      </c>
      <c r="BF302" s="419">
        <f t="shared" si="428"/>
        <v>0</v>
      </c>
      <c r="BG302" s="419">
        <f t="shared" si="429"/>
        <v>0</v>
      </c>
      <c r="BH302" s="421">
        <f t="shared" si="430"/>
        <v>0</v>
      </c>
      <c r="BI302" s="780">
        <f t="shared" si="475"/>
        <v>957485</v>
      </c>
      <c r="BJ302" s="418">
        <f t="shared" si="476"/>
        <v>704366</v>
      </c>
      <c r="BK302" s="418">
        <f t="shared" si="477"/>
        <v>704366</v>
      </c>
      <c r="BL302" s="418">
        <f t="shared" si="477"/>
        <v>0</v>
      </c>
      <c r="BM302" s="418">
        <f t="shared" si="478"/>
        <v>0</v>
      </c>
      <c r="BN302" s="418">
        <f t="shared" si="479"/>
        <v>0</v>
      </c>
      <c r="BO302" s="418">
        <f t="shared" si="479"/>
        <v>0</v>
      </c>
      <c r="BP302" s="418">
        <f t="shared" si="480"/>
        <v>238075</v>
      </c>
      <c r="BQ302" s="418">
        <f t="shared" si="480"/>
        <v>7044</v>
      </c>
      <c r="BR302" s="418">
        <f t="shared" si="481"/>
        <v>8000</v>
      </c>
      <c r="BS302" s="419">
        <f t="shared" si="482"/>
        <v>2.0799999999999996</v>
      </c>
      <c r="BT302" s="419">
        <f t="shared" si="483"/>
        <v>2.0799999999999996</v>
      </c>
      <c r="BU302" s="421">
        <f t="shared" si="483"/>
        <v>0</v>
      </c>
      <c r="BV302" s="420"/>
      <c r="BW302" s="415"/>
      <c r="BX302" s="415"/>
      <c r="BY302" s="415"/>
      <c r="BZ302" s="415"/>
      <c r="CA302" s="510"/>
    </row>
    <row r="303" spans="1:79" ht="14.1" customHeight="1" x14ac:dyDescent="0.2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657</v>
      </c>
      <c r="F303" s="66">
        <v>3141</v>
      </c>
      <c r="G303" s="65" t="s">
        <v>294</v>
      </c>
      <c r="H303" s="67" t="s">
        <v>272</v>
      </c>
      <c r="I303" s="420">
        <v>875975</v>
      </c>
      <c r="J303" s="415">
        <v>646951</v>
      </c>
      <c r="K303" s="415">
        <v>0</v>
      </c>
      <c r="L303" s="750">
        <v>646951</v>
      </c>
      <c r="M303" s="415">
        <v>0</v>
      </c>
      <c r="N303" s="204">
        <v>0</v>
      </c>
      <c r="O303" s="204">
        <v>0</v>
      </c>
      <c r="P303" s="599">
        <v>218669</v>
      </c>
      <c r="Q303" s="599">
        <v>6470</v>
      </c>
      <c r="R303" s="605">
        <v>3885</v>
      </c>
      <c r="S303" s="416">
        <v>1.94</v>
      </c>
      <c r="T303" s="607">
        <v>0</v>
      </c>
      <c r="U303" s="737">
        <v>1.94</v>
      </c>
      <c r="V303" s="424">
        <f t="shared" si="415"/>
        <v>0</v>
      </c>
      <c r="W303" s="418">
        <f t="shared" si="416"/>
        <v>0</v>
      </c>
      <c r="X303" s="418">
        <v>0</v>
      </c>
      <c r="Y303" s="418">
        <v>0</v>
      </c>
      <c r="Z303" s="418">
        <v>0</v>
      </c>
      <c r="AA303" s="418">
        <v>324571</v>
      </c>
      <c r="AB303" s="418">
        <v>0</v>
      </c>
      <c r="AC303" s="418">
        <v>0</v>
      </c>
      <c r="AD303" s="418">
        <f t="shared" si="473"/>
        <v>0</v>
      </c>
      <c r="AE303" s="418">
        <f t="shared" si="474"/>
        <v>324571</v>
      </c>
      <c r="AF303" s="418">
        <f t="shared" si="417"/>
        <v>324571</v>
      </c>
      <c r="AG303" s="418">
        <v>0</v>
      </c>
      <c r="AH303" s="418">
        <v>0</v>
      </c>
      <c r="AI303" s="418">
        <v>0</v>
      </c>
      <c r="AJ303" s="418">
        <v>0</v>
      </c>
      <c r="AK303" s="418">
        <v>0</v>
      </c>
      <c r="AL303" s="418">
        <f t="shared" si="418"/>
        <v>0</v>
      </c>
      <c r="AM303" s="418">
        <f t="shared" si="419"/>
        <v>0</v>
      </c>
      <c r="AN303" s="418">
        <f t="shared" si="420"/>
        <v>0</v>
      </c>
      <c r="AO303" s="418">
        <f t="shared" si="421"/>
        <v>0</v>
      </c>
      <c r="AP303" s="418">
        <f t="shared" si="422"/>
        <v>324571</v>
      </c>
      <c r="AQ303" s="418">
        <f t="shared" si="423"/>
        <v>324571</v>
      </c>
      <c r="AR303" s="68">
        <f t="shared" si="424"/>
        <v>109705</v>
      </c>
      <c r="AS303" s="68">
        <f t="shared" si="425"/>
        <v>3246</v>
      </c>
      <c r="AT303" s="418">
        <v>0</v>
      </c>
      <c r="AU303" s="418">
        <v>1887</v>
      </c>
      <c r="AV303" s="418">
        <f t="shared" si="426"/>
        <v>1887</v>
      </c>
      <c r="AW303" s="418">
        <f t="shared" si="427"/>
        <v>439409</v>
      </c>
      <c r="AX303" s="419">
        <v>0</v>
      </c>
      <c r="AY303" s="419">
        <v>0</v>
      </c>
      <c r="AZ303" s="419">
        <v>0</v>
      </c>
      <c r="BA303" s="419">
        <v>0</v>
      </c>
      <c r="BB303" s="419">
        <v>0.97</v>
      </c>
      <c r="BC303" s="419">
        <v>0</v>
      </c>
      <c r="BD303" s="419">
        <v>0</v>
      </c>
      <c r="BE303" s="419">
        <v>0</v>
      </c>
      <c r="BF303" s="419">
        <f t="shared" si="428"/>
        <v>0</v>
      </c>
      <c r="BG303" s="419">
        <f t="shared" si="429"/>
        <v>0.97</v>
      </c>
      <c r="BH303" s="421">
        <f t="shared" si="430"/>
        <v>0.97</v>
      </c>
      <c r="BI303" s="780">
        <f t="shared" si="475"/>
        <v>1315384</v>
      </c>
      <c r="BJ303" s="418">
        <f t="shared" si="476"/>
        <v>971522</v>
      </c>
      <c r="BK303" s="418">
        <f t="shared" si="477"/>
        <v>0</v>
      </c>
      <c r="BL303" s="418">
        <f t="shared" si="477"/>
        <v>971522</v>
      </c>
      <c r="BM303" s="418">
        <f t="shared" si="478"/>
        <v>0</v>
      </c>
      <c r="BN303" s="418">
        <f t="shared" si="479"/>
        <v>0</v>
      </c>
      <c r="BO303" s="418">
        <f t="shared" si="479"/>
        <v>0</v>
      </c>
      <c r="BP303" s="418">
        <f t="shared" si="480"/>
        <v>328374</v>
      </c>
      <c r="BQ303" s="418">
        <f t="shared" si="480"/>
        <v>9716</v>
      </c>
      <c r="BR303" s="418">
        <f t="shared" si="481"/>
        <v>5772</v>
      </c>
      <c r="BS303" s="419">
        <f t="shared" si="482"/>
        <v>2.91</v>
      </c>
      <c r="BT303" s="419">
        <f t="shared" si="483"/>
        <v>0</v>
      </c>
      <c r="BU303" s="421">
        <f t="shared" si="483"/>
        <v>2.91</v>
      </c>
      <c r="BV303" s="420"/>
      <c r="BW303" s="415"/>
      <c r="BX303" s="415"/>
      <c r="BY303" s="415"/>
      <c r="BZ303" s="415"/>
      <c r="CA303" s="510"/>
    </row>
    <row r="304" spans="1:79" ht="14.1" customHeight="1" x14ac:dyDescent="0.2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657</v>
      </c>
      <c r="F304" s="66">
        <v>3143</v>
      </c>
      <c r="G304" s="77" t="s">
        <v>595</v>
      </c>
      <c r="H304" s="67" t="s">
        <v>271</v>
      </c>
      <c r="I304" s="420">
        <v>748171</v>
      </c>
      <c r="J304" s="415">
        <v>555023</v>
      </c>
      <c r="K304" s="415">
        <v>555023</v>
      </c>
      <c r="L304" s="415">
        <v>0</v>
      </c>
      <c r="M304" s="415">
        <v>0</v>
      </c>
      <c r="N304" s="415">
        <v>0</v>
      </c>
      <c r="O304" s="415">
        <v>0</v>
      </c>
      <c r="P304" s="599">
        <v>187598</v>
      </c>
      <c r="Q304" s="599">
        <v>5550</v>
      </c>
      <c r="R304" s="415">
        <v>0</v>
      </c>
      <c r="S304" s="416">
        <v>1</v>
      </c>
      <c r="T304" s="416">
        <v>1</v>
      </c>
      <c r="U304" s="423">
        <v>0</v>
      </c>
      <c r="V304" s="424">
        <f t="shared" si="415"/>
        <v>0</v>
      </c>
      <c r="W304" s="418">
        <f t="shared" si="416"/>
        <v>0</v>
      </c>
      <c r="X304" s="418">
        <v>0</v>
      </c>
      <c r="Y304" s="418">
        <v>0</v>
      </c>
      <c r="Z304" s="418">
        <v>0</v>
      </c>
      <c r="AA304" s="418">
        <v>0</v>
      </c>
      <c r="AB304" s="418">
        <v>0</v>
      </c>
      <c r="AC304" s="418">
        <v>0</v>
      </c>
      <c r="AD304" s="418">
        <f t="shared" si="473"/>
        <v>0</v>
      </c>
      <c r="AE304" s="418">
        <f t="shared" si="474"/>
        <v>0</v>
      </c>
      <c r="AF304" s="418">
        <f t="shared" si="417"/>
        <v>0</v>
      </c>
      <c r="AG304" s="418">
        <v>0</v>
      </c>
      <c r="AH304" s="418">
        <v>0</v>
      </c>
      <c r="AI304" s="418">
        <v>0</v>
      </c>
      <c r="AJ304" s="418">
        <v>0</v>
      </c>
      <c r="AK304" s="418">
        <v>0</v>
      </c>
      <c r="AL304" s="418">
        <f t="shared" si="418"/>
        <v>0</v>
      </c>
      <c r="AM304" s="418">
        <f t="shared" si="419"/>
        <v>0</v>
      </c>
      <c r="AN304" s="418">
        <f t="shared" si="420"/>
        <v>0</v>
      </c>
      <c r="AO304" s="418">
        <f t="shared" si="421"/>
        <v>0</v>
      </c>
      <c r="AP304" s="418">
        <f t="shared" si="422"/>
        <v>0</v>
      </c>
      <c r="AQ304" s="418">
        <f t="shared" si="423"/>
        <v>0</v>
      </c>
      <c r="AR304" s="68">
        <f t="shared" si="424"/>
        <v>0</v>
      </c>
      <c r="AS304" s="68">
        <f t="shared" si="425"/>
        <v>0</v>
      </c>
      <c r="AT304" s="418">
        <v>0</v>
      </c>
      <c r="AU304" s="418">
        <v>0</v>
      </c>
      <c r="AV304" s="418">
        <f t="shared" si="426"/>
        <v>0</v>
      </c>
      <c r="AW304" s="418">
        <f t="shared" si="427"/>
        <v>0</v>
      </c>
      <c r="AX304" s="419">
        <v>0</v>
      </c>
      <c r="AY304" s="419">
        <v>0</v>
      </c>
      <c r="AZ304" s="419">
        <v>0</v>
      </c>
      <c r="BA304" s="419">
        <v>0</v>
      </c>
      <c r="BB304" s="419">
        <v>0</v>
      </c>
      <c r="BC304" s="419">
        <v>0</v>
      </c>
      <c r="BD304" s="419">
        <v>0</v>
      </c>
      <c r="BE304" s="419">
        <v>0</v>
      </c>
      <c r="BF304" s="419">
        <f t="shared" si="428"/>
        <v>0</v>
      </c>
      <c r="BG304" s="419">
        <f t="shared" si="429"/>
        <v>0</v>
      </c>
      <c r="BH304" s="421">
        <f t="shared" si="430"/>
        <v>0</v>
      </c>
      <c r="BI304" s="780">
        <f t="shared" si="475"/>
        <v>748171</v>
      </c>
      <c r="BJ304" s="418">
        <f t="shared" si="476"/>
        <v>555023</v>
      </c>
      <c r="BK304" s="418">
        <f t="shared" si="477"/>
        <v>555023</v>
      </c>
      <c r="BL304" s="418">
        <f t="shared" si="477"/>
        <v>0</v>
      </c>
      <c r="BM304" s="418">
        <f t="shared" si="478"/>
        <v>0</v>
      </c>
      <c r="BN304" s="418">
        <f t="shared" si="479"/>
        <v>0</v>
      </c>
      <c r="BO304" s="418">
        <f t="shared" si="479"/>
        <v>0</v>
      </c>
      <c r="BP304" s="418">
        <f t="shared" si="480"/>
        <v>187598</v>
      </c>
      <c r="BQ304" s="418">
        <f t="shared" si="480"/>
        <v>5550</v>
      </c>
      <c r="BR304" s="418">
        <f t="shared" si="481"/>
        <v>0</v>
      </c>
      <c r="BS304" s="419">
        <f t="shared" si="482"/>
        <v>1</v>
      </c>
      <c r="BT304" s="419">
        <f t="shared" si="483"/>
        <v>1</v>
      </c>
      <c r="BU304" s="421">
        <f t="shared" si="483"/>
        <v>0</v>
      </c>
      <c r="BV304" s="420"/>
      <c r="BW304" s="415"/>
      <c r="BX304" s="415"/>
      <c r="BY304" s="415"/>
      <c r="BZ304" s="415"/>
      <c r="CA304" s="510"/>
    </row>
    <row r="305" spans="1:79" ht="14.1" customHeight="1" x14ac:dyDescent="0.2">
      <c r="A305" s="66">
        <v>61</v>
      </c>
      <c r="B305" s="63">
        <v>2444</v>
      </c>
      <c r="C305" s="64">
        <v>600079848</v>
      </c>
      <c r="D305" s="63">
        <v>72742836</v>
      </c>
      <c r="E305" s="65" t="s">
        <v>657</v>
      </c>
      <c r="F305" s="66">
        <v>3143</v>
      </c>
      <c r="G305" s="77" t="s">
        <v>596</v>
      </c>
      <c r="H305" s="67" t="s">
        <v>272</v>
      </c>
      <c r="I305" s="420">
        <v>15380</v>
      </c>
      <c r="J305" s="415">
        <v>11009</v>
      </c>
      <c r="K305" s="415">
        <v>0</v>
      </c>
      <c r="L305" s="605">
        <v>11009</v>
      </c>
      <c r="M305" s="415">
        <v>0</v>
      </c>
      <c r="N305" s="415">
        <v>0</v>
      </c>
      <c r="O305" s="415">
        <v>0</v>
      </c>
      <c r="P305" s="599">
        <v>3721</v>
      </c>
      <c r="Q305" s="599">
        <v>110</v>
      </c>
      <c r="R305" s="606">
        <v>540</v>
      </c>
      <c r="S305" s="416">
        <v>4.1700000000000001E-2</v>
      </c>
      <c r="T305" s="609">
        <v>0</v>
      </c>
      <c r="U305" s="737">
        <v>4.1700000000000001E-2</v>
      </c>
      <c r="V305" s="424">
        <f t="shared" si="415"/>
        <v>0</v>
      </c>
      <c r="W305" s="418">
        <f t="shared" si="416"/>
        <v>0</v>
      </c>
      <c r="X305" s="418">
        <v>0</v>
      </c>
      <c r="Y305" s="418">
        <v>0</v>
      </c>
      <c r="Z305" s="418">
        <v>0</v>
      </c>
      <c r="AA305" s="418">
        <v>5491</v>
      </c>
      <c r="AB305" s="418">
        <v>0</v>
      </c>
      <c r="AC305" s="418">
        <v>0</v>
      </c>
      <c r="AD305" s="418">
        <f t="shared" si="473"/>
        <v>0</v>
      </c>
      <c r="AE305" s="418">
        <f t="shared" si="474"/>
        <v>5491</v>
      </c>
      <c r="AF305" s="418">
        <f t="shared" si="417"/>
        <v>5491</v>
      </c>
      <c r="AG305" s="418">
        <v>0</v>
      </c>
      <c r="AH305" s="418">
        <v>0</v>
      </c>
      <c r="AI305" s="418">
        <v>0</v>
      </c>
      <c r="AJ305" s="418">
        <v>0</v>
      </c>
      <c r="AK305" s="418">
        <v>0</v>
      </c>
      <c r="AL305" s="418">
        <f t="shared" si="418"/>
        <v>0</v>
      </c>
      <c r="AM305" s="418">
        <f t="shared" si="419"/>
        <v>0</v>
      </c>
      <c r="AN305" s="418">
        <f t="shared" si="420"/>
        <v>0</v>
      </c>
      <c r="AO305" s="418">
        <f t="shared" si="421"/>
        <v>0</v>
      </c>
      <c r="AP305" s="418">
        <f t="shared" si="422"/>
        <v>5491</v>
      </c>
      <c r="AQ305" s="418">
        <f t="shared" si="423"/>
        <v>5491</v>
      </c>
      <c r="AR305" s="68">
        <f t="shared" si="424"/>
        <v>1856</v>
      </c>
      <c r="AS305" s="68">
        <f t="shared" si="425"/>
        <v>55</v>
      </c>
      <c r="AT305" s="418">
        <v>0</v>
      </c>
      <c r="AU305" s="418">
        <v>270</v>
      </c>
      <c r="AV305" s="418">
        <f t="shared" si="426"/>
        <v>270</v>
      </c>
      <c r="AW305" s="418">
        <f t="shared" si="427"/>
        <v>7672</v>
      </c>
      <c r="AX305" s="419">
        <v>0</v>
      </c>
      <c r="AY305" s="419">
        <v>0</v>
      </c>
      <c r="AZ305" s="419">
        <v>0</v>
      </c>
      <c r="BA305" s="419">
        <v>0</v>
      </c>
      <c r="BB305" s="419">
        <v>0.02</v>
      </c>
      <c r="BC305" s="419">
        <v>0</v>
      </c>
      <c r="BD305" s="419">
        <v>0</v>
      </c>
      <c r="BE305" s="419">
        <v>0</v>
      </c>
      <c r="BF305" s="419">
        <f t="shared" si="428"/>
        <v>0</v>
      </c>
      <c r="BG305" s="419">
        <f t="shared" si="429"/>
        <v>0.02</v>
      </c>
      <c r="BH305" s="421">
        <f t="shared" si="430"/>
        <v>0.02</v>
      </c>
      <c r="BI305" s="780">
        <f t="shared" si="475"/>
        <v>23052</v>
      </c>
      <c r="BJ305" s="418">
        <f t="shared" si="476"/>
        <v>16500</v>
      </c>
      <c r="BK305" s="418">
        <f t="shared" si="477"/>
        <v>0</v>
      </c>
      <c r="BL305" s="418">
        <f t="shared" si="477"/>
        <v>16500</v>
      </c>
      <c r="BM305" s="418">
        <f t="shared" si="478"/>
        <v>0</v>
      </c>
      <c r="BN305" s="418">
        <f t="shared" si="479"/>
        <v>0</v>
      </c>
      <c r="BO305" s="418">
        <f t="shared" si="479"/>
        <v>0</v>
      </c>
      <c r="BP305" s="418">
        <f t="shared" si="480"/>
        <v>5577</v>
      </c>
      <c r="BQ305" s="418">
        <f t="shared" si="480"/>
        <v>165</v>
      </c>
      <c r="BR305" s="418">
        <f t="shared" si="481"/>
        <v>810</v>
      </c>
      <c r="BS305" s="419">
        <f t="shared" si="482"/>
        <v>6.1700000000000005E-2</v>
      </c>
      <c r="BT305" s="419">
        <f t="shared" si="483"/>
        <v>0</v>
      </c>
      <c r="BU305" s="421">
        <f t="shared" si="483"/>
        <v>6.1700000000000005E-2</v>
      </c>
      <c r="BV305" s="420"/>
      <c r="BW305" s="415"/>
      <c r="BX305" s="415"/>
      <c r="BY305" s="415"/>
      <c r="BZ305" s="415"/>
      <c r="CA305" s="510"/>
    </row>
    <row r="306" spans="1:79" ht="14.1" customHeight="1" x14ac:dyDescent="0.2">
      <c r="A306" s="72">
        <v>61</v>
      </c>
      <c r="B306" s="69">
        <v>2444</v>
      </c>
      <c r="C306" s="70">
        <v>600079848</v>
      </c>
      <c r="D306" s="69">
        <v>72742836</v>
      </c>
      <c r="E306" s="71" t="s">
        <v>658</v>
      </c>
      <c r="F306" s="72"/>
      <c r="G306" s="71"/>
      <c r="H306" s="73"/>
      <c r="I306" s="517">
        <v>11447561</v>
      </c>
      <c r="J306" s="74">
        <v>8398431</v>
      </c>
      <c r="K306" s="74">
        <v>7130880</v>
      </c>
      <c r="L306" s="74">
        <v>1267551</v>
      </c>
      <c r="M306" s="74">
        <v>21000</v>
      </c>
      <c r="N306" s="74">
        <v>21000</v>
      </c>
      <c r="O306" s="74">
        <v>0</v>
      </c>
      <c r="P306" s="74">
        <v>2845766</v>
      </c>
      <c r="Q306" s="74">
        <v>83985</v>
      </c>
      <c r="R306" s="74">
        <v>98379</v>
      </c>
      <c r="S306" s="75">
        <v>16.844899999999999</v>
      </c>
      <c r="T306" s="75">
        <v>12.950000000000001</v>
      </c>
      <c r="U306" s="658">
        <v>3.8949000000000003</v>
      </c>
      <c r="V306" s="517">
        <f t="shared" ref="V306:BU306" si="484">SUM(V300:V305)</f>
        <v>0</v>
      </c>
      <c r="W306" s="74">
        <f t="shared" si="484"/>
        <v>0</v>
      </c>
      <c r="X306" s="74">
        <f t="shared" si="484"/>
        <v>0</v>
      </c>
      <c r="Y306" s="74">
        <f t="shared" si="484"/>
        <v>0</v>
      </c>
      <c r="Z306" s="74">
        <f t="shared" si="484"/>
        <v>0</v>
      </c>
      <c r="AA306" s="74">
        <f t="shared" si="484"/>
        <v>330062</v>
      </c>
      <c r="AB306" s="74">
        <f t="shared" si="484"/>
        <v>0</v>
      </c>
      <c r="AC306" s="74">
        <f t="shared" si="484"/>
        <v>0</v>
      </c>
      <c r="AD306" s="74">
        <f t="shared" si="484"/>
        <v>0</v>
      </c>
      <c r="AE306" s="74">
        <f t="shared" si="484"/>
        <v>330062</v>
      </c>
      <c r="AF306" s="74">
        <f t="shared" si="484"/>
        <v>330062</v>
      </c>
      <c r="AG306" s="74">
        <f t="shared" si="484"/>
        <v>0</v>
      </c>
      <c r="AH306" s="74">
        <f t="shared" si="484"/>
        <v>0</v>
      </c>
      <c r="AI306" s="74">
        <f t="shared" si="484"/>
        <v>0</v>
      </c>
      <c r="AJ306" s="74">
        <f t="shared" si="484"/>
        <v>0</v>
      </c>
      <c r="AK306" s="74">
        <f t="shared" si="484"/>
        <v>0</v>
      </c>
      <c r="AL306" s="74">
        <f t="shared" si="484"/>
        <v>0</v>
      </c>
      <c r="AM306" s="74">
        <f t="shared" si="484"/>
        <v>0</v>
      </c>
      <c r="AN306" s="74">
        <f t="shared" si="484"/>
        <v>0</v>
      </c>
      <c r="AO306" s="74">
        <f t="shared" si="484"/>
        <v>0</v>
      </c>
      <c r="AP306" s="74">
        <f t="shared" si="484"/>
        <v>330062</v>
      </c>
      <c r="AQ306" s="74">
        <f t="shared" si="484"/>
        <v>330062</v>
      </c>
      <c r="AR306" s="74">
        <f t="shared" si="484"/>
        <v>111561</v>
      </c>
      <c r="AS306" s="74">
        <f t="shared" si="484"/>
        <v>3301</v>
      </c>
      <c r="AT306" s="74">
        <f t="shared" si="484"/>
        <v>0</v>
      </c>
      <c r="AU306" s="74">
        <f t="shared" si="484"/>
        <v>2157</v>
      </c>
      <c r="AV306" s="74">
        <f t="shared" si="484"/>
        <v>2157</v>
      </c>
      <c r="AW306" s="74">
        <f t="shared" si="484"/>
        <v>447081</v>
      </c>
      <c r="AX306" s="75">
        <f t="shared" si="484"/>
        <v>0</v>
      </c>
      <c r="AY306" s="75">
        <f t="shared" si="484"/>
        <v>0</v>
      </c>
      <c r="AZ306" s="75">
        <f t="shared" si="484"/>
        <v>0</v>
      </c>
      <c r="BA306" s="75">
        <f t="shared" si="484"/>
        <v>0</v>
      </c>
      <c r="BB306" s="75">
        <f t="shared" si="484"/>
        <v>0.99</v>
      </c>
      <c r="BC306" s="75">
        <f t="shared" si="484"/>
        <v>0</v>
      </c>
      <c r="BD306" s="75">
        <f t="shared" si="484"/>
        <v>0</v>
      </c>
      <c r="BE306" s="75">
        <f t="shared" si="484"/>
        <v>0</v>
      </c>
      <c r="BF306" s="75">
        <f t="shared" si="484"/>
        <v>0</v>
      </c>
      <c r="BG306" s="75">
        <f t="shared" si="484"/>
        <v>0.99</v>
      </c>
      <c r="BH306" s="76">
        <f t="shared" si="484"/>
        <v>0.99</v>
      </c>
      <c r="BI306" s="799">
        <f t="shared" si="484"/>
        <v>11894642</v>
      </c>
      <c r="BJ306" s="74">
        <f t="shared" si="484"/>
        <v>8728493</v>
      </c>
      <c r="BK306" s="74">
        <f t="shared" si="484"/>
        <v>7130880</v>
      </c>
      <c r="BL306" s="74">
        <f t="shared" si="484"/>
        <v>1597613</v>
      </c>
      <c r="BM306" s="74">
        <f t="shared" si="484"/>
        <v>21000</v>
      </c>
      <c r="BN306" s="74">
        <f t="shared" si="484"/>
        <v>21000</v>
      </c>
      <c r="BO306" s="74">
        <f t="shared" si="484"/>
        <v>0</v>
      </c>
      <c r="BP306" s="74">
        <f t="shared" si="484"/>
        <v>2957327</v>
      </c>
      <c r="BQ306" s="74">
        <f t="shared" si="484"/>
        <v>87286</v>
      </c>
      <c r="BR306" s="74">
        <f t="shared" si="484"/>
        <v>100536</v>
      </c>
      <c r="BS306" s="75">
        <f t="shared" si="484"/>
        <v>17.834900000000001</v>
      </c>
      <c r="BT306" s="75">
        <f t="shared" si="484"/>
        <v>12.950000000000001</v>
      </c>
      <c r="BU306" s="76">
        <f t="shared" si="484"/>
        <v>4.8849</v>
      </c>
      <c r="BV306" s="809">
        <f t="shared" ref="BV306:CA306" si="485">SUM(BV300:BV305)</f>
        <v>0</v>
      </c>
      <c r="BW306" s="684">
        <f t="shared" si="485"/>
        <v>0</v>
      </c>
      <c r="BX306" s="684">
        <f t="shared" si="485"/>
        <v>0</v>
      </c>
      <c r="BY306" s="684">
        <f t="shared" si="485"/>
        <v>0</v>
      </c>
      <c r="BZ306" s="684">
        <f t="shared" si="485"/>
        <v>0</v>
      </c>
      <c r="CA306" s="810">
        <f t="shared" si="485"/>
        <v>0</v>
      </c>
    </row>
    <row r="307" spans="1:79" ht="14.1" customHeight="1" x14ac:dyDescent="0.2">
      <c r="A307" s="66">
        <v>62</v>
      </c>
      <c r="B307" s="63">
        <v>2457</v>
      </c>
      <c r="C307" s="64">
        <v>650021479</v>
      </c>
      <c r="D307" s="63">
        <v>72742577</v>
      </c>
      <c r="E307" s="65" t="s">
        <v>659</v>
      </c>
      <c r="F307" s="66">
        <v>3111</v>
      </c>
      <c r="G307" s="65" t="s">
        <v>290</v>
      </c>
      <c r="H307" s="67" t="s">
        <v>271</v>
      </c>
      <c r="I307" s="420">
        <v>1440478</v>
      </c>
      <c r="J307" s="415">
        <v>1065237</v>
      </c>
      <c r="K307" s="415">
        <v>1005333</v>
      </c>
      <c r="L307" s="415">
        <v>59904</v>
      </c>
      <c r="M307" s="415">
        <v>0</v>
      </c>
      <c r="N307" s="415">
        <v>0</v>
      </c>
      <c r="O307" s="415">
        <v>0</v>
      </c>
      <c r="P307" s="599">
        <v>360050</v>
      </c>
      <c r="Q307" s="599">
        <v>10652</v>
      </c>
      <c r="R307" s="415">
        <v>4539</v>
      </c>
      <c r="S307" s="416">
        <v>2.1399999999999997</v>
      </c>
      <c r="T307" s="416">
        <v>1.9</v>
      </c>
      <c r="U307" s="423">
        <v>0.24</v>
      </c>
      <c r="V307" s="424">
        <f t="shared" si="415"/>
        <v>0</v>
      </c>
      <c r="W307" s="418">
        <f t="shared" si="416"/>
        <v>0</v>
      </c>
      <c r="X307" s="418">
        <v>0</v>
      </c>
      <c r="Y307" s="418">
        <v>0</v>
      </c>
      <c r="Z307" s="418">
        <v>0</v>
      </c>
      <c r="AA307" s="418">
        <v>0</v>
      </c>
      <c r="AB307" s="418">
        <v>0</v>
      </c>
      <c r="AC307" s="418">
        <v>0</v>
      </c>
      <c r="AD307" s="418">
        <f t="shared" ref="AD307:AD312" si="486">V307+X307+Y307+Z307+AB307</f>
        <v>0</v>
      </c>
      <c r="AE307" s="418">
        <f t="shared" ref="AE307:AE312" si="487">W307+AA307+AC307</f>
        <v>0</v>
      </c>
      <c r="AF307" s="418">
        <f t="shared" si="417"/>
        <v>0</v>
      </c>
      <c r="AG307" s="418">
        <v>0</v>
      </c>
      <c r="AH307" s="418">
        <v>0</v>
      </c>
      <c r="AI307" s="418">
        <v>0</v>
      </c>
      <c r="AJ307" s="418">
        <v>0</v>
      </c>
      <c r="AK307" s="418">
        <v>0</v>
      </c>
      <c r="AL307" s="418">
        <f t="shared" si="418"/>
        <v>0</v>
      </c>
      <c r="AM307" s="418">
        <f t="shared" si="419"/>
        <v>0</v>
      </c>
      <c r="AN307" s="418">
        <f t="shared" si="420"/>
        <v>0</v>
      </c>
      <c r="AO307" s="418">
        <f t="shared" si="421"/>
        <v>0</v>
      </c>
      <c r="AP307" s="418">
        <f t="shared" si="422"/>
        <v>0</v>
      </c>
      <c r="AQ307" s="418">
        <f t="shared" si="423"/>
        <v>0</v>
      </c>
      <c r="AR307" s="68">
        <f t="shared" si="424"/>
        <v>0</v>
      </c>
      <c r="AS307" s="68">
        <f t="shared" si="425"/>
        <v>0</v>
      </c>
      <c r="AT307" s="418">
        <v>0</v>
      </c>
      <c r="AU307" s="418">
        <v>0</v>
      </c>
      <c r="AV307" s="418">
        <f t="shared" si="426"/>
        <v>0</v>
      </c>
      <c r="AW307" s="418">
        <f t="shared" si="427"/>
        <v>0</v>
      </c>
      <c r="AX307" s="419">
        <v>0</v>
      </c>
      <c r="AY307" s="419">
        <v>0</v>
      </c>
      <c r="AZ307" s="419">
        <v>0</v>
      </c>
      <c r="BA307" s="419">
        <v>0</v>
      </c>
      <c r="BB307" s="419">
        <v>0</v>
      </c>
      <c r="BC307" s="419">
        <v>0</v>
      </c>
      <c r="BD307" s="419">
        <v>0</v>
      </c>
      <c r="BE307" s="419">
        <v>0</v>
      </c>
      <c r="BF307" s="419">
        <f t="shared" si="428"/>
        <v>0</v>
      </c>
      <c r="BG307" s="419">
        <f t="shared" si="429"/>
        <v>0</v>
      </c>
      <c r="BH307" s="421">
        <f t="shared" si="430"/>
        <v>0</v>
      </c>
      <c r="BI307" s="780">
        <f t="shared" ref="BI307:BI312" si="488">I307+AW307</f>
        <v>1440478</v>
      </c>
      <c r="BJ307" s="418">
        <f t="shared" ref="BJ307:BJ312" si="489">J307+AF307</f>
        <v>1065237</v>
      </c>
      <c r="BK307" s="418">
        <f t="shared" ref="BK307:BL312" si="490">K307+AD307</f>
        <v>1005333</v>
      </c>
      <c r="BL307" s="418">
        <f t="shared" si="490"/>
        <v>59904</v>
      </c>
      <c r="BM307" s="418">
        <f t="shared" ref="BM307:BM312" si="491">M307+AN307</f>
        <v>0</v>
      </c>
      <c r="BN307" s="418">
        <f t="shared" ref="BN307:BO312" si="492">N307+AL307</f>
        <v>0</v>
      </c>
      <c r="BO307" s="418">
        <f t="shared" si="492"/>
        <v>0</v>
      </c>
      <c r="BP307" s="418">
        <f t="shared" ref="BP307:BQ312" si="493">P307+AR307</f>
        <v>360050</v>
      </c>
      <c r="BQ307" s="418">
        <f t="shared" si="493"/>
        <v>10652</v>
      </c>
      <c r="BR307" s="418">
        <f t="shared" ref="BR307:BR312" si="494">R307+AV307</f>
        <v>4539</v>
      </c>
      <c r="BS307" s="419">
        <f t="shared" ref="BS307:BS312" si="495">S307+BH307</f>
        <v>2.1399999999999997</v>
      </c>
      <c r="BT307" s="419">
        <f t="shared" ref="BT307:BU312" si="496">T307+BF307</f>
        <v>1.9</v>
      </c>
      <c r="BU307" s="421">
        <f t="shared" si="496"/>
        <v>0.24</v>
      </c>
      <c r="BV307" s="420"/>
      <c r="BW307" s="415"/>
      <c r="BX307" s="415"/>
      <c r="BY307" s="415"/>
      <c r="BZ307" s="415"/>
      <c r="CA307" s="510"/>
    </row>
    <row r="308" spans="1:79" ht="14.1" customHeight="1" x14ac:dyDescent="0.2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659</v>
      </c>
      <c r="F308" s="66">
        <v>3117</v>
      </c>
      <c r="G308" s="81" t="s">
        <v>293</v>
      </c>
      <c r="H308" s="67" t="s">
        <v>271</v>
      </c>
      <c r="I308" s="420">
        <v>1663656</v>
      </c>
      <c r="J308" s="415">
        <v>1217013</v>
      </c>
      <c r="K308" s="415">
        <v>1067728</v>
      </c>
      <c r="L308" s="415">
        <v>149285</v>
      </c>
      <c r="M308" s="415">
        <v>0</v>
      </c>
      <c r="N308" s="415">
        <v>0</v>
      </c>
      <c r="O308" s="415">
        <v>0</v>
      </c>
      <c r="P308" s="599">
        <v>411350</v>
      </c>
      <c r="Q308" s="599">
        <v>12170</v>
      </c>
      <c r="R308" s="415">
        <v>23123</v>
      </c>
      <c r="S308" s="416">
        <v>1.9588000000000001</v>
      </c>
      <c r="T308" s="416">
        <v>1.5454000000000001</v>
      </c>
      <c r="U308" s="423">
        <v>0.41339999999999999</v>
      </c>
      <c r="V308" s="424">
        <f t="shared" si="415"/>
        <v>0</v>
      </c>
      <c r="W308" s="418">
        <f t="shared" si="416"/>
        <v>0</v>
      </c>
      <c r="X308" s="418">
        <v>0</v>
      </c>
      <c r="Y308" s="418">
        <v>0</v>
      </c>
      <c r="Z308" s="418">
        <v>0</v>
      </c>
      <c r="AA308" s="418">
        <v>0</v>
      </c>
      <c r="AB308" s="418">
        <v>0</v>
      </c>
      <c r="AC308" s="418">
        <v>0</v>
      </c>
      <c r="AD308" s="418">
        <f t="shared" si="486"/>
        <v>0</v>
      </c>
      <c r="AE308" s="418">
        <f t="shared" si="487"/>
        <v>0</v>
      </c>
      <c r="AF308" s="418">
        <f t="shared" si="417"/>
        <v>0</v>
      </c>
      <c r="AG308" s="418">
        <v>0</v>
      </c>
      <c r="AH308" s="418">
        <v>0</v>
      </c>
      <c r="AI308" s="418">
        <v>0</v>
      </c>
      <c r="AJ308" s="418">
        <v>0</v>
      </c>
      <c r="AK308" s="418">
        <v>0</v>
      </c>
      <c r="AL308" s="418">
        <f t="shared" si="418"/>
        <v>0</v>
      </c>
      <c r="AM308" s="418">
        <f t="shared" si="419"/>
        <v>0</v>
      </c>
      <c r="AN308" s="418">
        <f t="shared" si="420"/>
        <v>0</v>
      </c>
      <c r="AO308" s="418">
        <f t="shared" si="421"/>
        <v>0</v>
      </c>
      <c r="AP308" s="418">
        <f t="shared" si="422"/>
        <v>0</v>
      </c>
      <c r="AQ308" s="418">
        <f t="shared" si="423"/>
        <v>0</v>
      </c>
      <c r="AR308" s="68">
        <f t="shared" si="424"/>
        <v>0</v>
      </c>
      <c r="AS308" s="68">
        <f t="shared" si="425"/>
        <v>0</v>
      </c>
      <c r="AT308" s="418">
        <v>0</v>
      </c>
      <c r="AU308" s="418">
        <v>0</v>
      </c>
      <c r="AV308" s="418">
        <f t="shared" si="426"/>
        <v>0</v>
      </c>
      <c r="AW308" s="418">
        <f t="shared" si="427"/>
        <v>0</v>
      </c>
      <c r="AX308" s="419">
        <v>0</v>
      </c>
      <c r="AY308" s="419">
        <v>0</v>
      </c>
      <c r="AZ308" s="419">
        <v>0</v>
      </c>
      <c r="BA308" s="419">
        <v>0</v>
      </c>
      <c r="BB308" s="419">
        <v>0</v>
      </c>
      <c r="BC308" s="419">
        <v>0</v>
      </c>
      <c r="BD308" s="419">
        <v>0</v>
      </c>
      <c r="BE308" s="419">
        <v>0</v>
      </c>
      <c r="BF308" s="419">
        <f t="shared" si="428"/>
        <v>0</v>
      </c>
      <c r="BG308" s="419">
        <f t="shared" si="429"/>
        <v>0</v>
      </c>
      <c r="BH308" s="421">
        <f t="shared" si="430"/>
        <v>0</v>
      </c>
      <c r="BI308" s="780">
        <f t="shared" si="488"/>
        <v>1663656</v>
      </c>
      <c r="BJ308" s="418">
        <f t="shared" si="489"/>
        <v>1217013</v>
      </c>
      <c r="BK308" s="418">
        <f t="shared" si="490"/>
        <v>1067728</v>
      </c>
      <c r="BL308" s="418">
        <f t="shared" si="490"/>
        <v>149285</v>
      </c>
      <c r="BM308" s="418">
        <f t="shared" si="491"/>
        <v>0</v>
      </c>
      <c r="BN308" s="418">
        <f t="shared" si="492"/>
        <v>0</v>
      </c>
      <c r="BO308" s="418">
        <f t="shared" si="492"/>
        <v>0</v>
      </c>
      <c r="BP308" s="418">
        <f t="shared" si="493"/>
        <v>411350</v>
      </c>
      <c r="BQ308" s="418">
        <f t="shared" si="493"/>
        <v>12170</v>
      </c>
      <c r="BR308" s="418">
        <f t="shared" si="494"/>
        <v>23123</v>
      </c>
      <c r="BS308" s="419">
        <f t="shared" si="495"/>
        <v>1.9588000000000001</v>
      </c>
      <c r="BT308" s="419">
        <f t="shared" si="496"/>
        <v>1.5454000000000001</v>
      </c>
      <c r="BU308" s="421">
        <f t="shared" si="496"/>
        <v>0.41339999999999999</v>
      </c>
      <c r="BV308" s="420"/>
      <c r="BW308" s="415"/>
      <c r="BX308" s="415"/>
      <c r="BY308" s="415"/>
      <c r="BZ308" s="415"/>
      <c r="CA308" s="510"/>
    </row>
    <row r="309" spans="1:79" ht="14.1" customHeight="1" x14ac:dyDescent="0.2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659</v>
      </c>
      <c r="F309" s="66">
        <v>3117</v>
      </c>
      <c r="G309" s="77" t="s">
        <v>291</v>
      </c>
      <c r="H309" s="67" t="s">
        <v>272</v>
      </c>
      <c r="I309" s="420">
        <v>0</v>
      </c>
      <c r="J309" s="415">
        <v>0</v>
      </c>
      <c r="K309" s="415">
        <v>0</v>
      </c>
      <c r="L309" s="415">
        <v>0</v>
      </c>
      <c r="M309" s="415">
        <v>0</v>
      </c>
      <c r="N309" s="415">
        <v>0</v>
      </c>
      <c r="O309" s="415">
        <v>0</v>
      </c>
      <c r="P309" s="599">
        <v>0</v>
      </c>
      <c r="Q309" s="599">
        <v>0</v>
      </c>
      <c r="R309" s="415">
        <v>0</v>
      </c>
      <c r="S309" s="416">
        <v>0</v>
      </c>
      <c r="T309" s="417">
        <v>0</v>
      </c>
      <c r="U309" s="423">
        <v>0</v>
      </c>
      <c r="V309" s="424">
        <f t="shared" si="415"/>
        <v>0</v>
      </c>
      <c r="W309" s="418">
        <f t="shared" si="416"/>
        <v>0</v>
      </c>
      <c r="X309" s="418">
        <v>0</v>
      </c>
      <c r="Y309" s="418">
        <v>0</v>
      </c>
      <c r="Z309" s="418">
        <v>0</v>
      </c>
      <c r="AA309" s="418">
        <v>0</v>
      </c>
      <c r="AB309" s="418">
        <v>0</v>
      </c>
      <c r="AC309" s="418">
        <v>0</v>
      </c>
      <c r="AD309" s="418">
        <f t="shared" si="486"/>
        <v>0</v>
      </c>
      <c r="AE309" s="418">
        <f t="shared" si="487"/>
        <v>0</v>
      </c>
      <c r="AF309" s="418">
        <f t="shared" si="417"/>
        <v>0</v>
      </c>
      <c r="AG309" s="418">
        <v>0</v>
      </c>
      <c r="AH309" s="418">
        <v>0</v>
      </c>
      <c r="AI309" s="418">
        <v>0</v>
      </c>
      <c r="AJ309" s="418">
        <v>0</v>
      </c>
      <c r="AK309" s="418">
        <v>0</v>
      </c>
      <c r="AL309" s="418">
        <f t="shared" si="418"/>
        <v>0</v>
      </c>
      <c r="AM309" s="418">
        <f t="shared" si="419"/>
        <v>0</v>
      </c>
      <c r="AN309" s="418">
        <f t="shared" si="420"/>
        <v>0</v>
      </c>
      <c r="AO309" s="418">
        <f t="shared" si="421"/>
        <v>0</v>
      </c>
      <c r="AP309" s="418">
        <f t="shared" si="422"/>
        <v>0</v>
      </c>
      <c r="AQ309" s="418">
        <f t="shared" si="423"/>
        <v>0</v>
      </c>
      <c r="AR309" s="68">
        <f t="shared" si="424"/>
        <v>0</v>
      </c>
      <c r="AS309" s="68">
        <f t="shared" si="425"/>
        <v>0</v>
      </c>
      <c r="AT309" s="418">
        <v>0</v>
      </c>
      <c r="AU309" s="418">
        <v>0</v>
      </c>
      <c r="AV309" s="418">
        <f t="shared" si="426"/>
        <v>0</v>
      </c>
      <c r="AW309" s="418">
        <f t="shared" si="427"/>
        <v>0</v>
      </c>
      <c r="AX309" s="419">
        <v>0</v>
      </c>
      <c r="AY309" s="419">
        <v>0</v>
      </c>
      <c r="AZ309" s="419">
        <v>0</v>
      </c>
      <c r="BA309" s="419">
        <v>0</v>
      </c>
      <c r="BB309" s="419">
        <v>0</v>
      </c>
      <c r="BC309" s="419">
        <v>0</v>
      </c>
      <c r="BD309" s="419">
        <v>0</v>
      </c>
      <c r="BE309" s="419">
        <v>0</v>
      </c>
      <c r="BF309" s="419">
        <f t="shared" si="428"/>
        <v>0</v>
      </c>
      <c r="BG309" s="419">
        <f t="shared" si="429"/>
        <v>0</v>
      </c>
      <c r="BH309" s="421">
        <f t="shared" si="430"/>
        <v>0</v>
      </c>
      <c r="BI309" s="780">
        <f t="shared" si="488"/>
        <v>0</v>
      </c>
      <c r="BJ309" s="418">
        <f t="shared" si="489"/>
        <v>0</v>
      </c>
      <c r="BK309" s="418">
        <f t="shared" si="490"/>
        <v>0</v>
      </c>
      <c r="BL309" s="418">
        <f t="shared" si="490"/>
        <v>0</v>
      </c>
      <c r="BM309" s="418">
        <f t="shared" si="491"/>
        <v>0</v>
      </c>
      <c r="BN309" s="418">
        <f t="shared" si="492"/>
        <v>0</v>
      </c>
      <c r="BO309" s="418">
        <f t="shared" si="492"/>
        <v>0</v>
      </c>
      <c r="BP309" s="418">
        <f t="shared" si="493"/>
        <v>0</v>
      </c>
      <c r="BQ309" s="418">
        <f t="shared" si="493"/>
        <v>0</v>
      </c>
      <c r="BR309" s="418">
        <f t="shared" si="494"/>
        <v>0</v>
      </c>
      <c r="BS309" s="419">
        <f t="shared" si="495"/>
        <v>0</v>
      </c>
      <c r="BT309" s="419">
        <f t="shared" si="496"/>
        <v>0</v>
      </c>
      <c r="BU309" s="421">
        <f t="shared" si="496"/>
        <v>0</v>
      </c>
      <c r="BV309" s="420"/>
      <c r="BW309" s="415"/>
      <c r="BX309" s="415"/>
      <c r="BY309" s="415"/>
      <c r="BZ309" s="415"/>
      <c r="CA309" s="510"/>
    </row>
    <row r="310" spans="1:79" ht="14.1" customHeight="1" x14ac:dyDescent="0.2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659</v>
      </c>
      <c r="F310" s="66">
        <v>3141</v>
      </c>
      <c r="G310" s="65" t="s">
        <v>294</v>
      </c>
      <c r="H310" s="67" t="s">
        <v>272</v>
      </c>
      <c r="I310" s="420">
        <v>363546</v>
      </c>
      <c r="J310" s="415">
        <v>234018</v>
      </c>
      <c r="K310" s="415">
        <v>0</v>
      </c>
      <c r="L310" s="750">
        <v>234018</v>
      </c>
      <c r="M310" s="415">
        <v>35000</v>
      </c>
      <c r="N310" s="204">
        <v>0</v>
      </c>
      <c r="O310" s="204">
        <v>35000</v>
      </c>
      <c r="P310" s="599">
        <v>90928</v>
      </c>
      <c r="Q310" s="599">
        <v>2340</v>
      </c>
      <c r="R310" s="605">
        <v>1260</v>
      </c>
      <c r="S310" s="416">
        <v>0.70669999999999988</v>
      </c>
      <c r="T310" s="607">
        <v>0</v>
      </c>
      <c r="U310" s="737">
        <v>0.70669999999999988</v>
      </c>
      <c r="V310" s="424">
        <f t="shared" si="415"/>
        <v>0</v>
      </c>
      <c r="W310" s="418">
        <f t="shared" si="416"/>
        <v>0</v>
      </c>
      <c r="X310" s="418">
        <v>0</v>
      </c>
      <c r="Y310" s="418">
        <v>0</v>
      </c>
      <c r="Z310" s="418">
        <v>0</v>
      </c>
      <c r="AA310" s="418">
        <v>133426</v>
      </c>
      <c r="AB310" s="418">
        <v>0</v>
      </c>
      <c r="AC310" s="418">
        <v>0</v>
      </c>
      <c r="AD310" s="418">
        <f t="shared" si="486"/>
        <v>0</v>
      </c>
      <c r="AE310" s="418">
        <f t="shared" si="487"/>
        <v>133426</v>
      </c>
      <c r="AF310" s="418">
        <f t="shared" si="417"/>
        <v>133426</v>
      </c>
      <c r="AG310" s="418">
        <v>0</v>
      </c>
      <c r="AH310" s="418">
        <v>0</v>
      </c>
      <c r="AI310" s="418">
        <v>0</v>
      </c>
      <c r="AJ310" s="418">
        <v>0</v>
      </c>
      <c r="AK310" s="418">
        <v>0</v>
      </c>
      <c r="AL310" s="418">
        <f t="shared" si="418"/>
        <v>0</v>
      </c>
      <c r="AM310" s="418">
        <f t="shared" si="419"/>
        <v>0</v>
      </c>
      <c r="AN310" s="418">
        <f t="shared" si="420"/>
        <v>0</v>
      </c>
      <c r="AO310" s="418">
        <f t="shared" si="421"/>
        <v>0</v>
      </c>
      <c r="AP310" s="418">
        <f t="shared" si="422"/>
        <v>133426</v>
      </c>
      <c r="AQ310" s="418">
        <f t="shared" si="423"/>
        <v>133426</v>
      </c>
      <c r="AR310" s="68">
        <f t="shared" si="424"/>
        <v>45098</v>
      </c>
      <c r="AS310" s="68">
        <f t="shared" si="425"/>
        <v>1334</v>
      </c>
      <c r="AT310" s="418">
        <v>0</v>
      </c>
      <c r="AU310" s="418">
        <v>612</v>
      </c>
      <c r="AV310" s="418">
        <f t="shared" si="426"/>
        <v>612</v>
      </c>
      <c r="AW310" s="418">
        <f t="shared" si="427"/>
        <v>180470</v>
      </c>
      <c r="AX310" s="419">
        <v>0</v>
      </c>
      <c r="AY310" s="419">
        <v>0</v>
      </c>
      <c r="AZ310" s="419">
        <v>0</v>
      </c>
      <c r="BA310" s="419">
        <v>0</v>
      </c>
      <c r="BB310" s="419">
        <v>0.4</v>
      </c>
      <c r="BC310" s="419">
        <v>0</v>
      </c>
      <c r="BD310" s="419">
        <v>0</v>
      </c>
      <c r="BE310" s="419">
        <v>0</v>
      </c>
      <c r="BF310" s="419">
        <f t="shared" si="428"/>
        <v>0</v>
      </c>
      <c r="BG310" s="419">
        <f t="shared" si="429"/>
        <v>0.4</v>
      </c>
      <c r="BH310" s="421">
        <f t="shared" si="430"/>
        <v>0.4</v>
      </c>
      <c r="BI310" s="780">
        <f t="shared" si="488"/>
        <v>544016</v>
      </c>
      <c r="BJ310" s="418">
        <f t="shared" si="489"/>
        <v>367444</v>
      </c>
      <c r="BK310" s="418">
        <f t="shared" si="490"/>
        <v>0</v>
      </c>
      <c r="BL310" s="418">
        <f t="shared" si="490"/>
        <v>367444</v>
      </c>
      <c r="BM310" s="418">
        <f t="shared" si="491"/>
        <v>35000</v>
      </c>
      <c r="BN310" s="418">
        <f t="shared" si="492"/>
        <v>0</v>
      </c>
      <c r="BO310" s="418">
        <f t="shared" si="492"/>
        <v>35000</v>
      </c>
      <c r="BP310" s="418">
        <f t="shared" si="493"/>
        <v>136026</v>
      </c>
      <c r="BQ310" s="418">
        <f t="shared" si="493"/>
        <v>3674</v>
      </c>
      <c r="BR310" s="418">
        <f t="shared" si="494"/>
        <v>1872</v>
      </c>
      <c r="BS310" s="419">
        <f t="shared" si="495"/>
        <v>1.1067</v>
      </c>
      <c r="BT310" s="419">
        <f t="shared" si="496"/>
        <v>0</v>
      </c>
      <c r="BU310" s="421">
        <f t="shared" si="496"/>
        <v>1.1067</v>
      </c>
      <c r="BV310" s="420"/>
      <c r="BW310" s="415"/>
      <c r="BX310" s="415"/>
      <c r="BY310" s="415"/>
      <c r="BZ310" s="415"/>
      <c r="CA310" s="510"/>
    </row>
    <row r="311" spans="1:79" ht="14.1" customHeight="1" x14ac:dyDescent="0.2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659</v>
      </c>
      <c r="F311" s="66">
        <v>3143</v>
      </c>
      <c r="G311" s="77" t="s">
        <v>595</v>
      </c>
      <c r="H311" s="67" t="s">
        <v>271</v>
      </c>
      <c r="I311" s="420">
        <v>68967</v>
      </c>
      <c r="J311" s="415">
        <v>51162</v>
      </c>
      <c r="K311" s="415">
        <v>51162</v>
      </c>
      <c r="L311" s="415">
        <v>0</v>
      </c>
      <c r="M311" s="415">
        <v>0</v>
      </c>
      <c r="N311" s="415">
        <v>0</v>
      </c>
      <c r="O311" s="415">
        <v>0</v>
      </c>
      <c r="P311" s="599">
        <v>17293</v>
      </c>
      <c r="Q311" s="599">
        <v>512</v>
      </c>
      <c r="R311" s="415">
        <v>0</v>
      </c>
      <c r="S311" s="416">
        <v>0.1</v>
      </c>
      <c r="T311" s="416">
        <v>0.1</v>
      </c>
      <c r="U311" s="423">
        <v>0</v>
      </c>
      <c r="V311" s="424">
        <f t="shared" si="415"/>
        <v>0</v>
      </c>
      <c r="W311" s="418">
        <f t="shared" si="416"/>
        <v>0</v>
      </c>
      <c r="X311" s="418">
        <v>0</v>
      </c>
      <c r="Y311" s="418">
        <v>0</v>
      </c>
      <c r="Z311" s="418">
        <v>0</v>
      </c>
      <c r="AA311" s="418">
        <v>0</v>
      </c>
      <c r="AB311" s="418">
        <v>0</v>
      </c>
      <c r="AC311" s="418">
        <v>0</v>
      </c>
      <c r="AD311" s="418">
        <f t="shared" si="486"/>
        <v>0</v>
      </c>
      <c r="AE311" s="418">
        <f t="shared" si="487"/>
        <v>0</v>
      </c>
      <c r="AF311" s="418">
        <f t="shared" si="417"/>
        <v>0</v>
      </c>
      <c r="AG311" s="418">
        <v>0</v>
      </c>
      <c r="AH311" s="418">
        <v>0</v>
      </c>
      <c r="AI311" s="418">
        <v>0</v>
      </c>
      <c r="AJ311" s="418">
        <v>0</v>
      </c>
      <c r="AK311" s="418">
        <v>0</v>
      </c>
      <c r="AL311" s="418">
        <f t="shared" si="418"/>
        <v>0</v>
      </c>
      <c r="AM311" s="418">
        <f t="shared" si="419"/>
        <v>0</v>
      </c>
      <c r="AN311" s="418">
        <f t="shared" si="420"/>
        <v>0</v>
      </c>
      <c r="AO311" s="418">
        <f t="shared" si="421"/>
        <v>0</v>
      </c>
      <c r="AP311" s="418">
        <f t="shared" si="422"/>
        <v>0</v>
      </c>
      <c r="AQ311" s="418">
        <f t="shared" si="423"/>
        <v>0</v>
      </c>
      <c r="AR311" s="68">
        <f t="shared" si="424"/>
        <v>0</v>
      </c>
      <c r="AS311" s="68">
        <f t="shared" si="425"/>
        <v>0</v>
      </c>
      <c r="AT311" s="418">
        <v>0</v>
      </c>
      <c r="AU311" s="418">
        <v>0</v>
      </c>
      <c r="AV311" s="418">
        <f t="shared" si="426"/>
        <v>0</v>
      </c>
      <c r="AW311" s="418">
        <f t="shared" si="427"/>
        <v>0</v>
      </c>
      <c r="AX311" s="419">
        <v>0</v>
      </c>
      <c r="AY311" s="419">
        <v>0</v>
      </c>
      <c r="AZ311" s="419">
        <v>0</v>
      </c>
      <c r="BA311" s="419">
        <v>0</v>
      </c>
      <c r="BB311" s="419">
        <v>0</v>
      </c>
      <c r="BC311" s="419">
        <v>0</v>
      </c>
      <c r="BD311" s="419">
        <v>0</v>
      </c>
      <c r="BE311" s="419">
        <v>0</v>
      </c>
      <c r="BF311" s="419">
        <f t="shared" si="428"/>
        <v>0</v>
      </c>
      <c r="BG311" s="419">
        <f t="shared" si="429"/>
        <v>0</v>
      </c>
      <c r="BH311" s="421">
        <f t="shared" si="430"/>
        <v>0</v>
      </c>
      <c r="BI311" s="780">
        <f t="shared" si="488"/>
        <v>68967</v>
      </c>
      <c r="BJ311" s="418">
        <f t="shared" si="489"/>
        <v>51162</v>
      </c>
      <c r="BK311" s="418">
        <f t="shared" si="490"/>
        <v>51162</v>
      </c>
      <c r="BL311" s="418">
        <f t="shared" si="490"/>
        <v>0</v>
      </c>
      <c r="BM311" s="418">
        <f t="shared" si="491"/>
        <v>0</v>
      </c>
      <c r="BN311" s="418">
        <f t="shared" si="492"/>
        <v>0</v>
      </c>
      <c r="BO311" s="418">
        <f t="shared" si="492"/>
        <v>0</v>
      </c>
      <c r="BP311" s="418">
        <f t="shared" si="493"/>
        <v>17293</v>
      </c>
      <c r="BQ311" s="418">
        <f t="shared" si="493"/>
        <v>512</v>
      </c>
      <c r="BR311" s="418">
        <f t="shared" si="494"/>
        <v>0</v>
      </c>
      <c r="BS311" s="419">
        <f t="shared" si="495"/>
        <v>0.1</v>
      </c>
      <c r="BT311" s="419">
        <f t="shared" si="496"/>
        <v>0.1</v>
      </c>
      <c r="BU311" s="421">
        <f t="shared" si="496"/>
        <v>0</v>
      </c>
      <c r="BV311" s="420"/>
      <c r="BW311" s="415"/>
      <c r="BX311" s="415"/>
      <c r="BY311" s="415"/>
      <c r="BZ311" s="415"/>
      <c r="CA311" s="510"/>
    </row>
    <row r="312" spans="1:79" ht="14.1" customHeight="1" x14ac:dyDescent="0.2">
      <c r="A312" s="66">
        <v>62</v>
      </c>
      <c r="B312" s="63">
        <v>2457</v>
      </c>
      <c r="C312" s="64">
        <v>650021479</v>
      </c>
      <c r="D312" s="63">
        <v>72742577</v>
      </c>
      <c r="E312" s="65" t="s">
        <v>659</v>
      </c>
      <c r="F312" s="66">
        <v>3143</v>
      </c>
      <c r="G312" s="77" t="s">
        <v>596</v>
      </c>
      <c r="H312" s="67" t="s">
        <v>272</v>
      </c>
      <c r="I312" s="420">
        <v>7672</v>
      </c>
      <c r="J312" s="415">
        <v>5491</v>
      </c>
      <c r="K312" s="415">
        <v>0</v>
      </c>
      <c r="L312" s="605">
        <v>5491</v>
      </c>
      <c r="M312" s="415">
        <v>0</v>
      </c>
      <c r="N312" s="415">
        <v>0</v>
      </c>
      <c r="O312" s="415">
        <v>0</v>
      </c>
      <c r="P312" s="599">
        <v>1856</v>
      </c>
      <c r="Q312" s="599">
        <v>55</v>
      </c>
      <c r="R312" s="606">
        <v>270</v>
      </c>
      <c r="S312" s="416">
        <v>2.0799999999999999E-2</v>
      </c>
      <c r="T312" s="609">
        <v>0</v>
      </c>
      <c r="U312" s="737">
        <v>2.0799999999999999E-2</v>
      </c>
      <c r="V312" s="424">
        <f t="shared" si="415"/>
        <v>0</v>
      </c>
      <c r="W312" s="418">
        <f t="shared" si="416"/>
        <v>0</v>
      </c>
      <c r="X312" s="418">
        <v>0</v>
      </c>
      <c r="Y312" s="418">
        <v>0</v>
      </c>
      <c r="Z312" s="418">
        <v>0</v>
      </c>
      <c r="AA312" s="418">
        <v>2759</v>
      </c>
      <c r="AB312" s="418">
        <v>0</v>
      </c>
      <c r="AC312" s="418">
        <v>0</v>
      </c>
      <c r="AD312" s="418">
        <f t="shared" si="486"/>
        <v>0</v>
      </c>
      <c r="AE312" s="418">
        <f t="shared" si="487"/>
        <v>2759</v>
      </c>
      <c r="AF312" s="418">
        <f t="shared" si="417"/>
        <v>2759</v>
      </c>
      <c r="AG312" s="418">
        <v>0</v>
      </c>
      <c r="AH312" s="418">
        <v>0</v>
      </c>
      <c r="AI312" s="418">
        <v>0</v>
      </c>
      <c r="AJ312" s="418">
        <v>0</v>
      </c>
      <c r="AK312" s="418">
        <v>0</v>
      </c>
      <c r="AL312" s="418">
        <f t="shared" si="418"/>
        <v>0</v>
      </c>
      <c r="AM312" s="418">
        <f t="shared" si="419"/>
        <v>0</v>
      </c>
      <c r="AN312" s="418">
        <f t="shared" si="420"/>
        <v>0</v>
      </c>
      <c r="AO312" s="418">
        <f t="shared" si="421"/>
        <v>0</v>
      </c>
      <c r="AP312" s="418">
        <f t="shared" si="422"/>
        <v>2759</v>
      </c>
      <c r="AQ312" s="418">
        <f t="shared" si="423"/>
        <v>2759</v>
      </c>
      <c r="AR312" s="68">
        <f t="shared" si="424"/>
        <v>933</v>
      </c>
      <c r="AS312" s="68">
        <f t="shared" si="425"/>
        <v>28</v>
      </c>
      <c r="AT312" s="418">
        <v>0</v>
      </c>
      <c r="AU312" s="418">
        <v>135</v>
      </c>
      <c r="AV312" s="418">
        <f t="shared" si="426"/>
        <v>135</v>
      </c>
      <c r="AW312" s="418">
        <f t="shared" si="427"/>
        <v>3855</v>
      </c>
      <c r="AX312" s="419">
        <v>0</v>
      </c>
      <c r="AY312" s="419">
        <v>0</v>
      </c>
      <c r="AZ312" s="419">
        <v>0</v>
      </c>
      <c r="BA312" s="419">
        <v>0</v>
      </c>
      <c r="BB312" s="419">
        <v>0.01</v>
      </c>
      <c r="BC312" s="419">
        <v>0</v>
      </c>
      <c r="BD312" s="419">
        <v>0</v>
      </c>
      <c r="BE312" s="419">
        <v>0</v>
      </c>
      <c r="BF312" s="419">
        <f t="shared" si="428"/>
        <v>0</v>
      </c>
      <c r="BG312" s="419">
        <f t="shared" si="429"/>
        <v>0.01</v>
      </c>
      <c r="BH312" s="421">
        <f t="shared" si="430"/>
        <v>0.01</v>
      </c>
      <c r="BI312" s="780">
        <f t="shared" si="488"/>
        <v>11527</v>
      </c>
      <c r="BJ312" s="418">
        <f t="shared" si="489"/>
        <v>8250</v>
      </c>
      <c r="BK312" s="418">
        <f t="shared" si="490"/>
        <v>0</v>
      </c>
      <c r="BL312" s="418">
        <f t="shared" si="490"/>
        <v>8250</v>
      </c>
      <c r="BM312" s="418">
        <f t="shared" si="491"/>
        <v>0</v>
      </c>
      <c r="BN312" s="418">
        <f t="shared" si="492"/>
        <v>0</v>
      </c>
      <c r="BO312" s="418">
        <f t="shared" si="492"/>
        <v>0</v>
      </c>
      <c r="BP312" s="418">
        <f t="shared" si="493"/>
        <v>2789</v>
      </c>
      <c r="BQ312" s="418">
        <f t="shared" si="493"/>
        <v>83</v>
      </c>
      <c r="BR312" s="418">
        <f t="shared" si="494"/>
        <v>405</v>
      </c>
      <c r="BS312" s="419">
        <f t="shared" si="495"/>
        <v>3.0800000000000001E-2</v>
      </c>
      <c r="BT312" s="419">
        <f t="shared" si="496"/>
        <v>0</v>
      </c>
      <c r="BU312" s="421">
        <f t="shared" si="496"/>
        <v>3.0800000000000001E-2</v>
      </c>
      <c r="BV312" s="420"/>
      <c r="BW312" s="415"/>
      <c r="BX312" s="415"/>
      <c r="BY312" s="415"/>
      <c r="BZ312" s="415"/>
      <c r="CA312" s="510"/>
    </row>
    <row r="313" spans="1:79" ht="14.1" customHeight="1" x14ac:dyDescent="0.2">
      <c r="A313" s="72">
        <v>62</v>
      </c>
      <c r="B313" s="69">
        <v>2457</v>
      </c>
      <c r="C313" s="70">
        <v>650021479</v>
      </c>
      <c r="D313" s="69">
        <v>72742577</v>
      </c>
      <c r="E313" s="71" t="s">
        <v>660</v>
      </c>
      <c r="F313" s="72"/>
      <c r="G313" s="71"/>
      <c r="H313" s="73"/>
      <c r="I313" s="517">
        <v>3544319</v>
      </c>
      <c r="J313" s="74">
        <v>2572921</v>
      </c>
      <c r="K313" s="74">
        <v>2124223</v>
      </c>
      <c r="L313" s="74">
        <v>448698</v>
      </c>
      <c r="M313" s="74">
        <v>35000</v>
      </c>
      <c r="N313" s="74">
        <v>0</v>
      </c>
      <c r="O313" s="74">
        <v>35000</v>
      </c>
      <c r="P313" s="74">
        <v>881477</v>
      </c>
      <c r="Q313" s="74">
        <v>25729</v>
      </c>
      <c r="R313" s="74">
        <v>29192</v>
      </c>
      <c r="S313" s="75">
        <v>4.9262999999999995</v>
      </c>
      <c r="T313" s="75">
        <v>3.5454000000000003</v>
      </c>
      <c r="U313" s="658">
        <v>1.3808999999999998</v>
      </c>
      <c r="V313" s="517">
        <f t="shared" ref="V313:BU313" si="497">SUM(V307:V312)</f>
        <v>0</v>
      </c>
      <c r="W313" s="74">
        <f t="shared" si="497"/>
        <v>0</v>
      </c>
      <c r="X313" s="74">
        <f t="shared" si="497"/>
        <v>0</v>
      </c>
      <c r="Y313" s="74">
        <f t="shared" si="497"/>
        <v>0</v>
      </c>
      <c r="Z313" s="74">
        <f t="shared" si="497"/>
        <v>0</v>
      </c>
      <c r="AA313" s="74">
        <f t="shared" si="497"/>
        <v>136185</v>
      </c>
      <c r="AB313" s="74">
        <f t="shared" si="497"/>
        <v>0</v>
      </c>
      <c r="AC313" s="74">
        <f t="shared" si="497"/>
        <v>0</v>
      </c>
      <c r="AD313" s="74">
        <f t="shared" si="497"/>
        <v>0</v>
      </c>
      <c r="AE313" s="74">
        <f t="shared" si="497"/>
        <v>136185</v>
      </c>
      <c r="AF313" s="74">
        <f t="shared" si="497"/>
        <v>136185</v>
      </c>
      <c r="AG313" s="74">
        <f t="shared" si="497"/>
        <v>0</v>
      </c>
      <c r="AH313" s="74">
        <f t="shared" si="497"/>
        <v>0</v>
      </c>
      <c r="AI313" s="74">
        <f t="shared" si="497"/>
        <v>0</v>
      </c>
      <c r="AJ313" s="74">
        <f t="shared" si="497"/>
        <v>0</v>
      </c>
      <c r="AK313" s="74">
        <f t="shared" si="497"/>
        <v>0</v>
      </c>
      <c r="AL313" s="74">
        <f t="shared" si="497"/>
        <v>0</v>
      </c>
      <c r="AM313" s="74">
        <f t="shared" si="497"/>
        <v>0</v>
      </c>
      <c r="AN313" s="74">
        <f t="shared" si="497"/>
        <v>0</v>
      </c>
      <c r="AO313" s="74">
        <f t="shared" si="497"/>
        <v>0</v>
      </c>
      <c r="AP313" s="74">
        <f t="shared" si="497"/>
        <v>136185</v>
      </c>
      <c r="AQ313" s="74">
        <f t="shared" si="497"/>
        <v>136185</v>
      </c>
      <c r="AR313" s="74">
        <f t="shared" si="497"/>
        <v>46031</v>
      </c>
      <c r="AS313" s="74">
        <f t="shared" si="497"/>
        <v>1362</v>
      </c>
      <c r="AT313" s="74">
        <f t="shared" si="497"/>
        <v>0</v>
      </c>
      <c r="AU313" s="74">
        <f t="shared" si="497"/>
        <v>747</v>
      </c>
      <c r="AV313" s="74">
        <f t="shared" si="497"/>
        <v>747</v>
      </c>
      <c r="AW313" s="74">
        <f t="shared" si="497"/>
        <v>184325</v>
      </c>
      <c r="AX313" s="75">
        <f t="shared" si="497"/>
        <v>0</v>
      </c>
      <c r="AY313" s="75">
        <f t="shared" si="497"/>
        <v>0</v>
      </c>
      <c r="AZ313" s="75">
        <f t="shared" si="497"/>
        <v>0</v>
      </c>
      <c r="BA313" s="75">
        <f t="shared" si="497"/>
        <v>0</v>
      </c>
      <c r="BB313" s="75">
        <f t="shared" si="497"/>
        <v>0.41000000000000003</v>
      </c>
      <c r="BC313" s="75">
        <f t="shared" si="497"/>
        <v>0</v>
      </c>
      <c r="BD313" s="75">
        <f t="shared" si="497"/>
        <v>0</v>
      </c>
      <c r="BE313" s="75">
        <f t="shared" si="497"/>
        <v>0</v>
      </c>
      <c r="BF313" s="75">
        <f t="shared" si="497"/>
        <v>0</v>
      </c>
      <c r="BG313" s="75">
        <f t="shared" si="497"/>
        <v>0.41000000000000003</v>
      </c>
      <c r="BH313" s="76">
        <f t="shared" si="497"/>
        <v>0.41000000000000003</v>
      </c>
      <c r="BI313" s="799">
        <f t="shared" si="497"/>
        <v>3728644</v>
      </c>
      <c r="BJ313" s="74">
        <f t="shared" si="497"/>
        <v>2709106</v>
      </c>
      <c r="BK313" s="74">
        <f t="shared" si="497"/>
        <v>2124223</v>
      </c>
      <c r="BL313" s="74">
        <f t="shared" si="497"/>
        <v>584883</v>
      </c>
      <c r="BM313" s="74">
        <f t="shared" si="497"/>
        <v>35000</v>
      </c>
      <c r="BN313" s="74">
        <f t="shared" si="497"/>
        <v>0</v>
      </c>
      <c r="BO313" s="74">
        <f t="shared" si="497"/>
        <v>35000</v>
      </c>
      <c r="BP313" s="74">
        <f t="shared" si="497"/>
        <v>927508</v>
      </c>
      <c r="BQ313" s="74">
        <f t="shared" si="497"/>
        <v>27091</v>
      </c>
      <c r="BR313" s="74">
        <f t="shared" si="497"/>
        <v>29939</v>
      </c>
      <c r="BS313" s="75">
        <f t="shared" si="497"/>
        <v>5.3362999999999996</v>
      </c>
      <c r="BT313" s="75">
        <f t="shared" si="497"/>
        <v>3.5454000000000003</v>
      </c>
      <c r="BU313" s="76">
        <f t="shared" si="497"/>
        <v>1.7908999999999999</v>
      </c>
      <c r="BV313" s="809">
        <f t="shared" ref="BV313:CA313" si="498">SUM(BV307:BV312)</f>
        <v>0</v>
      </c>
      <c r="BW313" s="684">
        <f t="shared" si="498"/>
        <v>0</v>
      </c>
      <c r="BX313" s="684">
        <f t="shared" si="498"/>
        <v>0</v>
      </c>
      <c r="BY313" s="684">
        <f t="shared" si="498"/>
        <v>0</v>
      </c>
      <c r="BZ313" s="684">
        <f t="shared" si="498"/>
        <v>0</v>
      </c>
      <c r="CA313" s="810">
        <f t="shared" si="498"/>
        <v>0</v>
      </c>
    </row>
    <row r="314" spans="1:79" ht="14.1" customHeight="1" x14ac:dyDescent="0.2">
      <c r="A314" s="66">
        <v>63</v>
      </c>
      <c r="B314" s="63">
        <v>2403</v>
      </c>
      <c r="C314" s="64">
        <v>600078931</v>
      </c>
      <c r="D314" s="63">
        <v>72744324</v>
      </c>
      <c r="E314" s="65" t="s">
        <v>661</v>
      </c>
      <c r="F314" s="66">
        <v>3111</v>
      </c>
      <c r="G314" s="65" t="s">
        <v>290</v>
      </c>
      <c r="H314" s="67" t="s">
        <v>271</v>
      </c>
      <c r="I314" s="420">
        <v>6844502</v>
      </c>
      <c r="J314" s="415">
        <v>5060886</v>
      </c>
      <c r="K314" s="415">
        <v>4590684</v>
      </c>
      <c r="L314" s="415">
        <v>470202</v>
      </c>
      <c r="M314" s="415">
        <v>0</v>
      </c>
      <c r="N314" s="415">
        <v>0</v>
      </c>
      <c r="O314" s="415">
        <v>0</v>
      </c>
      <c r="P314" s="599">
        <v>1710579</v>
      </c>
      <c r="Q314" s="599">
        <v>50609</v>
      </c>
      <c r="R314" s="415">
        <v>22428</v>
      </c>
      <c r="S314" s="416">
        <v>9.6000999999999994</v>
      </c>
      <c r="T314" s="416">
        <v>8</v>
      </c>
      <c r="U314" s="423">
        <v>1.6000999999999999</v>
      </c>
      <c r="V314" s="424">
        <f t="shared" si="415"/>
        <v>0</v>
      </c>
      <c r="W314" s="418">
        <f t="shared" si="416"/>
        <v>0</v>
      </c>
      <c r="X314" s="418">
        <v>0</v>
      </c>
      <c r="Y314" s="418">
        <v>0</v>
      </c>
      <c r="Z314" s="418">
        <v>0</v>
      </c>
      <c r="AA314" s="418">
        <v>0</v>
      </c>
      <c r="AB314" s="418">
        <v>0</v>
      </c>
      <c r="AC314" s="418">
        <v>0</v>
      </c>
      <c r="AD314" s="418">
        <f>V314+X314+Y314+Z314+AB314</f>
        <v>0</v>
      </c>
      <c r="AE314" s="418">
        <f>W314+AA314+AC314</f>
        <v>0</v>
      </c>
      <c r="AF314" s="418">
        <f t="shared" si="417"/>
        <v>0</v>
      </c>
      <c r="AG314" s="418">
        <v>0</v>
      </c>
      <c r="AH314" s="418">
        <v>0</v>
      </c>
      <c r="AI314" s="418">
        <v>0</v>
      </c>
      <c r="AJ314" s="418">
        <v>0</v>
      </c>
      <c r="AK314" s="418">
        <v>0</v>
      </c>
      <c r="AL314" s="418">
        <f t="shared" si="418"/>
        <v>0</v>
      </c>
      <c r="AM314" s="418">
        <f t="shared" si="419"/>
        <v>0</v>
      </c>
      <c r="AN314" s="418">
        <f t="shared" si="420"/>
        <v>0</v>
      </c>
      <c r="AO314" s="418">
        <f t="shared" si="421"/>
        <v>0</v>
      </c>
      <c r="AP314" s="418">
        <f t="shared" si="422"/>
        <v>0</v>
      </c>
      <c r="AQ314" s="418">
        <f t="shared" si="423"/>
        <v>0</v>
      </c>
      <c r="AR314" s="68">
        <f t="shared" si="424"/>
        <v>0</v>
      </c>
      <c r="AS314" s="68">
        <f t="shared" si="425"/>
        <v>0</v>
      </c>
      <c r="AT314" s="418">
        <v>0</v>
      </c>
      <c r="AU314" s="418">
        <v>0</v>
      </c>
      <c r="AV314" s="418">
        <f t="shared" si="426"/>
        <v>0</v>
      </c>
      <c r="AW314" s="418">
        <f t="shared" si="427"/>
        <v>0</v>
      </c>
      <c r="AX314" s="419">
        <v>0</v>
      </c>
      <c r="AY314" s="419">
        <v>0</v>
      </c>
      <c r="AZ314" s="419">
        <v>0</v>
      </c>
      <c r="BA314" s="419">
        <v>0</v>
      </c>
      <c r="BB314" s="419">
        <v>0</v>
      </c>
      <c r="BC314" s="419">
        <v>0</v>
      </c>
      <c r="BD314" s="419">
        <v>0</v>
      </c>
      <c r="BE314" s="419">
        <v>0</v>
      </c>
      <c r="BF314" s="419">
        <f t="shared" si="428"/>
        <v>0</v>
      </c>
      <c r="BG314" s="419">
        <f t="shared" si="429"/>
        <v>0</v>
      </c>
      <c r="BH314" s="421">
        <f t="shared" si="430"/>
        <v>0</v>
      </c>
      <c r="BI314" s="780">
        <f>I314+AW314</f>
        <v>6844502</v>
      </c>
      <c r="BJ314" s="418">
        <f>J314+AF314</f>
        <v>5060886</v>
      </c>
      <c r="BK314" s="418">
        <f t="shared" ref="BK314:BL316" si="499">K314+AD314</f>
        <v>4590684</v>
      </c>
      <c r="BL314" s="418">
        <f t="shared" si="499"/>
        <v>470202</v>
      </c>
      <c r="BM314" s="418">
        <f>M314+AN314</f>
        <v>0</v>
      </c>
      <c r="BN314" s="418">
        <f t="shared" ref="BN314:BO316" si="500">N314+AL314</f>
        <v>0</v>
      </c>
      <c r="BO314" s="418">
        <f t="shared" si="500"/>
        <v>0</v>
      </c>
      <c r="BP314" s="418">
        <f t="shared" ref="BP314:BQ316" si="501">P314+AR314</f>
        <v>1710579</v>
      </c>
      <c r="BQ314" s="418">
        <f t="shared" si="501"/>
        <v>50609</v>
      </c>
      <c r="BR314" s="418">
        <f>R314+AV314</f>
        <v>22428</v>
      </c>
      <c r="BS314" s="419">
        <f>S314+BH314</f>
        <v>9.6000999999999994</v>
      </c>
      <c r="BT314" s="419">
        <f t="shared" ref="BT314:BU316" si="502">T314+BF314</f>
        <v>8</v>
      </c>
      <c r="BU314" s="421">
        <f t="shared" si="502"/>
        <v>1.6000999999999999</v>
      </c>
      <c r="BV314" s="420"/>
      <c r="BW314" s="415"/>
      <c r="BX314" s="415"/>
      <c r="BY314" s="415"/>
      <c r="BZ314" s="415"/>
      <c r="CA314" s="510"/>
    </row>
    <row r="315" spans="1:79" ht="14.1" customHeight="1" x14ac:dyDescent="0.2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661</v>
      </c>
      <c r="F315" s="66">
        <v>3111</v>
      </c>
      <c r="G315" s="77" t="s">
        <v>291</v>
      </c>
      <c r="H315" s="67" t="s">
        <v>272</v>
      </c>
      <c r="I315" s="420">
        <v>1749440</v>
      </c>
      <c r="J315" s="415">
        <v>1297804</v>
      </c>
      <c r="K315" s="415">
        <v>1297804</v>
      </c>
      <c r="L315" s="415">
        <v>0</v>
      </c>
      <c r="M315" s="415">
        <v>0</v>
      </c>
      <c r="N315" s="415">
        <v>0</v>
      </c>
      <c r="O315" s="415">
        <v>0</v>
      </c>
      <c r="P315" s="599">
        <v>438658</v>
      </c>
      <c r="Q315" s="599">
        <v>12978</v>
      </c>
      <c r="R315" s="415">
        <v>0</v>
      </c>
      <c r="S315" s="416">
        <v>3.5</v>
      </c>
      <c r="T315" s="417">
        <v>3.5</v>
      </c>
      <c r="U315" s="423">
        <v>0</v>
      </c>
      <c r="V315" s="424">
        <f t="shared" si="415"/>
        <v>0</v>
      </c>
      <c r="W315" s="418">
        <f t="shared" si="416"/>
        <v>0</v>
      </c>
      <c r="X315" s="418">
        <v>0</v>
      </c>
      <c r="Y315" s="418">
        <v>0</v>
      </c>
      <c r="Z315" s="418">
        <v>0</v>
      </c>
      <c r="AA315" s="418">
        <v>0</v>
      </c>
      <c r="AB315" s="418">
        <v>0</v>
      </c>
      <c r="AC315" s="418">
        <v>0</v>
      </c>
      <c r="AD315" s="418">
        <f>V315+X315+Y315+Z315+AB315</f>
        <v>0</v>
      </c>
      <c r="AE315" s="418">
        <f>W315+AA315+AC315</f>
        <v>0</v>
      </c>
      <c r="AF315" s="418">
        <f t="shared" si="417"/>
        <v>0</v>
      </c>
      <c r="AG315" s="418">
        <v>0</v>
      </c>
      <c r="AH315" s="418">
        <v>0</v>
      </c>
      <c r="AI315" s="418">
        <v>0</v>
      </c>
      <c r="AJ315" s="418">
        <v>0</v>
      </c>
      <c r="AK315" s="418">
        <v>0</v>
      </c>
      <c r="AL315" s="418">
        <f t="shared" si="418"/>
        <v>0</v>
      </c>
      <c r="AM315" s="418">
        <f t="shared" si="419"/>
        <v>0</v>
      </c>
      <c r="AN315" s="418">
        <f t="shared" si="420"/>
        <v>0</v>
      </c>
      <c r="AO315" s="418">
        <f t="shared" si="421"/>
        <v>0</v>
      </c>
      <c r="AP315" s="418">
        <f t="shared" si="422"/>
        <v>0</v>
      </c>
      <c r="AQ315" s="418">
        <f t="shared" si="423"/>
        <v>0</v>
      </c>
      <c r="AR315" s="68">
        <f t="shared" si="424"/>
        <v>0</v>
      </c>
      <c r="AS315" s="68">
        <f t="shared" si="425"/>
        <v>0</v>
      </c>
      <c r="AT315" s="418">
        <v>0</v>
      </c>
      <c r="AU315" s="418">
        <v>0</v>
      </c>
      <c r="AV315" s="418">
        <f t="shared" si="426"/>
        <v>0</v>
      </c>
      <c r="AW315" s="418">
        <f t="shared" si="427"/>
        <v>0</v>
      </c>
      <c r="AX315" s="419">
        <v>0</v>
      </c>
      <c r="AY315" s="419">
        <v>0</v>
      </c>
      <c r="AZ315" s="419">
        <v>0</v>
      </c>
      <c r="BA315" s="419">
        <v>0</v>
      </c>
      <c r="BB315" s="419">
        <v>0</v>
      </c>
      <c r="BC315" s="419">
        <v>0</v>
      </c>
      <c r="BD315" s="419">
        <v>0</v>
      </c>
      <c r="BE315" s="419">
        <v>0</v>
      </c>
      <c r="BF315" s="419">
        <f t="shared" si="428"/>
        <v>0</v>
      </c>
      <c r="BG315" s="419">
        <f t="shared" si="429"/>
        <v>0</v>
      </c>
      <c r="BH315" s="421">
        <f t="shared" si="430"/>
        <v>0</v>
      </c>
      <c r="BI315" s="780">
        <f>I315+AW315</f>
        <v>1749440</v>
      </c>
      <c r="BJ315" s="418">
        <f>J315+AF315</f>
        <v>1297804</v>
      </c>
      <c r="BK315" s="418">
        <f t="shared" si="499"/>
        <v>1297804</v>
      </c>
      <c r="BL315" s="418">
        <f t="shared" si="499"/>
        <v>0</v>
      </c>
      <c r="BM315" s="418">
        <f>M315+AN315</f>
        <v>0</v>
      </c>
      <c r="BN315" s="418">
        <f t="shared" si="500"/>
        <v>0</v>
      </c>
      <c r="BO315" s="418">
        <f t="shared" si="500"/>
        <v>0</v>
      </c>
      <c r="BP315" s="418">
        <f t="shared" si="501"/>
        <v>438658</v>
      </c>
      <c r="BQ315" s="418">
        <f t="shared" si="501"/>
        <v>12978</v>
      </c>
      <c r="BR315" s="418">
        <f>R315+AV315</f>
        <v>0</v>
      </c>
      <c r="BS315" s="419">
        <f>S315+BH315</f>
        <v>3.5</v>
      </c>
      <c r="BT315" s="419">
        <f t="shared" si="502"/>
        <v>3.5</v>
      </c>
      <c r="BU315" s="421">
        <f t="shared" si="502"/>
        <v>0</v>
      </c>
      <c r="BV315" s="420"/>
      <c r="BW315" s="415"/>
      <c r="BX315" s="415"/>
      <c r="BY315" s="415"/>
      <c r="BZ315" s="415"/>
      <c r="CA315" s="510"/>
    </row>
    <row r="316" spans="1:79" ht="14.1" customHeight="1" x14ac:dyDescent="0.2">
      <c r="A316" s="66">
        <v>63</v>
      </c>
      <c r="B316" s="63">
        <v>2403</v>
      </c>
      <c r="C316" s="64">
        <v>600078931</v>
      </c>
      <c r="D316" s="63">
        <v>72744324</v>
      </c>
      <c r="E316" s="65" t="s">
        <v>661</v>
      </c>
      <c r="F316" s="66">
        <v>3141</v>
      </c>
      <c r="G316" s="65" t="s">
        <v>294</v>
      </c>
      <c r="H316" s="67" t="s">
        <v>272</v>
      </c>
      <c r="I316" s="420">
        <v>659256</v>
      </c>
      <c r="J316" s="415">
        <v>486881</v>
      </c>
      <c r="K316" s="415">
        <v>0</v>
      </c>
      <c r="L316" s="750">
        <v>486881</v>
      </c>
      <c r="M316" s="415">
        <v>0</v>
      </c>
      <c r="N316" s="204">
        <v>0</v>
      </c>
      <c r="O316" s="204">
        <v>0</v>
      </c>
      <c r="P316" s="599">
        <v>164566</v>
      </c>
      <c r="Q316" s="599">
        <v>4869</v>
      </c>
      <c r="R316" s="605">
        <v>2940</v>
      </c>
      <c r="S316" s="416">
        <v>1.46</v>
      </c>
      <c r="T316" s="607">
        <v>0</v>
      </c>
      <c r="U316" s="737">
        <v>1.46</v>
      </c>
      <c r="V316" s="424">
        <f t="shared" si="415"/>
        <v>0</v>
      </c>
      <c r="W316" s="418">
        <f t="shared" si="416"/>
        <v>0</v>
      </c>
      <c r="X316" s="418">
        <v>0</v>
      </c>
      <c r="Y316" s="418">
        <v>0</v>
      </c>
      <c r="Z316" s="418">
        <v>0</v>
      </c>
      <c r="AA316" s="418">
        <v>243641</v>
      </c>
      <c r="AB316" s="418">
        <v>0</v>
      </c>
      <c r="AC316" s="418">
        <v>0</v>
      </c>
      <c r="AD316" s="418">
        <f>V316+X316+Y316+Z316+AB316</f>
        <v>0</v>
      </c>
      <c r="AE316" s="418">
        <f>W316+AA316+AC316</f>
        <v>243641</v>
      </c>
      <c r="AF316" s="418">
        <f t="shared" si="417"/>
        <v>243641</v>
      </c>
      <c r="AG316" s="418">
        <v>0</v>
      </c>
      <c r="AH316" s="418">
        <v>0</v>
      </c>
      <c r="AI316" s="418">
        <v>0</v>
      </c>
      <c r="AJ316" s="418">
        <v>0</v>
      </c>
      <c r="AK316" s="418">
        <v>0</v>
      </c>
      <c r="AL316" s="418">
        <f t="shared" si="418"/>
        <v>0</v>
      </c>
      <c r="AM316" s="418">
        <f t="shared" si="419"/>
        <v>0</v>
      </c>
      <c r="AN316" s="418">
        <f t="shared" si="420"/>
        <v>0</v>
      </c>
      <c r="AO316" s="418">
        <f t="shared" si="421"/>
        <v>0</v>
      </c>
      <c r="AP316" s="418">
        <f t="shared" si="422"/>
        <v>243641</v>
      </c>
      <c r="AQ316" s="418">
        <f t="shared" si="423"/>
        <v>243641</v>
      </c>
      <c r="AR316" s="68">
        <f t="shared" si="424"/>
        <v>82351</v>
      </c>
      <c r="AS316" s="68">
        <f t="shared" si="425"/>
        <v>2436</v>
      </c>
      <c r="AT316" s="418">
        <v>0</v>
      </c>
      <c r="AU316" s="418">
        <v>1428</v>
      </c>
      <c r="AV316" s="418">
        <f t="shared" si="426"/>
        <v>1428</v>
      </c>
      <c r="AW316" s="418">
        <f t="shared" si="427"/>
        <v>329856</v>
      </c>
      <c r="AX316" s="419">
        <v>0</v>
      </c>
      <c r="AY316" s="419">
        <v>0</v>
      </c>
      <c r="AZ316" s="419">
        <v>0</v>
      </c>
      <c r="BA316" s="419">
        <v>0</v>
      </c>
      <c r="BB316" s="419">
        <v>0.73</v>
      </c>
      <c r="BC316" s="419">
        <v>0</v>
      </c>
      <c r="BD316" s="419">
        <v>0</v>
      </c>
      <c r="BE316" s="419">
        <v>0</v>
      </c>
      <c r="BF316" s="419">
        <f t="shared" si="428"/>
        <v>0</v>
      </c>
      <c r="BG316" s="419">
        <f t="shared" si="429"/>
        <v>0.73</v>
      </c>
      <c r="BH316" s="421">
        <f t="shared" si="430"/>
        <v>0.73</v>
      </c>
      <c r="BI316" s="780">
        <f>I316+AW316</f>
        <v>989112</v>
      </c>
      <c r="BJ316" s="418">
        <f>J316+AF316</f>
        <v>730522</v>
      </c>
      <c r="BK316" s="418">
        <f t="shared" si="499"/>
        <v>0</v>
      </c>
      <c r="BL316" s="418">
        <f t="shared" si="499"/>
        <v>730522</v>
      </c>
      <c r="BM316" s="418">
        <f>M316+AN316</f>
        <v>0</v>
      </c>
      <c r="BN316" s="418">
        <f t="shared" si="500"/>
        <v>0</v>
      </c>
      <c r="BO316" s="418">
        <f t="shared" si="500"/>
        <v>0</v>
      </c>
      <c r="BP316" s="418">
        <f t="shared" si="501"/>
        <v>246917</v>
      </c>
      <c r="BQ316" s="418">
        <f t="shared" si="501"/>
        <v>7305</v>
      </c>
      <c r="BR316" s="418">
        <f>R316+AV316</f>
        <v>4368</v>
      </c>
      <c r="BS316" s="419">
        <f>S316+BH316</f>
        <v>2.19</v>
      </c>
      <c r="BT316" s="419">
        <f t="shared" si="502"/>
        <v>0</v>
      </c>
      <c r="BU316" s="421">
        <f t="shared" si="502"/>
        <v>2.19</v>
      </c>
      <c r="BV316" s="420"/>
      <c r="BW316" s="415"/>
      <c r="BX316" s="415"/>
      <c r="BY316" s="415"/>
      <c r="BZ316" s="415"/>
      <c r="CA316" s="510"/>
    </row>
    <row r="317" spans="1:79" ht="14.1" customHeight="1" x14ac:dyDescent="0.2">
      <c r="A317" s="72">
        <v>63</v>
      </c>
      <c r="B317" s="69">
        <v>2403</v>
      </c>
      <c r="C317" s="70">
        <v>600078931</v>
      </c>
      <c r="D317" s="69">
        <v>72744324</v>
      </c>
      <c r="E317" s="71" t="s">
        <v>662</v>
      </c>
      <c r="F317" s="72"/>
      <c r="G317" s="71"/>
      <c r="H317" s="73"/>
      <c r="I317" s="517">
        <v>9253198</v>
      </c>
      <c r="J317" s="74">
        <v>6845571</v>
      </c>
      <c r="K317" s="74">
        <v>5888488</v>
      </c>
      <c r="L317" s="74">
        <v>957083</v>
      </c>
      <c r="M317" s="74">
        <v>0</v>
      </c>
      <c r="N317" s="74">
        <v>0</v>
      </c>
      <c r="O317" s="74">
        <v>0</v>
      </c>
      <c r="P317" s="74">
        <v>2313803</v>
      </c>
      <c r="Q317" s="74">
        <v>68456</v>
      </c>
      <c r="R317" s="74">
        <v>25368</v>
      </c>
      <c r="S317" s="75">
        <v>14.560099999999998</v>
      </c>
      <c r="T317" s="75">
        <v>11.5</v>
      </c>
      <c r="U317" s="658">
        <v>3.0600999999999998</v>
      </c>
      <c r="V317" s="517">
        <f t="shared" ref="V317:BU317" si="503">SUM(V314:V316)</f>
        <v>0</v>
      </c>
      <c r="W317" s="74">
        <f t="shared" si="503"/>
        <v>0</v>
      </c>
      <c r="X317" s="74">
        <f t="shared" si="503"/>
        <v>0</v>
      </c>
      <c r="Y317" s="74">
        <f t="shared" si="503"/>
        <v>0</v>
      </c>
      <c r="Z317" s="74">
        <f t="shared" si="503"/>
        <v>0</v>
      </c>
      <c r="AA317" s="74">
        <f t="shared" si="503"/>
        <v>243641</v>
      </c>
      <c r="AB317" s="74">
        <f t="shared" si="503"/>
        <v>0</v>
      </c>
      <c r="AC317" s="74">
        <f t="shared" si="503"/>
        <v>0</v>
      </c>
      <c r="AD317" s="74">
        <f t="shared" si="503"/>
        <v>0</v>
      </c>
      <c r="AE317" s="74">
        <f t="shared" si="503"/>
        <v>243641</v>
      </c>
      <c r="AF317" s="74">
        <f t="shared" si="503"/>
        <v>243641</v>
      </c>
      <c r="AG317" s="74">
        <f t="shared" si="503"/>
        <v>0</v>
      </c>
      <c r="AH317" s="74">
        <f t="shared" si="503"/>
        <v>0</v>
      </c>
      <c r="AI317" s="74">
        <f t="shared" si="503"/>
        <v>0</v>
      </c>
      <c r="AJ317" s="74">
        <f t="shared" si="503"/>
        <v>0</v>
      </c>
      <c r="AK317" s="74">
        <f t="shared" si="503"/>
        <v>0</v>
      </c>
      <c r="AL317" s="74">
        <f t="shared" si="503"/>
        <v>0</v>
      </c>
      <c r="AM317" s="74">
        <f t="shared" si="503"/>
        <v>0</v>
      </c>
      <c r="AN317" s="74">
        <f t="shared" si="503"/>
        <v>0</v>
      </c>
      <c r="AO317" s="74">
        <f t="shared" si="503"/>
        <v>0</v>
      </c>
      <c r="AP317" s="74">
        <f t="shared" si="503"/>
        <v>243641</v>
      </c>
      <c r="AQ317" s="74">
        <f t="shared" si="503"/>
        <v>243641</v>
      </c>
      <c r="AR317" s="74">
        <f t="shared" si="503"/>
        <v>82351</v>
      </c>
      <c r="AS317" s="74">
        <f t="shared" si="503"/>
        <v>2436</v>
      </c>
      <c r="AT317" s="74">
        <f t="shared" si="503"/>
        <v>0</v>
      </c>
      <c r="AU317" s="74">
        <f t="shared" si="503"/>
        <v>1428</v>
      </c>
      <c r="AV317" s="74">
        <f t="shared" si="503"/>
        <v>1428</v>
      </c>
      <c r="AW317" s="74">
        <f t="shared" si="503"/>
        <v>329856</v>
      </c>
      <c r="AX317" s="75">
        <f t="shared" si="503"/>
        <v>0</v>
      </c>
      <c r="AY317" s="75">
        <f t="shared" si="503"/>
        <v>0</v>
      </c>
      <c r="AZ317" s="75">
        <f t="shared" si="503"/>
        <v>0</v>
      </c>
      <c r="BA317" s="75">
        <f t="shared" si="503"/>
        <v>0</v>
      </c>
      <c r="BB317" s="75">
        <f t="shared" si="503"/>
        <v>0.73</v>
      </c>
      <c r="BC317" s="75">
        <f t="shared" si="503"/>
        <v>0</v>
      </c>
      <c r="BD317" s="75">
        <f t="shared" si="503"/>
        <v>0</v>
      </c>
      <c r="BE317" s="75">
        <f t="shared" si="503"/>
        <v>0</v>
      </c>
      <c r="BF317" s="75">
        <f t="shared" si="503"/>
        <v>0</v>
      </c>
      <c r="BG317" s="75">
        <f t="shared" si="503"/>
        <v>0.73</v>
      </c>
      <c r="BH317" s="76">
        <f t="shared" si="503"/>
        <v>0.73</v>
      </c>
      <c r="BI317" s="799">
        <f t="shared" si="503"/>
        <v>9583054</v>
      </c>
      <c r="BJ317" s="74">
        <f t="shared" si="503"/>
        <v>7089212</v>
      </c>
      <c r="BK317" s="74">
        <f t="shared" si="503"/>
        <v>5888488</v>
      </c>
      <c r="BL317" s="74">
        <f t="shared" si="503"/>
        <v>1200724</v>
      </c>
      <c r="BM317" s="74">
        <f t="shared" si="503"/>
        <v>0</v>
      </c>
      <c r="BN317" s="74">
        <f t="shared" si="503"/>
        <v>0</v>
      </c>
      <c r="BO317" s="74">
        <f t="shared" si="503"/>
        <v>0</v>
      </c>
      <c r="BP317" s="74">
        <f t="shared" si="503"/>
        <v>2396154</v>
      </c>
      <c r="BQ317" s="74">
        <f t="shared" si="503"/>
        <v>70892</v>
      </c>
      <c r="BR317" s="74">
        <f t="shared" si="503"/>
        <v>26796</v>
      </c>
      <c r="BS317" s="75">
        <f t="shared" si="503"/>
        <v>15.290099999999999</v>
      </c>
      <c r="BT317" s="75">
        <f t="shared" si="503"/>
        <v>11.5</v>
      </c>
      <c r="BU317" s="76">
        <f t="shared" si="503"/>
        <v>3.7900999999999998</v>
      </c>
      <c r="BV317" s="809">
        <f t="shared" ref="BV317:CA317" si="504">SUM(BV314:BV316)</f>
        <v>0</v>
      </c>
      <c r="BW317" s="684">
        <f t="shared" si="504"/>
        <v>0</v>
      </c>
      <c r="BX317" s="684">
        <f t="shared" si="504"/>
        <v>0</v>
      </c>
      <c r="BY317" s="684">
        <f t="shared" si="504"/>
        <v>0</v>
      </c>
      <c r="BZ317" s="684">
        <f t="shared" si="504"/>
        <v>0</v>
      </c>
      <c r="CA317" s="810">
        <f t="shared" si="504"/>
        <v>0</v>
      </c>
    </row>
    <row r="318" spans="1:79" ht="14.1" customHeight="1" x14ac:dyDescent="0.2">
      <c r="A318" s="66">
        <v>64</v>
      </c>
      <c r="B318" s="63">
        <v>2458</v>
      </c>
      <c r="C318" s="64">
        <v>600079741</v>
      </c>
      <c r="D318" s="63">
        <v>72744243</v>
      </c>
      <c r="E318" s="65" t="s">
        <v>663</v>
      </c>
      <c r="F318" s="66">
        <v>3113</v>
      </c>
      <c r="G318" s="65" t="s">
        <v>293</v>
      </c>
      <c r="H318" s="67" t="s">
        <v>271</v>
      </c>
      <c r="I318" s="420">
        <v>24631231</v>
      </c>
      <c r="J318" s="415">
        <v>18010592</v>
      </c>
      <c r="K318" s="415">
        <v>16578381</v>
      </c>
      <c r="L318" s="415">
        <v>1432211</v>
      </c>
      <c r="M318" s="415">
        <v>25000</v>
      </c>
      <c r="N318" s="415">
        <v>25000</v>
      </c>
      <c r="O318" s="415">
        <v>0</v>
      </c>
      <c r="P318" s="599">
        <v>6096030</v>
      </c>
      <c r="Q318" s="599">
        <v>180106</v>
      </c>
      <c r="R318" s="415">
        <v>319503</v>
      </c>
      <c r="S318" s="416">
        <v>29.1495</v>
      </c>
      <c r="T318" s="416">
        <v>24.930099999999999</v>
      </c>
      <c r="U318" s="423">
        <v>4.2194000000000003</v>
      </c>
      <c r="V318" s="424">
        <f t="shared" si="415"/>
        <v>0</v>
      </c>
      <c r="W318" s="418">
        <f t="shared" si="416"/>
        <v>0</v>
      </c>
      <c r="X318" s="418">
        <v>0</v>
      </c>
      <c r="Y318" s="418">
        <v>0</v>
      </c>
      <c r="Z318" s="418">
        <v>0</v>
      </c>
      <c r="AA318" s="418">
        <v>0</v>
      </c>
      <c r="AB318" s="418">
        <v>0</v>
      </c>
      <c r="AC318" s="418">
        <v>0</v>
      </c>
      <c r="AD318" s="418">
        <f>V318+X318+Y318+Z318+AB318</f>
        <v>0</v>
      </c>
      <c r="AE318" s="418">
        <f>W318+AA318+AC318</f>
        <v>0</v>
      </c>
      <c r="AF318" s="418">
        <f t="shared" si="417"/>
        <v>0</v>
      </c>
      <c r="AG318" s="418">
        <v>0</v>
      </c>
      <c r="AH318" s="418">
        <v>0</v>
      </c>
      <c r="AI318" s="418">
        <v>0</v>
      </c>
      <c r="AJ318" s="418">
        <v>0</v>
      </c>
      <c r="AK318" s="418">
        <v>0</v>
      </c>
      <c r="AL318" s="418">
        <f t="shared" si="418"/>
        <v>0</v>
      </c>
      <c r="AM318" s="418">
        <f t="shared" si="419"/>
        <v>0</v>
      </c>
      <c r="AN318" s="418">
        <f t="shared" si="420"/>
        <v>0</v>
      </c>
      <c r="AO318" s="418">
        <f t="shared" si="421"/>
        <v>0</v>
      </c>
      <c r="AP318" s="418">
        <f t="shared" si="422"/>
        <v>0</v>
      </c>
      <c r="AQ318" s="418">
        <f t="shared" si="423"/>
        <v>0</v>
      </c>
      <c r="AR318" s="68">
        <f t="shared" si="424"/>
        <v>0</v>
      </c>
      <c r="AS318" s="68">
        <f t="shared" si="425"/>
        <v>0</v>
      </c>
      <c r="AT318" s="418">
        <v>0</v>
      </c>
      <c r="AU318" s="418">
        <v>0</v>
      </c>
      <c r="AV318" s="418">
        <f t="shared" si="426"/>
        <v>0</v>
      </c>
      <c r="AW318" s="418">
        <f t="shared" si="427"/>
        <v>0</v>
      </c>
      <c r="AX318" s="419">
        <v>0</v>
      </c>
      <c r="AY318" s="419">
        <v>0</v>
      </c>
      <c r="AZ318" s="419">
        <v>0</v>
      </c>
      <c r="BA318" s="419">
        <v>0</v>
      </c>
      <c r="BB318" s="419">
        <v>0</v>
      </c>
      <c r="BC318" s="419">
        <v>0</v>
      </c>
      <c r="BD318" s="419">
        <v>0</v>
      </c>
      <c r="BE318" s="419">
        <v>0</v>
      </c>
      <c r="BF318" s="419">
        <f t="shared" si="428"/>
        <v>0</v>
      </c>
      <c r="BG318" s="419">
        <f t="shared" si="429"/>
        <v>0</v>
      </c>
      <c r="BH318" s="421">
        <f t="shared" si="430"/>
        <v>0</v>
      </c>
      <c r="BI318" s="780">
        <f>I318+AW318</f>
        <v>24631231</v>
      </c>
      <c r="BJ318" s="418">
        <f>J318+AF318</f>
        <v>18010592</v>
      </c>
      <c r="BK318" s="418">
        <f t="shared" ref="BK318:BL322" si="505">K318+AD318</f>
        <v>16578381</v>
      </c>
      <c r="BL318" s="418">
        <f t="shared" si="505"/>
        <v>1432211</v>
      </c>
      <c r="BM318" s="418">
        <f>M318+AN318</f>
        <v>25000</v>
      </c>
      <c r="BN318" s="418">
        <f t="shared" ref="BN318:BO322" si="506">N318+AL318</f>
        <v>25000</v>
      </c>
      <c r="BO318" s="418">
        <f t="shared" si="506"/>
        <v>0</v>
      </c>
      <c r="BP318" s="418">
        <f t="shared" ref="BP318:BQ322" si="507">P318+AR318</f>
        <v>6096030</v>
      </c>
      <c r="BQ318" s="418">
        <f t="shared" si="507"/>
        <v>180106</v>
      </c>
      <c r="BR318" s="418">
        <f>R318+AV318</f>
        <v>319503</v>
      </c>
      <c r="BS318" s="419">
        <f>S318+BH318</f>
        <v>29.1495</v>
      </c>
      <c r="BT318" s="419">
        <f t="shared" ref="BT318:BU322" si="508">T318+BF318</f>
        <v>24.930099999999999</v>
      </c>
      <c r="BU318" s="421">
        <f t="shared" si="508"/>
        <v>4.2194000000000003</v>
      </c>
      <c r="BV318" s="420"/>
      <c r="BW318" s="415"/>
      <c r="BX318" s="415"/>
      <c r="BY318" s="415"/>
      <c r="BZ318" s="415"/>
      <c r="CA318" s="510"/>
    </row>
    <row r="319" spans="1:79" ht="14.1" customHeight="1" x14ac:dyDescent="0.2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663</v>
      </c>
      <c r="F319" s="66">
        <v>3113</v>
      </c>
      <c r="G319" s="77" t="s">
        <v>291</v>
      </c>
      <c r="H319" s="67" t="s">
        <v>272</v>
      </c>
      <c r="I319" s="420">
        <v>1611720</v>
      </c>
      <c r="J319" s="415">
        <v>1195638</v>
      </c>
      <c r="K319" s="415">
        <v>1195638</v>
      </c>
      <c r="L319" s="415">
        <v>0</v>
      </c>
      <c r="M319" s="415">
        <v>0</v>
      </c>
      <c r="N319" s="415">
        <v>0</v>
      </c>
      <c r="O319" s="415">
        <v>0</v>
      </c>
      <c r="P319" s="599">
        <v>404126</v>
      </c>
      <c r="Q319" s="599">
        <v>11956</v>
      </c>
      <c r="R319" s="415">
        <v>0</v>
      </c>
      <c r="S319" s="416">
        <v>3.33</v>
      </c>
      <c r="T319" s="417">
        <v>3.33</v>
      </c>
      <c r="U319" s="423">
        <v>0</v>
      </c>
      <c r="V319" s="424">
        <f t="shared" si="415"/>
        <v>0</v>
      </c>
      <c r="W319" s="418">
        <f t="shared" si="416"/>
        <v>0</v>
      </c>
      <c r="X319" s="418">
        <v>0</v>
      </c>
      <c r="Y319" s="418">
        <v>0</v>
      </c>
      <c r="Z319" s="418">
        <v>0</v>
      </c>
      <c r="AA319" s="418">
        <v>0</v>
      </c>
      <c r="AB319" s="418">
        <v>0</v>
      </c>
      <c r="AC319" s="418">
        <v>0</v>
      </c>
      <c r="AD319" s="418">
        <f>V319+X319+Y319+Z319+AB319</f>
        <v>0</v>
      </c>
      <c r="AE319" s="418">
        <f>W319+AA319+AC319</f>
        <v>0</v>
      </c>
      <c r="AF319" s="418">
        <f t="shared" si="417"/>
        <v>0</v>
      </c>
      <c r="AG319" s="418">
        <v>0</v>
      </c>
      <c r="AH319" s="418">
        <v>0</v>
      </c>
      <c r="AI319" s="418">
        <v>0</v>
      </c>
      <c r="AJ319" s="418">
        <v>0</v>
      </c>
      <c r="AK319" s="418">
        <v>0</v>
      </c>
      <c r="AL319" s="418">
        <f t="shared" si="418"/>
        <v>0</v>
      </c>
      <c r="AM319" s="418">
        <f t="shared" si="419"/>
        <v>0</v>
      </c>
      <c r="AN319" s="418">
        <f t="shared" si="420"/>
        <v>0</v>
      </c>
      <c r="AO319" s="418">
        <f t="shared" si="421"/>
        <v>0</v>
      </c>
      <c r="AP319" s="418">
        <f t="shared" si="422"/>
        <v>0</v>
      </c>
      <c r="AQ319" s="418">
        <f t="shared" si="423"/>
        <v>0</v>
      </c>
      <c r="AR319" s="68">
        <f t="shared" si="424"/>
        <v>0</v>
      </c>
      <c r="AS319" s="68">
        <f t="shared" si="425"/>
        <v>0</v>
      </c>
      <c r="AT319" s="418">
        <v>0</v>
      </c>
      <c r="AU319" s="418">
        <v>0</v>
      </c>
      <c r="AV319" s="418">
        <f t="shared" si="426"/>
        <v>0</v>
      </c>
      <c r="AW319" s="418">
        <f t="shared" si="427"/>
        <v>0</v>
      </c>
      <c r="AX319" s="419">
        <v>0</v>
      </c>
      <c r="AY319" s="419">
        <v>0</v>
      </c>
      <c r="AZ319" s="419">
        <v>0</v>
      </c>
      <c r="BA319" s="419">
        <v>0</v>
      </c>
      <c r="BB319" s="419">
        <v>0</v>
      </c>
      <c r="BC319" s="419">
        <v>0</v>
      </c>
      <c r="BD319" s="419">
        <v>0</v>
      </c>
      <c r="BE319" s="419">
        <v>0</v>
      </c>
      <c r="BF319" s="419">
        <f t="shared" si="428"/>
        <v>0</v>
      </c>
      <c r="BG319" s="419">
        <f t="shared" si="429"/>
        <v>0</v>
      </c>
      <c r="BH319" s="421">
        <f t="shared" si="430"/>
        <v>0</v>
      </c>
      <c r="BI319" s="780">
        <f>I319+AW319</f>
        <v>1611720</v>
      </c>
      <c r="BJ319" s="418">
        <f>J319+AF319</f>
        <v>1195638</v>
      </c>
      <c r="BK319" s="418">
        <f t="shared" si="505"/>
        <v>1195638</v>
      </c>
      <c r="BL319" s="418">
        <f t="shared" si="505"/>
        <v>0</v>
      </c>
      <c r="BM319" s="418">
        <f>M319+AN319</f>
        <v>0</v>
      </c>
      <c r="BN319" s="418">
        <f t="shared" si="506"/>
        <v>0</v>
      </c>
      <c r="BO319" s="418">
        <f t="shared" si="506"/>
        <v>0</v>
      </c>
      <c r="BP319" s="418">
        <f t="shared" si="507"/>
        <v>404126</v>
      </c>
      <c r="BQ319" s="418">
        <f t="shared" si="507"/>
        <v>11956</v>
      </c>
      <c r="BR319" s="418">
        <f>R319+AV319</f>
        <v>0</v>
      </c>
      <c r="BS319" s="419">
        <f>S319+BH319</f>
        <v>3.33</v>
      </c>
      <c r="BT319" s="419">
        <f t="shared" si="508"/>
        <v>3.33</v>
      </c>
      <c r="BU319" s="421">
        <f t="shared" si="508"/>
        <v>0</v>
      </c>
      <c r="BV319" s="420"/>
      <c r="BW319" s="415"/>
      <c r="BX319" s="415"/>
      <c r="BY319" s="415"/>
      <c r="BZ319" s="415"/>
      <c r="CA319" s="510"/>
    </row>
    <row r="320" spans="1:79" ht="14.1" customHeight="1" x14ac:dyDescent="0.2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663</v>
      </c>
      <c r="F320" s="66">
        <v>3141</v>
      </c>
      <c r="G320" s="65" t="s">
        <v>294</v>
      </c>
      <c r="H320" s="67" t="s">
        <v>272</v>
      </c>
      <c r="I320" s="420">
        <v>1629979</v>
      </c>
      <c r="J320" s="415">
        <v>1185528</v>
      </c>
      <c r="K320" s="415">
        <v>0</v>
      </c>
      <c r="L320" s="750">
        <v>1185528</v>
      </c>
      <c r="M320" s="415">
        <v>15000</v>
      </c>
      <c r="N320" s="204">
        <v>0</v>
      </c>
      <c r="O320" s="204">
        <v>15000</v>
      </c>
      <c r="P320" s="599">
        <v>405778</v>
      </c>
      <c r="Q320" s="599">
        <v>11855</v>
      </c>
      <c r="R320" s="605">
        <v>11818</v>
      </c>
      <c r="S320" s="416">
        <v>3.6</v>
      </c>
      <c r="T320" s="607">
        <v>0</v>
      </c>
      <c r="U320" s="737">
        <v>3.6</v>
      </c>
      <c r="V320" s="424">
        <f t="shared" si="415"/>
        <v>0</v>
      </c>
      <c r="W320" s="418">
        <f t="shared" si="416"/>
        <v>0</v>
      </c>
      <c r="X320" s="418">
        <v>0</v>
      </c>
      <c r="Y320" s="418">
        <v>0</v>
      </c>
      <c r="Z320" s="418">
        <v>0</v>
      </c>
      <c r="AA320" s="418">
        <v>600637</v>
      </c>
      <c r="AB320" s="418">
        <v>0</v>
      </c>
      <c r="AC320" s="418">
        <v>0</v>
      </c>
      <c r="AD320" s="418">
        <f>V320+X320+Y320+Z320+AB320</f>
        <v>0</v>
      </c>
      <c r="AE320" s="418">
        <f>W320+AA320+AC320</f>
        <v>600637</v>
      </c>
      <c r="AF320" s="418">
        <f t="shared" si="417"/>
        <v>600637</v>
      </c>
      <c r="AG320" s="418">
        <v>0</v>
      </c>
      <c r="AH320" s="418">
        <v>0</v>
      </c>
      <c r="AI320" s="418">
        <v>0</v>
      </c>
      <c r="AJ320" s="418">
        <v>0</v>
      </c>
      <c r="AK320" s="418">
        <v>0</v>
      </c>
      <c r="AL320" s="418">
        <f t="shared" si="418"/>
        <v>0</v>
      </c>
      <c r="AM320" s="418">
        <f t="shared" si="419"/>
        <v>0</v>
      </c>
      <c r="AN320" s="418">
        <f t="shared" si="420"/>
        <v>0</v>
      </c>
      <c r="AO320" s="418">
        <f t="shared" si="421"/>
        <v>0</v>
      </c>
      <c r="AP320" s="418">
        <f t="shared" si="422"/>
        <v>600637</v>
      </c>
      <c r="AQ320" s="418">
        <f t="shared" si="423"/>
        <v>600637</v>
      </c>
      <c r="AR320" s="68">
        <f t="shared" si="424"/>
        <v>203015</v>
      </c>
      <c r="AS320" s="68">
        <f t="shared" si="425"/>
        <v>6006</v>
      </c>
      <c r="AT320" s="418">
        <v>0</v>
      </c>
      <c r="AU320" s="418">
        <v>5734</v>
      </c>
      <c r="AV320" s="418">
        <f t="shared" si="426"/>
        <v>5734</v>
      </c>
      <c r="AW320" s="418">
        <f t="shared" si="427"/>
        <v>815392</v>
      </c>
      <c r="AX320" s="419">
        <v>0</v>
      </c>
      <c r="AY320" s="419">
        <v>0</v>
      </c>
      <c r="AZ320" s="419">
        <v>0</v>
      </c>
      <c r="BA320" s="419">
        <v>0</v>
      </c>
      <c r="BB320" s="419">
        <v>1.8</v>
      </c>
      <c r="BC320" s="419">
        <v>0</v>
      </c>
      <c r="BD320" s="419">
        <v>0</v>
      </c>
      <c r="BE320" s="419">
        <v>0</v>
      </c>
      <c r="BF320" s="419">
        <f t="shared" si="428"/>
        <v>0</v>
      </c>
      <c r="BG320" s="419">
        <f t="shared" si="429"/>
        <v>1.8</v>
      </c>
      <c r="BH320" s="421">
        <f t="shared" si="430"/>
        <v>1.8</v>
      </c>
      <c r="BI320" s="780">
        <f>I320+AW320</f>
        <v>2445371</v>
      </c>
      <c r="BJ320" s="418">
        <f>J320+AF320</f>
        <v>1786165</v>
      </c>
      <c r="BK320" s="418">
        <f t="shared" si="505"/>
        <v>0</v>
      </c>
      <c r="BL320" s="418">
        <f t="shared" si="505"/>
        <v>1786165</v>
      </c>
      <c r="BM320" s="418">
        <f>M320+AN320</f>
        <v>15000</v>
      </c>
      <c r="BN320" s="418">
        <f t="shared" si="506"/>
        <v>0</v>
      </c>
      <c r="BO320" s="418">
        <f t="shared" si="506"/>
        <v>15000</v>
      </c>
      <c r="BP320" s="418">
        <f t="shared" si="507"/>
        <v>608793</v>
      </c>
      <c r="BQ320" s="418">
        <f t="shared" si="507"/>
        <v>17861</v>
      </c>
      <c r="BR320" s="418">
        <f>R320+AV320</f>
        <v>17552</v>
      </c>
      <c r="BS320" s="419">
        <f>S320+BH320</f>
        <v>5.4</v>
      </c>
      <c r="BT320" s="419">
        <f t="shared" si="508"/>
        <v>0</v>
      </c>
      <c r="BU320" s="421">
        <f t="shared" si="508"/>
        <v>5.4</v>
      </c>
      <c r="BV320" s="420"/>
      <c r="BW320" s="415"/>
      <c r="BX320" s="415"/>
      <c r="BY320" s="415"/>
      <c r="BZ320" s="415"/>
      <c r="CA320" s="510"/>
    </row>
    <row r="321" spans="1:79" ht="14.1" customHeight="1" x14ac:dyDescent="0.2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663</v>
      </c>
      <c r="F321" s="66">
        <v>3143</v>
      </c>
      <c r="G321" s="77" t="s">
        <v>595</v>
      </c>
      <c r="H321" s="67" t="s">
        <v>271</v>
      </c>
      <c r="I321" s="420">
        <v>2878945</v>
      </c>
      <c r="J321" s="415">
        <v>2135716</v>
      </c>
      <c r="K321" s="415">
        <v>2135716</v>
      </c>
      <c r="L321" s="415">
        <v>0</v>
      </c>
      <c r="M321" s="415">
        <v>0</v>
      </c>
      <c r="N321" s="415">
        <v>0</v>
      </c>
      <c r="O321" s="415">
        <v>0</v>
      </c>
      <c r="P321" s="599">
        <v>721872</v>
      </c>
      <c r="Q321" s="599">
        <v>21357</v>
      </c>
      <c r="R321" s="415">
        <v>0</v>
      </c>
      <c r="S321" s="416">
        <v>4.4451000000000001</v>
      </c>
      <c r="T321" s="416">
        <v>4.4451000000000001</v>
      </c>
      <c r="U321" s="423">
        <v>0</v>
      </c>
      <c r="V321" s="424">
        <f t="shared" si="415"/>
        <v>0</v>
      </c>
      <c r="W321" s="418">
        <f t="shared" si="416"/>
        <v>0</v>
      </c>
      <c r="X321" s="418">
        <v>0</v>
      </c>
      <c r="Y321" s="418">
        <v>0</v>
      </c>
      <c r="Z321" s="418">
        <v>0</v>
      </c>
      <c r="AA321" s="418">
        <v>0</v>
      </c>
      <c r="AB321" s="418">
        <v>0</v>
      </c>
      <c r="AC321" s="418">
        <v>0</v>
      </c>
      <c r="AD321" s="418">
        <f>V321+X321+Y321+Z321+AB321</f>
        <v>0</v>
      </c>
      <c r="AE321" s="418">
        <f>W321+AA321+AC321</f>
        <v>0</v>
      </c>
      <c r="AF321" s="418">
        <f t="shared" si="417"/>
        <v>0</v>
      </c>
      <c r="AG321" s="418">
        <v>0</v>
      </c>
      <c r="AH321" s="418">
        <v>0</v>
      </c>
      <c r="AI321" s="418">
        <v>0</v>
      </c>
      <c r="AJ321" s="418">
        <v>0</v>
      </c>
      <c r="AK321" s="418">
        <v>0</v>
      </c>
      <c r="AL321" s="418">
        <f t="shared" si="418"/>
        <v>0</v>
      </c>
      <c r="AM321" s="418">
        <f t="shared" si="419"/>
        <v>0</v>
      </c>
      <c r="AN321" s="418">
        <f t="shared" si="420"/>
        <v>0</v>
      </c>
      <c r="AO321" s="418">
        <f t="shared" si="421"/>
        <v>0</v>
      </c>
      <c r="AP321" s="418">
        <f t="shared" si="422"/>
        <v>0</v>
      </c>
      <c r="AQ321" s="418">
        <f t="shared" si="423"/>
        <v>0</v>
      </c>
      <c r="AR321" s="68">
        <f t="shared" si="424"/>
        <v>0</v>
      </c>
      <c r="AS321" s="68">
        <f t="shared" si="425"/>
        <v>0</v>
      </c>
      <c r="AT321" s="418">
        <v>0</v>
      </c>
      <c r="AU321" s="418">
        <v>0</v>
      </c>
      <c r="AV321" s="418">
        <f t="shared" si="426"/>
        <v>0</v>
      </c>
      <c r="AW321" s="418">
        <f t="shared" si="427"/>
        <v>0</v>
      </c>
      <c r="AX321" s="419">
        <v>0</v>
      </c>
      <c r="AY321" s="419">
        <v>0</v>
      </c>
      <c r="AZ321" s="419">
        <v>0</v>
      </c>
      <c r="BA321" s="419">
        <v>0</v>
      </c>
      <c r="BB321" s="419">
        <v>0</v>
      </c>
      <c r="BC321" s="419">
        <v>0</v>
      </c>
      <c r="BD321" s="419">
        <v>0</v>
      </c>
      <c r="BE321" s="419">
        <v>0</v>
      </c>
      <c r="BF321" s="419">
        <f t="shared" si="428"/>
        <v>0</v>
      </c>
      <c r="BG321" s="419">
        <f t="shared" si="429"/>
        <v>0</v>
      </c>
      <c r="BH321" s="421">
        <f t="shared" si="430"/>
        <v>0</v>
      </c>
      <c r="BI321" s="780">
        <f>I321+AW321</f>
        <v>2878945</v>
      </c>
      <c r="BJ321" s="418">
        <f>J321+AF321</f>
        <v>2135716</v>
      </c>
      <c r="BK321" s="418">
        <f t="shared" si="505"/>
        <v>2135716</v>
      </c>
      <c r="BL321" s="418">
        <f t="shared" si="505"/>
        <v>0</v>
      </c>
      <c r="BM321" s="418">
        <f>M321+AN321</f>
        <v>0</v>
      </c>
      <c r="BN321" s="418">
        <f t="shared" si="506"/>
        <v>0</v>
      </c>
      <c r="BO321" s="418">
        <f t="shared" si="506"/>
        <v>0</v>
      </c>
      <c r="BP321" s="418">
        <f t="shared" si="507"/>
        <v>721872</v>
      </c>
      <c r="BQ321" s="418">
        <f t="shared" si="507"/>
        <v>21357</v>
      </c>
      <c r="BR321" s="418">
        <f>R321+AV321</f>
        <v>0</v>
      </c>
      <c r="BS321" s="419">
        <f>S321+BH321</f>
        <v>4.4451000000000001</v>
      </c>
      <c r="BT321" s="419">
        <f t="shared" si="508"/>
        <v>4.4451000000000001</v>
      </c>
      <c r="BU321" s="421">
        <f t="shared" si="508"/>
        <v>0</v>
      </c>
      <c r="BV321" s="420"/>
      <c r="BW321" s="415"/>
      <c r="BX321" s="415"/>
      <c r="BY321" s="415"/>
      <c r="BZ321" s="415"/>
      <c r="CA321" s="510"/>
    </row>
    <row r="322" spans="1:79" ht="14.1" customHeight="1" x14ac:dyDescent="0.2">
      <c r="A322" s="66">
        <v>64</v>
      </c>
      <c r="B322" s="63">
        <v>2458</v>
      </c>
      <c r="C322" s="64">
        <v>600079741</v>
      </c>
      <c r="D322" s="63">
        <v>72744243</v>
      </c>
      <c r="E322" s="65" t="s">
        <v>663</v>
      </c>
      <c r="F322" s="66">
        <v>3143</v>
      </c>
      <c r="G322" s="77" t="s">
        <v>596</v>
      </c>
      <c r="H322" s="67" t="s">
        <v>272</v>
      </c>
      <c r="I322" s="420">
        <v>64546</v>
      </c>
      <c r="J322" s="415">
        <v>46200</v>
      </c>
      <c r="K322" s="415">
        <v>0</v>
      </c>
      <c r="L322" s="605">
        <v>46200</v>
      </c>
      <c r="M322" s="415">
        <v>0</v>
      </c>
      <c r="N322" s="415">
        <v>0</v>
      </c>
      <c r="O322" s="415">
        <v>0</v>
      </c>
      <c r="P322" s="599">
        <v>15616</v>
      </c>
      <c r="Q322" s="599">
        <v>462</v>
      </c>
      <c r="R322" s="606">
        <v>2268</v>
      </c>
      <c r="S322" s="416">
        <v>0.17499999999999999</v>
      </c>
      <c r="T322" s="609">
        <v>0</v>
      </c>
      <c r="U322" s="737">
        <v>0.17499999999999999</v>
      </c>
      <c r="V322" s="424">
        <f t="shared" si="415"/>
        <v>0</v>
      </c>
      <c r="W322" s="418">
        <f t="shared" si="416"/>
        <v>0</v>
      </c>
      <c r="X322" s="418">
        <v>0</v>
      </c>
      <c r="Y322" s="418">
        <v>0</v>
      </c>
      <c r="Z322" s="418">
        <v>0</v>
      </c>
      <c r="AA322" s="418">
        <v>23100</v>
      </c>
      <c r="AB322" s="418">
        <v>0</v>
      </c>
      <c r="AC322" s="418">
        <v>0</v>
      </c>
      <c r="AD322" s="418">
        <f>V322+X322+Y322+Z322+AB322</f>
        <v>0</v>
      </c>
      <c r="AE322" s="418">
        <f>W322+AA322+AC322</f>
        <v>23100</v>
      </c>
      <c r="AF322" s="418">
        <f t="shared" si="417"/>
        <v>23100</v>
      </c>
      <c r="AG322" s="418">
        <v>0</v>
      </c>
      <c r="AH322" s="418">
        <v>0</v>
      </c>
      <c r="AI322" s="418">
        <v>0</v>
      </c>
      <c r="AJ322" s="418">
        <v>0</v>
      </c>
      <c r="AK322" s="418">
        <v>0</v>
      </c>
      <c r="AL322" s="418">
        <f t="shared" si="418"/>
        <v>0</v>
      </c>
      <c r="AM322" s="418">
        <f t="shared" si="419"/>
        <v>0</v>
      </c>
      <c r="AN322" s="418">
        <f t="shared" si="420"/>
        <v>0</v>
      </c>
      <c r="AO322" s="418">
        <f t="shared" si="421"/>
        <v>0</v>
      </c>
      <c r="AP322" s="418">
        <f t="shared" si="422"/>
        <v>23100</v>
      </c>
      <c r="AQ322" s="418">
        <f t="shared" si="423"/>
        <v>23100</v>
      </c>
      <c r="AR322" s="68">
        <f t="shared" si="424"/>
        <v>7808</v>
      </c>
      <c r="AS322" s="68">
        <f t="shared" si="425"/>
        <v>231</v>
      </c>
      <c r="AT322" s="418">
        <v>0</v>
      </c>
      <c r="AU322" s="418">
        <v>1134</v>
      </c>
      <c r="AV322" s="418">
        <f t="shared" si="426"/>
        <v>1134</v>
      </c>
      <c r="AW322" s="418">
        <f t="shared" si="427"/>
        <v>32273</v>
      </c>
      <c r="AX322" s="419">
        <v>0</v>
      </c>
      <c r="AY322" s="419">
        <v>0</v>
      </c>
      <c r="AZ322" s="419">
        <v>0</v>
      </c>
      <c r="BA322" s="419">
        <v>0</v>
      </c>
      <c r="BB322" s="419">
        <v>0.09</v>
      </c>
      <c r="BC322" s="419">
        <v>0</v>
      </c>
      <c r="BD322" s="419">
        <v>0</v>
      </c>
      <c r="BE322" s="419">
        <v>0</v>
      </c>
      <c r="BF322" s="419">
        <f t="shared" si="428"/>
        <v>0</v>
      </c>
      <c r="BG322" s="419">
        <f t="shared" si="429"/>
        <v>0.09</v>
      </c>
      <c r="BH322" s="421">
        <f t="shared" si="430"/>
        <v>0.09</v>
      </c>
      <c r="BI322" s="780">
        <f>I322+AW322</f>
        <v>96819</v>
      </c>
      <c r="BJ322" s="418">
        <f>J322+AF322</f>
        <v>69300</v>
      </c>
      <c r="BK322" s="418">
        <f t="shared" si="505"/>
        <v>0</v>
      </c>
      <c r="BL322" s="418">
        <f t="shared" si="505"/>
        <v>69300</v>
      </c>
      <c r="BM322" s="418">
        <f>M322+AN322</f>
        <v>0</v>
      </c>
      <c r="BN322" s="418">
        <f t="shared" si="506"/>
        <v>0</v>
      </c>
      <c r="BO322" s="418">
        <f t="shared" si="506"/>
        <v>0</v>
      </c>
      <c r="BP322" s="418">
        <f t="shared" si="507"/>
        <v>23424</v>
      </c>
      <c r="BQ322" s="418">
        <f t="shared" si="507"/>
        <v>693</v>
      </c>
      <c r="BR322" s="418">
        <f>R322+AV322</f>
        <v>3402</v>
      </c>
      <c r="BS322" s="419">
        <f>S322+BH322</f>
        <v>0.26500000000000001</v>
      </c>
      <c r="BT322" s="419">
        <f t="shared" si="508"/>
        <v>0</v>
      </c>
      <c r="BU322" s="421">
        <f t="shared" si="508"/>
        <v>0.26500000000000001</v>
      </c>
      <c r="BV322" s="420"/>
      <c r="BW322" s="415"/>
      <c r="BX322" s="415"/>
      <c r="BY322" s="415"/>
      <c r="BZ322" s="415"/>
      <c r="CA322" s="510"/>
    </row>
    <row r="323" spans="1:79" ht="14.1" customHeight="1" x14ac:dyDescent="0.2">
      <c r="A323" s="72">
        <v>64</v>
      </c>
      <c r="B323" s="69">
        <v>2458</v>
      </c>
      <c r="C323" s="70">
        <v>600079741</v>
      </c>
      <c r="D323" s="69">
        <v>72744243</v>
      </c>
      <c r="E323" s="71" t="s">
        <v>664</v>
      </c>
      <c r="F323" s="72"/>
      <c r="G323" s="71"/>
      <c r="H323" s="73"/>
      <c r="I323" s="517">
        <v>30816421</v>
      </c>
      <c r="J323" s="74">
        <v>22573674</v>
      </c>
      <c r="K323" s="74">
        <v>19909735</v>
      </c>
      <c r="L323" s="74">
        <v>2663939</v>
      </c>
      <c r="M323" s="74">
        <v>40000</v>
      </c>
      <c r="N323" s="74">
        <v>25000</v>
      </c>
      <c r="O323" s="74">
        <v>15000</v>
      </c>
      <c r="P323" s="74">
        <v>7643422</v>
      </c>
      <c r="Q323" s="74">
        <v>225736</v>
      </c>
      <c r="R323" s="74">
        <v>333589</v>
      </c>
      <c r="S323" s="75">
        <v>40.699600000000004</v>
      </c>
      <c r="T323" s="75">
        <v>32.705200000000005</v>
      </c>
      <c r="U323" s="658">
        <v>7.9943999999999997</v>
      </c>
      <c r="V323" s="517">
        <f t="shared" ref="V323:BU323" si="509">SUM(V318:V322)</f>
        <v>0</v>
      </c>
      <c r="W323" s="74">
        <f t="shared" si="509"/>
        <v>0</v>
      </c>
      <c r="X323" s="74">
        <f t="shared" si="509"/>
        <v>0</v>
      </c>
      <c r="Y323" s="74">
        <f t="shared" si="509"/>
        <v>0</v>
      </c>
      <c r="Z323" s="74">
        <f t="shared" si="509"/>
        <v>0</v>
      </c>
      <c r="AA323" s="74">
        <f t="shared" si="509"/>
        <v>623737</v>
      </c>
      <c r="AB323" s="74">
        <f t="shared" si="509"/>
        <v>0</v>
      </c>
      <c r="AC323" s="74">
        <f t="shared" si="509"/>
        <v>0</v>
      </c>
      <c r="AD323" s="74">
        <f t="shared" si="509"/>
        <v>0</v>
      </c>
      <c r="AE323" s="74">
        <f t="shared" si="509"/>
        <v>623737</v>
      </c>
      <c r="AF323" s="74">
        <f t="shared" si="509"/>
        <v>623737</v>
      </c>
      <c r="AG323" s="74">
        <f t="shared" si="509"/>
        <v>0</v>
      </c>
      <c r="AH323" s="74">
        <f t="shared" si="509"/>
        <v>0</v>
      </c>
      <c r="AI323" s="74">
        <f t="shared" si="509"/>
        <v>0</v>
      </c>
      <c r="AJ323" s="74">
        <f t="shared" si="509"/>
        <v>0</v>
      </c>
      <c r="AK323" s="74">
        <f t="shared" si="509"/>
        <v>0</v>
      </c>
      <c r="AL323" s="74">
        <f t="shared" si="509"/>
        <v>0</v>
      </c>
      <c r="AM323" s="74">
        <f t="shared" si="509"/>
        <v>0</v>
      </c>
      <c r="AN323" s="74">
        <f t="shared" si="509"/>
        <v>0</v>
      </c>
      <c r="AO323" s="74">
        <f t="shared" si="509"/>
        <v>0</v>
      </c>
      <c r="AP323" s="74">
        <f t="shared" si="509"/>
        <v>623737</v>
      </c>
      <c r="AQ323" s="74">
        <f t="shared" si="509"/>
        <v>623737</v>
      </c>
      <c r="AR323" s="74">
        <f t="shared" si="509"/>
        <v>210823</v>
      </c>
      <c r="AS323" s="74">
        <f t="shared" si="509"/>
        <v>6237</v>
      </c>
      <c r="AT323" s="74">
        <f t="shared" si="509"/>
        <v>0</v>
      </c>
      <c r="AU323" s="74">
        <f t="shared" si="509"/>
        <v>6868</v>
      </c>
      <c r="AV323" s="74">
        <f t="shared" si="509"/>
        <v>6868</v>
      </c>
      <c r="AW323" s="74">
        <f t="shared" si="509"/>
        <v>847665</v>
      </c>
      <c r="AX323" s="75">
        <f t="shared" si="509"/>
        <v>0</v>
      </c>
      <c r="AY323" s="75">
        <f t="shared" si="509"/>
        <v>0</v>
      </c>
      <c r="AZ323" s="75">
        <f t="shared" si="509"/>
        <v>0</v>
      </c>
      <c r="BA323" s="75">
        <f t="shared" si="509"/>
        <v>0</v>
      </c>
      <c r="BB323" s="75">
        <f t="shared" si="509"/>
        <v>1.8900000000000001</v>
      </c>
      <c r="BC323" s="75">
        <f t="shared" si="509"/>
        <v>0</v>
      </c>
      <c r="BD323" s="75">
        <f t="shared" si="509"/>
        <v>0</v>
      </c>
      <c r="BE323" s="75">
        <f t="shared" si="509"/>
        <v>0</v>
      </c>
      <c r="BF323" s="75">
        <f t="shared" si="509"/>
        <v>0</v>
      </c>
      <c r="BG323" s="75">
        <f t="shared" si="509"/>
        <v>1.8900000000000001</v>
      </c>
      <c r="BH323" s="76">
        <f t="shared" si="509"/>
        <v>1.8900000000000001</v>
      </c>
      <c r="BI323" s="799">
        <f t="shared" si="509"/>
        <v>31664086</v>
      </c>
      <c r="BJ323" s="74">
        <f t="shared" si="509"/>
        <v>23197411</v>
      </c>
      <c r="BK323" s="74">
        <f t="shared" si="509"/>
        <v>19909735</v>
      </c>
      <c r="BL323" s="74">
        <f t="shared" si="509"/>
        <v>3287676</v>
      </c>
      <c r="BM323" s="74">
        <f t="shared" si="509"/>
        <v>40000</v>
      </c>
      <c r="BN323" s="74">
        <f t="shared" si="509"/>
        <v>25000</v>
      </c>
      <c r="BO323" s="74">
        <f t="shared" si="509"/>
        <v>15000</v>
      </c>
      <c r="BP323" s="74">
        <f t="shared" si="509"/>
        <v>7854245</v>
      </c>
      <c r="BQ323" s="74">
        <f t="shared" si="509"/>
        <v>231973</v>
      </c>
      <c r="BR323" s="74">
        <f t="shared" si="509"/>
        <v>340457</v>
      </c>
      <c r="BS323" s="75">
        <f t="shared" si="509"/>
        <v>42.589600000000004</v>
      </c>
      <c r="BT323" s="75">
        <f t="shared" si="509"/>
        <v>32.705200000000005</v>
      </c>
      <c r="BU323" s="76">
        <f t="shared" si="509"/>
        <v>9.8844000000000012</v>
      </c>
      <c r="BV323" s="809">
        <f t="shared" ref="BV323:CA323" si="510">SUM(BV318:BV322)</f>
        <v>0</v>
      </c>
      <c r="BW323" s="684">
        <f t="shared" si="510"/>
        <v>0</v>
      </c>
      <c r="BX323" s="684">
        <f t="shared" si="510"/>
        <v>0</v>
      </c>
      <c r="BY323" s="684">
        <f t="shared" si="510"/>
        <v>0</v>
      </c>
      <c r="BZ323" s="684">
        <f t="shared" si="510"/>
        <v>0</v>
      </c>
      <c r="CA323" s="810">
        <f t="shared" si="510"/>
        <v>0</v>
      </c>
    </row>
    <row r="324" spans="1:79" ht="14.1" customHeight="1" x14ac:dyDescent="0.2">
      <c r="A324" s="66">
        <v>65</v>
      </c>
      <c r="B324" s="63">
        <v>2316</v>
      </c>
      <c r="C324" s="64">
        <v>600080439</v>
      </c>
      <c r="D324" s="63">
        <v>70983224</v>
      </c>
      <c r="E324" s="65" t="s">
        <v>665</v>
      </c>
      <c r="F324" s="66">
        <v>3233</v>
      </c>
      <c r="G324" s="65" t="s">
        <v>297</v>
      </c>
      <c r="H324" s="67" t="s">
        <v>272</v>
      </c>
      <c r="I324" s="420">
        <v>2567583</v>
      </c>
      <c r="J324" s="415">
        <v>1843585</v>
      </c>
      <c r="K324" s="415">
        <v>1589006</v>
      </c>
      <c r="L324" s="415">
        <v>254579</v>
      </c>
      <c r="M324" s="415">
        <v>60000</v>
      </c>
      <c r="N324" s="415">
        <v>40000</v>
      </c>
      <c r="O324" s="415">
        <v>20000</v>
      </c>
      <c r="P324" s="599">
        <v>643412</v>
      </c>
      <c r="Q324" s="599">
        <v>18436</v>
      </c>
      <c r="R324" s="415">
        <v>2150</v>
      </c>
      <c r="S324" s="416">
        <v>3.7</v>
      </c>
      <c r="T324" s="417">
        <v>2.8800000000000003</v>
      </c>
      <c r="U324" s="423">
        <v>0.82</v>
      </c>
      <c r="V324" s="424">
        <f t="shared" si="415"/>
        <v>0</v>
      </c>
      <c r="W324" s="418">
        <f t="shared" si="416"/>
        <v>0</v>
      </c>
      <c r="X324" s="418">
        <v>0</v>
      </c>
      <c r="Y324" s="418">
        <v>0</v>
      </c>
      <c r="Z324" s="418">
        <v>0</v>
      </c>
      <c r="AA324" s="418">
        <v>137305</v>
      </c>
      <c r="AB324" s="418">
        <v>0</v>
      </c>
      <c r="AC324" s="418">
        <v>0</v>
      </c>
      <c r="AD324" s="418">
        <f>V324+X324+Y324+Z324+AB324</f>
        <v>0</v>
      </c>
      <c r="AE324" s="418">
        <f>W324+AA324+AC324</f>
        <v>137305</v>
      </c>
      <c r="AF324" s="418">
        <f t="shared" si="417"/>
        <v>137305</v>
      </c>
      <c r="AG324" s="418">
        <v>0</v>
      </c>
      <c r="AH324" s="418">
        <v>0</v>
      </c>
      <c r="AI324" s="418">
        <v>0</v>
      </c>
      <c r="AJ324" s="418">
        <v>0</v>
      </c>
      <c r="AK324" s="418">
        <v>0</v>
      </c>
      <c r="AL324" s="418">
        <f t="shared" si="418"/>
        <v>0</v>
      </c>
      <c r="AM324" s="418">
        <f t="shared" si="419"/>
        <v>0</v>
      </c>
      <c r="AN324" s="418">
        <f t="shared" si="420"/>
        <v>0</v>
      </c>
      <c r="AO324" s="418">
        <f t="shared" si="421"/>
        <v>0</v>
      </c>
      <c r="AP324" s="418">
        <f t="shared" si="422"/>
        <v>137305</v>
      </c>
      <c r="AQ324" s="418">
        <f t="shared" si="423"/>
        <v>137305</v>
      </c>
      <c r="AR324" s="68">
        <f t="shared" si="424"/>
        <v>46409</v>
      </c>
      <c r="AS324" s="68">
        <f t="shared" si="425"/>
        <v>1373</v>
      </c>
      <c r="AT324" s="418">
        <v>0</v>
      </c>
      <c r="AU324" s="418">
        <v>860</v>
      </c>
      <c r="AV324" s="418">
        <f t="shared" si="426"/>
        <v>860</v>
      </c>
      <c r="AW324" s="418">
        <f t="shared" si="427"/>
        <v>185947</v>
      </c>
      <c r="AX324" s="419">
        <v>0</v>
      </c>
      <c r="AY324" s="419">
        <v>0</v>
      </c>
      <c r="AZ324" s="419">
        <v>0</v>
      </c>
      <c r="BA324" s="419">
        <v>0</v>
      </c>
      <c r="BB324" s="419">
        <v>0.44</v>
      </c>
      <c r="BC324" s="419">
        <v>0</v>
      </c>
      <c r="BD324" s="419">
        <v>0</v>
      </c>
      <c r="BE324" s="419">
        <v>0</v>
      </c>
      <c r="BF324" s="419">
        <f t="shared" si="428"/>
        <v>0</v>
      </c>
      <c r="BG324" s="419">
        <f t="shared" si="429"/>
        <v>0.44</v>
      </c>
      <c r="BH324" s="421">
        <f t="shared" si="430"/>
        <v>0.44</v>
      </c>
      <c r="BI324" s="780">
        <f>I324+AW324</f>
        <v>2753530</v>
      </c>
      <c r="BJ324" s="418">
        <f>J324+AF324</f>
        <v>1980890</v>
      </c>
      <c r="BK324" s="418">
        <f>K324+AD324</f>
        <v>1589006</v>
      </c>
      <c r="BL324" s="418">
        <f>L324+AE324</f>
        <v>391884</v>
      </c>
      <c r="BM324" s="418">
        <f>M324+AN324</f>
        <v>60000</v>
      </c>
      <c r="BN324" s="418">
        <f>N324+AL324</f>
        <v>40000</v>
      </c>
      <c r="BO324" s="418">
        <f>O324+AM324</f>
        <v>20000</v>
      </c>
      <c r="BP324" s="418">
        <f>P324+AR324</f>
        <v>689821</v>
      </c>
      <c r="BQ324" s="418">
        <f>Q324+AS324</f>
        <v>19809</v>
      </c>
      <c r="BR324" s="418">
        <f>R324+AV324</f>
        <v>3010</v>
      </c>
      <c r="BS324" s="419">
        <f>S324+BH324</f>
        <v>4.1400000000000006</v>
      </c>
      <c r="BT324" s="419">
        <f>T324+BF324</f>
        <v>2.8800000000000003</v>
      </c>
      <c r="BU324" s="421">
        <f>U324+BG324</f>
        <v>1.26</v>
      </c>
      <c r="BV324" s="420"/>
      <c r="BW324" s="415"/>
      <c r="BX324" s="415"/>
      <c r="BY324" s="415"/>
      <c r="BZ324" s="415"/>
      <c r="CA324" s="510"/>
    </row>
    <row r="325" spans="1:79" ht="14.1" customHeight="1" x14ac:dyDescent="0.2">
      <c r="A325" s="72">
        <v>65</v>
      </c>
      <c r="B325" s="69">
        <v>2316</v>
      </c>
      <c r="C325" s="70">
        <v>600080439</v>
      </c>
      <c r="D325" s="69">
        <v>70983224</v>
      </c>
      <c r="E325" s="71" t="s">
        <v>666</v>
      </c>
      <c r="F325" s="72"/>
      <c r="G325" s="71"/>
      <c r="H325" s="73"/>
      <c r="I325" s="517">
        <v>2567583</v>
      </c>
      <c r="J325" s="74">
        <v>1843585</v>
      </c>
      <c r="K325" s="74">
        <v>1589006</v>
      </c>
      <c r="L325" s="74">
        <v>254579</v>
      </c>
      <c r="M325" s="74">
        <v>60000</v>
      </c>
      <c r="N325" s="74">
        <v>40000</v>
      </c>
      <c r="O325" s="74">
        <v>20000</v>
      </c>
      <c r="P325" s="74">
        <v>643412</v>
      </c>
      <c r="Q325" s="74">
        <v>18436</v>
      </c>
      <c r="R325" s="74">
        <v>2150</v>
      </c>
      <c r="S325" s="75">
        <v>3.7</v>
      </c>
      <c r="T325" s="75">
        <v>2.8800000000000003</v>
      </c>
      <c r="U325" s="658">
        <v>0.82</v>
      </c>
      <c r="V325" s="517">
        <f t="shared" ref="V325:BU325" si="511">SUM(V324)</f>
        <v>0</v>
      </c>
      <c r="W325" s="74">
        <f t="shared" si="511"/>
        <v>0</v>
      </c>
      <c r="X325" s="74">
        <f t="shared" si="511"/>
        <v>0</v>
      </c>
      <c r="Y325" s="74">
        <f t="shared" si="511"/>
        <v>0</v>
      </c>
      <c r="Z325" s="74">
        <f t="shared" si="511"/>
        <v>0</v>
      </c>
      <c r="AA325" s="74">
        <f t="shared" si="511"/>
        <v>137305</v>
      </c>
      <c r="AB325" s="74">
        <f t="shared" si="511"/>
        <v>0</v>
      </c>
      <c r="AC325" s="74">
        <f t="shared" si="511"/>
        <v>0</v>
      </c>
      <c r="AD325" s="74">
        <f t="shared" si="511"/>
        <v>0</v>
      </c>
      <c r="AE325" s="74">
        <f t="shared" si="511"/>
        <v>137305</v>
      </c>
      <c r="AF325" s="74">
        <f t="shared" si="511"/>
        <v>137305</v>
      </c>
      <c r="AG325" s="74">
        <f t="shared" si="511"/>
        <v>0</v>
      </c>
      <c r="AH325" s="74">
        <f t="shared" si="511"/>
        <v>0</v>
      </c>
      <c r="AI325" s="74">
        <f t="shared" si="511"/>
        <v>0</v>
      </c>
      <c r="AJ325" s="74">
        <f t="shared" si="511"/>
        <v>0</v>
      </c>
      <c r="AK325" s="74">
        <f t="shared" si="511"/>
        <v>0</v>
      </c>
      <c r="AL325" s="74">
        <f t="shared" si="511"/>
        <v>0</v>
      </c>
      <c r="AM325" s="74">
        <f t="shared" si="511"/>
        <v>0</v>
      </c>
      <c r="AN325" s="74">
        <f t="shared" si="511"/>
        <v>0</v>
      </c>
      <c r="AO325" s="74">
        <f t="shared" si="511"/>
        <v>0</v>
      </c>
      <c r="AP325" s="74">
        <f t="shared" si="511"/>
        <v>137305</v>
      </c>
      <c r="AQ325" s="74">
        <f t="shared" si="511"/>
        <v>137305</v>
      </c>
      <c r="AR325" s="74">
        <f t="shared" si="511"/>
        <v>46409</v>
      </c>
      <c r="AS325" s="74">
        <f t="shared" si="511"/>
        <v>1373</v>
      </c>
      <c r="AT325" s="74">
        <f t="shared" si="511"/>
        <v>0</v>
      </c>
      <c r="AU325" s="74">
        <f t="shared" si="511"/>
        <v>860</v>
      </c>
      <c r="AV325" s="74">
        <f t="shared" si="511"/>
        <v>860</v>
      </c>
      <c r="AW325" s="74">
        <f t="shared" si="511"/>
        <v>185947</v>
      </c>
      <c r="AX325" s="75">
        <f t="shared" si="511"/>
        <v>0</v>
      </c>
      <c r="AY325" s="75">
        <f t="shared" si="511"/>
        <v>0</v>
      </c>
      <c r="AZ325" s="75">
        <f t="shared" si="511"/>
        <v>0</v>
      </c>
      <c r="BA325" s="75">
        <f t="shared" si="511"/>
        <v>0</v>
      </c>
      <c r="BB325" s="75">
        <f t="shared" si="511"/>
        <v>0.44</v>
      </c>
      <c r="BC325" s="75">
        <f t="shared" si="511"/>
        <v>0</v>
      </c>
      <c r="BD325" s="75">
        <f t="shared" si="511"/>
        <v>0</v>
      </c>
      <c r="BE325" s="75">
        <f t="shared" si="511"/>
        <v>0</v>
      </c>
      <c r="BF325" s="75">
        <f t="shared" si="511"/>
        <v>0</v>
      </c>
      <c r="BG325" s="75">
        <f t="shared" si="511"/>
        <v>0.44</v>
      </c>
      <c r="BH325" s="76">
        <f t="shared" si="511"/>
        <v>0.44</v>
      </c>
      <c r="BI325" s="799">
        <f t="shared" si="511"/>
        <v>2753530</v>
      </c>
      <c r="BJ325" s="74">
        <f t="shared" si="511"/>
        <v>1980890</v>
      </c>
      <c r="BK325" s="74">
        <f t="shared" si="511"/>
        <v>1589006</v>
      </c>
      <c r="BL325" s="74">
        <f t="shared" si="511"/>
        <v>391884</v>
      </c>
      <c r="BM325" s="74">
        <f t="shared" si="511"/>
        <v>60000</v>
      </c>
      <c r="BN325" s="74">
        <f t="shared" si="511"/>
        <v>40000</v>
      </c>
      <c r="BO325" s="74">
        <f t="shared" si="511"/>
        <v>20000</v>
      </c>
      <c r="BP325" s="74">
        <f t="shared" si="511"/>
        <v>689821</v>
      </c>
      <c r="BQ325" s="74">
        <f t="shared" si="511"/>
        <v>19809</v>
      </c>
      <c r="BR325" s="74">
        <f t="shared" si="511"/>
        <v>3010</v>
      </c>
      <c r="BS325" s="75">
        <f t="shared" si="511"/>
        <v>4.1400000000000006</v>
      </c>
      <c r="BT325" s="75">
        <f t="shared" si="511"/>
        <v>2.8800000000000003</v>
      </c>
      <c r="BU325" s="76">
        <f t="shared" si="511"/>
        <v>1.26</v>
      </c>
      <c r="BV325" s="809">
        <f t="shared" ref="BV325:CA325" si="512">SUM(BV324)</f>
        <v>0</v>
      </c>
      <c r="BW325" s="684">
        <f t="shared" si="512"/>
        <v>0</v>
      </c>
      <c r="BX325" s="684">
        <f t="shared" si="512"/>
        <v>0</v>
      </c>
      <c r="BY325" s="684">
        <f t="shared" si="512"/>
        <v>0</v>
      </c>
      <c r="BZ325" s="684">
        <f t="shared" si="512"/>
        <v>0</v>
      </c>
      <c r="CA325" s="810">
        <f t="shared" si="512"/>
        <v>0</v>
      </c>
    </row>
    <row r="326" spans="1:79" ht="14.1" customHeight="1" x14ac:dyDescent="0.2">
      <c r="A326" s="66">
        <v>66</v>
      </c>
      <c r="B326" s="63">
        <v>2402</v>
      </c>
      <c r="C326" s="64">
        <v>600078949</v>
      </c>
      <c r="D326" s="63">
        <v>70983208</v>
      </c>
      <c r="E326" s="65" t="s">
        <v>667</v>
      </c>
      <c r="F326" s="66">
        <v>3111</v>
      </c>
      <c r="G326" s="65" t="s">
        <v>290</v>
      </c>
      <c r="H326" s="67" t="s">
        <v>271</v>
      </c>
      <c r="I326" s="420">
        <v>7014787</v>
      </c>
      <c r="J326" s="415">
        <v>5187408</v>
      </c>
      <c r="K326" s="415">
        <v>4669734</v>
      </c>
      <c r="L326" s="415">
        <v>517674</v>
      </c>
      <c r="M326" s="415">
        <v>0</v>
      </c>
      <c r="N326" s="415">
        <v>0</v>
      </c>
      <c r="O326" s="415">
        <v>0</v>
      </c>
      <c r="P326" s="599">
        <v>1753344</v>
      </c>
      <c r="Q326" s="599">
        <v>51874</v>
      </c>
      <c r="R326" s="415">
        <v>22161</v>
      </c>
      <c r="S326" s="416">
        <v>9.76</v>
      </c>
      <c r="T326" s="416">
        <v>8</v>
      </c>
      <c r="U326" s="423">
        <v>1.76</v>
      </c>
      <c r="V326" s="424">
        <f t="shared" si="415"/>
        <v>0</v>
      </c>
      <c r="W326" s="418">
        <f t="shared" si="416"/>
        <v>0</v>
      </c>
      <c r="X326" s="418">
        <v>0</v>
      </c>
      <c r="Y326" s="418">
        <v>0</v>
      </c>
      <c r="Z326" s="418">
        <v>0</v>
      </c>
      <c r="AA326" s="418">
        <v>0</v>
      </c>
      <c r="AB326" s="418">
        <v>0</v>
      </c>
      <c r="AC326" s="418">
        <v>0</v>
      </c>
      <c r="AD326" s="418">
        <f>V326+X326+Y326+Z326+AB326</f>
        <v>0</v>
      </c>
      <c r="AE326" s="418">
        <f>W326+AA326+AC326</f>
        <v>0</v>
      </c>
      <c r="AF326" s="418">
        <f t="shared" si="417"/>
        <v>0</v>
      </c>
      <c r="AG326" s="418">
        <v>0</v>
      </c>
      <c r="AH326" s="418">
        <v>0</v>
      </c>
      <c r="AI326" s="418">
        <v>0</v>
      </c>
      <c r="AJ326" s="418">
        <v>0</v>
      </c>
      <c r="AK326" s="418">
        <v>0</v>
      </c>
      <c r="AL326" s="418">
        <f t="shared" si="418"/>
        <v>0</v>
      </c>
      <c r="AM326" s="418">
        <f t="shared" si="419"/>
        <v>0</v>
      </c>
      <c r="AN326" s="418">
        <f t="shared" si="420"/>
        <v>0</v>
      </c>
      <c r="AO326" s="418">
        <f t="shared" si="421"/>
        <v>0</v>
      </c>
      <c r="AP326" s="418">
        <f t="shared" si="422"/>
        <v>0</v>
      </c>
      <c r="AQ326" s="418">
        <f t="shared" si="423"/>
        <v>0</v>
      </c>
      <c r="AR326" s="68">
        <f t="shared" si="424"/>
        <v>0</v>
      </c>
      <c r="AS326" s="68">
        <f t="shared" si="425"/>
        <v>0</v>
      </c>
      <c r="AT326" s="418">
        <v>0</v>
      </c>
      <c r="AU326" s="418">
        <v>0</v>
      </c>
      <c r="AV326" s="418">
        <f t="shared" si="426"/>
        <v>0</v>
      </c>
      <c r="AW326" s="418">
        <f t="shared" si="427"/>
        <v>0</v>
      </c>
      <c r="AX326" s="419">
        <v>0</v>
      </c>
      <c r="AY326" s="419">
        <v>0</v>
      </c>
      <c r="AZ326" s="419">
        <v>0</v>
      </c>
      <c r="BA326" s="419">
        <v>0</v>
      </c>
      <c r="BB326" s="419">
        <v>0</v>
      </c>
      <c r="BC326" s="419">
        <v>0</v>
      </c>
      <c r="BD326" s="419">
        <v>0</v>
      </c>
      <c r="BE326" s="419">
        <v>0</v>
      </c>
      <c r="BF326" s="419">
        <f t="shared" si="428"/>
        <v>0</v>
      </c>
      <c r="BG326" s="419">
        <f t="shared" si="429"/>
        <v>0</v>
      </c>
      <c r="BH326" s="421">
        <f t="shared" si="430"/>
        <v>0</v>
      </c>
      <c r="BI326" s="780">
        <f>I326+AW326</f>
        <v>7014787</v>
      </c>
      <c r="BJ326" s="418">
        <f>J326+AF326</f>
        <v>5187408</v>
      </c>
      <c r="BK326" s="418">
        <f t="shared" ref="BK326:BL328" si="513">K326+AD326</f>
        <v>4669734</v>
      </c>
      <c r="BL326" s="418">
        <f t="shared" si="513"/>
        <v>517674</v>
      </c>
      <c r="BM326" s="418">
        <f>M326+AN326</f>
        <v>0</v>
      </c>
      <c r="BN326" s="418">
        <f t="shared" ref="BN326:BO328" si="514">N326+AL326</f>
        <v>0</v>
      </c>
      <c r="BO326" s="418">
        <f t="shared" si="514"/>
        <v>0</v>
      </c>
      <c r="BP326" s="418">
        <f t="shared" ref="BP326:BQ328" si="515">P326+AR326</f>
        <v>1753344</v>
      </c>
      <c r="BQ326" s="418">
        <f t="shared" si="515"/>
        <v>51874</v>
      </c>
      <c r="BR326" s="418">
        <f>R326+AV326</f>
        <v>22161</v>
      </c>
      <c r="BS326" s="419">
        <f>S326+BH326</f>
        <v>9.76</v>
      </c>
      <c r="BT326" s="419">
        <f t="shared" ref="BT326:BU328" si="516">T326+BF326</f>
        <v>8</v>
      </c>
      <c r="BU326" s="421">
        <f t="shared" si="516"/>
        <v>1.76</v>
      </c>
      <c r="BV326" s="420"/>
      <c r="BW326" s="415"/>
      <c r="BX326" s="415"/>
      <c r="BY326" s="415"/>
      <c r="BZ326" s="415"/>
      <c r="CA326" s="510"/>
    </row>
    <row r="327" spans="1:79" ht="14.1" customHeight="1" x14ac:dyDescent="0.2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667</v>
      </c>
      <c r="F327" s="66">
        <v>3111</v>
      </c>
      <c r="G327" s="65" t="s">
        <v>291</v>
      </c>
      <c r="H327" s="67" t="s">
        <v>272</v>
      </c>
      <c r="I327" s="420">
        <v>549825</v>
      </c>
      <c r="J327" s="415">
        <v>407882</v>
      </c>
      <c r="K327" s="415">
        <v>407882</v>
      </c>
      <c r="L327" s="415">
        <v>0</v>
      </c>
      <c r="M327" s="415">
        <v>0</v>
      </c>
      <c r="N327" s="415">
        <v>0</v>
      </c>
      <c r="O327" s="415">
        <v>0</v>
      </c>
      <c r="P327" s="599">
        <v>137864</v>
      </c>
      <c r="Q327" s="599">
        <v>4079</v>
      </c>
      <c r="R327" s="415">
        <v>0</v>
      </c>
      <c r="S327" s="416">
        <v>1.5</v>
      </c>
      <c r="T327" s="417">
        <v>1.5</v>
      </c>
      <c r="U327" s="423">
        <v>0</v>
      </c>
      <c r="V327" s="424">
        <f t="shared" si="415"/>
        <v>0</v>
      </c>
      <c r="W327" s="418">
        <f t="shared" si="416"/>
        <v>0</v>
      </c>
      <c r="X327" s="418">
        <v>0</v>
      </c>
      <c r="Y327" s="418">
        <v>0</v>
      </c>
      <c r="Z327" s="418">
        <v>0</v>
      </c>
      <c r="AA327" s="418">
        <v>0</v>
      </c>
      <c r="AB327" s="418">
        <v>0</v>
      </c>
      <c r="AC327" s="418">
        <v>0</v>
      </c>
      <c r="AD327" s="418">
        <f>V327+X327+Y327+Z327+AB327</f>
        <v>0</v>
      </c>
      <c r="AE327" s="418">
        <f>W327+AA327+AC327</f>
        <v>0</v>
      </c>
      <c r="AF327" s="418">
        <f t="shared" si="417"/>
        <v>0</v>
      </c>
      <c r="AG327" s="418">
        <v>0</v>
      </c>
      <c r="AH327" s="418">
        <v>0</v>
      </c>
      <c r="AI327" s="418">
        <v>0</v>
      </c>
      <c r="AJ327" s="418">
        <v>0</v>
      </c>
      <c r="AK327" s="418">
        <v>0</v>
      </c>
      <c r="AL327" s="418">
        <f t="shared" si="418"/>
        <v>0</v>
      </c>
      <c r="AM327" s="418">
        <f t="shared" si="419"/>
        <v>0</v>
      </c>
      <c r="AN327" s="418">
        <f t="shared" si="420"/>
        <v>0</v>
      </c>
      <c r="AO327" s="418">
        <f t="shared" si="421"/>
        <v>0</v>
      </c>
      <c r="AP327" s="418">
        <f t="shared" si="422"/>
        <v>0</v>
      </c>
      <c r="AQ327" s="418">
        <f t="shared" si="423"/>
        <v>0</v>
      </c>
      <c r="AR327" s="68">
        <f t="shared" si="424"/>
        <v>0</v>
      </c>
      <c r="AS327" s="68">
        <f t="shared" si="425"/>
        <v>0</v>
      </c>
      <c r="AT327" s="418">
        <v>0</v>
      </c>
      <c r="AU327" s="418">
        <v>0</v>
      </c>
      <c r="AV327" s="418">
        <f t="shared" si="426"/>
        <v>0</v>
      </c>
      <c r="AW327" s="418">
        <f t="shared" si="427"/>
        <v>0</v>
      </c>
      <c r="AX327" s="419">
        <v>0</v>
      </c>
      <c r="AY327" s="419">
        <v>0</v>
      </c>
      <c r="AZ327" s="419">
        <v>0</v>
      </c>
      <c r="BA327" s="419">
        <v>0</v>
      </c>
      <c r="BB327" s="419">
        <v>0</v>
      </c>
      <c r="BC327" s="419">
        <v>0</v>
      </c>
      <c r="BD327" s="419">
        <v>0</v>
      </c>
      <c r="BE327" s="419">
        <v>0</v>
      </c>
      <c r="BF327" s="419">
        <f t="shared" si="428"/>
        <v>0</v>
      </c>
      <c r="BG327" s="419">
        <f t="shared" si="429"/>
        <v>0</v>
      </c>
      <c r="BH327" s="421">
        <f t="shared" si="430"/>
        <v>0</v>
      </c>
      <c r="BI327" s="780">
        <f>I327+AW327</f>
        <v>549825</v>
      </c>
      <c r="BJ327" s="418">
        <f>J327+AF327</f>
        <v>407882</v>
      </c>
      <c r="BK327" s="418">
        <f t="shared" si="513"/>
        <v>407882</v>
      </c>
      <c r="BL327" s="418">
        <f t="shared" si="513"/>
        <v>0</v>
      </c>
      <c r="BM327" s="418">
        <f>M327+AN327</f>
        <v>0</v>
      </c>
      <c r="BN327" s="418">
        <f t="shared" si="514"/>
        <v>0</v>
      </c>
      <c r="BO327" s="418">
        <f t="shared" si="514"/>
        <v>0</v>
      </c>
      <c r="BP327" s="418">
        <f t="shared" si="515"/>
        <v>137864</v>
      </c>
      <c r="BQ327" s="418">
        <f t="shared" si="515"/>
        <v>4079</v>
      </c>
      <c r="BR327" s="418">
        <f>R327+AV327</f>
        <v>0</v>
      </c>
      <c r="BS327" s="419">
        <f>S327+BH327</f>
        <v>1.5</v>
      </c>
      <c r="BT327" s="419">
        <f t="shared" si="516"/>
        <v>1.5</v>
      </c>
      <c r="BU327" s="421">
        <f t="shared" si="516"/>
        <v>0</v>
      </c>
      <c r="BV327" s="420"/>
      <c r="BW327" s="415"/>
      <c r="BX327" s="415"/>
      <c r="BY327" s="415"/>
      <c r="BZ327" s="415"/>
      <c r="CA327" s="510"/>
    </row>
    <row r="328" spans="1:79" ht="14.1" customHeight="1" x14ac:dyDescent="0.2">
      <c r="A328" s="66">
        <v>66</v>
      </c>
      <c r="B328" s="63">
        <v>2402</v>
      </c>
      <c r="C328" s="64">
        <v>600078949</v>
      </c>
      <c r="D328" s="63">
        <v>70983208</v>
      </c>
      <c r="E328" s="65" t="s">
        <v>667</v>
      </c>
      <c r="F328" s="66">
        <v>3141</v>
      </c>
      <c r="G328" s="65" t="s">
        <v>294</v>
      </c>
      <c r="H328" s="67" t="s">
        <v>272</v>
      </c>
      <c r="I328" s="420">
        <v>779354</v>
      </c>
      <c r="J328" s="415">
        <v>575820</v>
      </c>
      <c r="K328" s="415">
        <v>0</v>
      </c>
      <c r="L328" s="750">
        <v>575820</v>
      </c>
      <c r="M328" s="415">
        <v>0</v>
      </c>
      <c r="N328" s="204">
        <v>0</v>
      </c>
      <c r="O328" s="204">
        <v>0</v>
      </c>
      <c r="P328" s="599">
        <v>194627</v>
      </c>
      <c r="Q328" s="599">
        <v>5758</v>
      </c>
      <c r="R328" s="605">
        <v>3149</v>
      </c>
      <c r="S328" s="416">
        <v>1.7266999999999999</v>
      </c>
      <c r="T328" s="607">
        <v>0</v>
      </c>
      <c r="U328" s="737">
        <v>1.7266999999999999</v>
      </c>
      <c r="V328" s="424">
        <f t="shared" si="415"/>
        <v>0</v>
      </c>
      <c r="W328" s="418">
        <f t="shared" si="416"/>
        <v>0</v>
      </c>
      <c r="X328" s="418">
        <v>0</v>
      </c>
      <c r="Y328" s="418">
        <v>0</v>
      </c>
      <c r="Z328" s="418">
        <v>0</v>
      </c>
      <c r="AA328" s="418">
        <v>290291</v>
      </c>
      <c r="AB328" s="418">
        <v>0</v>
      </c>
      <c r="AC328" s="418">
        <v>0</v>
      </c>
      <c r="AD328" s="418">
        <f>V328+X328+Y328+Z328+AB328</f>
        <v>0</v>
      </c>
      <c r="AE328" s="418">
        <f>W328+AA328+AC328</f>
        <v>290291</v>
      </c>
      <c r="AF328" s="418">
        <f t="shared" si="417"/>
        <v>290291</v>
      </c>
      <c r="AG328" s="418">
        <v>0</v>
      </c>
      <c r="AH328" s="418">
        <v>0</v>
      </c>
      <c r="AI328" s="418">
        <v>0</v>
      </c>
      <c r="AJ328" s="418">
        <v>0</v>
      </c>
      <c r="AK328" s="418">
        <v>0</v>
      </c>
      <c r="AL328" s="418">
        <f t="shared" si="418"/>
        <v>0</v>
      </c>
      <c r="AM328" s="418">
        <f t="shared" si="419"/>
        <v>0</v>
      </c>
      <c r="AN328" s="418">
        <f t="shared" si="420"/>
        <v>0</v>
      </c>
      <c r="AO328" s="418">
        <f t="shared" si="421"/>
        <v>0</v>
      </c>
      <c r="AP328" s="418">
        <f t="shared" si="422"/>
        <v>290291</v>
      </c>
      <c r="AQ328" s="418">
        <f t="shared" si="423"/>
        <v>290291</v>
      </c>
      <c r="AR328" s="68">
        <f t="shared" si="424"/>
        <v>98118</v>
      </c>
      <c r="AS328" s="68">
        <f t="shared" si="425"/>
        <v>2903</v>
      </c>
      <c r="AT328" s="418">
        <v>0</v>
      </c>
      <c r="AU328" s="418">
        <v>1523</v>
      </c>
      <c r="AV328" s="418">
        <f t="shared" si="426"/>
        <v>1523</v>
      </c>
      <c r="AW328" s="418">
        <f t="shared" si="427"/>
        <v>392835</v>
      </c>
      <c r="AX328" s="419">
        <v>0</v>
      </c>
      <c r="AY328" s="419">
        <v>0</v>
      </c>
      <c r="AZ328" s="419">
        <v>0</v>
      </c>
      <c r="BA328" s="419">
        <v>0</v>
      </c>
      <c r="BB328" s="419">
        <v>0.86</v>
      </c>
      <c r="BC328" s="419">
        <v>0</v>
      </c>
      <c r="BD328" s="419">
        <v>0</v>
      </c>
      <c r="BE328" s="419">
        <v>0</v>
      </c>
      <c r="BF328" s="419">
        <f t="shared" si="428"/>
        <v>0</v>
      </c>
      <c r="BG328" s="419">
        <f t="shared" si="429"/>
        <v>0.86</v>
      </c>
      <c r="BH328" s="421">
        <f t="shared" si="430"/>
        <v>0.86</v>
      </c>
      <c r="BI328" s="780">
        <f>I328+AW328</f>
        <v>1172189</v>
      </c>
      <c r="BJ328" s="418">
        <f>J328+AF328</f>
        <v>866111</v>
      </c>
      <c r="BK328" s="418">
        <f t="shared" si="513"/>
        <v>0</v>
      </c>
      <c r="BL328" s="418">
        <f t="shared" si="513"/>
        <v>866111</v>
      </c>
      <c r="BM328" s="418">
        <f>M328+AN328</f>
        <v>0</v>
      </c>
      <c r="BN328" s="418">
        <f t="shared" si="514"/>
        <v>0</v>
      </c>
      <c r="BO328" s="418">
        <f t="shared" si="514"/>
        <v>0</v>
      </c>
      <c r="BP328" s="418">
        <f t="shared" si="515"/>
        <v>292745</v>
      </c>
      <c r="BQ328" s="418">
        <f t="shared" si="515"/>
        <v>8661</v>
      </c>
      <c r="BR328" s="418">
        <f>R328+AV328</f>
        <v>4672</v>
      </c>
      <c r="BS328" s="419">
        <f>S328+BH328</f>
        <v>2.5867</v>
      </c>
      <c r="BT328" s="419">
        <f t="shared" si="516"/>
        <v>0</v>
      </c>
      <c r="BU328" s="421">
        <f t="shared" si="516"/>
        <v>2.5867</v>
      </c>
      <c r="BV328" s="420"/>
      <c r="BW328" s="415"/>
      <c r="BX328" s="415"/>
      <c r="BY328" s="415"/>
      <c r="BZ328" s="415"/>
      <c r="CA328" s="510"/>
    </row>
    <row r="329" spans="1:79" ht="14.1" customHeight="1" x14ac:dyDescent="0.2">
      <c r="A329" s="72">
        <v>66</v>
      </c>
      <c r="B329" s="69">
        <v>2402</v>
      </c>
      <c r="C329" s="70">
        <v>600078949</v>
      </c>
      <c r="D329" s="69">
        <v>70983208</v>
      </c>
      <c r="E329" s="71" t="s">
        <v>668</v>
      </c>
      <c r="F329" s="72"/>
      <c r="G329" s="71"/>
      <c r="H329" s="73"/>
      <c r="I329" s="517">
        <v>8343966</v>
      </c>
      <c r="J329" s="74">
        <v>6171110</v>
      </c>
      <c r="K329" s="74">
        <v>5077616</v>
      </c>
      <c r="L329" s="74">
        <v>1093494</v>
      </c>
      <c r="M329" s="74">
        <v>0</v>
      </c>
      <c r="N329" s="74">
        <v>0</v>
      </c>
      <c r="O329" s="74">
        <v>0</v>
      </c>
      <c r="P329" s="74">
        <v>2085835</v>
      </c>
      <c r="Q329" s="74">
        <v>61711</v>
      </c>
      <c r="R329" s="74">
        <v>25310</v>
      </c>
      <c r="S329" s="75">
        <v>12.986699999999999</v>
      </c>
      <c r="T329" s="75">
        <v>9.5</v>
      </c>
      <c r="U329" s="658">
        <v>3.4866999999999999</v>
      </c>
      <c r="V329" s="517">
        <f t="shared" ref="V329:BU329" si="517">SUM(V326:V328)</f>
        <v>0</v>
      </c>
      <c r="W329" s="74">
        <f t="shared" si="517"/>
        <v>0</v>
      </c>
      <c r="X329" s="74">
        <f t="shared" si="517"/>
        <v>0</v>
      </c>
      <c r="Y329" s="74">
        <f t="shared" si="517"/>
        <v>0</v>
      </c>
      <c r="Z329" s="74">
        <f t="shared" si="517"/>
        <v>0</v>
      </c>
      <c r="AA329" s="74">
        <f t="shared" si="517"/>
        <v>290291</v>
      </c>
      <c r="AB329" s="74">
        <f t="shared" si="517"/>
        <v>0</v>
      </c>
      <c r="AC329" s="74">
        <f t="shared" si="517"/>
        <v>0</v>
      </c>
      <c r="AD329" s="74">
        <f t="shared" si="517"/>
        <v>0</v>
      </c>
      <c r="AE329" s="74">
        <f t="shared" si="517"/>
        <v>290291</v>
      </c>
      <c r="AF329" s="74">
        <f t="shared" si="517"/>
        <v>290291</v>
      </c>
      <c r="AG329" s="74">
        <f t="shared" si="517"/>
        <v>0</v>
      </c>
      <c r="AH329" s="74">
        <f t="shared" si="517"/>
        <v>0</v>
      </c>
      <c r="AI329" s="74">
        <f t="shared" si="517"/>
        <v>0</v>
      </c>
      <c r="AJ329" s="74">
        <f t="shared" si="517"/>
        <v>0</v>
      </c>
      <c r="AK329" s="74">
        <f t="shared" si="517"/>
        <v>0</v>
      </c>
      <c r="AL329" s="74">
        <f t="shared" si="517"/>
        <v>0</v>
      </c>
      <c r="AM329" s="74">
        <f t="shared" si="517"/>
        <v>0</v>
      </c>
      <c r="AN329" s="74">
        <f t="shared" si="517"/>
        <v>0</v>
      </c>
      <c r="AO329" s="74">
        <f t="shared" si="517"/>
        <v>0</v>
      </c>
      <c r="AP329" s="74">
        <f t="shared" si="517"/>
        <v>290291</v>
      </c>
      <c r="AQ329" s="74">
        <f t="shared" si="517"/>
        <v>290291</v>
      </c>
      <c r="AR329" s="74">
        <f t="shared" si="517"/>
        <v>98118</v>
      </c>
      <c r="AS329" s="74">
        <f t="shared" si="517"/>
        <v>2903</v>
      </c>
      <c r="AT329" s="74">
        <f t="shared" si="517"/>
        <v>0</v>
      </c>
      <c r="AU329" s="74">
        <f t="shared" si="517"/>
        <v>1523</v>
      </c>
      <c r="AV329" s="74">
        <f t="shared" si="517"/>
        <v>1523</v>
      </c>
      <c r="AW329" s="74">
        <f t="shared" si="517"/>
        <v>392835</v>
      </c>
      <c r="AX329" s="75">
        <f t="shared" si="517"/>
        <v>0</v>
      </c>
      <c r="AY329" s="75">
        <f t="shared" si="517"/>
        <v>0</v>
      </c>
      <c r="AZ329" s="75">
        <f t="shared" si="517"/>
        <v>0</v>
      </c>
      <c r="BA329" s="75">
        <f t="shared" si="517"/>
        <v>0</v>
      </c>
      <c r="BB329" s="75">
        <f t="shared" si="517"/>
        <v>0.86</v>
      </c>
      <c r="BC329" s="75">
        <f t="shared" si="517"/>
        <v>0</v>
      </c>
      <c r="BD329" s="75">
        <f t="shared" si="517"/>
        <v>0</v>
      </c>
      <c r="BE329" s="75">
        <f t="shared" si="517"/>
        <v>0</v>
      </c>
      <c r="BF329" s="75">
        <f t="shared" si="517"/>
        <v>0</v>
      </c>
      <c r="BG329" s="75">
        <f t="shared" si="517"/>
        <v>0.86</v>
      </c>
      <c r="BH329" s="76">
        <f t="shared" si="517"/>
        <v>0.86</v>
      </c>
      <c r="BI329" s="799">
        <f t="shared" si="517"/>
        <v>8736801</v>
      </c>
      <c r="BJ329" s="74">
        <f t="shared" si="517"/>
        <v>6461401</v>
      </c>
      <c r="BK329" s="74">
        <f t="shared" si="517"/>
        <v>5077616</v>
      </c>
      <c r="BL329" s="74">
        <f t="shared" si="517"/>
        <v>1383785</v>
      </c>
      <c r="BM329" s="74">
        <f t="shared" si="517"/>
        <v>0</v>
      </c>
      <c r="BN329" s="74">
        <f t="shared" si="517"/>
        <v>0</v>
      </c>
      <c r="BO329" s="74">
        <f t="shared" si="517"/>
        <v>0</v>
      </c>
      <c r="BP329" s="74">
        <f t="shared" si="517"/>
        <v>2183953</v>
      </c>
      <c r="BQ329" s="74">
        <f t="shared" si="517"/>
        <v>64614</v>
      </c>
      <c r="BR329" s="74">
        <f t="shared" si="517"/>
        <v>26833</v>
      </c>
      <c r="BS329" s="75">
        <f t="shared" si="517"/>
        <v>13.8467</v>
      </c>
      <c r="BT329" s="75">
        <f t="shared" si="517"/>
        <v>9.5</v>
      </c>
      <c r="BU329" s="76">
        <f t="shared" si="517"/>
        <v>4.3467000000000002</v>
      </c>
      <c r="BV329" s="809">
        <f t="shared" ref="BV329:CA329" si="518">SUM(BV326:BV328)</f>
        <v>0</v>
      </c>
      <c r="BW329" s="684">
        <f t="shared" si="518"/>
        <v>0</v>
      </c>
      <c r="BX329" s="684">
        <f t="shared" si="518"/>
        <v>0</v>
      </c>
      <c r="BY329" s="684">
        <f t="shared" si="518"/>
        <v>0</v>
      </c>
      <c r="BZ329" s="684">
        <f t="shared" si="518"/>
        <v>0</v>
      </c>
      <c r="CA329" s="810">
        <f t="shared" si="518"/>
        <v>0</v>
      </c>
    </row>
    <row r="330" spans="1:79" ht="14.1" customHeight="1" x14ac:dyDescent="0.2">
      <c r="A330" s="66">
        <v>67</v>
      </c>
      <c r="B330" s="63">
        <v>2404</v>
      </c>
      <c r="C330" s="64">
        <v>600078957</v>
      </c>
      <c r="D330" s="63">
        <v>70983135</v>
      </c>
      <c r="E330" s="65" t="s">
        <v>669</v>
      </c>
      <c r="F330" s="66">
        <v>3111</v>
      </c>
      <c r="G330" s="65" t="s">
        <v>290</v>
      </c>
      <c r="H330" s="67" t="s">
        <v>271</v>
      </c>
      <c r="I330" s="420">
        <v>5300968</v>
      </c>
      <c r="J330" s="415">
        <v>3919396</v>
      </c>
      <c r="K330" s="415">
        <v>3566735</v>
      </c>
      <c r="L330" s="415">
        <v>352661</v>
      </c>
      <c r="M330" s="415">
        <v>0</v>
      </c>
      <c r="N330" s="415">
        <v>0</v>
      </c>
      <c r="O330" s="415">
        <v>0</v>
      </c>
      <c r="P330" s="599">
        <v>1324756</v>
      </c>
      <c r="Q330" s="599">
        <v>39194</v>
      </c>
      <c r="R330" s="415">
        <v>17622</v>
      </c>
      <c r="S330" s="416">
        <v>7.2000999999999999</v>
      </c>
      <c r="T330" s="416">
        <v>6</v>
      </c>
      <c r="U330" s="423">
        <v>1.2000999999999999</v>
      </c>
      <c r="V330" s="424">
        <f t="shared" si="415"/>
        <v>0</v>
      </c>
      <c r="W330" s="418">
        <f t="shared" si="416"/>
        <v>0</v>
      </c>
      <c r="X330" s="418">
        <v>0</v>
      </c>
      <c r="Y330" s="418">
        <v>0</v>
      </c>
      <c r="Z330" s="418">
        <v>0</v>
      </c>
      <c r="AA330" s="418">
        <v>0</v>
      </c>
      <c r="AB330" s="418">
        <v>0</v>
      </c>
      <c r="AC330" s="418">
        <v>0</v>
      </c>
      <c r="AD330" s="418">
        <f>V330+X330+Y330+Z330+AB330</f>
        <v>0</v>
      </c>
      <c r="AE330" s="418">
        <f>W330+AA330+AC330</f>
        <v>0</v>
      </c>
      <c r="AF330" s="418">
        <f t="shared" si="417"/>
        <v>0</v>
      </c>
      <c r="AG330" s="418">
        <v>0</v>
      </c>
      <c r="AH330" s="418">
        <v>0</v>
      </c>
      <c r="AI330" s="418">
        <v>0</v>
      </c>
      <c r="AJ330" s="418">
        <v>0</v>
      </c>
      <c r="AK330" s="418">
        <v>0</v>
      </c>
      <c r="AL330" s="418">
        <f t="shared" si="418"/>
        <v>0</v>
      </c>
      <c r="AM330" s="418">
        <f t="shared" si="419"/>
        <v>0</v>
      </c>
      <c r="AN330" s="418">
        <f t="shared" si="420"/>
        <v>0</v>
      </c>
      <c r="AO330" s="418">
        <f t="shared" si="421"/>
        <v>0</v>
      </c>
      <c r="AP330" s="418">
        <f t="shared" si="422"/>
        <v>0</v>
      </c>
      <c r="AQ330" s="418">
        <f t="shared" si="423"/>
        <v>0</v>
      </c>
      <c r="AR330" s="68">
        <f t="shared" si="424"/>
        <v>0</v>
      </c>
      <c r="AS330" s="68">
        <f t="shared" si="425"/>
        <v>0</v>
      </c>
      <c r="AT330" s="418">
        <v>0</v>
      </c>
      <c r="AU330" s="418">
        <v>0</v>
      </c>
      <c r="AV330" s="418">
        <f t="shared" si="426"/>
        <v>0</v>
      </c>
      <c r="AW330" s="418">
        <f t="shared" si="427"/>
        <v>0</v>
      </c>
      <c r="AX330" s="419">
        <v>0</v>
      </c>
      <c r="AY330" s="419">
        <v>0</v>
      </c>
      <c r="AZ330" s="419">
        <v>0</v>
      </c>
      <c r="BA330" s="419">
        <v>0</v>
      </c>
      <c r="BB330" s="419">
        <v>0</v>
      </c>
      <c r="BC330" s="419">
        <v>0</v>
      </c>
      <c r="BD330" s="419">
        <v>0</v>
      </c>
      <c r="BE330" s="419">
        <v>0</v>
      </c>
      <c r="BF330" s="419">
        <f t="shared" si="428"/>
        <v>0</v>
      </c>
      <c r="BG330" s="419">
        <f t="shared" si="429"/>
        <v>0</v>
      </c>
      <c r="BH330" s="421">
        <f t="shared" si="430"/>
        <v>0</v>
      </c>
      <c r="BI330" s="780">
        <f>I330+AW330</f>
        <v>5300968</v>
      </c>
      <c r="BJ330" s="418">
        <f>J330+AF330</f>
        <v>3919396</v>
      </c>
      <c r="BK330" s="418">
        <f t="shared" ref="BK330:BL332" si="519">K330+AD330</f>
        <v>3566735</v>
      </c>
      <c r="BL330" s="418">
        <f t="shared" si="519"/>
        <v>352661</v>
      </c>
      <c r="BM330" s="418">
        <f>M330+AN330</f>
        <v>0</v>
      </c>
      <c r="BN330" s="418">
        <f t="shared" ref="BN330:BO332" si="520">N330+AL330</f>
        <v>0</v>
      </c>
      <c r="BO330" s="418">
        <f t="shared" si="520"/>
        <v>0</v>
      </c>
      <c r="BP330" s="418">
        <f t="shared" ref="BP330:BQ332" si="521">P330+AR330</f>
        <v>1324756</v>
      </c>
      <c r="BQ330" s="418">
        <f t="shared" si="521"/>
        <v>39194</v>
      </c>
      <c r="BR330" s="418">
        <f>R330+AV330</f>
        <v>17622</v>
      </c>
      <c r="BS330" s="419">
        <f>S330+BH330</f>
        <v>7.2000999999999999</v>
      </c>
      <c r="BT330" s="419">
        <f t="shared" ref="BT330:BU332" si="522">T330+BF330</f>
        <v>6</v>
      </c>
      <c r="BU330" s="421">
        <f t="shared" si="522"/>
        <v>1.2000999999999999</v>
      </c>
      <c r="BV330" s="420"/>
      <c r="BW330" s="415"/>
      <c r="BX330" s="415"/>
      <c r="BY330" s="415"/>
      <c r="BZ330" s="415"/>
      <c r="CA330" s="510"/>
    </row>
    <row r="331" spans="1:79" ht="14.1" customHeight="1" x14ac:dyDescent="0.2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669</v>
      </c>
      <c r="F331" s="66">
        <v>3111</v>
      </c>
      <c r="G331" s="77" t="s">
        <v>291</v>
      </c>
      <c r="H331" s="67" t="s">
        <v>272</v>
      </c>
      <c r="I331" s="420">
        <v>1499519</v>
      </c>
      <c r="J331" s="415">
        <v>1112403</v>
      </c>
      <c r="K331" s="415">
        <v>1112403</v>
      </c>
      <c r="L331" s="415">
        <v>0</v>
      </c>
      <c r="M331" s="415">
        <v>0</v>
      </c>
      <c r="N331" s="415">
        <v>0</v>
      </c>
      <c r="O331" s="415">
        <v>0</v>
      </c>
      <c r="P331" s="599">
        <v>375992</v>
      </c>
      <c r="Q331" s="599">
        <v>11124</v>
      </c>
      <c r="R331" s="415">
        <v>0</v>
      </c>
      <c r="S331" s="416">
        <v>3</v>
      </c>
      <c r="T331" s="417">
        <v>3</v>
      </c>
      <c r="U331" s="423">
        <v>0</v>
      </c>
      <c r="V331" s="424">
        <f t="shared" si="415"/>
        <v>0</v>
      </c>
      <c r="W331" s="418">
        <f t="shared" si="416"/>
        <v>0</v>
      </c>
      <c r="X331" s="418">
        <v>0</v>
      </c>
      <c r="Y331" s="418">
        <v>0</v>
      </c>
      <c r="Z331" s="418">
        <v>0</v>
      </c>
      <c r="AA331" s="418">
        <v>0</v>
      </c>
      <c r="AB331" s="418">
        <v>0</v>
      </c>
      <c r="AC331" s="418">
        <v>0</v>
      </c>
      <c r="AD331" s="418">
        <f>V331+X331+Y331+Z331+AB331</f>
        <v>0</v>
      </c>
      <c r="AE331" s="418">
        <f>W331+AA331+AC331</f>
        <v>0</v>
      </c>
      <c r="AF331" s="418">
        <f t="shared" si="417"/>
        <v>0</v>
      </c>
      <c r="AG331" s="418">
        <v>0</v>
      </c>
      <c r="AH331" s="418">
        <v>0</v>
      </c>
      <c r="AI331" s="418">
        <v>0</v>
      </c>
      <c r="AJ331" s="418">
        <v>0</v>
      </c>
      <c r="AK331" s="418">
        <v>0</v>
      </c>
      <c r="AL331" s="418">
        <f t="shared" si="418"/>
        <v>0</v>
      </c>
      <c r="AM331" s="418">
        <f t="shared" si="419"/>
        <v>0</v>
      </c>
      <c r="AN331" s="418">
        <f t="shared" si="420"/>
        <v>0</v>
      </c>
      <c r="AO331" s="418">
        <f t="shared" si="421"/>
        <v>0</v>
      </c>
      <c r="AP331" s="418">
        <f t="shared" si="422"/>
        <v>0</v>
      </c>
      <c r="AQ331" s="418">
        <f t="shared" si="423"/>
        <v>0</v>
      </c>
      <c r="AR331" s="68">
        <f t="shared" si="424"/>
        <v>0</v>
      </c>
      <c r="AS331" s="68">
        <f t="shared" si="425"/>
        <v>0</v>
      </c>
      <c r="AT331" s="418">
        <v>0</v>
      </c>
      <c r="AU331" s="418">
        <v>0</v>
      </c>
      <c r="AV331" s="418">
        <f t="shared" si="426"/>
        <v>0</v>
      </c>
      <c r="AW331" s="418">
        <f t="shared" si="427"/>
        <v>0</v>
      </c>
      <c r="AX331" s="419">
        <v>0</v>
      </c>
      <c r="AY331" s="419">
        <v>0</v>
      </c>
      <c r="AZ331" s="419">
        <v>0</v>
      </c>
      <c r="BA331" s="419">
        <v>0</v>
      </c>
      <c r="BB331" s="419">
        <v>0</v>
      </c>
      <c r="BC331" s="419">
        <v>0</v>
      </c>
      <c r="BD331" s="419">
        <v>0</v>
      </c>
      <c r="BE331" s="419">
        <v>0</v>
      </c>
      <c r="BF331" s="419">
        <f t="shared" si="428"/>
        <v>0</v>
      </c>
      <c r="BG331" s="419">
        <f t="shared" si="429"/>
        <v>0</v>
      </c>
      <c r="BH331" s="421">
        <f t="shared" si="430"/>
        <v>0</v>
      </c>
      <c r="BI331" s="780">
        <f>I331+AW331</f>
        <v>1499519</v>
      </c>
      <c r="BJ331" s="418">
        <f>J331+AF331</f>
        <v>1112403</v>
      </c>
      <c r="BK331" s="418">
        <f t="shared" si="519"/>
        <v>1112403</v>
      </c>
      <c r="BL331" s="418">
        <f t="shared" si="519"/>
        <v>0</v>
      </c>
      <c r="BM331" s="418">
        <f>M331+AN331</f>
        <v>0</v>
      </c>
      <c r="BN331" s="418">
        <f t="shared" si="520"/>
        <v>0</v>
      </c>
      <c r="BO331" s="418">
        <f t="shared" si="520"/>
        <v>0</v>
      </c>
      <c r="BP331" s="418">
        <f t="shared" si="521"/>
        <v>375992</v>
      </c>
      <c r="BQ331" s="418">
        <f t="shared" si="521"/>
        <v>11124</v>
      </c>
      <c r="BR331" s="418">
        <f>R331+AV331</f>
        <v>0</v>
      </c>
      <c r="BS331" s="419">
        <f>S331+BH331</f>
        <v>3</v>
      </c>
      <c r="BT331" s="419">
        <f t="shared" si="522"/>
        <v>3</v>
      </c>
      <c r="BU331" s="421">
        <f t="shared" si="522"/>
        <v>0</v>
      </c>
      <c r="BV331" s="420"/>
      <c r="BW331" s="415"/>
      <c r="BX331" s="415"/>
      <c r="BY331" s="415"/>
      <c r="BZ331" s="415"/>
      <c r="CA331" s="510"/>
    </row>
    <row r="332" spans="1:79" ht="14.1" customHeight="1" x14ac:dyDescent="0.2">
      <c r="A332" s="66">
        <v>67</v>
      </c>
      <c r="B332" s="63">
        <v>2404</v>
      </c>
      <c r="C332" s="64">
        <v>600078957</v>
      </c>
      <c r="D332" s="63">
        <v>70983135</v>
      </c>
      <c r="E332" s="65" t="s">
        <v>669</v>
      </c>
      <c r="F332" s="66">
        <v>3141</v>
      </c>
      <c r="G332" s="65" t="s">
        <v>294</v>
      </c>
      <c r="H332" s="67" t="s">
        <v>272</v>
      </c>
      <c r="I332" s="420">
        <v>559728</v>
      </c>
      <c r="J332" s="415">
        <v>413515</v>
      </c>
      <c r="K332" s="415">
        <v>0</v>
      </c>
      <c r="L332" s="750">
        <v>413515</v>
      </c>
      <c r="M332" s="415">
        <v>0</v>
      </c>
      <c r="N332" s="204">
        <v>0</v>
      </c>
      <c r="O332" s="204">
        <v>0</v>
      </c>
      <c r="P332" s="599">
        <v>139768</v>
      </c>
      <c r="Q332" s="599">
        <v>4135</v>
      </c>
      <c r="R332" s="605">
        <v>2310</v>
      </c>
      <c r="S332" s="416">
        <v>1.24</v>
      </c>
      <c r="T332" s="607">
        <v>0</v>
      </c>
      <c r="U332" s="737">
        <v>1.24</v>
      </c>
      <c r="V332" s="424">
        <f t="shared" si="415"/>
        <v>0</v>
      </c>
      <c r="W332" s="418">
        <f t="shared" si="416"/>
        <v>0</v>
      </c>
      <c r="X332" s="418">
        <v>0</v>
      </c>
      <c r="Y332" s="418">
        <v>0</v>
      </c>
      <c r="Z332" s="418">
        <v>0</v>
      </c>
      <c r="AA332" s="418">
        <v>206748</v>
      </c>
      <c r="AB332" s="418">
        <v>0</v>
      </c>
      <c r="AC332" s="418">
        <v>0</v>
      </c>
      <c r="AD332" s="418">
        <f>V332+X332+Y332+Z332+AB332</f>
        <v>0</v>
      </c>
      <c r="AE332" s="418">
        <f>W332+AA332+AC332</f>
        <v>206748</v>
      </c>
      <c r="AF332" s="418">
        <f t="shared" si="417"/>
        <v>206748</v>
      </c>
      <c r="AG332" s="418">
        <v>0</v>
      </c>
      <c r="AH332" s="418">
        <v>0</v>
      </c>
      <c r="AI332" s="418">
        <v>0</v>
      </c>
      <c r="AJ332" s="418">
        <v>0</v>
      </c>
      <c r="AK332" s="418">
        <v>0</v>
      </c>
      <c r="AL332" s="418">
        <f t="shared" si="418"/>
        <v>0</v>
      </c>
      <c r="AM332" s="418">
        <f t="shared" si="419"/>
        <v>0</v>
      </c>
      <c r="AN332" s="418">
        <f t="shared" si="420"/>
        <v>0</v>
      </c>
      <c r="AO332" s="418">
        <f t="shared" si="421"/>
        <v>0</v>
      </c>
      <c r="AP332" s="418">
        <f t="shared" si="422"/>
        <v>206748</v>
      </c>
      <c r="AQ332" s="418">
        <f t="shared" si="423"/>
        <v>206748</v>
      </c>
      <c r="AR332" s="68">
        <f t="shared" si="424"/>
        <v>69881</v>
      </c>
      <c r="AS332" s="68">
        <f t="shared" si="425"/>
        <v>2067</v>
      </c>
      <c r="AT332" s="418">
        <v>0</v>
      </c>
      <c r="AU332" s="418">
        <v>1122</v>
      </c>
      <c r="AV332" s="418">
        <f t="shared" si="426"/>
        <v>1122</v>
      </c>
      <c r="AW332" s="418">
        <f t="shared" si="427"/>
        <v>279818</v>
      </c>
      <c r="AX332" s="419">
        <v>0</v>
      </c>
      <c r="AY332" s="419">
        <v>0</v>
      </c>
      <c r="AZ332" s="419">
        <v>0</v>
      </c>
      <c r="BA332" s="419">
        <v>0</v>
      </c>
      <c r="BB332" s="419">
        <v>0.62</v>
      </c>
      <c r="BC332" s="419">
        <v>0</v>
      </c>
      <c r="BD332" s="419">
        <v>0</v>
      </c>
      <c r="BE332" s="419">
        <v>0</v>
      </c>
      <c r="BF332" s="419">
        <f t="shared" si="428"/>
        <v>0</v>
      </c>
      <c r="BG332" s="419">
        <f t="shared" si="429"/>
        <v>0.62</v>
      </c>
      <c r="BH332" s="421">
        <f t="shared" si="430"/>
        <v>0.62</v>
      </c>
      <c r="BI332" s="780">
        <f>I332+AW332</f>
        <v>839546</v>
      </c>
      <c r="BJ332" s="418">
        <f>J332+AF332</f>
        <v>620263</v>
      </c>
      <c r="BK332" s="418">
        <f t="shared" si="519"/>
        <v>0</v>
      </c>
      <c r="BL332" s="418">
        <f t="shared" si="519"/>
        <v>620263</v>
      </c>
      <c r="BM332" s="418">
        <f>M332+AN332</f>
        <v>0</v>
      </c>
      <c r="BN332" s="418">
        <f t="shared" si="520"/>
        <v>0</v>
      </c>
      <c r="BO332" s="418">
        <f t="shared" si="520"/>
        <v>0</v>
      </c>
      <c r="BP332" s="418">
        <f t="shared" si="521"/>
        <v>209649</v>
      </c>
      <c r="BQ332" s="418">
        <f t="shared" si="521"/>
        <v>6202</v>
      </c>
      <c r="BR332" s="418">
        <f>R332+AV332</f>
        <v>3432</v>
      </c>
      <c r="BS332" s="419">
        <f>S332+BH332</f>
        <v>1.8599999999999999</v>
      </c>
      <c r="BT332" s="419">
        <f t="shared" si="522"/>
        <v>0</v>
      </c>
      <c r="BU332" s="421">
        <f t="shared" si="522"/>
        <v>1.8599999999999999</v>
      </c>
      <c r="BV332" s="420"/>
      <c r="BW332" s="415"/>
      <c r="BX332" s="415"/>
      <c r="BY332" s="415"/>
      <c r="BZ332" s="415"/>
      <c r="CA332" s="510"/>
    </row>
    <row r="333" spans="1:79" ht="14.1" customHeight="1" x14ac:dyDescent="0.2">
      <c r="A333" s="72">
        <v>67</v>
      </c>
      <c r="B333" s="69">
        <v>2404</v>
      </c>
      <c r="C333" s="70">
        <v>600078957</v>
      </c>
      <c r="D333" s="69">
        <v>70983135</v>
      </c>
      <c r="E333" s="71" t="s">
        <v>670</v>
      </c>
      <c r="F333" s="72"/>
      <c r="G333" s="71"/>
      <c r="H333" s="73"/>
      <c r="I333" s="517">
        <v>7360215</v>
      </c>
      <c r="J333" s="74">
        <v>5445314</v>
      </c>
      <c r="K333" s="74">
        <v>4679138</v>
      </c>
      <c r="L333" s="74">
        <v>766176</v>
      </c>
      <c r="M333" s="74">
        <v>0</v>
      </c>
      <c r="N333" s="74">
        <v>0</v>
      </c>
      <c r="O333" s="74">
        <v>0</v>
      </c>
      <c r="P333" s="74">
        <v>1840516</v>
      </c>
      <c r="Q333" s="74">
        <v>54453</v>
      </c>
      <c r="R333" s="74">
        <v>19932</v>
      </c>
      <c r="S333" s="75">
        <v>11.440099999999999</v>
      </c>
      <c r="T333" s="75">
        <v>9</v>
      </c>
      <c r="U333" s="658">
        <v>2.4401000000000002</v>
      </c>
      <c r="V333" s="517">
        <f t="shared" ref="V333:BU333" si="523">SUM(V330:V332)</f>
        <v>0</v>
      </c>
      <c r="W333" s="74">
        <f t="shared" si="523"/>
        <v>0</v>
      </c>
      <c r="X333" s="74">
        <f t="shared" si="523"/>
        <v>0</v>
      </c>
      <c r="Y333" s="74">
        <f t="shared" si="523"/>
        <v>0</v>
      </c>
      <c r="Z333" s="74">
        <f t="shared" si="523"/>
        <v>0</v>
      </c>
      <c r="AA333" s="74">
        <f t="shared" si="523"/>
        <v>206748</v>
      </c>
      <c r="AB333" s="74">
        <f t="shared" si="523"/>
        <v>0</v>
      </c>
      <c r="AC333" s="74">
        <f t="shared" si="523"/>
        <v>0</v>
      </c>
      <c r="AD333" s="74">
        <f t="shared" si="523"/>
        <v>0</v>
      </c>
      <c r="AE333" s="74">
        <f t="shared" si="523"/>
        <v>206748</v>
      </c>
      <c r="AF333" s="74">
        <f t="shared" si="523"/>
        <v>206748</v>
      </c>
      <c r="AG333" s="74">
        <f t="shared" si="523"/>
        <v>0</v>
      </c>
      <c r="AH333" s="74">
        <f t="shared" si="523"/>
        <v>0</v>
      </c>
      <c r="AI333" s="74">
        <f t="shared" si="523"/>
        <v>0</v>
      </c>
      <c r="AJ333" s="74">
        <f t="shared" si="523"/>
        <v>0</v>
      </c>
      <c r="AK333" s="74">
        <f t="shared" si="523"/>
        <v>0</v>
      </c>
      <c r="AL333" s="74">
        <f t="shared" si="523"/>
        <v>0</v>
      </c>
      <c r="AM333" s="74">
        <f t="shared" si="523"/>
        <v>0</v>
      </c>
      <c r="AN333" s="74">
        <f t="shared" si="523"/>
        <v>0</v>
      </c>
      <c r="AO333" s="74">
        <f t="shared" si="523"/>
        <v>0</v>
      </c>
      <c r="AP333" s="74">
        <f t="shared" si="523"/>
        <v>206748</v>
      </c>
      <c r="AQ333" s="74">
        <f t="shared" si="523"/>
        <v>206748</v>
      </c>
      <c r="AR333" s="74">
        <f t="shared" si="523"/>
        <v>69881</v>
      </c>
      <c r="AS333" s="74">
        <f t="shared" si="523"/>
        <v>2067</v>
      </c>
      <c r="AT333" s="74">
        <f t="shared" si="523"/>
        <v>0</v>
      </c>
      <c r="AU333" s="74">
        <f t="shared" si="523"/>
        <v>1122</v>
      </c>
      <c r="AV333" s="74">
        <f t="shared" si="523"/>
        <v>1122</v>
      </c>
      <c r="AW333" s="74">
        <f t="shared" si="523"/>
        <v>279818</v>
      </c>
      <c r="AX333" s="75">
        <f t="shared" si="523"/>
        <v>0</v>
      </c>
      <c r="AY333" s="75">
        <f t="shared" si="523"/>
        <v>0</v>
      </c>
      <c r="AZ333" s="75">
        <f t="shared" si="523"/>
        <v>0</v>
      </c>
      <c r="BA333" s="75">
        <f t="shared" si="523"/>
        <v>0</v>
      </c>
      <c r="BB333" s="75">
        <f t="shared" si="523"/>
        <v>0.62</v>
      </c>
      <c r="BC333" s="75">
        <f t="shared" si="523"/>
        <v>0</v>
      </c>
      <c r="BD333" s="75">
        <f t="shared" si="523"/>
        <v>0</v>
      </c>
      <c r="BE333" s="75">
        <f t="shared" si="523"/>
        <v>0</v>
      </c>
      <c r="BF333" s="75">
        <f t="shared" si="523"/>
        <v>0</v>
      </c>
      <c r="BG333" s="75">
        <f t="shared" si="523"/>
        <v>0.62</v>
      </c>
      <c r="BH333" s="76">
        <f t="shared" si="523"/>
        <v>0.62</v>
      </c>
      <c r="BI333" s="799">
        <f t="shared" si="523"/>
        <v>7640033</v>
      </c>
      <c r="BJ333" s="74">
        <f t="shared" si="523"/>
        <v>5652062</v>
      </c>
      <c r="BK333" s="74">
        <f t="shared" si="523"/>
        <v>4679138</v>
      </c>
      <c r="BL333" s="74">
        <f t="shared" si="523"/>
        <v>972924</v>
      </c>
      <c r="BM333" s="74">
        <f t="shared" si="523"/>
        <v>0</v>
      </c>
      <c r="BN333" s="74">
        <f t="shared" si="523"/>
        <v>0</v>
      </c>
      <c r="BO333" s="74">
        <f t="shared" si="523"/>
        <v>0</v>
      </c>
      <c r="BP333" s="74">
        <f t="shared" si="523"/>
        <v>1910397</v>
      </c>
      <c r="BQ333" s="74">
        <f t="shared" si="523"/>
        <v>56520</v>
      </c>
      <c r="BR333" s="74">
        <f t="shared" si="523"/>
        <v>21054</v>
      </c>
      <c r="BS333" s="75">
        <f t="shared" si="523"/>
        <v>12.060099999999998</v>
      </c>
      <c r="BT333" s="75">
        <f t="shared" si="523"/>
        <v>9</v>
      </c>
      <c r="BU333" s="76">
        <f t="shared" si="523"/>
        <v>3.0600999999999998</v>
      </c>
      <c r="BV333" s="809">
        <f t="shared" ref="BV333:CA333" si="524">SUM(BV330:BV332)</f>
        <v>0</v>
      </c>
      <c r="BW333" s="684">
        <f t="shared" si="524"/>
        <v>0</v>
      </c>
      <c r="BX333" s="684">
        <f t="shared" si="524"/>
        <v>0</v>
      </c>
      <c r="BY333" s="684">
        <f t="shared" si="524"/>
        <v>0</v>
      </c>
      <c r="BZ333" s="684">
        <f t="shared" si="524"/>
        <v>0</v>
      </c>
      <c r="CA333" s="810">
        <f t="shared" si="524"/>
        <v>0</v>
      </c>
    </row>
    <row r="334" spans="1:79" ht="14.1" customHeight="1" x14ac:dyDescent="0.2">
      <c r="A334" s="66">
        <v>68</v>
      </c>
      <c r="B334" s="63">
        <v>2439</v>
      </c>
      <c r="C334" s="64">
        <v>600078965</v>
      </c>
      <c r="D334" s="63">
        <v>70983143</v>
      </c>
      <c r="E334" s="65" t="s">
        <v>671</v>
      </c>
      <c r="F334" s="66">
        <v>3111</v>
      </c>
      <c r="G334" s="65" t="s">
        <v>290</v>
      </c>
      <c r="H334" s="67" t="s">
        <v>271</v>
      </c>
      <c r="I334" s="420">
        <v>3304487</v>
      </c>
      <c r="J334" s="415">
        <v>2443675</v>
      </c>
      <c r="K334" s="415">
        <v>2221883</v>
      </c>
      <c r="L334" s="415">
        <v>221792</v>
      </c>
      <c r="M334" s="415">
        <v>0</v>
      </c>
      <c r="N334" s="415">
        <v>0</v>
      </c>
      <c r="O334" s="415">
        <v>0</v>
      </c>
      <c r="P334" s="599">
        <v>825962</v>
      </c>
      <c r="Q334" s="599">
        <v>24437</v>
      </c>
      <c r="R334" s="415">
        <v>10413</v>
      </c>
      <c r="S334" s="416">
        <v>4.7466999999999997</v>
      </c>
      <c r="T334" s="416">
        <v>4</v>
      </c>
      <c r="U334" s="423">
        <v>0.74669999999999992</v>
      </c>
      <c r="V334" s="424">
        <f t="shared" ref="V334:V397" si="525">AG334*-1</f>
        <v>0</v>
      </c>
      <c r="W334" s="418">
        <f t="shared" ref="W334:W397" si="526">AH334*-1</f>
        <v>0</v>
      </c>
      <c r="X334" s="418">
        <v>0</v>
      </c>
      <c r="Y334" s="418">
        <v>0</v>
      </c>
      <c r="Z334" s="418">
        <v>0</v>
      </c>
      <c r="AA334" s="418">
        <v>0</v>
      </c>
      <c r="AB334" s="418">
        <v>0</v>
      </c>
      <c r="AC334" s="418">
        <v>0</v>
      </c>
      <c r="AD334" s="418">
        <f>V334+X334+Y334+Z334+AB334</f>
        <v>0</v>
      </c>
      <c r="AE334" s="418">
        <f>W334+AA334+AC334</f>
        <v>0</v>
      </c>
      <c r="AF334" s="418">
        <f t="shared" ref="AF334:AF397" si="527">SUM(AD334:AE334)</f>
        <v>0</v>
      </c>
      <c r="AG334" s="418">
        <v>0</v>
      </c>
      <c r="AH334" s="418">
        <v>0</v>
      </c>
      <c r="AI334" s="418">
        <v>0</v>
      </c>
      <c r="AJ334" s="418">
        <v>0</v>
      </c>
      <c r="AK334" s="418">
        <v>0</v>
      </c>
      <c r="AL334" s="418">
        <f t="shared" ref="AL334:AL397" si="528">AG334+AI334+AJ334</f>
        <v>0</v>
      </c>
      <c r="AM334" s="418">
        <f t="shared" ref="AM334:AM397" si="529">AH334+AK334</f>
        <v>0</v>
      </c>
      <c r="AN334" s="418">
        <f t="shared" ref="AN334:AN397" si="530">SUM(AL334:AM334)</f>
        <v>0</v>
      </c>
      <c r="AO334" s="418">
        <f t="shared" ref="AO334:AO397" si="531">AD334+AL334</f>
        <v>0</v>
      </c>
      <c r="AP334" s="418">
        <f t="shared" ref="AP334:AP397" si="532">AE334+AM334</f>
        <v>0</v>
      </c>
      <c r="AQ334" s="418">
        <f t="shared" ref="AQ334:AQ397" si="533">SUM(AO334:AP334)</f>
        <v>0</v>
      </c>
      <c r="AR334" s="68">
        <f t="shared" ref="AR334:AR397" si="534">ROUND((AF334+AG334+AH334+AI334)*33.8%,0)</f>
        <v>0</v>
      </c>
      <c r="AS334" s="68">
        <f t="shared" ref="AS334:AS397" si="535">ROUND(AF334*1%,0)</f>
        <v>0</v>
      </c>
      <c r="AT334" s="418">
        <v>0</v>
      </c>
      <c r="AU334" s="418">
        <v>0</v>
      </c>
      <c r="AV334" s="418">
        <f t="shared" ref="AV334:AV397" si="536">AT334+AU334</f>
        <v>0</v>
      </c>
      <c r="AW334" s="418">
        <f t="shared" ref="AW334:AW397" si="537">AQ334+AR334+AS334+AV334</f>
        <v>0</v>
      </c>
      <c r="AX334" s="419">
        <v>0</v>
      </c>
      <c r="AY334" s="419">
        <v>0</v>
      </c>
      <c r="AZ334" s="419">
        <v>0</v>
      </c>
      <c r="BA334" s="419">
        <v>0</v>
      </c>
      <c r="BB334" s="419">
        <v>0</v>
      </c>
      <c r="BC334" s="419">
        <v>0</v>
      </c>
      <c r="BD334" s="419">
        <v>0</v>
      </c>
      <c r="BE334" s="419">
        <v>0</v>
      </c>
      <c r="BF334" s="419">
        <f t="shared" ref="BF334:BF397" si="538">AX334+AZ334+BA334+BC334+BD334</f>
        <v>0</v>
      </c>
      <c r="BG334" s="419">
        <f t="shared" ref="BG334:BG397" si="539">AY334+BB334+BE334</f>
        <v>0</v>
      </c>
      <c r="BH334" s="421">
        <f t="shared" ref="BH334:BH397" si="540">SUM(BF334:BG334)</f>
        <v>0</v>
      </c>
      <c r="BI334" s="780">
        <f>I334+AW334</f>
        <v>3304487</v>
      </c>
      <c r="BJ334" s="418">
        <f>J334+AF334</f>
        <v>2443675</v>
      </c>
      <c r="BK334" s="418">
        <f t="shared" ref="BK334:BL336" si="541">K334+AD334</f>
        <v>2221883</v>
      </c>
      <c r="BL334" s="418">
        <f t="shared" si="541"/>
        <v>221792</v>
      </c>
      <c r="BM334" s="418">
        <f>M334+AN334</f>
        <v>0</v>
      </c>
      <c r="BN334" s="418">
        <f t="shared" ref="BN334:BO336" si="542">N334+AL334</f>
        <v>0</v>
      </c>
      <c r="BO334" s="418">
        <f t="shared" si="542"/>
        <v>0</v>
      </c>
      <c r="BP334" s="418">
        <f t="shared" ref="BP334:BQ336" si="543">P334+AR334</f>
        <v>825962</v>
      </c>
      <c r="BQ334" s="418">
        <f t="shared" si="543"/>
        <v>24437</v>
      </c>
      <c r="BR334" s="418">
        <f>R334+AV334</f>
        <v>10413</v>
      </c>
      <c r="BS334" s="419">
        <f>S334+BH334</f>
        <v>4.7466999999999997</v>
      </c>
      <c r="BT334" s="419">
        <f t="shared" ref="BT334:BU336" si="544">T334+BF334</f>
        <v>4</v>
      </c>
      <c r="BU334" s="421">
        <f t="shared" si="544"/>
        <v>0.74669999999999992</v>
      </c>
      <c r="BV334" s="420"/>
      <c r="BW334" s="415"/>
      <c r="BX334" s="415"/>
      <c r="BY334" s="415"/>
      <c r="BZ334" s="415"/>
      <c r="CA334" s="510"/>
    </row>
    <row r="335" spans="1:79" ht="14.1" customHeight="1" x14ac:dyDescent="0.2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671</v>
      </c>
      <c r="F335" s="66">
        <v>3111</v>
      </c>
      <c r="G335" s="65" t="s">
        <v>291</v>
      </c>
      <c r="H335" s="67" t="s">
        <v>272</v>
      </c>
      <c r="I335" s="420">
        <v>366549</v>
      </c>
      <c r="J335" s="415">
        <v>271921</v>
      </c>
      <c r="K335" s="415">
        <v>271921</v>
      </c>
      <c r="L335" s="415">
        <v>0</v>
      </c>
      <c r="M335" s="415">
        <v>0</v>
      </c>
      <c r="N335" s="415">
        <v>0</v>
      </c>
      <c r="O335" s="415">
        <v>0</v>
      </c>
      <c r="P335" s="599">
        <v>91909</v>
      </c>
      <c r="Q335" s="599">
        <v>2719</v>
      </c>
      <c r="R335" s="415">
        <v>0</v>
      </c>
      <c r="S335" s="416">
        <v>1</v>
      </c>
      <c r="T335" s="417">
        <v>1</v>
      </c>
      <c r="U335" s="423">
        <v>0</v>
      </c>
      <c r="V335" s="424">
        <f t="shared" si="525"/>
        <v>0</v>
      </c>
      <c r="W335" s="418">
        <f t="shared" si="526"/>
        <v>0</v>
      </c>
      <c r="X335" s="418">
        <v>0</v>
      </c>
      <c r="Y335" s="418">
        <v>0</v>
      </c>
      <c r="Z335" s="418">
        <v>0</v>
      </c>
      <c r="AA335" s="418">
        <v>0</v>
      </c>
      <c r="AB335" s="418">
        <v>0</v>
      </c>
      <c r="AC335" s="418">
        <v>0</v>
      </c>
      <c r="AD335" s="418">
        <f>V335+X335+Y335+Z335+AB335</f>
        <v>0</v>
      </c>
      <c r="AE335" s="418">
        <f>W335+AA335+AC335</f>
        <v>0</v>
      </c>
      <c r="AF335" s="418">
        <f t="shared" si="527"/>
        <v>0</v>
      </c>
      <c r="AG335" s="418">
        <v>0</v>
      </c>
      <c r="AH335" s="418">
        <v>0</v>
      </c>
      <c r="AI335" s="418">
        <v>0</v>
      </c>
      <c r="AJ335" s="418">
        <v>0</v>
      </c>
      <c r="AK335" s="418">
        <v>0</v>
      </c>
      <c r="AL335" s="418">
        <f t="shared" si="528"/>
        <v>0</v>
      </c>
      <c r="AM335" s="418">
        <f t="shared" si="529"/>
        <v>0</v>
      </c>
      <c r="AN335" s="418">
        <f t="shared" si="530"/>
        <v>0</v>
      </c>
      <c r="AO335" s="418">
        <f t="shared" si="531"/>
        <v>0</v>
      </c>
      <c r="AP335" s="418">
        <f t="shared" si="532"/>
        <v>0</v>
      </c>
      <c r="AQ335" s="418">
        <f t="shared" si="533"/>
        <v>0</v>
      </c>
      <c r="AR335" s="68">
        <f t="shared" si="534"/>
        <v>0</v>
      </c>
      <c r="AS335" s="68">
        <f t="shared" si="535"/>
        <v>0</v>
      </c>
      <c r="AT335" s="418">
        <v>0</v>
      </c>
      <c r="AU335" s="418">
        <v>0</v>
      </c>
      <c r="AV335" s="418">
        <f t="shared" si="536"/>
        <v>0</v>
      </c>
      <c r="AW335" s="418">
        <f t="shared" si="537"/>
        <v>0</v>
      </c>
      <c r="AX335" s="419">
        <v>0</v>
      </c>
      <c r="AY335" s="419">
        <v>0</v>
      </c>
      <c r="AZ335" s="419">
        <v>0</v>
      </c>
      <c r="BA335" s="419">
        <v>0</v>
      </c>
      <c r="BB335" s="419">
        <v>0</v>
      </c>
      <c r="BC335" s="419">
        <v>0</v>
      </c>
      <c r="BD335" s="419">
        <v>0</v>
      </c>
      <c r="BE335" s="419">
        <v>0</v>
      </c>
      <c r="BF335" s="419">
        <f t="shared" si="538"/>
        <v>0</v>
      </c>
      <c r="BG335" s="419">
        <f t="shared" si="539"/>
        <v>0</v>
      </c>
      <c r="BH335" s="421">
        <f t="shared" si="540"/>
        <v>0</v>
      </c>
      <c r="BI335" s="780">
        <f>I335+AW335</f>
        <v>366549</v>
      </c>
      <c r="BJ335" s="418">
        <f>J335+AF335</f>
        <v>271921</v>
      </c>
      <c r="BK335" s="418">
        <f t="shared" si="541"/>
        <v>271921</v>
      </c>
      <c r="BL335" s="418">
        <f t="shared" si="541"/>
        <v>0</v>
      </c>
      <c r="BM335" s="418">
        <f>M335+AN335</f>
        <v>0</v>
      </c>
      <c r="BN335" s="418">
        <f t="shared" si="542"/>
        <v>0</v>
      </c>
      <c r="BO335" s="418">
        <f t="shared" si="542"/>
        <v>0</v>
      </c>
      <c r="BP335" s="418">
        <f t="shared" si="543"/>
        <v>91909</v>
      </c>
      <c r="BQ335" s="418">
        <f t="shared" si="543"/>
        <v>2719</v>
      </c>
      <c r="BR335" s="418">
        <f>R335+AV335</f>
        <v>0</v>
      </c>
      <c r="BS335" s="419">
        <f>S335+BH335</f>
        <v>1</v>
      </c>
      <c r="BT335" s="419">
        <f t="shared" si="544"/>
        <v>1</v>
      </c>
      <c r="BU335" s="421">
        <f t="shared" si="544"/>
        <v>0</v>
      </c>
      <c r="BV335" s="420"/>
      <c r="BW335" s="415"/>
      <c r="BX335" s="415"/>
      <c r="BY335" s="415"/>
      <c r="BZ335" s="415"/>
      <c r="CA335" s="510"/>
    </row>
    <row r="336" spans="1:79" ht="14.1" customHeight="1" x14ac:dyDescent="0.2">
      <c r="A336" s="66">
        <v>68</v>
      </c>
      <c r="B336" s="63">
        <v>2439</v>
      </c>
      <c r="C336" s="64">
        <v>600078965</v>
      </c>
      <c r="D336" s="63">
        <v>70983143</v>
      </c>
      <c r="E336" s="65" t="s">
        <v>671</v>
      </c>
      <c r="F336" s="66">
        <v>3141</v>
      </c>
      <c r="G336" s="65" t="s">
        <v>294</v>
      </c>
      <c r="H336" s="67" t="s">
        <v>272</v>
      </c>
      <c r="I336" s="420">
        <v>396987</v>
      </c>
      <c r="J336" s="415">
        <v>293462</v>
      </c>
      <c r="K336" s="415">
        <v>0</v>
      </c>
      <c r="L336" s="750">
        <v>293462</v>
      </c>
      <c r="M336" s="415">
        <v>0</v>
      </c>
      <c r="N336" s="204">
        <v>0</v>
      </c>
      <c r="O336" s="204">
        <v>0</v>
      </c>
      <c r="P336" s="599">
        <v>99190</v>
      </c>
      <c r="Q336" s="599">
        <v>2935</v>
      </c>
      <c r="R336" s="605">
        <v>1400</v>
      </c>
      <c r="S336" s="416">
        <v>0.88</v>
      </c>
      <c r="T336" s="607">
        <v>0</v>
      </c>
      <c r="U336" s="737">
        <v>0.88</v>
      </c>
      <c r="V336" s="424">
        <f t="shared" si="525"/>
        <v>0</v>
      </c>
      <c r="W336" s="418">
        <f t="shared" si="526"/>
        <v>0</v>
      </c>
      <c r="X336" s="418">
        <v>0</v>
      </c>
      <c r="Y336" s="418">
        <v>0</v>
      </c>
      <c r="Z336" s="418">
        <v>0</v>
      </c>
      <c r="AA336" s="418">
        <v>147214</v>
      </c>
      <c r="AB336" s="418">
        <v>0</v>
      </c>
      <c r="AC336" s="418">
        <v>0</v>
      </c>
      <c r="AD336" s="418">
        <f>V336+X336+Y336+Z336+AB336</f>
        <v>0</v>
      </c>
      <c r="AE336" s="418">
        <f>W336+AA336+AC336</f>
        <v>147214</v>
      </c>
      <c r="AF336" s="418">
        <f t="shared" si="527"/>
        <v>147214</v>
      </c>
      <c r="AG336" s="418">
        <v>0</v>
      </c>
      <c r="AH336" s="418">
        <v>0</v>
      </c>
      <c r="AI336" s="418">
        <v>0</v>
      </c>
      <c r="AJ336" s="418">
        <v>0</v>
      </c>
      <c r="AK336" s="418">
        <v>0</v>
      </c>
      <c r="AL336" s="418">
        <f t="shared" si="528"/>
        <v>0</v>
      </c>
      <c r="AM336" s="418">
        <f t="shared" si="529"/>
        <v>0</v>
      </c>
      <c r="AN336" s="418">
        <f t="shared" si="530"/>
        <v>0</v>
      </c>
      <c r="AO336" s="418">
        <f t="shared" si="531"/>
        <v>0</v>
      </c>
      <c r="AP336" s="418">
        <f t="shared" si="532"/>
        <v>147214</v>
      </c>
      <c r="AQ336" s="418">
        <f t="shared" si="533"/>
        <v>147214</v>
      </c>
      <c r="AR336" s="68">
        <f t="shared" si="534"/>
        <v>49758</v>
      </c>
      <c r="AS336" s="68">
        <f t="shared" si="535"/>
        <v>1472</v>
      </c>
      <c r="AT336" s="418">
        <v>0</v>
      </c>
      <c r="AU336" s="418">
        <v>680</v>
      </c>
      <c r="AV336" s="418">
        <f t="shared" si="536"/>
        <v>680</v>
      </c>
      <c r="AW336" s="418">
        <f t="shared" si="537"/>
        <v>199124</v>
      </c>
      <c r="AX336" s="419">
        <v>0</v>
      </c>
      <c r="AY336" s="419">
        <v>0</v>
      </c>
      <c r="AZ336" s="419">
        <v>0</v>
      </c>
      <c r="BA336" s="419">
        <v>0</v>
      </c>
      <c r="BB336" s="419">
        <v>0.44</v>
      </c>
      <c r="BC336" s="419">
        <v>0</v>
      </c>
      <c r="BD336" s="419">
        <v>0</v>
      </c>
      <c r="BE336" s="419">
        <v>0</v>
      </c>
      <c r="BF336" s="419">
        <f t="shared" si="538"/>
        <v>0</v>
      </c>
      <c r="BG336" s="419">
        <f t="shared" si="539"/>
        <v>0.44</v>
      </c>
      <c r="BH336" s="421">
        <f t="shared" si="540"/>
        <v>0.44</v>
      </c>
      <c r="BI336" s="780">
        <f>I336+AW336</f>
        <v>596111</v>
      </c>
      <c r="BJ336" s="418">
        <f>J336+AF336</f>
        <v>440676</v>
      </c>
      <c r="BK336" s="418">
        <f t="shared" si="541"/>
        <v>0</v>
      </c>
      <c r="BL336" s="418">
        <f t="shared" si="541"/>
        <v>440676</v>
      </c>
      <c r="BM336" s="418">
        <f>M336+AN336</f>
        <v>0</v>
      </c>
      <c r="BN336" s="418">
        <f t="shared" si="542"/>
        <v>0</v>
      </c>
      <c r="BO336" s="418">
        <f t="shared" si="542"/>
        <v>0</v>
      </c>
      <c r="BP336" s="418">
        <f t="shared" si="543"/>
        <v>148948</v>
      </c>
      <c r="BQ336" s="418">
        <f t="shared" si="543"/>
        <v>4407</v>
      </c>
      <c r="BR336" s="418">
        <f>R336+AV336</f>
        <v>2080</v>
      </c>
      <c r="BS336" s="419">
        <f>S336+BH336</f>
        <v>1.32</v>
      </c>
      <c r="BT336" s="419">
        <f t="shared" si="544"/>
        <v>0</v>
      </c>
      <c r="BU336" s="421">
        <f t="shared" si="544"/>
        <v>1.32</v>
      </c>
      <c r="BV336" s="420"/>
      <c r="BW336" s="415"/>
      <c r="BX336" s="415"/>
      <c r="BY336" s="415"/>
      <c r="BZ336" s="415"/>
      <c r="CA336" s="510"/>
    </row>
    <row r="337" spans="1:79" ht="14.1" customHeight="1" x14ac:dyDescent="0.2">
      <c r="A337" s="72">
        <v>68</v>
      </c>
      <c r="B337" s="69">
        <v>2439</v>
      </c>
      <c r="C337" s="70">
        <v>600078965</v>
      </c>
      <c r="D337" s="69">
        <v>70983143</v>
      </c>
      <c r="E337" s="71" t="s">
        <v>672</v>
      </c>
      <c r="F337" s="72"/>
      <c r="G337" s="71"/>
      <c r="H337" s="73"/>
      <c r="I337" s="517">
        <v>4068023</v>
      </c>
      <c r="J337" s="74">
        <v>3009058</v>
      </c>
      <c r="K337" s="74">
        <v>2493804</v>
      </c>
      <c r="L337" s="74">
        <v>515254</v>
      </c>
      <c r="M337" s="74">
        <v>0</v>
      </c>
      <c r="N337" s="74">
        <v>0</v>
      </c>
      <c r="O337" s="74">
        <v>0</v>
      </c>
      <c r="P337" s="74">
        <v>1017061</v>
      </c>
      <c r="Q337" s="74">
        <v>30091</v>
      </c>
      <c r="R337" s="74">
        <v>11813</v>
      </c>
      <c r="S337" s="75">
        <v>6.6266999999999996</v>
      </c>
      <c r="T337" s="75">
        <v>5</v>
      </c>
      <c r="U337" s="658">
        <v>1.6267</v>
      </c>
      <c r="V337" s="517">
        <f t="shared" ref="V337:BU337" si="545">SUM(V334:V336)</f>
        <v>0</v>
      </c>
      <c r="W337" s="74">
        <f t="shared" si="545"/>
        <v>0</v>
      </c>
      <c r="X337" s="74">
        <f t="shared" si="545"/>
        <v>0</v>
      </c>
      <c r="Y337" s="74">
        <f t="shared" si="545"/>
        <v>0</v>
      </c>
      <c r="Z337" s="74">
        <f t="shared" si="545"/>
        <v>0</v>
      </c>
      <c r="AA337" s="74">
        <f t="shared" si="545"/>
        <v>147214</v>
      </c>
      <c r="AB337" s="74">
        <f t="shared" si="545"/>
        <v>0</v>
      </c>
      <c r="AC337" s="74">
        <f t="shared" si="545"/>
        <v>0</v>
      </c>
      <c r="AD337" s="74">
        <f t="shared" si="545"/>
        <v>0</v>
      </c>
      <c r="AE337" s="74">
        <f t="shared" si="545"/>
        <v>147214</v>
      </c>
      <c r="AF337" s="74">
        <f t="shared" si="545"/>
        <v>147214</v>
      </c>
      <c r="AG337" s="74">
        <f t="shared" si="545"/>
        <v>0</v>
      </c>
      <c r="AH337" s="74">
        <f t="shared" si="545"/>
        <v>0</v>
      </c>
      <c r="AI337" s="74">
        <f t="shared" si="545"/>
        <v>0</v>
      </c>
      <c r="AJ337" s="74">
        <f t="shared" si="545"/>
        <v>0</v>
      </c>
      <c r="AK337" s="74">
        <f t="shared" si="545"/>
        <v>0</v>
      </c>
      <c r="AL337" s="74">
        <f t="shared" si="545"/>
        <v>0</v>
      </c>
      <c r="AM337" s="74">
        <f t="shared" si="545"/>
        <v>0</v>
      </c>
      <c r="AN337" s="74">
        <f t="shared" si="545"/>
        <v>0</v>
      </c>
      <c r="AO337" s="74">
        <f t="shared" si="545"/>
        <v>0</v>
      </c>
      <c r="AP337" s="74">
        <f t="shared" si="545"/>
        <v>147214</v>
      </c>
      <c r="AQ337" s="74">
        <f t="shared" si="545"/>
        <v>147214</v>
      </c>
      <c r="AR337" s="74">
        <f t="shared" si="545"/>
        <v>49758</v>
      </c>
      <c r="AS337" s="74">
        <f t="shared" si="545"/>
        <v>1472</v>
      </c>
      <c r="AT337" s="74">
        <f t="shared" si="545"/>
        <v>0</v>
      </c>
      <c r="AU337" s="74">
        <f t="shared" si="545"/>
        <v>680</v>
      </c>
      <c r="AV337" s="74">
        <f t="shared" si="545"/>
        <v>680</v>
      </c>
      <c r="AW337" s="74">
        <f t="shared" si="545"/>
        <v>199124</v>
      </c>
      <c r="AX337" s="75">
        <f t="shared" si="545"/>
        <v>0</v>
      </c>
      <c r="AY337" s="75">
        <f t="shared" si="545"/>
        <v>0</v>
      </c>
      <c r="AZ337" s="75">
        <f t="shared" si="545"/>
        <v>0</v>
      </c>
      <c r="BA337" s="75">
        <f t="shared" si="545"/>
        <v>0</v>
      </c>
      <c r="BB337" s="75">
        <f t="shared" si="545"/>
        <v>0.44</v>
      </c>
      <c r="BC337" s="75">
        <f t="shared" si="545"/>
        <v>0</v>
      </c>
      <c r="BD337" s="75">
        <f t="shared" si="545"/>
        <v>0</v>
      </c>
      <c r="BE337" s="75">
        <f t="shared" si="545"/>
        <v>0</v>
      </c>
      <c r="BF337" s="75">
        <f t="shared" si="545"/>
        <v>0</v>
      </c>
      <c r="BG337" s="75">
        <f t="shared" si="545"/>
        <v>0.44</v>
      </c>
      <c r="BH337" s="76">
        <f t="shared" si="545"/>
        <v>0.44</v>
      </c>
      <c r="BI337" s="799">
        <f t="shared" si="545"/>
        <v>4267147</v>
      </c>
      <c r="BJ337" s="74">
        <f t="shared" si="545"/>
        <v>3156272</v>
      </c>
      <c r="BK337" s="74">
        <f t="shared" si="545"/>
        <v>2493804</v>
      </c>
      <c r="BL337" s="74">
        <f t="shared" si="545"/>
        <v>662468</v>
      </c>
      <c r="BM337" s="74">
        <f t="shared" si="545"/>
        <v>0</v>
      </c>
      <c r="BN337" s="74">
        <f t="shared" si="545"/>
        <v>0</v>
      </c>
      <c r="BO337" s="74">
        <f t="shared" si="545"/>
        <v>0</v>
      </c>
      <c r="BP337" s="74">
        <f t="shared" si="545"/>
        <v>1066819</v>
      </c>
      <c r="BQ337" s="74">
        <f t="shared" si="545"/>
        <v>31563</v>
      </c>
      <c r="BR337" s="74">
        <f t="shared" si="545"/>
        <v>12493</v>
      </c>
      <c r="BS337" s="75">
        <f t="shared" si="545"/>
        <v>7.0667</v>
      </c>
      <c r="BT337" s="75">
        <f t="shared" si="545"/>
        <v>5</v>
      </c>
      <c r="BU337" s="76">
        <f t="shared" si="545"/>
        <v>2.0667</v>
      </c>
      <c r="BV337" s="809">
        <f t="shared" ref="BV337:CA337" si="546">SUM(BV334:BV336)</f>
        <v>0</v>
      </c>
      <c r="BW337" s="684">
        <f t="shared" si="546"/>
        <v>0</v>
      </c>
      <c r="BX337" s="684">
        <f t="shared" si="546"/>
        <v>0</v>
      </c>
      <c r="BY337" s="684">
        <f t="shared" si="546"/>
        <v>0</v>
      </c>
      <c r="BZ337" s="684">
        <f t="shared" si="546"/>
        <v>0</v>
      </c>
      <c r="CA337" s="810">
        <f t="shared" si="546"/>
        <v>0</v>
      </c>
    </row>
    <row r="338" spans="1:79" ht="14.1" customHeight="1" x14ac:dyDescent="0.2">
      <c r="A338" s="66">
        <v>69</v>
      </c>
      <c r="B338" s="63">
        <v>2302</v>
      </c>
      <c r="C338" s="64">
        <v>600080366</v>
      </c>
      <c r="D338" s="63">
        <v>70983127</v>
      </c>
      <c r="E338" s="65" t="s">
        <v>673</v>
      </c>
      <c r="F338" s="66">
        <v>3111</v>
      </c>
      <c r="G338" s="65" t="s">
        <v>290</v>
      </c>
      <c r="H338" s="67" t="s">
        <v>271</v>
      </c>
      <c r="I338" s="420">
        <v>5996656</v>
      </c>
      <c r="J338" s="415">
        <v>4432360</v>
      </c>
      <c r="K338" s="415">
        <v>4181088</v>
      </c>
      <c r="L338" s="415">
        <v>251272</v>
      </c>
      <c r="M338" s="415">
        <v>0</v>
      </c>
      <c r="N338" s="415">
        <v>0</v>
      </c>
      <c r="O338" s="415">
        <v>0</v>
      </c>
      <c r="P338" s="599">
        <v>1498138</v>
      </c>
      <c r="Q338" s="599">
        <v>44324</v>
      </c>
      <c r="R338" s="415">
        <v>21834</v>
      </c>
      <c r="S338" s="416">
        <v>8.6456</v>
      </c>
      <c r="T338" s="416">
        <v>7.6388999999999996</v>
      </c>
      <c r="U338" s="423">
        <v>1.0066999999999999</v>
      </c>
      <c r="V338" s="424">
        <f t="shared" si="525"/>
        <v>0</v>
      </c>
      <c r="W338" s="418">
        <f t="shared" si="526"/>
        <v>0</v>
      </c>
      <c r="X338" s="418">
        <v>0</v>
      </c>
      <c r="Y338" s="418">
        <v>0</v>
      </c>
      <c r="Z338" s="418">
        <v>0</v>
      </c>
      <c r="AA338" s="418">
        <v>0</v>
      </c>
      <c r="AB338" s="418">
        <v>0</v>
      </c>
      <c r="AC338" s="418">
        <v>0</v>
      </c>
      <c r="AD338" s="418">
        <f t="shared" ref="AD338:AD345" si="547">V338+X338+Y338+Z338+AB338</f>
        <v>0</v>
      </c>
      <c r="AE338" s="418">
        <f t="shared" ref="AE338:AE345" si="548">W338+AA338+AC338</f>
        <v>0</v>
      </c>
      <c r="AF338" s="418">
        <f t="shared" si="527"/>
        <v>0</v>
      </c>
      <c r="AG338" s="418">
        <v>0</v>
      </c>
      <c r="AH338" s="418">
        <v>0</v>
      </c>
      <c r="AI338" s="418">
        <v>0</v>
      </c>
      <c r="AJ338" s="418">
        <v>0</v>
      </c>
      <c r="AK338" s="418">
        <v>0</v>
      </c>
      <c r="AL338" s="418">
        <f t="shared" si="528"/>
        <v>0</v>
      </c>
      <c r="AM338" s="418">
        <f t="shared" si="529"/>
        <v>0</v>
      </c>
      <c r="AN338" s="418">
        <f t="shared" si="530"/>
        <v>0</v>
      </c>
      <c r="AO338" s="418">
        <f t="shared" si="531"/>
        <v>0</v>
      </c>
      <c r="AP338" s="418">
        <f t="shared" si="532"/>
        <v>0</v>
      </c>
      <c r="AQ338" s="418">
        <f t="shared" si="533"/>
        <v>0</v>
      </c>
      <c r="AR338" s="68">
        <f t="shared" si="534"/>
        <v>0</v>
      </c>
      <c r="AS338" s="68">
        <f t="shared" si="535"/>
        <v>0</v>
      </c>
      <c r="AT338" s="418">
        <v>0</v>
      </c>
      <c r="AU338" s="418">
        <v>0</v>
      </c>
      <c r="AV338" s="418">
        <f t="shared" si="536"/>
        <v>0</v>
      </c>
      <c r="AW338" s="418">
        <f t="shared" si="537"/>
        <v>0</v>
      </c>
      <c r="AX338" s="419">
        <v>0</v>
      </c>
      <c r="AY338" s="419">
        <v>0</v>
      </c>
      <c r="AZ338" s="419">
        <v>0</v>
      </c>
      <c r="BA338" s="419">
        <v>0</v>
      </c>
      <c r="BB338" s="419">
        <v>0</v>
      </c>
      <c r="BC338" s="419">
        <v>0</v>
      </c>
      <c r="BD338" s="419">
        <v>0</v>
      </c>
      <c r="BE338" s="419">
        <v>0</v>
      </c>
      <c r="BF338" s="419">
        <f t="shared" si="538"/>
        <v>0</v>
      </c>
      <c r="BG338" s="419">
        <f t="shared" si="539"/>
        <v>0</v>
      </c>
      <c r="BH338" s="421">
        <f t="shared" si="540"/>
        <v>0</v>
      </c>
      <c r="BI338" s="780">
        <f t="shared" ref="BI338:BI345" si="549">I338+AW338</f>
        <v>5996656</v>
      </c>
      <c r="BJ338" s="418">
        <f t="shared" ref="BJ338:BJ345" si="550">J338+AF338</f>
        <v>4432360</v>
      </c>
      <c r="BK338" s="418">
        <f t="shared" ref="BK338:BL345" si="551">K338+AD338</f>
        <v>4181088</v>
      </c>
      <c r="BL338" s="418">
        <f t="shared" si="551"/>
        <v>251272</v>
      </c>
      <c r="BM338" s="418">
        <f t="shared" ref="BM338:BM345" si="552">M338+AN338</f>
        <v>0</v>
      </c>
      <c r="BN338" s="418">
        <f t="shared" ref="BN338:BO345" si="553">N338+AL338</f>
        <v>0</v>
      </c>
      <c r="BO338" s="418">
        <f t="shared" si="553"/>
        <v>0</v>
      </c>
      <c r="BP338" s="418">
        <f t="shared" ref="BP338:BQ345" si="554">P338+AR338</f>
        <v>1498138</v>
      </c>
      <c r="BQ338" s="418">
        <f t="shared" si="554"/>
        <v>44324</v>
      </c>
      <c r="BR338" s="418">
        <f t="shared" ref="BR338:BR345" si="555">R338+AV338</f>
        <v>21834</v>
      </c>
      <c r="BS338" s="419">
        <f t="shared" ref="BS338:BS345" si="556">S338+BH338</f>
        <v>8.6456</v>
      </c>
      <c r="BT338" s="419">
        <f t="shared" ref="BT338:BU345" si="557">T338+BF338</f>
        <v>7.6388999999999996</v>
      </c>
      <c r="BU338" s="421">
        <f t="shared" si="557"/>
        <v>1.0066999999999999</v>
      </c>
      <c r="BV338" s="420"/>
      <c r="BW338" s="415"/>
      <c r="BX338" s="415"/>
      <c r="BY338" s="415"/>
      <c r="BZ338" s="415"/>
      <c r="CA338" s="510"/>
    </row>
    <row r="339" spans="1:79" ht="14.1" customHeight="1" x14ac:dyDescent="0.2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673</v>
      </c>
      <c r="F339" s="66">
        <v>3111</v>
      </c>
      <c r="G339" s="43" t="s">
        <v>292</v>
      </c>
      <c r="H339" s="67" t="s">
        <v>271</v>
      </c>
      <c r="I339" s="420">
        <v>601586</v>
      </c>
      <c r="J339" s="415">
        <v>446280</v>
      </c>
      <c r="K339" s="415">
        <v>446280</v>
      </c>
      <c r="L339" s="415">
        <v>0</v>
      </c>
      <c r="M339" s="415">
        <v>0</v>
      </c>
      <c r="N339" s="415">
        <v>0</v>
      </c>
      <c r="O339" s="415">
        <v>0</v>
      </c>
      <c r="P339" s="599">
        <v>150843</v>
      </c>
      <c r="Q339" s="599">
        <v>4463</v>
      </c>
      <c r="R339" s="415">
        <v>0</v>
      </c>
      <c r="S339" s="416">
        <v>1</v>
      </c>
      <c r="T339" s="416">
        <v>1</v>
      </c>
      <c r="U339" s="423">
        <v>0</v>
      </c>
      <c r="V339" s="424">
        <f t="shared" si="525"/>
        <v>0</v>
      </c>
      <c r="W339" s="418">
        <f t="shared" si="526"/>
        <v>0</v>
      </c>
      <c r="X339" s="418">
        <v>0</v>
      </c>
      <c r="Y339" s="418">
        <v>0</v>
      </c>
      <c r="Z339" s="418">
        <v>0</v>
      </c>
      <c r="AA339" s="418">
        <v>0</v>
      </c>
      <c r="AB339" s="418">
        <v>0</v>
      </c>
      <c r="AC339" s="418">
        <v>0</v>
      </c>
      <c r="AD339" s="418">
        <f t="shared" si="547"/>
        <v>0</v>
      </c>
      <c r="AE339" s="418">
        <f t="shared" si="548"/>
        <v>0</v>
      </c>
      <c r="AF339" s="418">
        <f t="shared" si="527"/>
        <v>0</v>
      </c>
      <c r="AG339" s="418">
        <v>0</v>
      </c>
      <c r="AH339" s="418">
        <v>0</v>
      </c>
      <c r="AI339" s="418">
        <v>0</v>
      </c>
      <c r="AJ339" s="418">
        <v>0</v>
      </c>
      <c r="AK339" s="418">
        <v>0</v>
      </c>
      <c r="AL339" s="418">
        <f t="shared" si="528"/>
        <v>0</v>
      </c>
      <c r="AM339" s="418">
        <f t="shared" si="529"/>
        <v>0</v>
      </c>
      <c r="AN339" s="418">
        <f t="shared" si="530"/>
        <v>0</v>
      </c>
      <c r="AO339" s="418">
        <f t="shared" si="531"/>
        <v>0</v>
      </c>
      <c r="AP339" s="418">
        <f t="shared" si="532"/>
        <v>0</v>
      </c>
      <c r="AQ339" s="418">
        <f t="shared" si="533"/>
        <v>0</v>
      </c>
      <c r="AR339" s="68">
        <f t="shared" si="534"/>
        <v>0</v>
      </c>
      <c r="AS339" s="68">
        <f t="shared" si="535"/>
        <v>0</v>
      </c>
      <c r="AT339" s="418">
        <v>0</v>
      </c>
      <c r="AU339" s="418">
        <v>0</v>
      </c>
      <c r="AV339" s="418">
        <f t="shared" si="536"/>
        <v>0</v>
      </c>
      <c r="AW339" s="418">
        <f t="shared" si="537"/>
        <v>0</v>
      </c>
      <c r="AX339" s="419">
        <v>0</v>
      </c>
      <c r="AY339" s="419">
        <v>0</v>
      </c>
      <c r="AZ339" s="419">
        <v>0</v>
      </c>
      <c r="BA339" s="419">
        <v>0</v>
      </c>
      <c r="BB339" s="419">
        <v>0</v>
      </c>
      <c r="BC339" s="419">
        <v>0</v>
      </c>
      <c r="BD339" s="419">
        <v>0</v>
      </c>
      <c r="BE339" s="419">
        <v>0</v>
      </c>
      <c r="BF339" s="419">
        <f t="shared" si="538"/>
        <v>0</v>
      </c>
      <c r="BG339" s="419">
        <f t="shared" si="539"/>
        <v>0</v>
      </c>
      <c r="BH339" s="421">
        <f t="shared" si="540"/>
        <v>0</v>
      </c>
      <c r="BI339" s="780">
        <f t="shared" si="549"/>
        <v>601586</v>
      </c>
      <c r="BJ339" s="418">
        <f t="shared" si="550"/>
        <v>446280</v>
      </c>
      <c r="BK339" s="418">
        <f t="shared" si="551"/>
        <v>446280</v>
      </c>
      <c r="BL339" s="418">
        <f t="shared" si="551"/>
        <v>0</v>
      </c>
      <c r="BM339" s="418">
        <f t="shared" si="552"/>
        <v>0</v>
      </c>
      <c r="BN339" s="418">
        <f t="shared" si="553"/>
        <v>0</v>
      </c>
      <c r="BO339" s="418">
        <f t="shared" si="553"/>
        <v>0</v>
      </c>
      <c r="BP339" s="418">
        <f t="shared" si="554"/>
        <v>150843</v>
      </c>
      <c r="BQ339" s="418">
        <f t="shared" si="554"/>
        <v>4463</v>
      </c>
      <c r="BR339" s="418">
        <f t="shared" si="555"/>
        <v>0</v>
      </c>
      <c r="BS339" s="419">
        <f t="shared" si="556"/>
        <v>1</v>
      </c>
      <c r="BT339" s="419">
        <f t="shared" si="557"/>
        <v>1</v>
      </c>
      <c r="BU339" s="421">
        <f t="shared" si="557"/>
        <v>0</v>
      </c>
      <c r="BV339" s="420"/>
      <c r="BW339" s="415"/>
      <c r="BX339" s="415"/>
      <c r="BY339" s="415"/>
      <c r="BZ339" s="415"/>
      <c r="CA339" s="510"/>
    </row>
    <row r="340" spans="1:79" ht="14.1" customHeight="1" x14ac:dyDescent="0.2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673</v>
      </c>
      <c r="F340" s="66">
        <v>3114</v>
      </c>
      <c r="G340" s="165" t="s">
        <v>525</v>
      </c>
      <c r="H340" s="67" t="s">
        <v>271</v>
      </c>
      <c r="I340" s="420">
        <v>9595392</v>
      </c>
      <c r="J340" s="415">
        <v>6998059</v>
      </c>
      <c r="K340" s="415">
        <v>6377685</v>
      </c>
      <c r="L340" s="415">
        <v>620374</v>
      </c>
      <c r="M340" s="415">
        <v>80000</v>
      </c>
      <c r="N340" s="415">
        <v>0</v>
      </c>
      <c r="O340" s="415">
        <v>80000</v>
      </c>
      <c r="P340" s="599">
        <v>2392383</v>
      </c>
      <c r="Q340" s="599">
        <v>69979</v>
      </c>
      <c r="R340" s="415">
        <v>54971</v>
      </c>
      <c r="S340" s="416">
        <v>10.661800000000001</v>
      </c>
      <c r="T340" s="416">
        <v>8.6818000000000008</v>
      </c>
      <c r="U340" s="423">
        <v>1.98</v>
      </c>
      <c r="V340" s="424">
        <f t="shared" si="525"/>
        <v>0</v>
      </c>
      <c r="W340" s="418">
        <f t="shared" si="526"/>
        <v>0</v>
      </c>
      <c r="X340" s="418">
        <v>0</v>
      </c>
      <c r="Y340" s="418">
        <v>0</v>
      </c>
      <c r="Z340" s="418">
        <v>0</v>
      </c>
      <c r="AA340" s="418">
        <v>0</v>
      </c>
      <c r="AB340" s="418">
        <v>0</v>
      </c>
      <c r="AC340" s="418">
        <v>0</v>
      </c>
      <c r="AD340" s="418">
        <f t="shared" si="547"/>
        <v>0</v>
      </c>
      <c r="AE340" s="418">
        <f t="shared" si="548"/>
        <v>0</v>
      </c>
      <c r="AF340" s="418">
        <f t="shared" si="527"/>
        <v>0</v>
      </c>
      <c r="AG340" s="418">
        <v>0</v>
      </c>
      <c r="AH340" s="418">
        <v>0</v>
      </c>
      <c r="AI340" s="418">
        <v>0</v>
      </c>
      <c r="AJ340" s="418">
        <v>0</v>
      </c>
      <c r="AK340" s="418">
        <v>0</v>
      </c>
      <c r="AL340" s="418">
        <f t="shared" si="528"/>
        <v>0</v>
      </c>
      <c r="AM340" s="418">
        <f t="shared" si="529"/>
        <v>0</v>
      </c>
      <c r="AN340" s="418">
        <f t="shared" si="530"/>
        <v>0</v>
      </c>
      <c r="AO340" s="418">
        <f t="shared" si="531"/>
        <v>0</v>
      </c>
      <c r="AP340" s="418">
        <f t="shared" si="532"/>
        <v>0</v>
      </c>
      <c r="AQ340" s="418">
        <f t="shared" si="533"/>
        <v>0</v>
      </c>
      <c r="AR340" s="68">
        <f t="shared" si="534"/>
        <v>0</v>
      </c>
      <c r="AS340" s="68">
        <f t="shared" si="535"/>
        <v>0</v>
      </c>
      <c r="AT340" s="418">
        <v>0</v>
      </c>
      <c r="AU340" s="418">
        <v>0</v>
      </c>
      <c r="AV340" s="418">
        <f t="shared" si="536"/>
        <v>0</v>
      </c>
      <c r="AW340" s="418">
        <f t="shared" si="537"/>
        <v>0</v>
      </c>
      <c r="AX340" s="419">
        <v>0</v>
      </c>
      <c r="AY340" s="419">
        <v>0</v>
      </c>
      <c r="AZ340" s="419">
        <v>0</v>
      </c>
      <c r="BA340" s="419">
        <v>0</v>
      </c>
      <c r="BB340" s="419">
        <v>0</v>
      </c>
      <c r="BC340" s="419">
        <v>0</v>
      </c>
      <c r="BD340" s="419">
        <v>0</v>
      </c>
      <c r="BE340" s="419">
        <v>0</v>
      </c>
      <c r="BF340" s="419">
        <f t="shared" si="538"/>
        <v>0</v>
      </c>
      <c r="BG340" s="419">
        <f t="shared" si="539"/>
        <v>0</v>
      </c>
      <c r="BH340" s="421">
        <f t="shared" si="540"/>
        <v>0</v>
      </c>
      <c r="BI340" s="780">
        <f t="shared" si="549"/>
        <v>9595392</v>
      </c>
      <c r="BJ340" s="418">
        <f t="shared" si="550"/>
        <v>6998059</v>
      </c>
      <c r="BK340" s="418">
        <f t="shared" si="551"/>
        <v>6377685</v>
      </c>
      <c r="BL340" s="418">
        <f t="shared" si="551"/>
        <v>620374</v>
      </c>
      <c r="BM340" s="418">
        <f t="shared" si="552"/>
        <v>80000</v>
      </c>
      <c r="BN340" s="418">
        <f t="shared" si="553"/>
        <v>0</v>
      </c>
      <c r="BO340" s="418">
        <f t="shared" si="553"/>
        <v>80000</v>
      </c>
      <c r="BP340" s="418">
        <f t="shared" si="554"/>
        <v>2392383</v>
      </c>
      <c r="BQ340" s="418">
        <f t="shared" si="554"/>
        <v>69979</v>
      </c>
      <c r="BR340" s="418">
        <f t="shared" si="555"/>
        <v>54971</v>
      </c>
      <c r="BS340" s="419">
        <f t="shared" si="556"/>
        <v>10.661800000000001</v>
      </c>
      <c r="BT340" s="419">
        <f t="shared" si="557"/>
        <v>8.6818000000000008</v>
      </c>
      <c r="BU340" s="421">
        <f t="shared" si="557"/>
        <v>1.98</v>
      </c>
      <c r="BV340" s="420"/>
      <c r="BW340" s="415"/>
      <c r="BX340" s="415"/>
      <c r="BY340" s="415"/>
      <c r="BZ340" s="415"/>
      <c r="CA340" s="510"/>
    </row>
    <row r="341" spans="1:79" ht="14.1" customHeight="1" x14ac:dyDescent="0.2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673</v>
      </c>
      <c r="F341" s="66">
        <v>3114</v>
      </c>
      <c r="G341" s="43" t="s">
        <v>292</v>
      </c>
      <c r="H341" s="67" t="s">
        <v>271</v>
      </c>
      <c r="I341" s="420">
        <v>2867140</v>
      </c>
      <c r="J341" s="415">
        <v>2126958</v>
      </c>
      <c r="K341" s="415">
        <v>2126958</v>
      </c>
      <c r="L341" s="415">
        <v>0</v>
      </c>
      <c r="M341" s="415">
        <v>0</v>
      </c>
      <c r="N341" s="415">
        <v>0</v>
      </c>
      <c r="O341" s="415">
        <v>0</v>
      </c>
      <c r="P341" s="599">
        <v>718912</v>
      </c>
      <c r="Q341" s="599">
        <v>21270</v>
      </c>
      <c r="R341" s="415">
        <v>0</v>
      </c>
      <c r="S341" s="416">
        <v>5.4116999999999997</v>
      </c>
      <c r="T341" s="416">
        <v>5.4116999999999997</v>
      </c>
      <c r="U341" s="423">
        <v>0</v>
      </c>
      <c r="V341" s="424">
        <f t="shared" si="525"/>
        <v>0</v>
      </c>
      <c r="W341" s="418">
        <f t="shared" si="526"/>
        <v>0</v>
      </c>
      <c r="X341" s="418">
        <v>0</v>
      </c>
      <c r="Y341" s="418">
        <v>0</v>
      </c>
      <c r="Z341" s="418">
        <v>0</v>
      </c>
      <c r="AA341" s="418">
        <v>0</v>
      </c>
      <c r="AB341" s="418">
        <v>0</v>
      </c>
      <c r="AC341" s="418">
        <v>0</v>
      </c>
      <c r="AD341" s="418">
        <f t="shared" si="547"/>
        <v>0</v>
      </c>
      <c r="AE341" s="418">
        <f t="shared" si="548"/>
        <v>0</v>
      </c>
      <c r="AF341" s="418">
        <f t="shared" si="527"/>
        <v>0</v>
      </c>
      <c r="AG341" s="418">
        <v>0</v>
      </c>
      <c r="AH341" s="418">
        <v>0</v>
      </c>
      <c r="AI341" s="418">
        <v>0</v>
      </c>
      <c r="AJ341" s="418">
        <v>0</v>
      </c>
      <c r="AK341" s="418">
        <v>0</v>
      </c>
      <c r="AL341" s="418">
        <f t="shared" si="528"/>
        <v>0</v>
      </c>
      <c r="AM341" s="418">
        <f t="shared" si="529"/>
        <v>0</v>
      </c>
      <c r="AN341" s="418">
        <f t="shared" si="530"/>
        <v>0</v>
      </c>
      <c r="AO341" s="418">
        <f t="shared" si="531"/>
        <v>0</v>
      </c>
      <c r="AP341" s="418">
        <f t="shared" si="532"/>
        <v>0</v>
      </c>
      <c r="AQ341" s="418">
        <f t="shared" si="533"/>
        <v>0</v>
      </c>
      <c r="AR341" s="68">
        <f t="shared" si="534"/>
        <v>0</v>
      </c>
      <c r="AS341" s="68">
        <f t="shared" si="535"/>
        <v>0</v>
      </c>
      <c r="AT341" s="418">
        <v>0</v>
      </c>
      <c r="AU341" s="418">
        <v>0</v>
      </c>
      <c r="AV341" s="418">
        <f t="shared" si="536"/>
        <v>0</v>
      </c>
      <c r="AW341" s="418">
        <f t="shared" si="537"/>
        <v>0</v>
      </c>
      <c r="AX341" s="419">
        <v>0</v>
      </c>
      <c r="AY341" s="419">
        <v>0</v>
      </c>
      <c r="AZ341" s="419">
        <v>0</v>
      </c>
      <c r="BA341" s="419">
        <v>0</v>
      </c>
      <c r="BB341" s="419">
        <v>0</v>
      </c>
      <c r="BC341" s="419">
        <v>0</v>
      </c>
      <c r="BD341" s="419">
        <v>0</v>
      </c>
      <c r="BE341" s="419">
        <v>0</v>
      </c>
      <c r="BF341" s="419">
        <f t="shared" si="538"/>
        <v>0</v>
      </c>
      <c r="BG341" s="419">
        <f t="shared" si="539"/>
        <v>0</v>
      </c>
      <c r="BH341" s="421">
        <f t="shared" si="540"/>
        <v>0</v>
      </c>
      <c r="BI341" s="780">
        <f t="shared" si="549"/>
        <v>2867140</v>
      </c>
      <c r="BJ341" s="418">
        <f t="shared" si="550"/>
        <v>2126958</v>
      </c>
      <c r="BK341" s="418">
        <f t="shared" si="551"/>
        <v>2126958</v>
      </c>
      <c r="BL341" s="418">
        <f t="shared" si="551"/>
        <v>0</v>
      </c>
      <c r="BM341" s="418">
        <f t="shared" si="552"/>
        <v>0</v>
      </c>
      <c r="BN341" s="418">
        <f t="shared" si="553"/>
        <v>0</v>
      </c>
      <c r="BO341" s="418">
        <f t="shared" si="553"/>
        <v>0</v>
      </c>
      <c r="BP341" s="418">
        <f t="shared" si="554"/>
        <v>718912</v>
      </c>
      <c r="BQ341" s="418">
        <f t="shared" si="554"/>
        <v>21270</v>
      </c>
      <c r="BR341" s="418">
        <f t="shared" si="555"/>
        <v>0</v>
      </c>
      <c r="BS341" s="419">
        <f t="shared" si="556"/>
        <v>5.4116999999999997</v>
      </c>
      <c r="BT341" s="419">
        <f t="shared" si="557"/>
        <v>5.4116999999999997</v>
      </c>
      <c r="BU341" s="421">
        <f t="shared" si="557"/>
        <v>0</v>
      </c>
      <c r="BV341" s="420"/>
      <c r="BW341" s="415"/>
      <c r="BX341" s="415"/>
      <c r="BY341" s="415"/>
      <c r="BZ341" s="415"/>
      <c r="CA341" s="510"/>
    </row>
    <row r="342" spans="1:79" ht="14.1" customHeight="1" x14ac:dyDescent="0.2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673</v>
      </c>
      <c r="F342" s="66">
        <v>3114</v>
      </c>
      <c r="G342" s="77" t="s">
        <v>291</v>
      </c>
      <c r="H342" s="67" t="s">
        <v>272</v>
      </c>
      <c r="I342" s="420">
        <v>1999359</v>
      </c>
      <c r="J342" s="415">
        <v>1483204</v>
      </c>
      <c r="K342" s="415">
        <v>1483204</v>
      </c>
      <c r="L342" s="415">
        <v>0</v>
      </c>
      <c r="M342" s="415">
        <v>0</v>
      </c>
      <c r="N342" s="415">
        <v>0</v>
      </c>
      <c r="O342" s="415">
        <v>0</v>
      </c>
      <c r="P342" s="599">
        <v>501323</v>
      </c>
      <c r="Q342" s="599">
        <v>14832</v>
      </c>
      <c r="R342" s="415">
        <v>0</v>
      </c>
      <c r="S342" s="416">
        <v>4</v>
      </c>
      <c r="T342" s="417">
        <v>4</v>
      </c>
      <c r="U342" s="423">
        <v>0</v>
      </c>
      <c r="V342" s="424">
        <f t="shared" si="525"/>
        <v>0</v>
      </c>
      <c r="W342" s="418">
        <f t="shared" si="526"/>
        <v>0</v>
      </c>
      <c r="X342" s="418">
        <v>0</v>
      </c>
      <c r="Y342" s="418">
        <v>0</v>
      </c>
      <c r="Z342" s="418">
        <v>0</v>
      </c>
      <c r="AA342" s="418">
        <v>0</v>
      </c>
      <c r="AB342" s="418">
        <v>0</v>
      </c>
      <c r="AC342" s="418">
        <v>0</v>
      </c>
      <c r="AD342" s="418">
        <f t="shared" si="547"/>
        <v>0</v>
      </c>
      <c r="AE342" s="418">
        <f t="shared" si="548"/>
        <v>0</v>
      </c>
      <c r="AF342" s="418">
        <f t="shared" si="527"/>
        <v>0</v>
      </c>
      <c r="AG342" s="418">
        <v>0</v>
      </c>
      <c r="AH342" s="418">
        <v>0</v>
      </c>
      <c r="AI342" s="418">
        <v>0</v>
      </c>
      <c r="AJ342" s="418">
        <v>0</v>
      </c>
      <c r="AK342" s="418">
        <v>0</v>
      </c>
      <c r="AL342" s="418">
        <f t="shared" si="528"/>
        <v>0</v>
      </c>
      <c r="AM342" s="418">
        <f t="shared" si="529"/>
        <v>0</v>
      </c>
      <c r="AN342" s="418">
        <f t="shared" si="530"/>
        <v>0</v>
      </c>
      <c r="AO342" s="418">
        <f t="shared" si="531"/>
        <v>0</v>
      </c>
      <c r="AP342" s="418">
        <f t="shared" si="532"/>
        <v>0</v>
      </c>
      <c r="AQ342" s="418">
        <f t="shared" si="533"/>
        <v>0</v>
      </c>
      <c r="AR342" s="68">
        <f t="shared" si="534"/>
        <v>0</v>
      </c>
      <c r="AS342" s="68">
        <f t="shared" si="535"/>
        <v>0</v>
      </c>
      <c r="AT342" s="418">
        <v>0</v>
      </c>
      <c r="AU342" s="418">
        <v>0</v>
      </c>
      <c r="AV342" s="418">
        <f t="shared" si="536"/>
        <v>0</v>
      </c>
      <c r="AW342" s="418">
        <f t="shared" si="537"/>
        <v>0</v>
      </c>
      <c r="AX342" s="419">
        <v>0</v>
      </c>
      <c r="AY342" s="419">
        <v>0</v>
      </c>
      <c r="AZ342" s="419">
        <v>0</v>
      </c>
      <c r="BA342" s="419">
        <v>0</v>
      </c>
      <c r="BB342" s="419">
        <v>0</v>
      </c>
      <c r="BC342" s="419">
        <v>0</v>
      </c>
      <c r="BD342" s="419">
        <v>0</v>
      </c>
      <c r="BE342" s="419">
        <v>0</v>
      </c>
      <c r="BF342" s="419">
        <f t="shared" si="538"/>
        <v>0</v>
      </c>
      <c r="BG342" s="419">
        <f t="shared" si="539"/>
        <v>0</v>
      </c>
      <c r="BH342" s="421">
        <f t="shared" si="540"/>
        <v>0</v>
      </c>
      <c r="BI342" s="780">
        <f t="shared" si="549"/>
        <v>1999359</v>
      </c>
      <c r="BJ342" s="418">
        <f t="shared" si="550"/>
        <v>1483204</v>
      </c>
      <c r="BK342" s="418">
        <f t="shared" si="551"/>
        <v>1483204</v>
      </c>
      <c r="BL342" s="418">
        <f t="shared" si="551"/>
        <v>0</v>
      </c>
      <c r="BM342" s="418">
        <f t="shared" si="552"/>
        <v>0</v>
      </c>
      <c r="BN342" s="418">
        <f t="shared" si="553"/>
        <v>0</v>
      </c>
      <c r="BO342" s="418">
        <f t="shared" si="553"/>
        <v>0</v>
      </c>
      <c r="BP342" s="418">
        <f t="shared" si="554"/>
        <v>501323</v>
      </c>
      <c r="BQ342" s="418">
        <f t="shared" si="554"/>
        <v>14832</v>
      </c>
      <c r="BR342" s="418">
        <f t="shared" si="555"/>
        <v>0</v>
      </c>
      <c r="BS342" s="419">
        <f t="shared" si="556"/>
        <v>4</v>
      </c>
      <c r="BT342" s="419">
        <f t="shared" si="557"/>
        <v>4</v>
      </c>
      <c r="BU342" s="421">
        <f t="shared" si="557"/>
        <v>0</v>
      </c>
      <c r="BV342" s="420"/>
      <c r="BW342" s="415"/>
      <c r="BX342" s="415"/>
      <c r="BY342" s="415"/>
      <c r="BZ342" s="415"/>
      <c r="CA342" s="510"/>
    </row>
    <row r="343" spans="1:79" ht="14.1" customHeight="1" x14ac:dyDescent="0.2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673</v>
      </c>
      <c r="F343" s="66">
        <v>3141</v>
      </c>
      <c r="G343" s="65" t="s">
        <v>294</v>
      </c>
      <c r="H343" s="67" t="s">
        <v>272</v>
      </c>
      <c r="I343" s="420">
        <v>319868</v>
      </c>
      <c r="J343" s="415">
        <v>235670</v>
      </c>
      <c r="K343" s="415">
        <v>0</v>
      </c>
      <c r="L343" s="750">
        <v>235670</v>
      </c>
      <c r="M343" s="415">
        <v>0</v>
      </c>
      <c r="N343" s="204">
        <v>0</v>
      </c>
      <c r="O343" s="204">
        <v>0</v>
      </c>
      <c r="P343" s="599">
        <v>79656</v>
      </c>
      <c r="Q343" s="599">
        <v>2357</v>
      </c>
      <c r="R343" s="605">
        <v>2185</v>
      </c>
      <c r="S343" s="416">
        <v>0.70669999999999999</v>
      </c>
      <c r="T343" s="607">
        <v>0</v>
      </c>
      <c r="U343" s="737">
        <v>0.70669999999999999</v>
      </c>
      <c r="V343" s="424">
        <f t="shared" si="525"/>
        <v>0</v>
      </c>
      <c r="W343" s="418">
        <f t="shared" si="526"/>
        <v>0</v>
      </c>
      <c r="X343" s="418">
        <v>0</v>
      </c>
      <c r="Y343" s="418">
        <v>0</v>
      </c>
      <c r="Z343" s="418">
        <v>0</v>
      </c>
      <c r="AA343" s="418">
        <v>119458</v>
      </c>
      <c r="AB343" s="418">
        <v>0</v>
      </c>
      <c r="AC343" s="418">
        <v>0</v>
      </c>
      <c r="AD343" s="418">
        <f t="shared" si="547"/>
        <v>0</v>
      </c>
      <c r="AE343" s="418">
        <f t="shared" si="548"/>
        <v>119458</v>
      </c>
      <c r="AF343" s="418">
        <f t="shared" si="527"/>
        <v>119458</v>
      </c>
      <c r="AG343" s="418">
        <v>0</v>
      </c>
      <c r="AH343" s="418">
        <v>0</v>
      </c>
      <c r="AI343" s="418">
        <v>0</v>
      </c>
      <c r="AJ343" s="418">
        <v>0</v>
      </c>
      <c r="AK343" s="418">
        <v>0</v>
      </c>
      <c r="AL343" s="418">
        <f t="shared" si="528"/>
        <v>0</v>
      </c>
      <c r="AM343" s="418">
        <f t="shared" si="529"/>
        <v>0</v>
      </c>
      <c r="AN343" s="418">
        <f t="shared" si="530"/>
        <v>0</v>
      </c>
      <c r="AO343" s="418">
        <f t="shared" si="531"/>
        <v>0</v>
      </c>
      <c r="AP343" s="418">
        <f t="shared" si="532"/>
        <v>119458</v>
      </c>
      <c r="AQ343" s="418">
        <f t="shared" si="533"/>
        <v>119458</v>
      </c>
      <c r="AR343" s="68">
        <f t="shared" si="534"/>
        <v>40377</v>
      </c>
      <c r="AS343" s="68">
        <f t="shared" si="535"/>
        <v>1195</v>
      </c>
      <c r="AT343" s="418">
        <v>0</v>
      </c>
      <c r="AU343" s="418">
        <v>1045</v>
      </c>
      <c r="AV343" s="418">
        <f t="shared" si="536"/>
        <v>1045</v>
      </c>
      <c r="AW343" s="418">
        <f t="shared" si="537"/>
        <v>162075</v>
      </c>
      <c r="AX343" s="419">
        <v>0</v>
      </c>
      <c r="AY343" s="419">
        <v>0</v>
      </c>
      <c r="AZ343" s="419">
        <v>0</v>
      </c>
      <c r="BA343" s="419">
        <v>0</v>
      </c>
      <c r="BB343" s="419">
        <v>0.35</v>
      </c>
      <c r="BC343" s="419">
        <v>0</v>
      </c>
      <c r="BD343" s="419">
        <v>0</v>
      </c>
      <c r="BE343" s="419">
        <v>0</v>
      </c>
      <c r="BF343" s="419">
        <f t="shared" si="538"/>
        <v>0</v>
      </c>
      <c r="BG343" s="419">
        <f t="shared" si="539"/>
        <v>0.35</v>
      </c>
      <c r="BH343" s="421">
        <f t="shared" si="540"/>
        <v>0.35</v>
      </c>
      <c r="BI343" s="780">
        <f t="shared" si="549"/>
        <v>481943</v>
      </c>
      <c r="BJ343" s="418">
        <f t="shared" si="550"/>
        <v>355128</v>
      </c>
      <c r="BK343" s="418">
        <f t="shared" si="551"/>
        <v>0</v>
      </c>
      <c r="BL343" s="418">
        <f t="shared" si="551"/>
        <v>355128</v>
      </c>
      <c r="BM343" s="418">
        <f t="shared" si="552"/>
        <v>0</v>
      </c>
      <c r="BN343" s="418">
        <f t="shared" si="553"/>
        <v>0</v>
      </c>
      <c r="BO343" s="418">
        <f t="shared" si="553"/>
        <v>0</v>
      </c>
      <c r="BP343" s="418">
        <f t="shared" si="554"/>
        <v>120033</v>
      </c>
      <c r="BQ343" s="418">
        <f t="shared" si="554"/>
        <v>3552</v>
      </c>
      <c r="BR343" s="418">
        <f t="shared" si="555"/>
        <v>3230</v>
      </c>
      <c r="BS343" s="419">
        <f t="shared" si="556"/>
        <v>1.0567</v>
      </c>
      <c r="BT343" s="419">
        <f t="shared" si="557"/>
        <v>0</v>
      </c>
      <c r="BU343" s="421">
        <f t="shared" si="557"/>
        <v>1.0567</v>
      </c>
      <c r="BV343" s="420"/>
      <c r="BW343" s="415"/>
      <c r="BX343" s="415"/>
      <c r="BY343" s="415"/>
      <c r="BZ343" s="415"/>
      <c r="CA343" s="510"/>
    </row>
    <row r="344" spans="1:79" ht="14.1" customHeight="1" x14ac:dyDescent="0.2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673</v>
      </c>
      <c r="F344" s="66">
        <v>3143</v>
      </c>
      <c r="G344" s="77" t="s">
        <v>595</v>
      </c>
      <c r="H344" s="67" t="s">
        <v>271</v>
      </c>
      <c r="I344" s="420">
        <v>599979</v>
      </c>
      <c r="J344" s="415">
        <v>445088</v>
      </c>
      <c r="K344" s="415">
        <v>445088</v>
      </c>
      <c r="L344" s="415">
        <v>0</v>
      </c>
      <c r="M344" s="415">
        <v>0</v>
      </c>
      <c r="N344" s="415">
        <v>0</v>
      </c>
      <c r="O344" s="415">
        <v>0</v>
      </c>
      <c r="P344" s="599">
        <v>150440</v>
      </c>
      <c r="Q344" s="599">
        <v>4451</v>
      </c>
      <c r="R344" s="415">
        <v>0</v>
      </c>
      <c r="S344" s="416">
        <v>1</v>
      </c>
      <c r="T344" s="416">
        <v>1</v>
      </c>
      <c r="U344" s="423">
        <v>0</v>
      </c>
      <c r="V344" s="424">
        <f t="shared" si="525"/>
        <v>0</v>
      </c>
      <c r="W344" s="418">
        <f t="shared" si="526"/>
        <v>0</v>
      </c>
      <c r="X344" s="418">
        <v>0</v>
      </c>
      <c r="Y344" s="418">
        <v>0</v>
      </c>
      <c r="Z344" s="418">
        <v>0</v>
      </c>
      <c r="AA344" s="418">
        <v>0</v>
      </c>
      <c r="AB344" s="418">
        <v>0</v>
      </c>
      <c r="AC344" s="418">
        <v>0</v>
      </c>
      <c r="AD344" s="418">
        <f t="shared" si="547"/>
        <v>0</v>
      </c>
      <c r="AE344" s="418">
        <f t="shared" si="548"/>
        <v>0</v>
      </c>
      <c r="AF344" s="418">
        <f t="shared" si="527"/>
        <v>0</v>
      </c>
      <c r="AG344" s="418">
        <v>0</v>
      </c>
      <c r="AH344" s="418">
        <v>0</v>
      </c>
      <c r="AI344" s="418">
        <v>0</v>
      </c>
      <c r="AJ344" s="418">
        <v>0</v>
      </c>
      <c r="AK344" s="418">
        <v>0</v>
      </c>
      <c r="AL344" s="418">
        <f t="shared" si="528"/>
        <v>0</v>
      </c>
      <c r="AM344" s="418">
        <f t="shared" si="529"/>
        <v>0</v>
      </c>
      <c r="AN344" s="418">
        <f t="shared" si="530"/>
        <v>0</v>
      </c>
      <c r="AO344" s="418">
        <f t="shared" si="531"/>
        <v>0</v>
      </c>
      <c r="AP344" s="418">
        <f t="shared" si="532"/>
        <v>0</v>
      </c>
      <c r="AQ344" s="418">
        <f t="shared" si="533"/>
        <v>0</v>
      </c>
      <c r="AR344" s="68">
        <f t="shared" si="534"/>
        <v>0</v>
      </c>
      <c r="AS344" s="68">
        <f t="shared" si="535"/>
        <v>0</v>
      </c>
      <c r="AT344" s="418">
        <v>0</v>
      </c>
      <c r="AU344" s="418">
        <v>0</v>
      </c>
      <c r="AV344" s="418">
        <f t="shared" si="536"/>
        <v>0</v>
      </c>
      <c r="AW344" s="418">
        <f t="shared" si="537"/>
        <v>0</v>
      </c>
      <c r="AX344" s="419">
        <v>0</v>
      </c>
      <c r="AY344" s="419">
        <v>0</v>
      </c>
      <c r="AZ344" s="419">
        <v>0</v>
      </c>
      <c r="BA344" s="419">
        <v>0</v>
      </c>
      <c r="BB344" s="419">
        <v>0</v>
      </c>
      <c r="BC344" s="419">
        <v>0</v>
      </c>
      <c r="BD344" s="419">
        <v>0</v>
      </c>
      <c r="BE344" s="419">
        <v>0</v>
      </c>
      <c r="BF344" s="419">
        <f t="shared" si="538"/>
        <v>0</v>
      </c>
      <c r="BG344" s="419">
        <f t="shared" si="539"/>
        <v>0</v>
      </c>
      <c r="BH344" s="421">
        <f t="shared" si="540"/>
        <v>0</v>
      </c>
      <c r="BI344" s="780">
        <f t="shared" si="549"/>
        <v>599979</v>
      </c>
      <c r="BJ344" s="418">
        <f t="shared" si="550"/>
        <v>445088</v>
      </c>
      <c r="BK344" s="418">
        <f t="shared" si="551"/>
        <v>445088</v>
      </c>
      <c r="BL344" s="418">
        <f t="shared" si="551"/>
        <v>0</v>
      </c>
      <c r="BM344" s="418">
        <f t="shared" si="552"/>
        <v>0</v>
      </c>
      <c r="BN344" s="418">
        <f t="shared" si="553"/>
        <v>0</v>
      </c>
      <c r="BO344" s="418">
        <f t="shared" si="553"/>
        <v>0</v>
      </c>
      <c r="BP344" s="418">
        <f t="shared" si="554"/>
        <v>150440</v>
      </c>
      <c r="BQ344" s="418">
        <f t="shared" si="554"/>
        <v>4451</v>
      </c>
      <c r="BR344" s="418">
        <f t="shared" si="555"/>
        <v>0</v>
      </c>
      <c r="BS344" s="419">
        <f t="shared" si="556"/>
        <v>1</v>
      </c>
      <c r="BT344" s="419">
        <f t="shared" si="557"/>
        <v>1</v>
      </c>
      <c r="BU344" s="421">
        <f t="shared" si="557"/>
        <v>0</v>
      </c>
      <c r="BV344" s="420"/>
      <c r="BW344" s="415"/>
      <c r="BX344" s="415"/>
      <c r="BY344" s="415"/>
      <c r="BZ344" s="415"/>
      <c r="CA344" s="510"/>
    </row>
    <row r="345" spans="1:79" ht="14.1" customHeight="1" x14ac:dyDescent="0.2">
      <c r="A345" s="66">
        <v>69</v>
      </c>
      <c r="B345" s="63">
        <v>2302</v>
      </c>
      <c r="C345" s="64">
        <v>600080366</v>
      </c>
      <c r="D345" s="63">
        <v>70983127</v>
      </c>
      <c r="E345" s="65" t="s">
        <v>673</v>
      </c>
      <c r="F345" s="66">
        <v>3143</v>
      </c>
      <c r="G345" s="77" t="s">
        <v>596</v>
      </c>
      <c r="H345" s="67" t="s">
        <v>272</v>
      </c>
      <c r="I345" s="420">
        <v>7672</v>
      </c>
      <c r="J345" s="415">
        <v>5491</v>
      </c>
      <c r="K345" s="415">
        <v>0</v>
      </c>
      <c r="L345" s="605">
        <v>5491</v>
      </c>
      <c r="M345" s="415">
        <v>0</v>
      </c>
      <c r="N345" s="415">
        <v>0</v>
      </c>
      <c r="O345" s="415">
        <v>0</v>
      </c>
      <c r="P345" s="599">
        <v>1856</v>
      </c>
      <c r="Q345" s="599">
        <v>55</v>
      </c>
      <c r="R345" s="606">
        <v>270</v>
      </c>
      <c r="S345" s="416">
        <v>2.0799999999999999E-2</v>
      </c>
      <c r="T345" s="609">
        <v>0</v>
      </c>
      <c r="U345" s="737">
        <v>2.0799999999999999E-2</v>
      </c>
      <c r="V345" s="424">
        <f t="shared" si="525"/>
        <v>0</v>
      </c>
      <c r="W345" s="418">
        <f t="shared" si="526"/>
        <v>0</v>
      </c>
      <c r="X345" s="418">
        <v>0</v>
      </c>
      <c r="Y345" s="418">
        <v>0</v>
      </c>
      <c r="Z345" s="418">
        <v>0</v>
      </c>
      <c r="AA345" s="418">
        <v>2759</v>
      </c>
      <c r="AB345" s="418">
        <v>0</v>
      </c>
      <c r="AC345" s="418">
        <v>0</v>
      </c>
      <c r="AD345" s="418">
        <f t="shared" si="547"/>
        <v>0</v>
      </c>
      <c r="AE345" s="418">
        <f t="shared" si="548"/>
        <v>2759</v>
      </c>
      <c r="AF345" s="418">
        <f t="shared" si="527"/>
        <v>2759</v>
      </c>
      <c r="AG345" s="418">
        <v>0</v>
      </c>
      <c r="AH345" s="418">
        <v>0</v>
      </c>
      <c r="AI345" s="418">
        <v>0</v>
      </c>
      <c r="AJ345" s="418">
        <v>0</v>
      </c>
      <c r="AK345" s="418">
        <v>0</v>
      </c>
      <c r="AL345" s="418">
        <f t="shared" si="528"/>
        <v>0</v>
      </c>
      <c r="AM345" s="418">
        <f t="shared" si="529"/>
        <v>0</v>
      </c>
      <c r="AN345" s="418">
        <f t="shared" si="530"/>
        <v>0</v>
      </c>
      <c r="AO345" s="418">
        <f t="shared" si="531"/>
        <v>0</v>
      </c>
      <c r="AP345" s="418">
        <f t="shared" si="532"/>
        <v>2759</v>
      </c>
      <c r="AQ345" s="418">
        <f t="shared" si="533"/>
        <v>2759</v>
      </c>
      <c r="AR345" s="68">
        <f t="shared" si="534"/>
        <v>933</v>
      </c>
      <c r="AS345" s="68">
        <f t="shared" si="535"/>
        <v>28</v>
      </c>
      <c r="AT345" s="418">
        <v>0</v>
      </c>
      <c r="AU345" s="418">
        <v>135</v>
      </c>
      <c r="AV345" s="418">
        <f t="shared" si="536"/>
        <v>135</v>
      </c>
      <c r="AW345" s="418">
        <f t="shared" si="537"/>
        <v>3855</v>
      </c>
      <c r="AX345" s="419">
        <v>0</v>
      </c>
      <c r="AY345" s="419">
        <v>0</v>
      </c>
      <c r="AZ345" s="419">
        <v>0</v>
      </c>
      <c r="BA345" s="419">
        <v>0</v>
      </c>
      <c r="BB345" s="419">
        <v>0.01</v>
      </c>
      <c r="BC345" s="419">
        <v>0</v>
      </c>
      <c r="BD345" s="419">
        <v>0</v>
      </c>
      <c r="BE345" s="419">
        <v>0</v>
      </c>
      <c r="BF345" s="419">
        <f t="shared" si="538"/>
        <v>0</v>
      </c>
      <c r="BG345" s="419">
        <f t="shared" si="539"/>
        <v>0.01</v>
      </c>
      <c r="BH345" s="421">
        <f t="shared" si="540"/>
        <v>0.01</v>
      </c>
      <c r="BI345" s="780">
        <f t="shared" si="549"/>
        <v>11527</v>
      </c>
      <c r="BJ345" s="418">
        <f t="shared" si="550"/>
        <v>8250</v>
      </c>
      <c r="BK345" s="418">
        <f t="shared" si="551"/>
        <v>0</v>
      </c>
      <c r="BL345" s="418">
        <f t="shared" si="551"/>
        <v>8250</v>
      </c>
      <c r="BM345" s="418">
        <f t="shared" si="552"/>
        <v>0</v>
      </c>
      <c r="BN345" s="418">
        <f t="shared" si="553"/>
        <v>0</v>
      </c>
      <c r="BO345" s="418">
        <f t="shared" si="553"/>
        <v>0</v>
      </c>
      <c r="BP345" s="418">
        <f t="shared" si="554"/>
        <v>2789</v>
      </c>
      <c r="BQ345" s="418">
        <f t="shared" si="554"/>
        <v>83</v>
      </c>
      <c r="BR345" s="418">
        <f t="shared" si="555"/>
        <v>405</v>
      </c>
      <c r="BS345" s="419">
        <f t="shared" si="556"/>
        <v>3.0800000000000001E-2</v>
      </c>
      <c r="BT345" s="419">
        <f t="shared" si="557"/>
        <v>0</v>
      </c>
      <c r="BU345" s="421">
        <f t="shared" si="557"/>
        <v>3.0800000000000001E-2</v>
      </c>
      <c r="BV345" s="420"/>
      <c r="BW345" s="415"/>
      <c r="BX345" s="415"/>
      <c r="BY345" s="415"/>
      <c r="BZ345" s="415"/>
      <c r="CA345" s="510"/>
    </row>
    <row r="346" spans="1:79" ht="14.1" customHeight="1" x14ac:dyDescent="0.2">
      <c r="A346" s="72">
        <v>69</v>
      </c>
      <c r="B346" s="69">
        <v>2302</v>
      </c>
      <c r="C346" s="70">
        <v>600080366</v>
      </c>
      <c r="D346" s="69">
        <v>70983127</v>
      </c>
      <c r="E346" s="71" t="s">
        <v>674</v>
      </c>
      <c r="F346" s="72"/>
      <c r="G346" s="71"/>
      <c r="H346" s="73"/>
      <c r="I346" s="517">
        <v>21987652</v>
      </c>
      <c r="J346" s="74">
        <v>16173110</v>
      </c>
      <c r="K346" s="74">
        <v>15060303</v>
      </c>
      <c r="L346" s="74">
        <v>1112807</v>
      </c>
      <c r="M346" s="74">
        <v>80000</v>
      </c>
      <c r="N346" s="74">
        <v>0</v>
      </c>
      <c r="O346" s="74">
        <v>80000</v>
      </c>
      <c r="P346" s="74">
        <v>5493551</v>
      </c>
      <c r="Q346" s="74">
        <v>161731</v>
      </c>
      <c r="R346" s="74">
        <v>79260</v>
      </c>
      <c r="S346" s="75">
        <v>31.446600000000004</v>
      </c>
      <c r="T346" s="75">
        <v>27.732400000000002</v>
      </c>
      <c r="U346" s="658">
        <v>3.7141999999999999</v>
      </c>
      <c r="V346" s="517">
        <f t="shared" ref="V346:BU346" si="558">SUM(V338:V345)</f>
        <v>0</v>
      </c>
      <c r="W346" s="74">
        <f t="shared" si="558"/>
        <v>0</v>
      </c>
      <c r="X346" s="74">
        <f t="shared" si="558"/>
        <v>0</v>
      </c>
      <c r="Y346" s="74">
        <f t="shared" si="558"/>
        <v>0</v>
      </c>
      <c r="Z346" s="74">
        <f t="shared" si="558"/>
        <v>0</v>
      </c>
      <c r="AA346" s="74">
        <f t="shared" si="558"/>
        <v>122217</v>
      </c>
      <c r="AB346" s="74">
        <f t="shared" si="558"/>
        <v>0</v>
      </c>
      <c r="AC346" s="74">
        <f t="shared" si="558"/>
        <v>0</v>
      </c>
      <c r="AD346" s="74">
        <f t="shared" si="558"/>
        <v>0</v>
      </c>
      <c r="AE346" s="74">
        <f t="shared" si="558"/>
        <v>122217</v>
      </c>
      <c r="AF346" s="74">
        <f t="shared" si="558"/>
        <v>122217</v>
      </c>
      <c r="AG346" s="74">
        <f t="shared" si="558"/>
        <v>0</v>
      </c>
      <c r="AH346" s="74">
        <f t="shared" si="558"/>
        <v>0</v>
      </c>
      <c r="AI346" s="74">
        <f t="shared" si="558"/>
        <v>0</v>
      </c>
      <c r="AJ346" s="74">
        <f t="shared" si="558"/>
        <v>0</v>
      </c>
      <c r="AK346" s="74">
        <f t="shared" si="558"/>
        <v>0</v>
      </c>
      <c r="AL346" s="74">
        <f t="shared" si="558"/>
        <v>0</v>
      </c>
      <c r="AM346" s="74">
        <f t="shared" si="558"/>
        <v>0</v>
      </c>
      <c r="AN346" s="74">
        <f t="shared" si="558"/>
        <v>0</v>
      </c>
      <c r="AO346" s="74">
        <f t="shared" si="558"/>
        <v>0</v>
      </c>
      <c r="AP346" s="74">
        <f t="shared" si="558"/>
        <v>122217</v>
      </c>
      <c r="AQ346" s="74">
        <f t="shared" si="558"/>
        <v>122217</v>
      </c>
      <c r="AR346" s="74">
        <f t="shared" si="558"/>
        <v>41310</v>
      </c>
      <c r="AS346" s="74">
        <f t="shared" si="558"/>
        <v>1223</v>
      </c>
      <c r="AT346" s="74">
        <f t="shared" si="558"/>
        <v>0</v>
      </c>
      <c r="AU346" s="74">
        <f t="shared" si="558"/>
        <v>1180</v>
      </c>
      <c r="AV346" s="74">
        <f t="shared" si="558"/>
        <v>1180</v>
      </c>
      <c r="AW346" s="74">
        <f t="shared" si="558"/>
        <v>165930</v>
      </c>
      <c r="AX346" s="75">
        <f t="shared" si="558"/>
        <v>0</v>
      </c>
      <c r="AY346" s="75">
        <f t="shared" si="558"/>
        <v>0</v>
      </c>
      <c r="AZ346" s="75">
        <f t="shared" si="558"/>
        <v>0</v>
      </c>
      <c r="BA346" s="75">
        <f t="shared" si="558"/>
        <v>0</v>
      </c>
      <c r="BB346" s="75">
        <f t="shared" si="558"/>
        <v>0.36</v>
      </c>
      <c r="BC346" s="75">
        <f t="shared" si="558"/>
        <v>0</v>
      </c>
      <c r="BD346" s="75">
        <f t="shared" si="558"/>
        <v>0</v>
      </c>
      <c r="BE346" s="75">
        <f t="shared" si="558"/>
        <v>0</v>
      </c>
      <c r="BF346" s="75">
        <f t="shared" si="558"/>
        <v>0</v>
      </c>
      <c r="BG346" s="75">
        <f t="shared" si="558"/>
        <v>0.36</v>
      </c>
      <c r="BH346" s="76">
        <f t="shared" si="558"/>
        <v>0.36</v>
      </c>
      <c r="BI346" s="799">
        <f t="shared" si="558"/>
        <v>22153582</v>
      </c>
      <c r="BJ346" s="74">
        <f t="shared" si="558"/>
        <v>16295327</v>
      </c>
      <c r="BK346" s="74">
        <f t="shared" si="558"/>
        <v>15060303</v>
      </c>
      <c r="BL346" s="74">
        <f t="shared" si="558"/>
        <v>1235024</v>
      </c>
      <c r="BM346" s="74">
        <f t="shared" si="558"/>
        <v>80000</v>
      </c>
      <c r="BN346" s="74">
        <f t="shared" si="558"/>
        <v>0</v>
      </c>
      <c r="BO346" s="74">
        <f t="shared" si="558"/>
        <v>80000</v>
      </c>
      <c r="BP346" s="74">
        <f t="shared" si="558"/>
        <v>5534861</v>
      </c>
      <c r="BQ346" s="74">
        <f t="shared" si="558"/>
        <v>162954</v>
      </c>
      <c r="BR346" s="74">
        <f t="shared" si="558"/>
        <v>80440</v>
      </c>
      <c r="BS346" s="75">
        <f t="shared" si="558"/>
        <v>31.8066</v>
      </c>
      <c r="BT346" s="75">
        <f t="shared" si="558"/>
        <v>27.732400000000002</v>
      </c>
      <c r="BU346" s="76">
        <f t="shared" si="558"/>
        <v>4.0742000000000003</v>
      </c>
      <c r="BV346" s="809">
        <f t="shared" ref="BV346:CA346" si="559">SUM(BV338:BV345)</f>
        <v>0</v>
      </c>
      <c r="BW346" s="684">
        <f t="shared" si="559"/>
        <v>0</v>
      </c>
      <c r="BX346" s="684">
        <f t="shared" si="559"/>
        <v>0</v>
      </c>
      <c r="BY346" s="684">
        <f t="shared" si="559"/>
        <v>0</v>
      </c>
      <c r="BZ346" s="684">
        <f t="shared" si="559"/>
        <v>0</v>
      </c>
      <c r="CA346" s="810">
        <f t="shared" si="559"/>
        <v>0</v>
      </c>
    </row>
    <row r="347" spans="1:79" ht="14.1" customHeight="1" x14ac:dyDescent="0.2">
      <c r="A347" s="66">
        <v>70</v>
      </c>
      <c r="B347" s="63">
        <v>2454</v>
      </c>
      <c r="C347" s="64">
        <v>600079759</v>
      </c>
      <c r="D347" s="63">
        <v>70983119</v>
      </c>
      <c r="E347" s="65" t="s">
        <v>675</v>
      </c>
      <c r="F347" s="66">
        <v>3117</v>
      </c>
      <c r="G347" s="65" t="s">
        <v>293</v>
      </c>
      <c r="H347" s="67" t="s">
        <v>271</v>
      </c>
      <c r="I347" s="420">
        <v>6552032</v>
      </c>
      <c r="J347" s="415">
        <v>4719749</v>
      </c>
      <c r="K347" s="415">
        <v>4268463</v>
      </c>
      <c r="L347" s="415">
        <v>451286</v>
      </c>
      <c r="M347" s="415">
        <v>60000</v>
      </c>
      <c r="N347" s="415">
        <v>20000</v>
      </c>
      <c r="O347" s="415">
        <v>40000</v>
      </c>
      <c r="P347" s="599">
        <v>1615555</v>
      </c>
      <c r="Q347" s="599">
        <v>47198</v>
      </c>
      <c r="R347" s="415">
        <v>109530</v>
      </c>
      <c r="S347" s="416">
        <v>7.8898000000000001</v>
      </c>
      <c r="T347" s="416">
        <v>6.61</v>
      </c>
      <c r="U347" s="423">
        <v>1.2797999999999998</v>
      </c>
      <c r="V347" s="424">
        <f t="shared" si="525"/>
        <v>0</v>
      </c>
      <c r="W347" s="418">
        <f t="shared" si="526"/>
        <v>0</v>
      </c>
      <c r="X347" s="418">
        <v>0</v>
      </c>
      <c r="Y347" s="418">
        <v>0</v>
      </c>
      <c r="Z347" s="418">
        <v>0</v>
      </c>
      <c r="AA347" s="418">
        <v>0</v>
      </c>
      <c r="AB347" s="418">
        <v>0</v>
      </c>
      <c r="AC347" s="418">
        <v>0</v>
      </c>
      <c r="AD347" s="418">
        <f>V347+X347+Y347+Z347+AB347</f>
        <v>0</v>
      </c>
      <c r="AE347" s="418">
        <f>W347+AA347+AC347</f>
        <v>0</v>
      </c>
      <c r="AF347" s="418">
        <f t="shared" si="527"/>
        <v>0</v>
      </c>
      <c r="AG347" s="418">
        <v>0</v>
      </c>
      <c r="AH347" s="418">
        <v>0</v>
      </c>
      <c r="AI347" s="418">
        <v>0</v>
      </c>
      <c r="AJ347" s="418">
        <v>0</v>
      </c>
      <c r="AK347" s="418">
        <v>0</v>
      </c>
      <c r="AL347" s="418">
        <f t="shared" si="528"/>
        <v>0</v>
      </c>
      <c r="AM347" s="418">
        <f t="shared" si="529"/>
        <v>0</v>
      </c>
      <c r="AN347" s="418">
        <f t="shared" si="530"/>
        <v>0</v>
      </c>
      <c r="AO347" s="418">
        <f t="shared" si="531"/>
        <v>0</v>
      </c>
      <c r="AP347" s="418">
        <f t="shared" si="532"/>
        <v>0</v>
      </c>
      <c r="AQ347" s="418">
        <f t="shared" si="533"/>
        <v>0</v>
      </c>
      <c r="AR347" s="68">
        <f t="shared" si="534"/>
        <v>0</v>
      </c>
      <c r="AS347" s="68">
        <f t="shared" si="535"/>
        <v>0</v>
      </c>
      <c r="AT347" s="418">
        <v>0</v>
      </c>
      <c r="AU347" s="418">
        <v>0</v>
      </c>
      <c r="AV347" s="418">
        <f t="shared" si="536"/>
        <v>0</v>
      </c>
      <c r="AW347" s="418">
        <f t="shared" si="537"/>
        <v>0</v>
      </c>
      <c r="AX347" s="419">
        <v>0</v>
      </c>
      <c r="AY347" s="419">
        <v>0</v>
      </c>
      <c r="AZ347" s="419">
        <v>0</v>
      </c>
      <c r="BA347" s="419">
        <v>0</v>
      </c>
      <c r="BB347" s="419">
        <v>0</v>
      </c>
      <c r="BC347" s="419">
        <v>0</v>
      </c>
      <c r="BD347" s="419">
        <v>0</v>
      </c>
      <c r="BE347" s="419">
        <v>0</v>
      </c>
      <c r="BF347" s="419">
        <f t="shared" si="538"/>
        <v>0</v>
      </c>
      <c r="BG347" s="419">
        <f t="shared" si="539"/>
        <v>0</v>
      </c>
      <c r="BH347" s="421">
        <f t="shared" si="540"/>
        <v>0</v>
      </c>
      <c r="BI347" s="780">
        <f>I347+AW347</f>
        <v>6552032</v>
      </c>
      <c r="BJ347" s="418">
        <f>J347+AF347</f>
        <v>4719749</v>
      </c>
      <c r="BK347" s="418">
        <f t="shared" ref="BK347:BL351" si="560">K347+AD347</f>
        <v>4268463</v>
      </c>
      <c r="BL347" s="418">
        <f t="shared" si="560"/>
        <v>451286</v>
      </c>
      <c r="BM347" s="418">
        <f>M347+AN347</f>
        <v>60000</v>
      </c>
      <c r="BN347" s="418">
        <f t="shared" ref="BN347:BO351" si="561">N347+AL347</f>
        <v>20000</v>
      </c>
      <c r="BO347" s="418">
        <f t="shared" si="561"/>
        <v>40000</v>
      </c>
      <c r="BP347" s="418">
        <f t="shared" ref="BP347:BQ351" si="562">P347+AR347</f>
        <v>1615555</v>
      </c>
      <c r="BQ347" s="418">
        <f t="shared" si="562"/>
        <v>47198</v>
      </c>
      <c r="BR347" s="418">
        <f>R347+AV347</f>
        <v>109530</v>
      </c>
      <c r="BS347" s="419">
        <f>S347+BH347</f>
        <v>7.8898000000000001</v>
      </c>
      <c r="BT347" s="419">
        <f t="shared" ref="BT347:BU351" si="563">T347+BF347</f>
        <v>6.61</v>
      </c>
      <c r="BU347" s="421">
        <f t="shared" si="563"/>
        <v>1.2797999999999998</v>
      </c>
      <c r="BV347" s="420"/>
      <c r="BW347" s="415"/>
      <c r="BX347" s="415"/>
      <c r="BY347" s="415"/>
      <c r="BZ347" s="415"/>
      <c r="CA347" s="510"/>
    </row>
    <row r="348" spans="1:79" ht="14.1" customHeight="1" x14ac:dyDescent="0.2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675</v>
      </c>
      <c r="F348" s="66">
        <v>3117</v>
      </c>
      <c r="G348" s="77" t="s">
        <v>291</v>
      </c>
      <c r="H348" s="67" t="s">
        <v>272</v>
      </c>
      <c r="I348" s="420">
        <v>1973125</v>
      </c>
      <c r="J348" s="415">
        <v>1460775</v>
      </c>
      <c r="K348" s="415">
        <v>1460775</v>
      </c>
      <c r="L348" s="415">
        <v>0</v>
      </c>
      <c r="M348" s="415">
        <v>0</v>
      </c>
      <c r="N348" s="415">
        <v>0</v>
      </c>
      <c r="O348" s="415">
        <v>0</v>
      </c>
      <c r="P348" s="599">
        <v>493742</v>
      </c>
      <c r="Q348" s="599">
        <v>14608</v>
      </c>
      <c r="R348" s="415">
        <v>4000</v>
      </c>
      <c r="S348" s="416">
        <v>3.85</v>
      </c>
      <c r="T348" s="417">
        <v>3.85</v>
      </c>
      <c r="U348" s="423">
        <v>0</v>
      </c>
      <c r="V348" s="424">
        <f t="shared" si="525"/>
        <v>0</v>
      </c>
      <c r="W348" s="418">
        <f t="shared" si="526"/>
        <v>0</v>
      </c>
      <c r="X348" s="418">
        <v>-72103</v>
      </c>
      <c r="Y348" s="418">
        <v>0</v>
      </c>
      <c r="Z348" s="418">
        <v>0</v>
      </c>
      <c r="AA348" s="418">
        <v>0</v>
      </c>
      <c r="AB348" s="418">
        <v>0</v>
      </c>
      <c r="AC348" s="418">
        <v>0</v>
      </c>
      <c r="AD348" s="418">
        <f>V348+X348+Y348+Z348+AB348</f>
        <v>-72103</v>
      </c>
      <c r="AE348" s="418">
        <f>W348+AA348+AC348</f>
        <v>0</v>
      </c>
      <c r="AF348" s="418">
        <f t="shared" si="527"/>
        <v>-72103</v>
      </c>
      <c r="AG348" s="418">
        <v>0</v>
      </c>
      <c r="AH348" s="418">
        <v>0</v>
      </c>
      <c r="AI348" s="418">
        <v>0</v>
      </c>
      <c r="AJ348" s="418">
        <v>0</v>
      </c>
      <c r="AK348" s="418">
        <v>0</v>
      </c>
      <c r="AL348" s="418">
        <f t="shared" si="528"/>
        <v>0</v>
      </c>
      <c r="AM348" s="418">
        <f t="shared" si="529"/>
        <v>0</v>
      </c>
      <c r="AN348" s="418">
        <f t="shared" si="530"/>
        <v>0</v>
      </c>
      <c r="AO348" s="418">
        <f t="shared" si="531"/>
        <v>-72103</v>
      </c>
      <c r="AP348" s="418">
        <f t="shared" si="532"/>
        <v>0</v>
      </c>
      <c r="AQ348" s="418">
        <f t="shared" si="533"/>
        <v>-72103</v>
      </c>
      <c r="AR348" s="68">
        <f t="shared" si="534"/>
        <v>-24371</v>
      </c>
      <c r="AS348" s="68">
        <f t="shared" si="535"/>
        <v>-721</v>
      </c>
      <c r="AT348" s="418">
        <v>0</v>
      </c>
      <c r="AU348" s="418">
        <v>0</v>
      </c>
      <c r="AV348" s="418">
        <f t="shared" si="536"/>
        <v>0</v>
      </c>
      <c r="AW348" s="418">
        <f t="shared" si="537"/>
        <v>-97195</v>
      </c>
      <c r="AX348" s="419">
        <v>0</v>
      </c>
      <c r="AY348" s="419">
        <v>0</v>
      </c>
      <c r="AZ348" s="419">
        <v>-0.19</v>
      </c>
      <c r="BA348" s="419">
        <v>0</v>
      </c>
      <c r="BB348" s="419">
        <v>0</v>
      </c>
      <c r="BC348" s="419">
        <v>0</v>
      </c>
      <c r="BD348" s="419">
        <v>0</v>
      </c>
      <c r="BE348" s="419">
        <v>0</v>
      </c>
      <c r="BF348" s="419">
        <f t="shared" si="538"/>
        <v>-0.19</v>
      </c>
      <c r="BG348" s="419">
        <f t="shared" si="539"/>
        <v>0</v>
      </c>
      <c r="BH348" s="421">
        <f t="shared" si="540"/>
        <v>-0.19</v>
      </c>
      <c r="BI348" s="780">
        <f>I348+AW348</f>
        <v>1875930</v>
      </c>
      <c r="BJ348" s="418">
        <f>J348+AF348</f>
        <v>1388672</v>
      </c>
      <c r="BK348" s="418">
        <f t="shared" si="560"/>
        <v>1388672</v>
      </c>
      <c r="BL348" s="418">
        <f t="shared" si="560"/>
        <v>0</v>
      </c>
      <c r="BM348" s="418">
        <f>M348+AN348</f>
        <v>0</v>
      </c>
      <c r="BN348" s="418">
        <f t="shared" si="561"/>
        <v>0</v>
      </c>
      <c r="BO348" s="418">
        <f t="shared" si="561"/>
        <v>0</v>
      </c>
      <c r="BP348" s="418">
        <f t="shared" si="562"/>
        <v>469371</v>
      </c>
      <c r="BQ348" s="418">
        <f t="shared" si="562"/>
        <v>13887</v>
      </c>
      <c r="BR348" s="418">
        <f>R348+AV348</f>
        <v>4000</v>
      </c>
      <c r="BS348" s="419">
        <f>S348+BH348</f>
        <v>3.66</v>
      </c>
      <c r="BT348" s="419">
        <f t="shared" si="563"/>
        <v>3.66</v>
      </c>
      <c r="BU348" s="421">
        <f t="shared" si="563"/>
        <v>0</v>
      </c>
      <c r="BV348" s="420"/>
      <c r="BW348" s="415"/>
      <c r="BX348" s="415"/>
      <c r="BY348" s="415"/>
      <c r="BZ348" s="415"/>
      <c r="CA348" s="510"/>
    </row>
    <row r="349" spans="1:79" ht="14.1" customHeight="1" x14ac:dyDescent="0.2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675</v>
      </c>
      <c r="F349" s="66">
        <v>3141</v>
      </c>
      <c r="G349" s="65" t="s">
        <v>294</v>
      </c>
      <c r="H349" s="67" t="s">
        <v>272</v>
      </c>
      <c r="I349" s="420">
        <v>202670</v>
      </c>
      <c r="J349" s="415">
        <v>148966</v>
      </c>
      <c r="K349" s="415">
        <v>0</v>
      </c>
      <c r="L349" s="750">
        <v>148966</v>
      </c>
      <c r="M349" s="415">
        <v>0</v>
      </c>
      <c r="N349" s="204">
        <v>0</v>
      </c>
      <c r="O349" s="204">
        <v>0</v>
      </c>
      <c r="P349" s="599">
        <v>50351</v>
      </c>
      <c r="Q349" s="599">
        <v>1490</v>
      </c>
      <c r="R349" s="605">
        <v>1863</v>
      </c>
      <c r="S349" s="416">
        <v>0.44669999999999999</v>
      </c>
      <c r="T349" s="607">
        <v>0</v>
      </c>
      <c r="U349" s="737">
        <v>0.44669999999999999</v>
      </c>
      <c r="V349" s="424">
        <f t="shared" si="525"/>
        <v>0</v>
      </c>
      <c r="W349" s="418">
        <f t="shared" si="526"/>
        <v>0</v>
      </c>
      <c r="X349" s="418">
        <v>0</v>
      </c>
      <c r="Y349" s="418">
        <v>0</v>
      </c>
      <c r="Z349" s="418">
        <v>0</v>
      </c>
      <c r="AA349" s="418">
        <v>75583</v>
      </c>
      <c r="AB349" s="418">
        <v>0</v>
      </c>
      <c r="AC349" s="418">
        <v>0</v>
      </c>
      <c r="AD349" s="418">
        <f>V349+X349+Y349+Z349+AB349</f>
        <v>0</v>
      </c>
      <c r="AE349" s="418">
        <f>W349+AA349+AC349</f>
        <v>75583</v>
      </c>
      <c r="AF349" s="418">
        <f t="shared" si="527"/>
        <v>75583</v>
      </c>
      <c r="AG349" s="418">
        <v>0</v>
      </c>
      <c r="AH349" s="418">
        <v>0</v>
      </c>
      <c r="AI349" s="418">
        <v>0</v>
      </c>
      <c r="AJ349" s="418">
        <v>0</v>
      </c>
      <c r="AK349" s="418">
        <v>0</v>
      </c>
      <c r="AL349" s="418">
        <f t="shared" si="528"/>
        <v>0</v>
      </c>
      <c r="AM349" s="418">
        <f t="shared" si="529"/>
        <v>0</v>
      </c>
      <c r="AN349" s="418">
        <f t="shared" si="530"/>
        <v>0</v>
      </c>
      <c r="AO349" s="418">
        <f t="shared" si="531"/>
        <v>0</v>
      </c>
      <c r="AP349" s="418">
        <f t="shared" si="532"/>
        <v>75583</v>
      </c>
      <c r="AQ349" s="418">
        <f t="shared" si="533"/>
        <v>75583</v>
      </c>
      <c r="AR349" s="68">
        <f t="shared" si="534"/>
        <v>25547</v>
      </c>
      <c r="AS349" s="68">
        <f t="shared" si="535"/>
        <v>756</v>
      </c>
      <c r="AT349" s="418">
        <v>0</v>
      </c>
      <c r="AU349" s="418">
        <v>891</v>
      </c>
      <c r="AV349" s="418">
        <f t="shared" si="536"/>
        <v>891</v>
      </c>
      <c r="AW349" s="418">
        <f t="shared" si="537"/>
        <v>102777</v>
      </c>
      <c r="AX349" s="419">
        <v>0</v>
      </c>
      <c r="AY349" s="419">
        <v>0</v>
      </c>
      <c r="AZ349" s="419">
        <v>0</v>
      </c>
      <c r="BA349" s="419">
        <v>0</v>
      </c>
      <c r="BB349" s="419">
        <v>0.22</v>
      </c>
      <c r="BC349" s="419">
        <v>0</v>
      </c>
      <c r="BD349" s="419">
        <v>0</v>
      </c>
      <c r="BE349" s="419">
        <v>0</v>
      </c>
      <c r="BF349" s="419">
        <f t="shared" si="538"/>
        <v>0</v>
      </c>
      <c r="BG349" s="419">
        <f t="shared" si="539"/>
        <v>0.22</v>
      </c>
      <c r="BH349" s="421">
        <f t="shared" si="540"/>
        <v>0.22</v>
      </c>
      <c r="BI349" s="780">
        <f>I349+AW349</f>
        <v>305447</v>
      </c>
      <c r="BJ349" s="418">
        <f>J349+AF349</f>
        <v>224549</v>
      </c>
      <c r="BK349" s="418">
        <f t="shared" si="560"/>
        <v>0</v>
      </c>
      <c r="BL349" s="418">
        <f t="shared" si="560"/>
        <v>224549</v>
      </c>
      <c r="BM349" s="418">
        <f>M349+AN349</f>
        <v>0</v>
      </c>
      <c r="BN349" s="418">
        <f t="shared" si="561"/>
        <v>0</v>
      </c>
      <c r="BO349" s="418">
        <f t="shared" si="561"/>
        <v>0</v>
      </c>
      <c r="BP349" s="418">
        <f t="shared" si="562"/>
        <v>75898</v>
      </c>
      <c r="BQ349" s="418">
        <f t="shared" si="562"/>
        <v>2246</v>
      </c>
      <c r="BR349" s="418">
        <f>R349+AV349</f>
        <v>2754</v>
      </c>
      <c r="BS349" s="419">
        <f>S349+BH349</f>
        <v>0.66669999999999996</v>
      </c>
      <c r="BT349" s="419">
        <f t="shared" si="563"/>
        <v>0</v>
      </c>
      <c r="BU349" s="421">
        <f t="shared" si="563"/>
        <v>0.66669999999999996</v>
      </c>
      <c r="BV349" s="420"/>
      <c r="BW349" s="415"/>
      <c r="BX349" s="415"/>
      <c r="BY349" s="415"/>
      <c r="BZ349" s="415"/>
      <c r="CA349" s="510"/>
    </row>
    <row r="350" spans="1:79" ht="14.1" customHeight="1" x14ac:dyDescent="0.2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675</v>
      </c>
      <c r="F350" s="66">
        <v>3143</v>
      </c>
      <c r="G350" s="77" t="s">
        <v>595</v>
      </c>
      <c r="H350" s="67" t="s">
        <v>271</v>
      </c>
      <c r="I350" s="420">
        <v>952428</v>
      </c>
      <c r="J350" s="415">
        <v>706549</v>
      </c>
      <c r="K350" s="415">
        <v>706549</v>
      </c>
      <c r="L350" s="415">
        <v>0</v>
      </c>
      <c r="M350" s="415">
        <v>0</v>
      </c>
      <c r="N350" s="415">
        <v>0</v>
      </c>
      <c r="O350" s="415">
        <v>0</v>
      </c>
      <c r="P350" s="599">
        <v>238814</v>
      </c>
      <c r="Q350" s="599">
        <v>7065</v>
      </c>
      <c r="R350" s="415">
        <v>0</v>
      </c>
      <c r="S350" s="416">
        <v>1.45</v>
      </c>
      <c r="T350" s="416">
        <v>1.45</v>
      </c>
      <c r="U350" s="423">
        <v>0</v>
      </c>
      <c r="V350" s="424">
        <f t="shared" si="525"/>
        <v>0</v>
      </c>
      <c r="W350" s="418">
        <f t="shared" si="526"/>
        <v>0</v>
      </c>
      <c r="X350" s="418">
        <v>0</v>
      </c>
      <c r="Y350" s="418">
        <v>0</v>
      </c>
      <c r="Z350" s="418">
        <v>0</v>
      </c>
      <c r="AA350" s="418">
        <v>0</v>
      </c>
      <c r="AB350" s="418">
        <v>0</v>
      </c>
      <c r="AC350" s="418">
        <v>0</v>
      </c>
      <c r="AD350" s="418">
        <f>V350+X350+Y350+Z350+AB350</f>
        <v>0</v>
      </c>
      <c r="AE350" s="418">
        <f>W350+AA350+AC350</f>
        <v>0</v>
      </c>
      <c r="AF350" s="418">
        <f t="shared" si="527"/>
        <v>0</v>
      </c>
      <c r="AG350" s="418">
        <v>0</v>
      </c>
      <c r="AH350" s="418">
        <v>0</v>
      </c>
      <c r="AI350" s="418">
        <v>0</v>
      </c>
      <c r="AJ350" s="418">
        <v>0</v>
      </c>
      <c r="AK350" s="418">
        <v>0</v>
      </c>
      <c r="AL350" s="418">
        <f t="shared" si="528"/>
        <v>0</v>
      </c>
      <c r="AM350" s="418">
        <f t="shared" si="529"/>
        <v>0</v>
      </c>
      <c r="AN350" s="418">
        <f t="shared" si="530"/>
        <v>0</v>
      </c>
      <c r="AO350" s="418">
        <f t="shared" si="531"/>
        <v>0</v>
      </c>
      <c r="AP350" s="418">
        <f t="shared" si="532"/>
        <v>0</v>
      </c>
      <c r="AQ350" s="418">
        <f t="shared" si="533"/>
        <v>0</v>
      </c>
      <c r="AR350" s="68">
        <f t="shared" si="534"/>
        <v>0</v>
      </c>
      <c r="AS350" s="68">
        <f t="shared" si="535"/>
        <v>0</v>
      </c>
      <c r="AT350" s="418">
        <v>0</v>
      </c>
      <c r="AU350" s="418">
        <v>0</v>
      </c>
      <c r="AV350" s="418">
        <f t="shared" si="536"/>
        <v>0</v>
      </c>
      <c r="AW350" s="418">
        <f t="shared" si="537"/>
        <v>0</v>
      </c>
      <c r="AX350" s="419">
        <v>0</v>
      </c>
      <c r="AY350" s="419">
        <v>0</v>
      </c>
      <c r="AZ350" s="419">
        <v>0</v>
      </c>
      <c r="BA350" s="419">
        <v>0</v>
      </c>
      <c r="BB350" s="419">
        <v>0</v>
      </c>
      <c r="BC350" s="419">
        <v>0</v>
      </c>
      <c r="BD350" s="419">
        <v>0</v>
      </c>
      <c r="BE350" s="419">
        <v>0</v>
      </c>
      <c r="BF350" s="419">
        <f t="shared" si="538"/>
        <v>0</v>
      </c>
      <c r="BG350" s="419">
        <f t="shared" si="539"/>
        <v>0</v>
      </c>
      <c r="BH350" s="421">
        <f t="shared" si="540"/>
        <v>0</v>
      </c>
      <c r="BI350" s="780">
        <f>I350+AW350</f>
        <v>952428</v>
      </c>
      <c r="BJ350" s="418">
        <f>J350+AF350</f>
        <v>706549</v>
      </c>
      <c r="BK350" s="418">
        <f t="shared" si="560"/>
        <v>706549</v>
      </c>
      <c r="BL350" s="418">
        <f t="shared" si="560"/>
        <v>0</v>
      </c>
      <c r="BM350" s="418">
        <f>M350+AN350</f>
        <v>0</v>
      </c>
      <c r="BN350" s="418">
        <f t="shared" si="561"/>
        <v>0</v>
      </c>
      <c r="BO350" s="418">
        <f t="shared" si="561"/>
        <v>0</v>
      </c>
      <c r="BP350" s="418">
        <f t="shared" si="562"/>
        <v>238814</v>
      </c>
      <c r="BQ350" s="418">
        <f t="shared" si="562"/>
        <v>7065</v>
      </c>
      <c r="BR350" s="418">
        <f>R350+AV350</f>
        <v>0</v>
      </c>
      <c r="BS350" s="419">
        <f>S350+BH350</f>
        <v>1.45</v>
      </c>
      <c r="BT350" s="419">
        <f t="shared" si="563"/>
        <v>1.45</v>
      </c>
      <c r="BU350" s="421">
        <f t="shared" si="563"/>
        <v>0</v>
      </c>
      <c r="BV350" s="420"/>
      <c r="BW350" s="415"/>
      <c r="BX350" s="415"/>
      <c r="BY350" s="415"/>
      <c r="BZ350" s="415"/>
      <c r="CA350" s="510"/>
    </row>
    <row r="351" spans="1:79" ht="14.1" customHeight="1" x14ac:dyDescent="0.2">
      <c r="A351" s="66">
        <v>70</v>
      </c>
      <c r="B351" s="63">
        <v>2454</v>
      </c>
      <c r="C351" s="64">
        <v>600079759</v>
      </c>
      <c r="D351" s="63">
        <v>70983119</v>
      </c>
      <c r="E351" s="65" t="s">
        <v>675</v>
      </c>
      <c r="F351" s="66">
        <v>3143</v>
      </c>
      <c r="G351" s="77" t="s">
        <v>596</v>
      </c>
      <c r="H351" s="67" t="s">
        <v>272</v>
      </c>
      <c r="I351" s="420">
        <v>25598</v>
      </c>
      <c r="J351" s="415">
        <v>18322</v>
      </c>
      <c r="K351" s="415">
        <v>0</v>
      </c>
      <c r="L351" s="605">
        <v>18322</v>
      </c>
      <c r="M351" s="415">
        <v>0</v>
      </c>
      <c r="N351" s="415">
        <v>0</v>
      </c>
      <c r="O351" s="415">
        <v>0</v>
      </c>
      <c r="P351" s="599">
        <v>6193</v>
      </c>
      <c r="Q351" s="599">
        <v>183</v>
      </c>
      <c r="R351" s="606">
        <v>900</v>
      </c>
      <c r="S351" s="416">
        <v>6.9400000000000003E-2</v>
      </c>
      <c r="T351" s="609">
        <v>0</v>
      </c>
      <c r="U351" s="737">
        <v>6.9400000000000003E-2</v>
      </c>
      <c r="V351" s="424">
        <f t="shared" si="525"/>
        <v>0</v>
      </c>
      <c r="W351" s="418">
        <f t="shared" si="526"/>
        <v>0</v>
      </c>
      <c r="X351" s="418">
        <v>0</v>
      </c>
      <c r="Y351" s="418">
        <v>0</v>
      </c>
      <c r="Z351" s="418">
        <v>0</v>
      </c>
      <c r="AA351" s="418">
        <v>9178</v>
      </c>
      <c r="AB351" s="418">
        <v>0</v>
      </c>
      <c r="AC351" s="418">
        <v>0</v>
      </c>
      <c r="AD351" s="418">
        <f>V351+X351+Y351+Z351+AB351</f>
        <v>0</v>
      </c>
      <c r="AE351" s="418">
        <f>W351+AA351+AC351</f>
        <v>9178</v>
      </c>
      <c r="AF351" s="418">
        <f t="shared" si="527"/>
        <v>9178</v>
      </c>
      <c r="AG351" s="418">
        <v>0</v>
      </c>
      <c r="AH351" s="418">
        <v>0</v>
      </c>
      <c r="AI351" s="418">
        <v>0</v>
      </c>
      <c r="AJ351" s="418">
        <v>0</v>
      </c>
      <c r="AK351" s="418">
        <v>0</v>
      </c>
      <c r="AL351" s="418">
        <f t="shared" si="528"/>
        <v>0</v>
      </c>
      <c r="AM351" s="418">
        <f t="shared" si="529"/>
        <v>0</v>
      </c>
      <c r="AN351" s="418">
        <f t="shared" si="530"/>
        <v>0</v>
      </c>
      <c r="AO351" s="418">
        <f t="shared" si="531"/>
        <v>0</v>
      </c>
      <c r="AP351" s="418">
        <f t="shared" si="532"/>
        <v>9178</v>
      </c>
      <c r="AQ351" s="418">
        <f t="shared" si="533"/>
        <v>9178</v>
      </c>
      <c r="AR351" s="68">
        <f t="shared" si="534"/>
        <v>3102</v>
      </c>
      <c r="AS351" s="68">
        <f t="shared" si="535"/>
        <v>92</v>
      </c>
      <c r="AT351" s="418">
        <v>0</v>
      </c>
      <c r="AU351" s="418">
        <v>450</v>
      </c>
      <c r="AV351" s="418">
        <f t="shared" si="536"/>
        <v>450</v>
      </c>
      <c r="AW351" s="418">
        <f t="shared" si="537"/>
        <v>12822</v>
      </c>
      <c r="AX351" s="419">
        <v>0</v>
      </c>
      <c r="AY351" s="419">
        <v>0</v>
      </c>
      <c r="AZ351" s="419">
        <v>0</v>
      </c>
      <c r="BA351" s="419">
        <v>0</v>
      </c>
      <c r="BB351" s="419">
        <v>0.03</v>
      </c>
      <c r="BC351" s="419">
        <v>0</v>
      </c>
      <c r="BD351" s="419">
        <v>0</v>
      </c>
      <c r="BE351" s="419">
        <v>0</v>
      </c>
      <c r="BF351" s="419">
        <f t="shared" si="538"/>
        <v>0</v>
      </c>
      <c r="BG351" s="419">
        <f t="shared" si="539"/>
        <v>0.03</v>
      </c>
      <c r="BH351" s="421">
        <f t="shared" si="540"/>
        <v>0.03</v>
      </c>
      <c r="BI351" s="780">
        <f>I351+AW351</f>
        <v>38420</v>
      </c>
      <c r="BJ351" s="418">
        <f>J351+AF351</f>
        <v>27500</v>
      </c>
      <c r="BK351" s="418">
        <f t="shared" si="560"/>
        <v>0</v>
      </c>
      <c r="BL351" s="418">
        <f t="shared" si="560"/>
        <v>27500</v>
      </c>
      <c r="BM351" s="418">
        <f>M351+AN351</f>
        <v>0</v>
      </c>
      <c r="BN351" s="418">
        <f t="shared" si="561"/>
        <v>0</v>
      </c>
      <c r="BO351" s="418">
        <f t="shared" si="561"/>
        <v>0</v>
      </c>
      <c r="BP351" s="418">
        <f t="shared" si="562"/>
        <v>9295</v>
      </c>
      <c r="BQ351" s="418">
        <f t="shared" si="562"/>
        <v>275</v>
      </c>
      <c r="BR351" s="418">
        <f>R351+AV351</f>
        <v>1350</v>
      </c>
      <c r="BS351" s="419">
        <f>S351+BH351</f>
        <v>9.9400000000000002E-2</v>
      </c>
      <c r="BT351" s="419">
        <f t="shared" si="563"/>
        <v>0</v>
      </c>
      <c r="BU351" s="421">
        <f t="shared" si="563"/>
        <v>9.9400000000000002E-2</v>
      </c>
      <c r="BV351" s="420"/>
      <c r="BW351" s="415"/>
      <c r="BX351" s="415"/>
      <c r="BY351" s="415"/>
      <c r="BZ351" s="415"/>
      <c r="CA351" s="510"/>
    </row>
    <row r="352" spans="1:79" ht="14.1" customHeight="1" x14ac:dyDescent="0.2">
      <c r="A352" s="72">
        <v>70</v>
      </c>
      <c r="B352" s="69">
        <v>2454</v>
      </c>
      <c r="C352" s="70">
        <v>600079759</v>
      </c>
      <c r="D352" s="69">
        <v>70983119</v>
      </c>
      <c r="E352" s="71" t="s">
        <v>676</v>
      </c>
      <c r="F352" s="72"/>
      <c r="G352" s="71"/>
      <c r="H352" s="73"/>
      <c r="I352" s="517">
        <v>9705853</v>
      </c>
      <c r="J352" s="74">
        <v>7054361</v>
      </c>
      <c r="K352" s="74">
        <v>6435787</v>
      </c>
      <c r="L352" s="74">
        <v>618574</v>
      </c>
      <c r="M352" s="74">
        <v>60000</v>
      </c>
      <c r="N352" s="74">
        <v>20000</v>
      </c>
      <c r="O352" s="74">
        <v>40000</v>
      </c>
      <c r="P352" s="74">
        <v>2404655</v>
      </c>
      <c r="Q352" s="74">
        <v>70544</v>
      </c>
      <c r="R352" s="74">
        <v>116293</v>
      </c>
      <c r="S352" s="75">
        <v>13.7059</v>
      </c>
      <c r="T352" s="75">
        <v>11.91</v>
      </c>
      <c r="U352" s="658">
        <v>1.7958999999999996</v>
      </c>
      <c r="V352" s="517">
        <f t="shared" ref="V352:BU352" si="564">SUM(V347:V351)</f>
        <v>0</v>
      </c>
      <c r="W352" s="74">
        <f t="shared" si="564"/>
        <v>0</v>
      </c>
      <c r="X352" s="74">
        <f t="shared" si="564"/>
        <v>-72103</v>
      </c>
      <c r="Y352" s="74">
        <f t="shared" si="564"/>
        <v>0</v>
      </c>
      <c r="Z352" s="74">
        <f t="shared" si="564"/>
        <v>0</v>
      </c>
      <c r="AA352" s="74">
        <f t="shared" si="564"/>
        <v>84761</v>
      </c>
      <c r="AB352" s="74">
        <f t="shared" si="564"/>
        <v>0</v>
      </c>
      <c r="AC352" s="74">
        <f t="shared" si="564"/>
        <v>0</v>
      </c>
      <c r="AD352" s="74">
        <f t="shared" si="564"/>
        <v>-72103</v>
      </c>
      <c r="AE352" s="74">
        <f t="shared" si="564"/>
        <v>84761</v>
      </c>
      <c r="AF352" s="74">
        <f t="shared" si="564"/>
        <v>12658</v>
      </c>
      <c r="AG352" s="74">
        <f t="shared" si="564"/>
        <v>0</v>
      </c>
      <c r="AH352" s="74">
        <f t="shared" si="564"/>
        <v>0</v>
      </c>
      <c r="AI352" s="74">
        <f t="shared" si="564"/>
        <v>0</v>
      </c>
      <c r="AJ352" s="74">
        <f t="shared" si="564"/>
        <v>0</v>
      </c>
      <c r="AK352" s="74">
        <f t="shared" si="564"/>
        <v>0</v>
      </c>
      <c r="AL352" s="74">
        <f t="shared" si="564"/>
        <v>0</v>
      </c>
      <c r="AM352" s="74">
        <f t="shared" si="564"/>
        <v>0</v>
      </c>
      <c r="AN352" s="74">
        <f t="shared" si="564"/>
        <v>0</v>
      </c>
      <c r="AO352" s="74">
        <f t="shared" si="564"/>
        <v>-72103</v>
      </c>
      <c r="AP352" s="74">
        <f t="shared" si="564"/>
        <v>84761</v>
      </c>
      <c r="AQ352" s="74">
        <f t="shared" si="564"/>
        <v>12658</v>
      </c>
      <c r="AR352" s="74">
        <f t="shared" si="564"/>
        <v>4278</v>
      </c>
      <c r="AS352" s="74">
        <f t="shared" si="564"/>
        <v>127</v>
      </c>
      <c r="AT352" s="74">
        <f t="shared" si="564"/>
        <v>0</v>
      </c>
      <c r="AU352" s="74">
        <f t="shared" si="564"/>
        <v>1341</v>
      </c>
      <c r="AV352" s="74">
        <f t="shared" si="564"/>
        <v>1341</v>
      </c>
      <c r="AW352" s="74">
        <f t="shared" si="564"/>
        <v>18404</v>
      </c>
      <c r="AX352" s="75">
        <f t="shared" si="564"/>
        <v>0</v>
      </c>
      <c r="AY352" s="75">
        <f t="shared" si="564"/>
        <v>0</v>
      </c>
      <c r="AZ352" s="75">
        <f t="shared" si="564"/>
        <v>-0.19</v>
      </c>
      <c r="BA352" s="75">
        <f t="shared" si="564"/>
        <v>0</v>
      </c>
      <c r="BB352" s="75">
        <f t="shared" si="564"/>
        <v>0.25</v>
      </c>
      <c r="BC352" s="75">
        <f t="shared" si="564"/>
        <v>0</v>
      </c>
      <c r="BD352" s="75">
        <f t="shared" si="564"/>
        <v>0</v>
      </c>
      <c r="BE352" s="75">
        <f t="shared" si="564"/>
        <v>0</v>
      </c>
      <c r="BF352" s="75">
        <f t="shared" si="564"/>
        <v>-0.19</v>
      </c>
      <c r="BG352" s="75">
        <f t="shared" si="564"/>
        <v>0.25</v>
      </c>
      <c r="BH352" s="76">
        <f t="shared" si="564"/>
        <v>0.06</v>
      </c>
      <c r="BI352" s="799">
        <f t="shared" si="564"/>
        <v>9724257</v>
      </c>
      <c r="BJ352" s="74">
        <f t="shared" si="564"/>
        <v>7067019</v>
      </c>
      <c r="BK352" s="74">
        <f t="shared" si="564"/>
        <v>6363684</v>
      </c>
      <c r="BL352" s="74">
        <f t="shared" si="564"/>
        <v>703335</v>
      </c>
      <c r="BM352" s="74">
        <f t="shared" si="564"/>
        <v>60000</v>
      </c>
      <c r="BN352" s="74">
        <f t="shared" si="564"/>
        <v>20000</v>
      </c>
      <c r="BO352" s="74">
        <f t="shared" si="564"/>
        <v>40000</v>
      </c>
      <c r="BP352" s="74">
        <f t="shared" si="564"/>
        <v>2408933</v>
      </c>
      <c r="BQ352" s="74">
        <f t="shared" si="564"/>
        <v>70671</v>
      </c>
      <c r="BR352" s="74">
        <f t="shared" si="564"/>
        <v>117634</v>
      </c>
      <c r="BS352" s="75">
        <f t="shared" si="564"/>
        <v>13.7659</v>
      </c>
      <c r="BT352" s="75">
        <f t="shared" si="564"/>
        <v>11.719999999999999</v>
      </c>
      <c r="BU352" s="76">
        <f t="shared" si="564"/>
        <v>2.0459000000000001</v>
      </c>
      <c r="BV352" s="809">
        <f t="shared" ref="BV352:CA352" si="565">SUM(BV347:BV351)</f>
        <v>0</v>
      </c>
      <c r="BW352" s="684">
        <f t="shared" si="565"/>
        <v>0</v>
      </c>
      <c r="BX352" s="684">
        <f t="shared" si="565"/>
        <v>0</v>
      </c>
      <c r="BY352" s="684">
        <f t="shared" si="565"/>
        <v>0</v>
      </c>
      <c r="BZ352" s="684">
        <f t="shared" si="565"/>
        <v>0</v>
      </c>
      <c r="CA352" s="810">
        <f t="shared" si="565"/>
        <v>0</v>
      </c>
    </row>
    <row r="353" spans="1:79" ht="14.1" customHeight="1" x14ac:dyDescent="0.2">
      <c r="A353" s="66">
        <v>71</v>
      </c>
      <c r="B353" s="63">
        <v>2492</v>
      </c>
      <c r="C353" s="64">
        <v>600079767</v>
      </c>
      <c r="D353" s="63">
        <v>70983011</v>
      </c>
      <c r="E353" s="65" t="s">
        <v>762</v>
      </c>
      <c r="F353" s="66">
        <v>3113</v>
      </c>
      <c r="G353" s="65" t="s">
        <v>293</v>
      </c>
      <c r="H353" s="67" t="s">
        <v>271</v>
      </c>
      <c r="I353" s="420">
        <v>25708223</v>
      </c>
      <c r="J353" s="415">
        <v>18839946</v>
      </c>
      <c r="K353" s="415">
        <v>17462227</v>
      </c>
      <c r="L353" s="415">
        <v>1377719</v>
      </c>
      <c r="M353" s="415">
        <v>0</v>
      </c>
      <c r="N353" s="415">
        <v>0</v>
      </c>
      <c r="O353" s="415">
        <v>0</v>
      </c>
      <c r="P353" s="599">
        <v>6367901</v>
      </c>
      <c r="Q353" s="599">
        <v>188399</v>
      </c>
      <c r="R353" s="415">
        <v>311977</v>
      </c>
      <c r="S353" s="416">
        <v>29.9754</v>
      </c>
      <c r="T353" s="416">
        <v>25.929300000000001</v>
      </c>
      <c r="U353" s="423">
        <v>4.0461</v>
      </c>
      <c r="V353" s="424">
        <f t="shared" si="525"/>
        <v>0</v>
      </c>
      <c r="W353" s="418">
        <f t="shared" si="526"/>
        <v>0</v>
      </c>
      <c r="X353" s="418">
        <v>0</v>
      </c>
      <c r="Y353" s="418">
        <v>0</v>
      </c>
      <c r="Z353" s="418">
        <v>0</v>
      </c>
      <c r="AA353" s="418">
        <v>0</v>
      </c>
      <c r="AB353" s="418">
        <v>0</v>
      </c>
      <c r="AC353" s="418">
        <v>0</v>
      </c>
      <c r="AD353" s="418">
        <f t="shared" ref="AD353:AD358" si="566">V353+X353+Y353+Z353+AB353</f>
        <v>0</v>
      </c>
      <c r="AE353" s="418">
        <f t="shared" ref="AE353:AE358" si="567">W353+AA353+AC353</f>
        <v>0</v>
      </c>
      <c r="AF353" s="418">
        <f t="shared" si="527"/>
        <v>0</v>
      </c>
      <c r="AG353" s="418">
        <v>0</v>
      </c>
      <c r="AH353" s="418">
        <v>0</v>
      </c>
      <c r="AI353" s="418">
        <v>0</v>
      </c>
      <c r="AJ353" s="418">
        <v>0</v>
      </c>
      <c r="AK353" s="418">
        <v>0</v>
      </c>
      <c r="AL353" s="418">
        <f t="shared" si="528"/>
        <v>0</v>
      </c>
      <c r="AM353" s="418">
        <f t="shared" si="529"/>
        <v>0</v>
      </c>
      <c r="AN353" s="418">
        <f t="shared" si="530"/>
        <v>0</v>
      </c>
      <c r="AO353" s="418">
        <f t="shared" si="531"/>
        <v>0</v>
      </c>
      <c r="AP353" s="418">
        <f t="shared" si="532"/>
        <v>0</v>
      </c>
      <c r="AQ353" s="418">
        <f t="shared" si="533"/>
        <v>0</v>
      </c>
      <c r="AR353" s="68">
        <f t="shared" si="534"/>
        <v>0</v>
      </c>
      <c r="AS353" s="68">
        <f t="shared" si="535"/>
        <v>0</v>
      </c>
      <c r="AT353" s="418">
        <v>0</v>
      </c>
      <c r="AU353" s="418">
        <v>0</v>
      </c>
      <c r="AV353" s="418">
        <f t="shared" si="536"/>
        <v>0</v>
      </c>
      <c r="AW353" s="418">
        <f t="shared" si="537"/>
        <v>0</v>
      </c>
      <c r="AX353" s="419">
        <v>0</v>
      </c>
      <c r="AY353" s="419">
        <v>0</v>
      </c>
      <c r="AZ353" s="419">
        <v>0</v>
      </c>
      <c r="BA353" s="419">
        <v>0</v>
      </c>
      <c r="BB353" s="419">
        <v>0</v>
      </c>
      <c r="BC353" s="419">
        <v>0</v>
      </c>
      <c r="BD353" s="419">
        <v>0</v>
      </c>
      <c r="BE353" s="419">
        <v>0</v>
      </c>
      <c r="BF353" s="419">
        <f t="shared" si="538"/>
        <v>0</v>
      </c>
      <c r="BG353" s="419">
        <f t="shared" si="539"/>
        <v>0</v>
      </c>
      <c r="BH353" s="421">
        <f t="shared" si="540"/>
        <v>0</v>
      </c>
      <c r="BI353" s="780">
        <f t="shared" ref="BI353:BI358" si="568">I353+AW353</f>
        <v>25708223</v>
      </c>
      <c r="BJ353" s="418">
        <f t="shared" ref="BJ353:BJ358" si="569">J353+AF353</f>
        <v>18839946</v>
      </c>
      <c r="BK353" s="418">
        <f t="shared" ref="BK353:BL358" si="570">K353+AD353</f>
        <v>17462227</v>
      </c>
      <c r="BL353" s="418">
        <f t="shared" si="570"/>
        <v>1377719</v>
      </c>
      <c r="BM353" s="418">
        <f t="shared" ref="BM353:BM358" si="571">M353+AN353</f>
        <v>0</v>
      </c>
      <c r="BN353" s="418">
        <f t="shared" ref="BN353:BO358" si="572">N353+AL353</f>
        <v>0</v>
      </c>
      <c r="BO353" s="418">
        <f t="shared" si="572"/>
        <v>0</v>
      </c>
      <c r="BP353" s="418">
        <f t="shared" ref="BP353:BQ358" si="573">P353+AR353</f>
        <v>6367901</v>
      </c>
      <c r="BQ353" s="418">
        <f t="shared" si="573"/>
        <v>188399</v>
      </c>
      <c r="BR353" s="418">
        <f t="shared" ref="BR353:BR358" si="574">R353+AV353</f>
        <v>311977</v>
      </c>
      <c r="BS353" s="419">
        <f t="shared" ref="BS353:BS358" si="575">S353+BH353</f>
        <v>29.9754</v>
      </c>
      <c r="BT353" s="419">
        <f t="shared" ref="BT353:BU358" si="576">T353+BF353</f>
        <v>25.929300000000001</v>
      </c>
      <c r="BU353" s="421">
        <f t="shared" si="576"/>
        <v>4.0461</v>
      </c>
      <c r="BV353" s="420"/>
      <c r="BW353" s="415"/>
      <c r="BX353" s="415"/>
      <c r="BY353" s="415"/>
      <c r="BZ353" s="415"/>
      <c r="CA353" s="510"/>
    </row>
    <row r="354" spans="1:79" ht="14.1" customHeight="1" x14ac:dyDescent="0.2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762</v>
      </c>
      <c r="F354" s="66">
        <v>3113</v>
      </c>
      <c r="G354" s="77" t="s">
        <v>291</v>
      </c>
      <c r="H354" s="67" t="s">
        <v>272</v>
      </c>
      <c r="I354" s="420">
        <v>2602232</v>
      </c>
      <c r="J354" s="415">
        <v>1930439</v>
      </c>
      <c r="K354" s="415">
        <v>1930439</v>
      </c>
      <c r="L354" s="415">
        <v>0</v>
      </c>
      <c r="M354" s="415">
        <v>0</v>
      </c>
      <c r="N354" s="415">
        <v>0</v>
      </c>
      <c r="O354" s="415">
        <v>0</v>
      </c>
      <c r="P354" s="599">
        <v>652489</v>
      </c>
      <c r="Q354" s="599">
        <v>19304</v>
      </c>
      <c r="R354" s="415">
        <v>0</v>
      </c>
      <c r="S354" s="416">
        <v>4.8499999999999996</v>
      </c>
      <c r="T354" s="417">
        <v>4.8499999999999996</v>
      </c>
      <c r="U354" s="423">
        <v>0</v>
      </c>
      <c r="V354" s="424">
        <f t="shared" si="525"/>
        <v>0</v>
      </c>
      <c r="W354" s="418">
        <f t="shared" si="526"/>
        <v>0</v>
      </c>
      <c r="X354" s="418">
        <v>0</v>
      </c>
      <c r="Y354" s="418">
        <v>0</v>
      </c>
      <c r="Z354" s="418">
        <v>0</v>
      </c>
      <c r="AA354" s="418">
        <v>0</v>
      </c>
      <c r="AB354" s="418">
        <v>0</v>
      </c>
      <c r="AC354" s="418">
        <v>0</v>
      </c>
      <c r="AD354" s="418">
        <f t="shared" si="566"/>
        <v>0</v>
      </c>
      <c r="AE354" s="418">
        <f t="shared" si="567"/>
        <v>0</v>
      </c>
      <c r="AF354" s="418">
        <f t="shared" si="527"/>
        <v>0</v>
      </c>
      <c r="AG354" s="418">
        <v>0</v>
      </c>
      <c r="AH354" s="418">
        <v>0</v>
      </c>
      <c r="AI354" s="418">
        <v>0</v>
      </c>
      <c r="AJ354" s="418">
        <v>0</v>
      </c>
      <c r="AK354" s="418">
        <v>0</v>
      </c>
      <c r="AL354" s="418">
        <f t="shared" si="528"/>
        <v>0</v>
      </c>
      <c r="AM354" s="418">
        <f t="shared" si="529"/>
        <v>0</v>
      </c>
      <c r="AN354" s="418">
        <f t="shared" si="530"/>
        <v>0</v>
      </c>
      <c r="AO354" s="418">
        <f t="shared" si="531"/>
        <v>0</v>
      </c>
      <c r="AP354" s="418">
        <f t="shared" si="532"/>
        <v>0</v>
      </c>
      <c r="AQ354" s="418">
        <f t="shared" si="533"/>
        <v>0</v>
      </c>
      <c r="AR354" s="68">
        <f t="shared" si="534"/>
        <v>0</v>
      </c>
      <c r="AS354" s="68">
        <f t="shared" si="535"/>
        <v>0</v>
      </c>
      <c r="AT354" s="418">
        <v>0</v>
      </c>
      <c r="AU354" s="418">
        <v>0</v>
      </c>
      <c r="AV354" s="418">
        <f t="shared" si="536"/>
        <v>0</v>
      </c>
      <c r="AW354" s="418">
        <f t="shared" si="537"/>
        <v>0</v>
      </c>
      <c r="AX354" s="419">
        <v>0</v>
      </c>
      <c r="AY354" s="419">
        <v>0</v>
      </c>
      <c r="AZ354" s="419">
        <v>0</v>
      </c>
      <c r="BA354" s="419">
        <v>0</v>
      </c>
      <c r="BB354" s="419">
        <v>0</v>
      </c>
      <c r="BC354" s="419">
        <v>0</v>
      </c>
      <c r="BD354" s="419">
        <v>0</v>
      </c>
      <c r="BE354" s="419">
        <v>0</v>
      </c>
      <c r="BF354" s="419">
        <f t="shared" si="538"/>
        <v>0</v>
      </c>
      <c r="BG354" s="419">
        <f t="shared" si="539"/>
        <v>0</v>
      </c>
      <c r="BH354" s="421">
        <f t="shared" si="540"/>
        <v>0</v>
      </c>
      <c r="BI354" s="780">
        <f t="shared" si="568"/>
        <v>2602232</v>
      </c>
      <c r="BJ354" s="418">
        <f t="shared" si="569"/>
        <v>1930439</v>
      </c>
      <c r="BK354" s="418">
        <f t="shared" si="570"/>
        <v>1930439</v>
      </c>
      <c r="BL354" s="418">
        <f t="shared" si="570"/>
        <v>0</v>
      </c>
      <c r="BM354" s="418">
        <f t="shared" si="571"/>
        <v>0</v>
      </c>
      <c r="BN354" s="418">
        <f t="shared" si="572"/>
        <v>0</v>
      </c>
      <c r="BO354" s="418">
        <f t="shared" si="572"/>
        <v>0</v>
      </c>
      <c r="BP354" s="418">
        <f t="shared" si="573"/>
        <v>652489</v>
      </c>
      <c r="BQ354" s="418">
        <f t="shared" si="573"/>
        <v>19304</v>
      </c>
      <c r="BR354" s="418">
        <f t="shared" si="574"/>
        <v>0</v>
      </c>
      <c r="BS354" s="419">
        <f t="shared" si="575"/>
        <v>4.8499999999999996</v>
      </c>
      <c r="BT354" s="419">
        <f t="shared" si="576"/>
        <v>4.8499999999999996</v>
      </c>
      <c r="BU354" s="421">
        <f t="shared" si="576"/>
        <v>0</v>
      </c>
      <c r="BV354" s="420"/>
      <c r="BW354" s="415"/>
      <c r="BX354" s="415"/>
      <c r="BY354" s="415"/>
      <c r="BZ354" s="415"/>
      <c r="CA354" s="510"/>
    </row>
    <row r="355" spans="1:79" ht="14.1" customHeight="1" x14ac:dyDescent="0.2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762</v>
      </c>
      <c r="F355" s="66">
        <v>3141</v>
      </c>
      <c r="G355" s="65" t="s">
        <v>294</v>
      </c>
      <c r="H355" s="67" t="s">
        <v>272</v>
      </c>
      <c r="I355" s="420">
        <v>2908201</v>
      </c>
      <c r="J355" s="415">
        <v>2137342</v>
      </c>
      <c r="K355" s="415">
        <v>0</v>
      </c>
      <c r="L355" s="750">
        <v>2137342</v>
      </c>
      <c r="M355" s="415">
        <v>3600</v>
      </c>
      <c r="N355" s="204">
        <v>0</v>
      </c>
      <c r="O355" s="204">
        <v>3600</v>
      </c>
      <c r="P355" s="599">
        <v>723638</v>
      </c>
      <c r="Q355" s="599">
        <v>21373</v>
      </c>
      <c r="R355" s="605">
        <v>22248</v>
      </c>
      <c r="S355" s="416">
        <v>6.41</v>
      </c>
      <c r="T355" s="607">
        <v>0</v>
      </c>
      <c r="U355" s="737">
        <v>6.41</v>
      </c>
      <c r="V355" s="424">
        <f t="shared" si="525"/>
        <v>0</v>
      </c>
      <c r="W355" s="418">
        <f t="shared" si="526"/>
        <v>0</v>
      </c>
      <c r="X355" s="418">
        <v>0</v>
      </c>
      <c r="Y355" s="418">
        <v>0</v>
      </c>
      <c r="Z355" s="418">
        <v>0</v>
      </c>
      <c r="AA355" s="418">
        <v>1071798</v>
      </c>
      <c r="AB355" s="418">
        <v>0</v>
      </c>
      <c r="AC355" s="418">
        <v>0</v>
      </c>
      <c r="AD355" s="418">
        <f t="shared" si="566"/>
        <v>0</v>
      </c>
      <c r="AE355" s="418">
        <f t="shared" si="567"/>
        <v>1071798</v>
      </c>
      <c r="AF355" s="418">
        <f t="shared" si="527"/>
        <v>1071798</v>
      </c>
      <c r="AG355" s="418">
        <v>0</v>
      </c>
      <c r="AH355" s="418">
        <v>0</v>
      </c>
      <c r="AI355" s="418">
        <v>0</v>
      </c>
      <c r="AJ355" s="418">
        <v>0</v>
      </c>
      <c r="AK355" s="418">
        <v>0</v>
      </c>
      <c r="AL355" s="418">
        <f t="shared" si="528"/>
        <v>0</v>
      </c>
      <c r="AM355" s="418">
        <f t="shared" si="529"/>
        <v>0</v>
      </c>
      <c r="AN355" s="418">
        <f t="shared" si="530"/>
        <v>0</v>
      </c>
      <c r="AO355" s="418">
        <f t="shared" si="531"/>
        <v>0</v>
      </c>
      <c r="AP355" s="418">
        <f t="shared" si="532"/>
        <v>1071798</v>
      </c>
      <c r="AQ355" s="418">
        <f t="shared" si="533"/>
        <v>1071798</v>
      </c>
      <c r="AR355" s="68">
        <f t="shared" si="534"/>
        <v>362268</v>
      </c>
      <c r="AS355" s="68">
        <f t="shared" si="535"/>
        <v>10718</v>
      </c>
      <c r="AT355" s="418">
        <v>0</v>
      </c>
      <c r="AU355" s="418">
        <v>10776</v>
      </c>
      <c r="AV355" s="418">
        <f t="shared" si="536"/>
        <v>10776</v>
      </c>
      <c r="AW355" s="418">
        <f t="shared" si="537"/>
        <v>1455560</v>
      </c>
      <c r="AX355" s="419">
        <v>0</v>
      </c>
      <c r="AY355" s="419">
        <v>0</v>
      </c>
      <c r="AZ355" s="419">
        <v>0</v>
      </c>
      <c r="BA355" s="419">
        <v>0</v>
      </c>
      <c r="BB355" s="419">
        <v>3.21</v>
      </c>
      <c r="BC355" s="419">
        <v>0</v>
      </c>
      <c r="BD355" s="419">
        <v>0</v>
      </c>
      <c r="BE355" s="419">
        <v>0</v>
      </c>
      <c r="BF355" s="419">
        <f t="shared" si="538"/>
        <v>0</v>
      </c>
      <c r="BG355" s="419">
        <f t="shared" si="539"/>
        <v>3.21</v>
      </c>
      <c r="BH355" s="421">
        <f t="shared" si="540"/>
        <v>3.21</v>
      </c>
      <c r="BI355" s="780">
        <f t="shared" si="568"/>
        <v>4363761</v>
      </c>
      <c r="BJ355" s="418">
        <f t="shared" si="569"/>
        <v>3209140</v>
      </c>
      <c r="BK355" s="418">
        <f t="shared" si="570"/>
        <v>0</v>
      </c>
      <c r="BL355" s="418">
        <f t="shared" si="570"/>
        <v>3209140</v>
      </c>
      <c r="BM355" s="418">
        <f t="shared" si="571"/>
        <v>3600</v>
      </c>
      <c r="BN355" s="418">
        <f t="shared" si="572"/>
        <v>0</v>
      </c>
      <c r="BO355" s="418">
        <f t="shared" si="572"/>
        <v>3600</v>
      </c>
      <c r="BP355" s="418">
        <f t="shared" si="573"/>
        <v>1085906</v>
      </c>
      <c r="BQ355" s="418">
        <f t="shared" si="573"/>
        <v>32091</v>
      </c>
      <c r="BR355" s="418">
        <f t="shared" si="574"/>
        <v>33024</v>
      </c>
      <c r="BS355" s="419">
        <f t="shared" si="575"/>
        <v>9.620000000000001</v>
      </c>
      <c r="BT355" s="419">
        <f t="shared" si="576"/>
        <v>0</v>
      </c>
      <c r="BU355" s="421">
        <f t="shared" si="576"/>
        <v>9.620000000000001</v>
      </c>
      <c r="BV355" s="420"/>
      <c r="BW355" s="415"/>
      <c r="BX355" s="415"/>
      <c r="BY355" s="415"/>
      <c r="BZ355" s="415"/>
      <c r="CA355" s="510"/>
    </row>
    <row r="356" spans="1:79" ht="14.1" customHeight="1" x14ac:dyDescent="0.2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762</v>
      </c>
      <c r="F356" s="66">
        <v>3143</v>
      </c>
      <c r="G356" s="77" t="s">
        <v>595</v>
      </c>
      <c r="H356" s="67" t="s">
        <v>271</v>
      </c>
      <c r="I356" s="420">
        <v>1732330</v>
      </c>
      <c r="J356" s="415">
        <v>1285111</v>
      </c>
      <c r="K356" s="415">
        <v>1285111</v>
      </c>
      <c r="L356" s="415">
        <v>0</v>
      </c>
      <c r="M356" s="415">
        <v>0</v>
      </c>
      <c r="N356" s="415">
        <v>0</v>
      </c>
      <c r="O356" s="415">
        <v>0</v>
      </c>
      <c r="P356" s="599">
        <v>434368</v>
      </c>
      <c r="Q356" s="599">
        <v>12851</v>
      </c>
      <c r="R356" s="415">
        <v>0</v>
      </c>
      <c r="S356" s="416">
        <v>2.5</v>
      </c>
      <c r="T356" s="416">
        <v>2.5</v>
      </c>
      <c r="U356" s="423">
        <v>0</v>
      </c>
      <c r="V356" s="424">
        <f t="shared" si="525"/>
        <v>0</v>
      </c>
      <c r="W356" s="418">
        <f t="shared" si="526"/>
        <v>0</v>
      </c>
      <c r="X356" s="418">
        <v>0</v>
      </c>
      <c r="Y356" s="418">
        <v>0</v>
      </c>
      <c r="Z356" s="418">
        <v>0</v>
      </c>
      <c r="AA356" s="418">
        <v>0</v>
      </c>
      <c r="AB356" s="418">
        <v>0</v>
      </c>
      <c r="AC356" s="418">
        <v>0</v>
      </c>
      <c r="AD356" s="418">
        <f t="shared" si="566"/>
        <v>0</v>
      </c>
      <c r="AE356" s="418">
        <f t="shared" si="567"/>
        <v>0</v>
      </c>
      <c r="AF356" s="418">
        <f t="shared" si="527"/>
        <v>0</v>
      </c>
      <c r="AG356" s="418">
        <v>0</v>
      </c>
      <c r="AH356" s="418">
        <v>0</v>
      </c>
      <c r="AI356" s="418">
        <v>0</v>
      </c>
      <c r="AJ356" s="418">
        <v>0</v>
      </c>
      <c r="AK356" s="418">
        <v>0</v>
      </c>
      <c r="AL356" s="418">
        <f t="shared" si="528"/>
        <v>0</v>
      </c>
      <c r="AM356" s="418">
        <f t="shared" si="529"/>
        <v>0</v>
      </c>
      <c r="AN356" s="418">
        <f t="shared" si="530"/>
        <v>0</v>
      </c>
      <c r="AO356" s="418">
        <f t="shared" si="531"/>
        <v>0</v>
      </c>
      <c r="AP356" s="418">
        <f t="shared" si="532"/>
        <v>0</v>
      </c>
      <c r="AQ356" s="418">
        <f t="shared" si="533"/>
        <v>0</v>
      </c>
      <c r="AR356" s="68">
        <f t="shared" si="534"/>
        <v>0</v>
      </c>
      <c r="AS356" s="68">
        <f t="shared" si="535"/>
        <v>0</v>
      </c>
      <c r="AT356" s="418">
        <v>0</v>
      </c>
      <c r="AU356" s="418">
        <v>0</v>
      </c>
      <c r="AV356" s="418">
        <f t="shared" si="536"/>
        <v>0</v>
      </c>
      <c r="AW356" s="418">
        <f t="shared" si="537"/>
        <v>0</v>
      </c>
      <c r="AX356" s="419">
        <v>0</v>
      </c>
      <c r="AY356" s="419">
        <v>0</v>
      </c>
      <c r="AZ356" s="419">
        <v>0</v>
      </c>
      <c r="BA356" s="419">
        <v>0</v>
      </c>
      <c r="BB356" s="419">
        <v>0</v>
      </c>
      <c r="BC356" s="419">
        <v>0</v>
      </c>
      <c r="BD356" s="419">
        <v>0</v>
      </c>
      <c r="BE356" s="419">
        <v>0</v>
      </c>
      <c r="BF356" s="419">
        <f t="shared" si="538"/>
        <v>0</v>
      </c>
      <c r="BG356" s="419">
        <f t="shared" si="539"/>
        <v>0</v>
      </c>
      <c r="BH356" s="421">
        <f t="shared" si="540"/>
        <v>0</v>
      </c>
      <c r="BI356" s="780">
        <f t="shared" si="568"/>
        <v>1732330</v>
      </c>
      <c r="BJ356" s="418">
        <f t="shared" si="569"/>
        <v>1285111</v>
      </c>
      <c r="BK356" s="418">
        <f t="shared" si="570"/>
        <v>1285111</v>
      </c>
      <c r="BL356" s="418">
        <f t="shared" si="570"/>
        <v>0</v>
      </c>
      <c r="BM356" s="418">
        <f t="shared" si="571"/>
        <v>0</v>
      </c>
      <c r="BN356" s="418">
        <f t="shared" si="572"/>
        <v>0</v>
      </c>
      <c r="BO356" s="418">
        <f t="shared" si="572"/>
        <v>0</v>
      </c>
      <c r="BP356" s="418">
        <f t="shared" si="573"/>
        <v>434368</v>
      </c>
      <c r="BQ356" s="418">
        <f t="shared" si="573"/>
        <v>12851</v>
      </c>
      <c r="BR356" s="418">
        <f t="shared" si="574"/>
        <v>0</v>
      </c>
      <c r="BS356" s="419">
        <f t="shared" si="575"/>
        <v>2.5</v>
      </c>
      <c r="BT356" s="419">
        <f t="shared" si="576"/>
        <v>2.5</v>
      </c>
      <c r="BU356" s="421">
        <f t="shared" si="576"/>
        <v>0</v>
      </c>
      <c r="BV356" s="420"/>
      <c r="BW356" s="415"/>
      <c r="BX356" s="415"/>
      <c r="BY356" s="415"/>
      <c r="BZ356" s="415"/>
      <c r="CA356" s="510"/>
    </row>
    <row r="357" spans="1:79" ht="14.1" customHeight="1" x14ac:dyDescent="0.2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762</v>
      </c>
      <c r="F357" s="66">
        <v>3143</v>
      </c>
      <c r="G357" s="77" t="s">
        <v>596</v>
      </c>
      <c r="H357" s="67" t="s">
        <v>272</v>
      </c>
      <c r="I357" s="420">
        <v>36883</v>
      </c>
      <c r="J357" s="415">
        <v>26400</v>
      </c>
      <c r="K357" s="415">
        <v>0</v>
      </c>
      <c r="L357" s="605">
        <v>26400</v>
      </c>
      <c r="M357" s="415">
        <v>0</v>
      </c>
      <c r="N357" s="415">
        <v>0</v>
      </c>
      <c r="O357" s="415">
        <v>0</v>
      </c>
      <c r="P357" s="599">
        <v>8923</v>
      </c>
      <c r="Q357" s="599">
        <v>264</v>
      </c>
      <c r="R357" s="606">
        <v>1296</v>
      </c>
      <c r="S357" s="416">
        <v>0.1</v>
      </c>
      <c r="T357" s="609">
        <v>0</v>
      </c>
      <c r="U357" s="737">
        <v>0.1</v>
      </c>
      <c r="V357" s="424">
        <f t="shared" si="525"/>
        <v>0</v>
      </c>
      <c r="W357" s="418">
        <f t="shared" si="526"/>
        <v>0</v>
      </c>
      <c r="X357" s="418">
        <v>0</v>
      </c>
      <c r="Y357" s="418">
        <v>0</v>
      </c>
      <c r="Z357" s="418">
        <v>0</v>
      </c>
      <c r="AA357" s="418">
        <v>13200</v>
      </c>
      <c r="AB357" s="418">
        <v>0</v>
      </c>
      <c r="AC357" s="418">
        <v>0</v>
      </c>
      <c r="AD357" s="418">
        <f t="shared" si="566"/>
        <v>0</v>
      </c>
      <c r="AE357" s="418">
        <f t="shared" si="567"/>
        <v>13200</v>
      </c>
      <c r="AF357" s="418">
        <f t="shared" si="527"/>
        <v>13200</v>
      </c>
      <c r="AG357" s="418">
        <v>0</v>
      </c>
      <c r="AH357" s="418">
        <v>0</v>
      </c>
      <c r="AI357" s="418">
        <v>0</v>
      </c>
      <c r="AJ357" s="418">
        <v>0</v>
      </c>
      <c r="AK357" s="418">
        <v>0</v>
      </c>
      <c r="AL357" s="418">
        <f t="shared" si="528"/>
        <v>0</v>
      </c>
      <c r="AM357" s="418">
        <f t="shared" si="529"/>
        <v>0</v>
      </c>
      <c r="AN357" s="418">
        <f t="shared" si="530"/>
        <v>0</v>
      </c>
      <c r="AO357" s="418">
        <f t="shared" si="531"/>
        <v>0</v>
      </c>
      <c r="AP357" s="418">
        <f t="shared" si="532"/>
        <v>13200</v>
      </c>
      <c r="AQ357" s="418">
        <f t="shared" si="533"/>
        <v>13200</v>
      </c>
      <c r="AR357" s="68">
        <f t="shared" si="534"/>
        <v>4462</v>
      </c>
      <c r="AS357" s="68">
        <f t="shared" si="535"/>
        <v>132</v>
      </c>
      <c r="AT357" s="418">
        <v>0</v>
      </c>
      <c r="AU357" s="418">
        <v>648</v>
      </c>
      <c r="AV357" s="418">
        <f t="shared" si="536"/>
        <v>648</v>
      </c>
      <c r="AW357" s="418">
        <f t="shared" si="537"/>
        <v>18442</v>
      </c>
      <c r="AX357" s="419">
        <v>0</v>
      </c>
      <c r="AY357" s="419">
        <v>0</v>
      </c>
      <c r="AZ357" s="419">
        <v>0</v>
      </c>
      <c r="BA357" s="419">
        <v>0</v>
      </c>
      <c r="BB357" s="419">
        <v>0.05</v>
      </c>
      <c r="BC357" s="419">
        <v>0</v>
      </c>
      <c r="BD357" s="419">
        <v>0</v>
      </c>
      <c r="BE357" s="419">
        <v>0</v>
      </c>
      <c r="BF357" s="419">
        <f t="shared" si="538"/>
        <v>0</v>
      </c>
      <c r="BG357" s="419">
        <f t="shared" si="539"/>
        <v>0.05</v>
      </c>
      <c r="BH357" s="421">
        <f t="shared" si="540"/>
        <v>0.05</v>
      </c>
      <c r="BI357" s="780">
        <f t="shared" si="568"/>
        <v>55325</v>
      </c>
      <c r="BJ357" s="418">
        <f t="shared" si="569"/>
        <v>39600</v>
      </c>
      <c r="BK357" s="418">
        <f t="shared" si="570"/>
        <v>0</v>
      </c>
      <c r="BL357" s="418">
        <f t="shared" si="570"/>
        <v>39600</v>
      </c>
      <c r="BM357" s="418">
        <f t="shared" si="571"/>
        <v>0</v>
      </c>
      <c r="BN357" s="418">
        <f t="shared" si="572"/>
        <v>0</v>
      </c>
      <c r="BO357" s="418">
        <f t="shared" si="572"/>
        <v>0</v>
      </c>
      <c r="BP357" s="418">
        <f t="shared" si="573"/>
        <v>13385</v>
      </c>
      <c r="BQ357" s="418">
        <f t="shared" si="573"/>
        <v>396</v>
      </c>
      <c r="BR357" s="418">
        <f t="shared" si="574"/>
        <v>1944</v>
      </c>
      <c r="BS357" s="419">
        <f t="shared" si="575"/>
        <v>0.15000000000000002</v>
      </c>
      <c r="BT357" s="419">
        <f t="shared" si="576"/>
        <v>0</v>
      </c>
      <c r="BU357" s="421">
        <f t="shared" si="576"/>
        <v>0.15000000000000002</v>
      </c>
      <c r="BV357" s="420"/>
      <c r="BW357" s="415"/>
      <c r="BX357" s="415"/>
      <c r="BY357" s="415"/>
      <c r="BZ357" s="415"/>
      <c r="CA357" s="510"/>
    </row>
    <row r="358" spans="1:79" ht="14.1" customHeight="1" x14ac:dyDescent="0.2">
      <c r="A358" s="66">
        <v>71</v>
      </c>
      <c r="B358" s="63">
        <v>2492</v>
      </c>
      <c r="C358" s="64">
        <v>600079767</v>
      </c>
      <c r="D358" s="63">
        <v>70983011</v>
      </c>
      <c r="E358" s="65" t="s">
        <v>762</v>
      </c>
      <c r="F358" s="66">
        <v>3231</v>
      </c>
      <c r="G358" s="77" t="s">
        <v>295</v>
      </c>
      <c r="H358" s="67" t="s">
        <v>271</v>
      </c>
      <c r="I358" s="420">
        <v>3067347</v>
      </c>
      <c r="J358" s="415">
        <v>2272950</v>
      </c>
      <c r="K358" s="415">
        <v>2191803</v>
      </c>
      <c r="L358" s="415">
        <v>81147</v>
      </c>
      <c r="M358" s="415">
        <v>0</v>
      </c>
      <c r="N358" s="415">
        <v>0</v>
      </c>
      <c r="O358" s="415">
        <v>0</v>
      </c>
      <c r="P358" s="599">
        <v>768257</v>
      </c>
      <c r="Q358" s="599">
        <v>22730</v>
      </c>
      <c r="R358" s="415">
        <v>3410</v>
      </c>
      <c r="S358" s="416">
        <v>3.7</v>
      </c>
      <c r="T358" s="416">
        <v>3.47</v>
      </c>
      <c r="U358" s="423">
        <v>0.23</v>
      </c>
      <c r="V358" s="424">
        <f t="shared" si="525"/>
        <v>0</v>
      </c>
      <c r="W358" s="418">
        <f t="shared" si="526"/>
        <v>0</v>
      </c>
      <c r="X358" s="418">
        <v>0</v>
      </c>
      <c r="Y358" s="418">
        <v>0</v>
      </c>
      <c r="Z358" s="418">
        <v>0</v>
      </c>
      <c r="AA358" s="418">
        <v>0</v>
      </c>
      <c r="AB358" s="418">
        <v>0</v>
      </c>
      <c r="AC358" s="418">
        <v>0</v>
      </c>
      <c r="AD358" s="418">
        <f t="shared" si="566"/>
        <v>0</v>
      </c>
      <c r="AE358" s="418">
        <f t="shared" si="567"/>
        <v>0</v>
      </c>
      <c r="AF358" s="418">
        <f t="shared" si="527"/>
        <v>0</v>
      </c>
      <c r="AG358" s="418">
        <v>0</v>
      </c>
      <c r="AH358" s="418">
        <v>0</v>
      </c>
      <c r="AI358" s="418">
        <v>0</v>
      </c>
      <c r="AJ358" s="418">
        <v>0</v>
      </c>
      <c r="AK358" s="418">
        <v>0</v>
      </c>
      <c r="AL358" s="418">
        <f t="shared" si="528"/>
        <v>0</v>
      </c>
      <c r="AM358" s="418">
        <f t="shared" si="529"/>
        <v>0</v>
      </c>
      <c r="AN358" s="418">
        <f t="shared" si="530"/>
        <v>0</v>
      </c>
      <c r="AO358" s="418">
        <f t="shared" si="531"/>
        <v>0</v>
      </c>
      <c r="AP358" s="418">
        <f t="shared" si="532"/>
        <v>0</v>
      </c>
      <c r="AQ358" s="418">
        <f t="shared" si="533"/>
        <v>0</v>
      </c>
      <c r="AR358" s="68">
        <f t="shared" si="534"/>
        <v>0</v>
      </c>
      <c r="AS358" s="68">
        <f t="shared" si="535"/>
        <v>0</v>
      </c>
      <c r="AT358" s="418">
        <v>0</v>
      </c>
      <c r="AU358" s="418">
        <v>0</v>
      </c>
      <c r="AV358" s="418">
        <f t="shared" si="536"/>
        <v>0</v>
      </c>
      <c r="AW358" s="418">
        <f t="shared" si="537"/>
        <v>0</v>
      </c>
      <c r="AX358" s="419">
        <v>0</v>
      </c>
      <c r="AY358" s="419">
        <v>0</v>
      </c>
      <c r="AZ358" s="419">
        <v>0</v>
      </c>
      <c r="BA358" s="419">
        <v>0</v>
      </c>
      <c r="BB358" s="419">
        <v>0</v>
      </c>
      <c r="BC358" s="419">
        <v>0</v>
      </c>
      <c r="BD358" s="419">
        <v>0</v>
      </c>
      <c r="BE358" s="419">
        <v>0</v>
      </c>
      <c r="BF358" s="419">
        <f t="shared" si="538"/>
        <v>0</v>
      </c>
      <c r="BG358" s="419">
        <f t="shared" si="539"/>
        <v>0</v>
      </c>
      <c r="BH358" s="421">
        <f t="shared" si="540"/>
        <v>0</v>
      </c>
      <c r="BI358" s="780">
        <f t="shared" si="568"/>
        <v>3067347</v>
      </c>
      <c r="BJ358" s="418">
        <f t="shared" si="569"/>
        <v>2272950</v>
      </c>
      <c r="BK358" s="418">
        <f t="shared" si="570"/>
        <v>2191803</v>
      </c>
      <c r="BL358" s="418">
        <f t="shared" si="570"/>
        <v>81147</v>
      </c>
      <c r="BM358" s="418">
        <f t="shared" si="571"/>
        <v>0</v>
      </c>
      <c r="BN358" s="418">
        <f t="shared" si="572"/>
        <v>0</v>
      </c>
      <c r="BO358" s="418">
        <f t="shared" si="572"/>
        <v>0</v>
      </c>
      <c r="BP358" s="418">
        <f t="shared" si="573"/>
        <v>768257</v>
      </c>
      <c r="BQ358" s="418">
        <f t="shared" si="573"/>
        <v>22730</v>
      </c>
      <c r="BR358" s="418">
        <f t="shared" si="574"/>
        <v>3410</v>
      </c>
      <c r="BS358" s="419">
        <f t="shared" si="575"/>
        <v>3.7</v>
      </c>
      <c r="BT358" s="419">
        <f t="shared" si="576"/>
        <v>3.47</v>
      </c>
      <c r="BU358" s="421">
        <f t="shared" si="576"/>
        <v>0.23</v>
      </c>
      <c r="BV358" s="420"/>
      <c r="BW358" s="415"/>
      <c r="BX358" s="415"/>
      <c r="BY358" s="415"/>
      <c r="BZ358" s="415"/>
      <c r="CA358" s="510"/>
    </row>
    <row r="359" spans="1:79" ht="14.1" customHeight="1" x14ac:dyDescent="0.2">
      <c r="A359" s="72">
        <v>71</v>
      </c>
      <c r="B359" s="69">
        <v>2492</v>
      </c>
      <c r="C359" s="70">
        <v>600079767</v>
      </c>
      <c r="D359" s="69">
        <v>70983011</v>
      </c>
      <c r="E359" s="71" t="s">
        <v>763</v>
      </c>
      <c r="F359" s="72"/>
      <c r="G359" s="71"/>
      <c r="H359" s="73"/>
      <c r="I359" s="517">
        <v>36055216</v>
      </c>
      <c r="J359" s="74">
        <v>26492188</v>
      </c>
      <c r="K359" s="74">
        <v>22869580</v>
      </c>
      <c r="L359" s="74">
        <v>3622608</v>
      </c>
      <c r="M359" s="74">
        <v>3600</v>
      </c>
      <c r="N359" s="74">
        <v>0</v>
      </c>
      <c r="O359" s="74">
        <v>3600</v>
      </c>
      <c r="P359" s="74">
        <v>8955576</v>
      </c>
      <c r="Q359" s="74">
        <v>264921</v>
      </c>
      <c r="R359" s="74">
        <v>338931</v>
      </c>
      <c r="S359" s="75">
        <v>47.535400000000003</v>
      </c>
      <c r="T359" s="75">
        <v>36.749299999999998</v>
      </c>
      <c r="U359" s="658">
        <v>10.786099999999999</v>
      </c>
      <c r="V359" s="517">
        <f t="shared" ref="V359:BU359" si="577">SUM(V353:V358)</f>
        <v>0</v>
      </c>
      <c r="W359" s="74">
        <f t="shared" si="577"/>
        <v>0</v>
      </c>
      <c r="X359" s="74">
        <f t="shared" si="577"/>
        <v>0</v>
      </c>
      <c r="Y359" s="74">
        <f t="shared" si="577"/>
        <v>0</v>
      </c>
      <c r="Z359" s="74">
        <f t="shared" si="577"/>
        <v>0</v>
      </c>
      <c r="AA359" s="74">
        <f t="shared" si="577"/>
        <v>1084998</v>
      </c>
      <c r="AB359" s="74">
        <f t="shared" si="577"/>
        <v>0</v>
      </c>
      <c r="AC359" s="74">
        <f t="shared" si="577"/>
        <v>0</v>
      </c>
      <c r="AD359" s="74">
        <f t="shared" si="577"/>
        <v>0</v>
      </c>
      <c r="AE359" s="74">
        <f t="shared" si="577"/>
        <v>1084998</v>
      </c>
      <c r="AF359" s="74">
        <f t="shared" si="577"/>
        <v>1084998</v>
      </c>
      <c r="AG359" s="74">
        <f t="shared" si="577"/>
        <v>0</v>
      </c>
      <c r="AH359" s="74">
        <f t="shared" si="577"/>
        <v>0</v>
      </c>
      <c r="AI359" s="74">
        <f t="shared" si="577"/>
        <v>0</v>
      </c>
      <c r="AJ359" s="74">
        <f t="shared" si="577"/>
        <v>0</v>
      </c>
      <c r="AK359" s="74">
        <f t="shared" si="577"/>
        <v>0</v>
      </c>
      <c r="AL359" s="74">
        <f t="shared" si="577"/>
        <v>0</v>
      </c>
      <c r="AM359" s="74">
        <f t="shared" si="577"/>
        <v>0</v>
      </c>
      <c r="AN359" s="74">
        <f t="shared" si="577"/>
        <v>0</v>
      </c>
      <c r="AO359" s="74">
        <f t="shared" si="577"/>
        <v>0</v>
      </c>
      <c r="AP359" s="74">
        <f t="shared" si="577"/>
        <v>1084998</v>
      </c>
      <c r="AQ359" s="74">
        <f t="shared" si="577"/>
        <v>1084998</v>
      </c>
      <c r="AR359" s="74">
        <f t="shared" si="577"/>
        <v>366730</v>
      </c>
      <c r="AS359" s="74">
        <f t="shared" si="577"/>
        <v>10850</v>
      </c>
      <c r="AT359" s="74">
        <f t="shared" si="577"/>
        <v>0</v>
      </c>
      <c r="AU359" s="74">
        <f t="shared" si="577"/>
        <v>11424</v>
      </c>
      <c r="AV359" s="74">
        <f t="shared" si="577"/>
        <v>11424</v>
      </c>
      <c r="AW359" s="74">
        <f t="shared" si="577"/>
        <v>1474002</v>
      </c>
      <c r="AX359" s="75">
        <f t="shared" si="577"/>
        <v>0</v>
      </c>
      <c r="AY359" s="75">
        <f t="shared" si="577"/>
        <v>0</v>
      </c>
      <c r="AZ359" s="75">
        <f t="shared" si="577"/>
        <v>0</v>
      </c>
      <c r="BA359" s="75">
        <f t="shared" si="577"/>
        <v>0</v>
      </c>
      <c r="BB359" s="75">
        <f t="shared" si="577"/>
        <v>3.26</v>
      </c>
      <c r="BC359" s="75">
        <f t="shared" si="577"/>
        <v>0</v>
      </c>
      <c r="BD359" s="75">
        <f t="shared" si="577"/>
        <v>0</v>
      </c>
      <c r="BE359" s="75">
        <f t="shared" si="577"/>
        <v>0</v>
      </c>
      <c r="BF359" s="75">
        <f t="shared" si="577"/>
        <v>0</v>
      </c>
      <c r="BG359" s="75">
        <f t="shared" si="577"/>
        <v>3.26</v>
      </c>
      <c r="BH359" s="76">
        <f t="shared" si="577"/>
        <v>3.26</v>
      </c>
      <c r="BI359" s="799">
        <f t="shared" si="577"/>
        <v>37529218</v>
      </c>
      <c r="BJ359" s="74">
        <f t="shared" si="577"/>
        <v>27577186</v>
      </c>
      <c r="BK359" s="74">
        <f t="shared" si="577"/>
        <v>22869580</v>
      </c>
      <c r="BL359" s="74">
        <f t="shared" si="577"/>
        <v>4707606</v>
      </c>
      <c r="BM359" s="74">
        <f t="shared" si="577"/>
        <v>3600</v>
      </c>
      <c r="BN359" s="74">
        <f t="shared" si="577"/>
        <v>0</v>
      </c>
      <c r="BO359" s="74">
        <f t="shared" si="577"/>
        <v>3600</v>
      </c>
      <c r="BP359" s="74">
        <f t="shared" si="577"/>
        <v>9322306</v>
      </c>
      <c r="BQ359" s="74">
        <f t="shared" si="577"/>
        <v>275771</v>
      </c>
      <c r="BR359" s="74">
        <f t="shared" si="577"/>
        <v>350355</v>
      </c>
      <c r="BS359" s="75">
        <f t="shared" si="577"/>
        <v>50.795400000000008</v>
      </c>
      <c r="BT359" s="75">
        <f t="shared" si="577"/>
        <v>36.749299999999998</v>
      </c>
      <c r="BU359" s="76">
        <f t="shared" si="577"/>
        <v>14.046100000000001</v>
      </c>
      <c r="BV359" s="809">
        <f t="shared" ref="BV359:CA359" si="578">SUM(BV353:BV358)</f>
        <v>0</v>
      </c>
      <c r="BW359" s="684">
        <f t="shared" si="578"/>
        <v>0</v>
      </c>
      <c r="BX359" s="684">
        <f t="shared" si="578"/>
        <v>0</v>
      </c>
      <c r="BY359" s="684">
        <f t="shared" si="578"/>
        <v>0</v>
      </c>
      <c r="BZ359" s="684">
        <f t="shared" si="578"/>
        <v>0</v>
      </c>
      <c r="CA359" s="810">
        <f t="shared" si="578"/>
        <v>0</v>
      </c>
    </row>
    <row r="360" spans="1:79" ht="14.1" customHeight="1" x14ac:dyDescent="0.2">
      <c r="A360" s="66">
        <v>72</v>
      </c>
      <c r="B360" s="63">
        <v>2491</v>
      </c>
      <c r="C360" s="64">
        <v>600079775</v>
      </c>
      <c r="D360" s="63">
        <v>70983003</v>
      </c>
      <c r="E360" s="65" t="s">
        <v>677</v>
      </c>
      <c r="F360" s="66">
        <v>3113</v>
      </c>
      <c r="G360" s="65" t="s">
        <v>293</v>
      </c>
      <c r="H360" s="67" t="s">
        <v>271</v>
      </c>
      <c r="I360" s="420">
        <v>27549347</v>
      </c>
      <c r="J360" s="415">
        <v>20180659</v>
      </c>
      <c r="K360" s="415">
        <v>18802940</v>
      </c>
      <c r="L360" s="415">
        <v>1377719</v>
      </c>
      <c r="M360" s="415">
        <v>0</v>
      </c>
      <c r="N360" s="415">
        <v>0</v>
      </c>
      <c r="O360" s="415">
        <v>0</v>
      </c>
      <c r="P360" s="599">
        <v>6821062</v>
      </c>
      <c r="Q360" s="599">
        <v>201807</v>
      </c>
      <c r="R360" s="415">
        <v>345819</v>
      </c>
      <c r="S360" s="416">
        <v>31.455099999999998</v>
      </c>
      <c r="T360" s="416">
        <v>27.408999999999999</v>
      </c>
      <c r="U360" s="423">
        <v>4.0461</v>
      </c>
      <c r="V360" s="424">
        <f t="shared" si="525"/>
        <v>0</v>
      </c>
      <c r="W360" s="418">
        <f t="shared" si="526"/>
        <v>0</v>
      </c>
      <c r="X360" s="418">
        <v>0</v>
      </c>
      <c r="Y360" s="418">
        <v>0</v>
      </c>
      <c r="Z360" s="418">
        <v>0</v>
      </c>
      <c r="AA360" s="418">
        <v>0</v>
      </c>
      <c r="AB360" s="418">
        <v>0</v>
      </c>
      <c r="AC360" s="418">
        <v>0</v>
      </c>
      <c r="AD360" s="418">
        <f>V360+X360+Y360+Z360+AB360</f>
        <v>0</v>
      </c>
      <c r="AE360" s="418">
        <f>W360+AA360+AC360</f>
        <v>0</v>
      </c>
      <c r="AF360" s="418">
        <f t="shared" si="527"/>
        <v>0</v>
      </c>
      <c r="AG360" s="418">
        <v>0</v>
      </c>
      <c r="AH360" s="418">
        <v>0</v>
      </c>
      <c r="AI360" s="418">
        <v>0</v>
      </c>
      <c r="AJ360" s="418">
        <v>0</v>
      </c>
      <c r="AK360" s="418">
        <v>0</v>
      </c>
      <c r="AL360" s="418">
        <f t="shared" si="528"/>
        <v>0</v>
      </c>
      <c r="AM360" s="418">
        <f t="shared" si="529"/>
        <v>0</v>
      </c>
      <c r="AN360" s="418">
        <f t="shared" si="530"/>
        <v>0</v>
      </c>
      <c r="AO360" s="418">
        <f t="shared" si="531"/>
        <v>0</v>
      </c>
      <c r="AP360" s="418">
        <f t="shared" si="532"/>
        <v>0</v>
      </c>
      <c r="AQ360" s="418">
        <f t="shared" si="533"/>
        <v>0</v>
      </c>
      <c r="AR360" s="68">
        <f t="shared" si="534"/>
        <v>0</v>
      </c>
      <c r="AS360" s="68">
        <f t="shared" si="535"/>
        <v>0</v>
      </c>
      <c r="AT360" s="418">
        <v>0</v>
      </c>
      <c r="AU360" s="418">
        <v>0</v>
      </c>
      <c r="AV360" s="418">
        <f t="shared" si="536"/>
        <v>0</v>
      </c>
      <c r="AW360" s="418">
        <f t="shared" si="537"/>
        <v>0</v>
      </c>
      <c r="AX360" s="419">
        <v>0</v>
      </c>
      <c r="AY360" s="419">
        <v>0</v>
      </c>
      <c r="AZ360" s="419">
        <v>0</v>
      </c>
      <c r="BA360" s="419">
        <v>0</v>
      </c>
      <c r="BB360" s="419">
        <v>0</v>
      </c>
      <c r="BC360" s="419">
        <v>0</v>
      </c>
      <c r="BD360" s="419">
        <v>0</v>
      </c>
      <c r="BE360" s="419">
        <v>0</v>
      </c>
      <c r="BF360" s="419">
        <f t="shared" si="538"/>
        <v>0</v>
      </c>
      <c r="BG360" s="419">
        <f t="shared" si="539"/>
        <v>0</v>
      </c>
      <c r="BH360" s="421">
        <f t="shared" si="540"/>
        <v>0</v>
      </c>
      <c r="BI360" s="780">
        <f>I360+AW360</f>
        <v>27549347</v>
      </c>
      <c r="BJ360" s="418">
        <f>J360+AF360</f>
        <v>20180659</v>
      </c>
      <c r="BK360" s="418">
        <f t="shared" ref="BK360:BL363" si="579">K360+AD360</f>
        <v>18802940</v>
      </c>
      <c r="BL360" s="418">
        <f t="shared" si="579"/>
        <v>1377719</v>
      </c>
      <c r="BM360" s="418">
        <f>M360+AN360</f>
        <v>0</v>
      </c>
      <c r="BN360" s="418">
        <f t="shared" ref="BN360:BO363" si="580">N360+AL360</f>
        <v>0</v>
      </c>
      <c r="BO360" s="418">
        <f t="shared" si="580"/>
        <v>0</v>
      </c>
      <c r="BP360" s="418">
        <f t="shared" ref="BP360:BQ363" si="581">P360+AR360</f>
        <v>6821062</v>
      </c>
      <c r="BQ360" s="418">
        <f t="shared" si="581"/>
        <v>201807</v>
      </c>
      <c r="BR360" s="418">
        <f>R360+AV360</f>
        <v>345819</v>
      </c>
      <c r="BS360" s="419">
        <f>S360+BH360</f>
        <v>31.455099999999998</v>
      </c>
      <c r="BT360" s="419">
        <f t="shared" ref="BT360:BU363" si="582">T360+BF360</f>
        <v>27.408999999999999</v>
      </c>
      <c r="BU360" s="421">
        <f t="shared" si="582"/>
        <v>4.0461</v>
      </c>
      <c r="BV360" s="420"/>
      <c r="BW360" s="415"/>
      <c r="BX360" s="415"/>
      <c r="BY360" s="415"/>
      <c r="BZ360" s="415"/>
      <c r="CA360" s="510"/>
    </row>
    <row r="361" spans="1:79" ht="14.1" customHeight="1" x14ac:dyDescent="0.2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677</v>
      </c>
      <c r="F361" s="66">
        <v>3113</v>
      </c>
      <c r="G361" s="77" t="s">
        <v>291</v>
      </c>
      <c r="H361" s="67" t="s">
        <v>272</v>
      </c>
      <c r="I361" s="420">
        <v>2466950</v>
      </c>
      <c r="J361" s="415">
        <v>1827485</v>
      </c>
      <c r="K361" s="415">
        <v>1827485</v>
      </c>
      <c r="L361" s="415">
        <v>0</v>
      </c>
      <c r="M361" s="415">
        <v>0</v>
      </c>
      <c r="N361" s="415">
        <v>0</v>
      </c>
      <c r="O361" s="415">
        <v>0</v>
      </c>
      <c r="P361" s="599">
        <v>617690</v>
      </c>
      <c r="Q361" s="599">
        <v>18275</v>
      </c>
      <c r="R361" s="415">
        <v>3500</v>
      </c>
      <c r="S361" s="416">
        <v>4.76</v>
      </c>
      <c r="T361" s="417">
        <v>4.76</v>
      </c>
      <c r="U361" s="423">
        <v>0</v>
      </c>
      <c r="V361" s="424">
        <f t="shared" si="525"/>
        <v>0</v>
      </c>
      <c r="W361" s="418">
        <f t="shared" si="526"/>
        <v>0</v>
      </c>
      <c r="X361" s="418">
        <v>-37136</v>
      </c>
      <c r="Y361" s="418">
        <v>0</v>
      </c>
      <c r="Z361" s="418">
        <v>0</v>
      </c>
      <c r="AA361" s="418">
        <v>0</v>
      </c>
      <c r="AB361" s="418">
        <v>0</v>
      </c>
      <c r="AC361" s="418">
        <v>0</v>
      </c>
      <c r="AD361" s="418">
        <f>V361+X361+Y361+Z361+AB361</f>
        <v>-37136</v>
      </c>
      <c r="AE361" s="418">
        <f>W361+AA361+AC361</f>
        <v>0</v>
      </c>
      <c r="AF361" s="418">
        <f t="shared" si="527"/>
        <v>-37136</v>
      </c>
      <c r="AG361" s="418">
        <v>0</v>
      </c>
      <c r="AH361" s="418">
        <v>0</v>
      </c>
      <c r="AI361" s="418">
        <v>0</v>
      </c>
      <c r="AJ361" s="418">
        <v>0</v>
      </c>
      <c r="AK361" s="418">
        <v>0</v>
      </c>
      <c r="AL361" s="418">
        <f t="shared" si="528"/>
        <v>0</v>
      </c>
      <c r="AM361" s="418">
        <f t="shared" si="529"/>
        <v>0</v>
      </c>
      <c r="AN361" s="418">
        <f t="shared" si="530"/>
        <v>0</v>
      </c>
      <c r="AO361" s="418">
        <f t="shared" si="531"/>
        <v>-37136</v>
      </c>
      <c r="AP361" s="418">
        <f t="shared" si="532"/>
        <v>0</v>
      </c>
      <c r="AQ361" s="418">
        <f t="shared" si="533"/>
        <v>-37136</v>
      </c>
      <c r="AR361" s="68">
        <f t="shared" si="534"/>
        <v>-12552</v>
      </c>
      <c r="AS361" s="68">
        <f t="shared" si="535"/>
        <v>-371</v>
      </c>
      <c r="AT361" s="418">
        <v>0</v>
      </c>
      <c r="AU361" s="418">
        <v>0</v>
      </c>
      <c r="AV361" s="418">
        <f t="shared" si="536"/>
        <v>0</v>
      </c>
      <c r="AW361" s="418">
        <f t="shared" si="537"/>
        <v>-50059</v>
      </c>
      <c r="AX361" s="419">
        <v>0</v>
      </c>
      <c r="AY361" s="419">
        <v>0</v>
      </c>
      <c r="AZ361" s="419">
        <v>-0.08</v>
      </c>
      <c r="BA361" s="419">
        <v>0</v>
      </c>
      <c r="BB361" s="419">
        <v>0</v>
      </c>
      <c r="BC361" s="419">
        <v>0</v>
      </c>
      <c r="BD361" s="419">
        <v>0</v>
      </c>
      <c r="BE361" s="419">
        <v>0</v>
      </c>
      <c r="BF361" s="419">
        <f t="shared" si="538"/>
        <v>-0.08</v>
      </c>
      <c r="BG361" s="419">
        <f t="shared" si="539"/>
        <v>0</v>
      </c>
      <c r="BH361" s="421">
        <f t="shared" si="540"/>
        <v>-0.08</v>
      </c>
      <c r="BI361" s="780">
        <f>I361+AW361</f>
        <v>2416891</v>
      </c>
      <c r="BJ361" s="418">
        <f>J361+AF361</f>
        <v>1790349</v>
      </c>
      <c r="BK361" s="418">
        <f t="shared" si="579"/>
        <v>1790349</v>
      </c>
      <c r="BL361" s="418">
        <f t="shared" si="579"/>
        <v>0</v>
      </c>
      <c r="BM361" s="418">
        <f>M361+AN361</f>
        <v>0</v>
      </c>
      <c r="BN361" s="418">
        <f t="shared" si="580"/>
        <v>0</v>
      </c>
      <c r="BO361" s="418">
        <f t="shared" si="580"/>
        <v>0</v>
      </c>
      <c r="BP361" s="418">
        <f t="shared" si="581"/>
        <v>605138</v>
      </c>
      <c r="BQ361" s="418">
        <f t="shared" si="581"/>
        <v>17904</v>
      </c>
      <c r="BR361" s="418">
        <f>R361+AV361</f>
        <v>3500</v>
      </c>
      <c r="BS361" s="419">
        <f>S361+BH361</f>
        <v>4.68</v>
      </c>
      <c r="BT361" s="419">
        <f t="shared" si="582"/>
        <v>4.68</v>
      </c>
      <c r="BU361" s="421">
        <f t="shared" si="582"/>
        <v>0</v>
      </c>
      <c r="BV361" s="420"/>
      <c r="BW361" s="415"/>
      <c r="BX361" s="415"/>
      <c r="BY361" s="415"/>
      <c r="BZ361" s="415"/>
      <c r="CA361" s="510"/>
    </row>
    <row r="362" spans="1:79" ht="14.1" customHeight="1" x14ac:dyDescent="0.2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677</v>
      </c>
      <c r="F362" s="66">
        <v>3143</v>
      </c>
      <c r="G362" s="77" t="s">
        <v>595</v>
      </c>
      <c r="H362" s="67" t="s">
        <v>271</v>
      </c>
      <c r="I362" s="420">
        <v>2406051</v>
      </c>
      <c r="J362" s="415">
        <v>1784904</v>
      </c>
      <c r="K362" s="415">
        <v>1784904</v>
      </c>
      <c r="L362" s="415">
        <v>0</v>
      </c>
      <c r="M362" s="415">
        <v>0</v>
      </c>
      <c r="N362" s="415">
        <v>0</v>
      </c>
      <c r="O362" s="415">
        <v>0</v>
      </c>
      <c r="P362" s="599">
        <v>603298</v>
      </c>
      <c r="Q362" s="599">
        <v>17849</v>
      </c>
      <c r="R362" s="415">
        <v>0</v>
      </c>
      <c r="S362" s="416">
        <v>3.5714000000000001</v>
      </c>
      <c r="T362" s="416">
        <v>3.5714000000000001</v>
      </c>
      <c r="U362" s="423">
        <v>0</v>
      </c>
      <c r="V362" s="424">
        <f t="shared" si="525"/>
        <v>0</v>
      </c>
      <c r="W362" s="418">
        <f t="shared" si="526"/>
        <v>0</v>
      </c>
      <c r="X362" s="418">
        <v>0</v>
      </c>
      <c r="Y362" s="418">
        <v>0</v>
      </c>
      <c r="Z362" s="418">
        <v>0</v>
      </c>
      <c r="AA362" s="418">
        <v>0</v>
      </c>
      <c r="AB362" s="418">
        <v>0</v>
      </c>
      <c r="AC362" s="418">
        <v>0</v>
      </c>
      <c r="AD362" s="418">
        <f>V362+X362+Y362+Z362+AB362</f>
        <v>0</v>
      </c>
      <c r="AE362" s="418">
        <f>W362+AA362+AC362</f>
        <v>0</v>
      </c>
      <c r="AF362" s="418">
        <f t="shared" si="527"/>
        <v>0</v>
      </c>
      <c r="AG362" s="418">
        <v>0</v>
      </c>
      <c r="AH362" s="418">
        <v>0</v>
      </c>
      <c r="AI362" s="418">
        <v>0</v>
      </c>
      <c r="AJ362" s="418">
        <v>0</v>
      </c>
      <c r="AK362" s="418">
        <v>0</v>
      </c>
      <c r="AL362" s="418">
        <f t="shared" si="528"/>
        <v>0</v>
      </c>
      <c r="AM362" s="418">
        <f t="shared" si="529"/>
        <v>0</v>
      </c>
      <c r="AN362" s="418">
        <f t="shared" si="530"/>
        <v>0</v>
      </c>
      <c r="AO362" s="418">
        <f t="shared" si="531"/>
        <v>0</v>
      </c>
      <c r="AP362" s="418">
        <f t="shared" si="532"/>
        <v>0</v>
      </c>
      <c r="AQ362" s="418">
        <f t="shared" si="533"/>
        <v>0</v>
      </c>
      <c r="AR362" s="68">
        <f t="shared" si="534"/>
        <v>0</v>
      </c>
      <c r="AS362" s="68">
        <f t="shared" si="535"/>
        <v>0</v>
      </c>
      <c r="AT362" s="418">
        <v>0</v>
      </c>
      <c r="AU362" s="418">
        <v>0</v>
      </c>
      <c r="AV362" s="418">
        <f t="shared" si="536"/>
        <v>0</v>
      </c>
      <c r="AW362" s="418">
        <f t="shared" si="537"/>
        <v>0</v>
      </c>
      <c r="AX362" s="419">
        <v>0</v>
      </c>
      <c r="AY362" s="419">
        <v>0</v>
      </c>
      <c r="AZ362" s="419">
        <v>0</v>
      </c>
      <c r="BA362" s="419">
        <v>0</v>
      </c>
      <c r="BB362" s="419">
        <v>0</v>
      </c>
      <c r="BC362" s="419">
        <v>0</v>
      </c>
      <c r="BD362" s="419">
        <v>0</v>
      </c>
      <c r="BE362" s="419">
        <v>0</v>
      </c>
      <c r="BF362" s="419">
        <f t="shared" si="538"/>
        <v>0</v>
      </c>
      <c r="BG362" s="419">
        <f t="shared" si="539"/>
        <v>0</v>
      </c>
      <c r="BH362" s="421">
        <f t="shared" si="540"/>
        <v>0</v>
      </c>
      <c r="BI362" s="780">
        <f>I362+AW362</f>
        <v>2406051</v>
      </c>
      <c r="BJ362" s="418">
        <f>J362+AF362</f>
        <v>1784904</v>
      </c>
      <c r="BK362" s="418">
        <f t="shared" si="579"/>
        <v>1784904</v>
      </c>
      <c r="BL362" s="418">
        <f t="shared" si="579"/>
        <v>0</v>
      </c>
      <c r="BM362" s="418">
        <f>M362+AN362</f>
        <v>0</v>
      </c>
      <c r="BN362" s="418">
        <f t="shared" si="580"/>
        <v>0</v>
      </c>
      <c r="BO362" s="418">
        <f t="shared" si="580"/>
        <v>0</v>
      </c>
      <c r="BP362" s="418">
        <f t="shared" si="581"/>
        <v>603298</v>
      </c>
      <c r="BQ362" s="418">
        <f t="shared" si="581"/>
        <v>17849</v>
      </c>
      <c r="BR362" s="418">
        <f>R362+AV362</f>
        <v>0</v>
      </c>
      <c r="BS362" s="419">
        <f>S362+BH362</f>
        <v>3.5714000000000001</v>
      </c>
      <c r="BT362" s="419">
        <f t="shared" si="582"/>
        <v>3.5714000000000001</v>
      </c>
      <c r="BU362" s="421">
        <f t="shared" si="582"/>
        <v>0</v>
      </c>
      <c r="BV362" s="420"/>
      <c r="BW362" s="415"/>
      <c r="BX362" s="415"/>
      <c r="BY362" s="415"/>
      <c r="BZ362" s="415"/>
      <c r="CA362" s="510"/>
    </row>
    <row r="363" spans="1:79" ht="14.1" customHeight="1" x14ac:dyDescent="0.2">
      <c r="A363" s="66">
        <v>72</v>
      </c>
      <c r="B363" s="63">
        <v>2491</v>
      </c>
      <c r="C363" s="64">
        <v>600079775</v>
      </c>
      <c r="D363" s="63">
        <v>70983003</v>
      </c>
      <c r="E363" s="65" t="s">
        <v>677</v>
      </c>
      <c r="F363" s="66">
        <v>3143</v>
      </c>
      <c r="G363" s="77" t="s">
        <v>596</v>
      </c>
      <c r="H363" s="67" t="s">
        <v>272</v>
      </c>
      <c r="I363" s="420">
        <v>46104</v>
      </c>
      <c r="J363" s="415">
        <v>33000</v>
      </c>
      <c r="K363" s="415">
        <v>0</v>
      </c>
      <c r="L363" s="605">
        <v>33000</v>
      </c>
      <c r="M363" s="415">
        <v>0</v>
      </c>
      <c r="N363" s="415">
        <v>0</v>
      </c>
      <c r="O363" s="415">
        <v>0</v>
      </c>
      <c r="P363" s="599">
        <v>11154</v>
      </c>
      <c r="Q363" s="599">
        <v>330</v>
      </c>
      <c r="R363" s="606">
        <v>1620</v>
      </c>
      <c r="S363" s="416">
        <v>0.125</v>
      </c>
      <c r="T363" s="609">
        <v>0</v>
      </c>
      <c r="U363" s="737">
        <v>0.125</v>
      </c>
      <c r="V363" s="424">
        <f t="shared" si="525"/>
        <v>0</v>
      </c>
      <c r="W363" s="418">
        <f t="shared" si="526"/>
        <v>0</v>
      </c>
      <c r="X363" s="418">
        <v>0</v>
      </c>
      <c r="Y363" s="418">
        <v>0</v>
      </c>
      <c r="Z363" s="418">
        <v>0</v>
      </c>
      <c r="AA363" s="418">
        <v>16500</v>
      </c>
      <c r="AB363" s="418">
        <v>0</v>
      </c>
      <c r="AC363" s="418">
        <v>0</v>
      </c>
      <c r="AD363" s="418">
        <f>V363+X363+Y363+Z363+AB363</f>
        <v>0</v>
      </c>
      <c r="AE363" s="418">
        <f>W363+AA363+AC363</f>
        <v>16500</v>
      </c>
      <c r="AF363" s="418">
        <f t="shared" si="527"/>
        <v>16500</v>
      </c>
      <c r="AG363" s="418">
        <v>0</v>
      </c>
      <c r="AH363" s="418">
        <v>0</v>
      </c>
      <c r="AI363" s="418">
        <v>0</v>
      </c>
      <c r="AJ363" s="418">
        <v>0</v>
      </c>
      <c r="AK363" s="418">
        <v>0</v>
      </c>
      <c r="AL363" s="418">
        <f t="shared" si="528"/>
        <v>0</v>
      </c>
      <c r="AM363" s="418">
        <f t="shared" si="529"/>
        <v>0</v>
      </c>
      <c r="AN363" s="418">
        <f t="shared" si="530"/>
        <v>0</v>
      </c>
      <c r="AO363" s="418">
        <f t="shared" si="531"/>
        <v>0</v>
      </c>
      <c r="AP363" s="418">
        <f t="shared" si="532"/>
        <v>16500</v>
      </c>
      <c r="AQ363" s="418">
        <f t="shared" si="533"/>
        <v>16500</v>
      </c>
      <c r="AR363" s="68">
        <f t="shared" si="534"/>
        <v>5577</v>
      </c>
      <c r="AS363" s="68">
        <f t="shared" si="535"/>
        <v>165</v>
      </c>
      <c r="AT363" s="418">
        <v>0</v>
      </c>
      <c r="AU363" s="418">
        <v>810</v>
      </c>
      <c r="AV363" s="418">
        <f t="shared" si="536"/>
        <v>810</v>
      </c>
      <c r="AW363" s="418">
        <f t="shared" si="537"/>
        <v>23052</v>
      </c>
      <c r="AX363" s="419">
        <v>0</v>
      </c>
      <c r="AY363" s="419">
        <v>0</v>
      </c>
      <c r="AZ363" s="419">
        <v>0</v>
      </c>
      <c r="BA363" s="419">
        <v>0</v>
      </c>
      <c r="BB363" s="419">
        <v>0.06</v>
      </c>
      <c r="BC363" s="419">
        <v>0</v>
      </c>
      <c r="BD363" s="419">
        <v>0</v>
      </c>
      <c r="BE363" s="419">
        <v>0</v>
      </c>
      <c r="BF363" s="419">
        <f t="shared" si="538"/>
        <v>0</v>
      </c>
      <c r="BG363" s="419">
        <f t="shared" si="539"/>
        <v>0.06</v>
      </c>
      <c r="BH363" s="421">
        <f t="shared" si="540"/>
        <v>0.06</v>
      </c>
      <c r="BI363" s="780">
        <f>I363+AW363</f>
        <v>69156</v>
      </c>
      <c r="BJ363" s="418">
        <f>J363+AF363</f>
        <v>49500</v>
      </c>
      <c r="BK363" s="418">
        <f t="shared" si="579"/>
        <v>0</v>
      </c>
      <c r="BL363" s="418">
        <f t="shared" si="579"/>
        <v>49500</v>
      </c>
      <c r="BM363" s="418">
        <f>M363+AN363</f>
        <v>0</v>
      </c>
      <c r="BN363" s="418">
        <f t="shared" si="580"/>
        <v>0</v>
      </c>
      <c r="BO363" s="418">
        <f t="shared" si="580"/>
        <v>0</v>
      </c>
      <c r="BP363" s="418">
        <f t="shared" si="581"/>
        <v>16731</v>
      </c>
      <c r="BQ363" s="418">
        <f t="shared" si="581"/>
        <v>495</v>
      </c>
      <c r="BR363" s="418">
        <f>R363+AV363</f>
        <v>2430</v>
      </c>
      <c r="BS363" s="419">
        <f>S363+BH363</f>
        <v>0.185</v>
      </c>
      <c r="BT363" s="419">
        <f t="shared" si="582"/>
        <v>0</v>
      </c>
      <c r="BU363" s="421">
        <f t="shared" si="582"/>
        <v>0.185</v>
      </c>
      <c r="BV363" s="420"/>
      <c r="BW363" s="415"/>
      <c r="BX363" s="415"/>
      <c r="BY363" s="415"/>
      <c r="BZ363" s="415"/>
      <c r="CA363" s="510"/>
    </row>
    <row r="364" spans="1:79" ht="14.1" customHeight="1" x14ac:dyDescent="0.2">
      <c r="A364" s="72">
        <v>72</v>
      </c>
      <c r="B364" s="69">
        <v>2491</v>
      </c>
      <c r="C364" s="70">
        <v>600079775</v>
      </c>
      <c r="D364" s="69">
        <v>70983003</v>
      </c>
      <c r="E364" s="71" t="s">
        <v>678</v>
      </c>
      <c r="F364" s="72"/>
      <c r="G364" s="71"/>
      <c r="H364" s="73"/>
      <c r="I364" s="517">
        <v>32468452</v>
      </c>
      <c r="J364" s="74">
        <v>23826048</v>
      </c>
      <c r="K364" s="74">
        <v>22415329</v>
      </c>
      <c r="L364" s="74">
        <v>1410719</v>
      </c>
      <c r="M364" s="74">
        <v>0</v>
      </c>
      <c r="N364" s="74">
        <v>0</v>
      </c>
      <c r="O364" s="74">
        <v>0</v>
      </c>
      <c r="P364" s="74">
        <v>8053204</v>
      </c>
      <c r="Q364" s="74">
        <v>238261</v>
      </c>
      <c r="R364" s="74">
        <v>350939</v>
      </c>
      <c r="S364" s="75">
        <v>39.911499999999997</v>
      </c>
      <c r="T364" s="75">
        <v>35.740399999999994</v>
      </c>
      <c r="U364" s="658">
        <v>4.1711</v>
      </c>
      <c r="V364" s="517">
        <f t="shared" ref="V364:BU364" si="583">SUM(V360:V363)</f>
        <v>0</v>
      </c>
      <c r="W364" s="74">
        <f t="shared" si="583"/>
        <v>0</v>
      </c>
      <c r="X364" s="74">
        <f t="shared" si="583"/>
        <v>-37136</v>
      </c>
      <c r="Y364" s="74">
        <f t="shared" si="583"/>
        <v>0</v>
      </c>
      <c r="Z364" s="74">
        <f t="shared" si="583"/>
        <v>0</v>
      </c>
      <c r="AA364" s="74">
        <f t="shared" si="583"/>
        <v>16500</v>
      </c>
      <c r="AB364" s="74">
        <f t="shared" si="583"/>
        <v>0</v>
      </c>
      <c r="AC364" s="74">
        <f t="shared" si="583"/>
        <v>0</v>
      </c>
      <c r="AD364" s="74">
        <f t="shared" si="583"/>
        <v>-37136</v>
      </c>
      <c r="AE364" s="74">
        <f t="shared" si="583"/>
        <v>16500</v>
      </c>
      <c r="AF364" s="74">
        <f t="shared" si="583"/>
        <v>-20636</v>
      </c>
      <c r="AG364" s="74">
        <f t="shared" si="583"/>
        <v>0</v>
      </c>
      <c r="AH364" s="74">
        <f t="shared" si="583"/>
        <v>0</v>
      </c>
      <c r="AI364" s="74">
        <f t="shared" si="583"/>
        <v>0</v>
      </c>
      <c r="AJ364" s="74">
        <f t="shared" si="583"/>
        <v>0</v>
      </c>
      <c r="AK364" s="74">
        <f t="shared" si="583"/>
        <v>0</v>
      </c>
      <c r="AL364" s="74">
        <f t="shared" si="583"/>
        <v>0</v>
      </c>
      <c r="AM364" s="74">
        <f t="shared" si="583"/>
        <v>0</v>
      </c>
      <c r="AN364" s="74">
        <f t="shared" si="583"/>
        <v>0</v>
      </c>
      <c r="AO364" s="74">
        <f t="shared" si="583"/>
        <v>-37136</v>
      </c>
      <c r="AP364" s="74">
        <f t="shared" si="583"/>
        <v>16500</v>
      </c>
      <c r="AQ364" s="74">
        <f t="shared" si="583"/>
        <v>-20636</v>
      </c>
      <c r="AR364" s="74">
        <f t="shared" si="583"/>
        <v>-6975</v>
      </c>
      <c r="AS364" s="74">
        <f t="shared" si="583"/>
        <v>-206</v>
      </c>
      <c r="AT364" s="74">
        <f t="shared" si="583"/>
        <v>0</v>
      </c>
      <c r="AU364" s="74">
        <f t="shared" si="583"/>
        <v>810</v>
      </c>
      <c r="AV364" s="74">
        <f t="shared" si="583"/>
        <v>810</v>
      </c>
      <c r="AW364" s="74">
        <f t="shared" si="583"/>
        <v>-27007</v>
      </c>
      <c r="AX364" s="75">
        <f t="shared" si="583"/>
        <v>0</v>
      </c>
      <c r="AY364" s="75">
        <f t="shared" si="583"/>
        <v>0</v>
      </c>
      <c r="AZ364" s="75">
        <f t="shared" si="583"/>
        <v>-0.08</v>
      </c>
      <c r="BA364" s="75">
        <f t="shared" si="583"/>
        <v>0</v>
      </c>
      <c r="BB364" s="75">
        <f t="shared" si="583"/>
        <v>0.06</v>
      </c>
      <c r="BC364" s="75">
        <f t="shared" si="583"/>
        <v>0</v>
      </c>
      <c r="BD364" s="75">
        <f t="shared" si="583"/>
        <v>0</v>
      </c>
      <c r="BE364" s="75">
        <f t="shared" si="583"/>
        <v>0</v>
      </c>
      <c r="BF364" s="75">
        <f t="shared" si="583"/>
        <v>-0.08</v>
      </c>
      <c r="BG364" s="75">
        <f t="shared" si="583"/>
        <v>0.06</v>
      </c>
      <c r="BH364" s="76">
        <f t="shared" si="583"/>
        <v>-2.0000000000000004E-2</v>
      </c>
      <c r="BI364" s="799">
        <f t="shared" si="583"/>
        <v>32441445</v>
      </c>
      <c r="BJ364" s="74">
        <f t="shared" si="583"/>
        <v>23805412</v>
      </c>
      <c r="BK364" s="74">
        <f t="shared" si="583"/>
        <v>22378193</v>
      </c>
      <c r="BL364" s="74">
        <f t="shared" si="583"/>
        <v>1427219</v>
      </c>
      <c r="BM364" s="74">
        <f t="shared" si="583"/>
        <v>0</v>
      </c>
      <c r="BN364" s="74">
        <f t="shared" si="583"/>
        <v>0</v>
      </c>
      <c r="BO364" s="74">
        <f t="shared" si="583"/>
        <v>0</v>
      </c>
      <c r="BP364" s="74">
        <f t="shared" si="583"/>
        <v>8046229</v>
      </c>
      <c r="BQ364" s="74">
        <f t="shared" si="583"/>
        <v>238055</v>
      </c>
      <c r="BR364" s="74">
        <f t="shared" si="583"/>
        <v>351749</v>
      </c>
      <c r="BS364" s="75">
        <f t="shared" si="583"/>
        <v>39.891499999999994</v>
      </c>
      <c r="BT364" s="75">
        <f t="shared" si="583"/>
        <v>35.660399999999996</v>
      </c>
      <c r="BU364" s="76">
        <f t="shared" si="583"/>
        <v>4.2310999999999996</v>
      </c>
      <c r="BV364" s="809">
        <f t="shared" ref="BV364:CA364" si="584">SUM(BV360:BV363)</f>
        <v>0</v>
      </c>
      <c r="BW364" s="684">
        <f t="shared" si="584"/>
        <v>0</v>
      </c>
      <c r="BX364" s="684">
        <f t="shared" si="584"/>
        <v>0</v>
      </c>
      <c r="BY364" s="684">
        <f t="shared" si="584"/>
        <v>0</v>
      </c>
      <c r="BZ364" s="684">
        <f t="shared" si="584"/>
        <v>0</v>
      </c>
      <c r="CA364" s="810">
        <f t="shared" si="584"/>
        <v>0</v>
      </c>
    </row>
    <row r="365" spans="1:79" ht="14.1" customHeight="1" x14ac:dyDescent="0.2">
      <c r="A365" s="66">
        <v>73</v>
      </c>
      <c r="B365" s="63">
        <v>2459</v>
      </c>
      <c r="C365" s="64">
        <v>650030583</v>
      </c>
      <c r="D365" s="63">
        <v>72744707</v>
      </c>
      <c r="E365" s="65" t="s">
        <v>679</v>
      </c>
      <c r="F365" s="66">
        <v>3111</v>
      </c>
      <c r="G365" s="65" t="s">
        <v>290</v>
      </c>
      <c r="H365" s="67" t="s">
        <v>271</v>
      </c>
      <c r="I365" s="420">
        <v>3346602</v>
      </c>
      <c r="J365" s="415">
        <v>2474522</v>
      </c>
      <c r="K365" s="415">
        <v>2354714</v>
      </c>
      <c r="L365" s="415">
        <v>119808</v>
      </c>
      <c r="M365" s="415">
        <v>0</v>
      </c>
      <c r="N365" s="415">
        <v>0</v>
      </c>
      <c r="O365" s="415">
        <v>0</v>
      </c>
      <c r="P365" s="599">
        <v>836388</v>
      </c>
      <c r="Q365" s="599">
        <v>24745</v>
      </c>
      <c r="R365" s="415">
        <v>10947</v>
      </c>
      <c r="S365" s="416">
        <v>4.4800000000000004</v>
      </c>
      <c r="T365" s="416">
        <v>4</v>
      </c>
      <c r="U365" s="423">
        <v>0.48</v>
      </c>
      <c r="V365" s="424">
        <f t="shared" si="525"/>
        <v>0</v>
      </c>
      <c r="W365" s="418">
        <f t="shared" si="526"/>
        <v>0</v>
      </c>
      <c r="X365" s="418">
        <v>0</v>
      </c>
      <c r="Y365" s="418">
        <v>0</v>
      </c>
      <c r="Z365" s="418">
        <v>0</v>
      </c>
      <c r="AA365" s="418">
        <v>0</v>
      </c>
      <c r="AB365" s="418">
        <v>0</v>
      </c>
      <c r="AC365" s="418">
        <v>0</v>
      </c>
      <c r="AD365" s="418">
        <f t="shared" ref="AD365:AD370" si="585">V365+X365+Y365+Z365+AB365</f>
        <v>0</v>
      </c>
      <c r="AE365" s="418">
        <f t="shared" ref="AE365:AE370" si="586">W365+AA365+AC365</f>
        <v>0</v>
      </c>
      <c r="AF365" s="418">
        <f t="shared" si="527"/>
        <v>0</v>
      </c>
      <c r="AG365" s="418">
        <v>0</v>
      </c>
      <c r="AH365" s="418">
        <v>0</v>
      </c>
      <c r="AI365" s="418">
        <v>0</v>
      </c>
      <c r="AJ365" s="418">
        <v>0</v>
      </c>
      <c r="AK365" s="418">
        <v>0</v>
      </c>
      <c r="AL365" s="418">
        <f t="shared" si="528"/>
        <v>0</v>
      </c>
      <c r="AM365" s="418">
        <f t="shared" si="529"/>
        <v>0</v>
      </c>
      <c r="AN365" s="418">
        <f t="shared" si="530"/>
        <v>0</v>
      </c>
      <c r="AO365" s="418">
        <f t="shared" si="531"/>
        <v>0</v>
      </c>
      <c r="AP365" s="418">
        <f t="shared" si="532"/>
        <v>0</v>
      </c>
      <c r="AQ365" s="418">
        <f t="shared" si="533"/>
        <v>0</v>
      </c>
      <c r="AR365" s="68">
        <f t="shared" si="534"/>
        <v>0</v>
      </c>
      <c r="AS365" s="68">
        <f t="shared" si="535"/>
        <v>0</v>
      </c>
      <c r="AT365" s="418">
        <v>0</v>
      </c>
      <c r="AU365" s="418">
        <v>0</v>
      </c>
      <c r="AV365" s="418">
        <f t="shared" si="536"/>
        <v>0</v>
      </c>
      <c r="AW365" s="418">
        <f t="shared" si="537"/>
        <v>0</v>
      </c>
      <c r="AX365" s="419">
        <v>0</v>
      </c>
      <c r="AY365" s="419">
        <v>0</v>
      </c>
      <c r="AZ365" s="419">
        <v>0</v>
      </c>
      <c r="BA365" s="419">
        <v>0</v>
      </c>
      <c r="BB365" s="419">
        <v>0</v>
      </c>
      <c r="BC365" s="419">
        <v>0</v>
      </c>
      <c r="BD365" s="419">
        <v>0</v>
      </c>
      <c r="BE365" s="419">
        <v>0</v>
      </c>
      <c r="BF365" s="419">
        <f t="shared" si="538"/>
        <v>0</v>
      </c>
      <c r="BG365" s="419">
        <f t="shared" si="539"/>
        <v>0</v>
      </c>
      <c r="BH365" s="421">
        <f t="shared" si="540"/>
        <v>0</v>
      </c>
      <c r="BI365" s="780">
        <f t="shared" ref="BI365:BI370" si="587">I365+AW365</f>
        <v>3346602</v>
      </c>
      <c r="BJ365" s="418">
        <f t="shared" ref="BJ365:BJ370" si="588">J365+AF365</f>
        <v>2474522</v>
      </c>
      <c r="BK365" s="418">
        <f t="shared" ref="BK365:BL370" si="589">K365+AD365</f>
        <v>2354714</v>
      </c>
      <c r="BL365" s="418">
        <f t="shared" si="589"/>
        <v>119808</v>
      </c>
      <c r="BM365" s="418">
        <f t="shared" ref="BM365:BM370" si="590">M365+AN365</f>
        <v>0</v>
      </c>
      <c r="BN365" s="418">
        <f t="shared" ref="BN365:BO370" si="591">N365+AL365</f>
        <v>0</v>
      </c>
      <c r="BO365" s="418">
        <f t="shared" si="591"/>
        <v>0</v>
      </c>
      <c r="BP365" s="418">
        <f t="shared" ref="BP365:BQ370" si="592">P365+AR365</f>
        <v>836388</v>
      </c>
      <c r="BQ365" s="418">
        <f t="shared" si="592"/>
        <v>24745</v>
      </c>
      <c r="BR365" s="418">
        <f t="shared" ref="BR365:BR370" si="593">R365+AV365</f>
        <v>10947</v>
      </c>
      <c r="BS365" s="419">
        <f t="shared" ref="BS365:BS370" si="594">S365+BH365</f>
        <v>4.4800000000000004</v>
      </c>
      <c r="BT365" s="419">
        <f t="shared" ref="BT365:BU370" si="595">T365+BF365</f>
        <v>4</v>
      </c>
      <c r="BU365" s="421">
        <f t="shared" si="595"/>
        <v>0.48</v>
      </c>
      <c r="BV365" s="420"/>
      <c r="BW365" s="415"/>
      <c r="BX365" s="415"/>
      <c r="BY365" s="415"/>
      <c r="BZ365" s="415"/>
      <c r="CA365" s="510"/>
    </row>
    <row r="366" spans="1:79" ht="14.1" customHeight="1" x14ac:dyDescent="0.2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679</v>
      </c>
      <c r="F366" s="66">
        <v>3117</v>
      </c>
      <c r="G366" s="65" t="s">
        <v>293</v>
      </c>
      <c r="H366" s="67" t="s">
        <v>271</v>
      </c>
      <c r="I366" s="420">
        <v>5796441</v>
      </c>
      <c r="J366" s="415">
        <v>4244958</v>
      </c>
      <c r="K366" s="415">
        <v>3726931</v>
      </c>
      <c r="L366" s="415">
        <v>518027</v>
      </c>
      <c r="M366" s="415">
        <v>0</v>
      </c>
      <c r="N366" s="415">
        <v>0</v>
      </c>
      <c r="O366" s="415">
        <v>0</v>
      </c>
      <c r="P366" s="599">
        <v>1434796</v>
      </c>
      <c r="Q366" s="599">
        <v>42450</v>
      </c>
      <c r="R366" s="415">
        <v>74237</v>
      </c>
      <c r="S366" s="416">
        <v>6.8632</v>
      </c>
      <c r="T366" s="416">
        <v>5.4545000000000003</v>
      </c>
      <c r="U366" s="423">
        <v>1.4086999999999998</v>
      </c>
      <c r="V366" s="424">
        <f t="shared" si="525"/>
        <v>0</v>
      </c>
      <c r="W366" s="418">
        <f t="shared" si="526"/>
        <v>0</v>
      </c>
      <c r="X366" s="418">
        <v>0</v>
      </c>
      <c r="Y366" s="418">
        <v>0</v>
      </c>
      <c r="Z366" s="418">
        <v>0</v>
      </c>
      <c r="AA366" s="418">
        <v>0</v>
      </c>
      <c r="AB366" s="418">
        <v>0</v>
      </c>
      <c r="AC366" s="418">
        <v>0</v>
      </c>
      <c r="AD366" s="418">
        <f t="shared" si="585"/>
        <v>0</v>
      </c>
      <c r="AE366" s="418">
        <f t="shared" si="586"/>
        <v>0</v>
      </c>
      <c r="AF366" s="418">
        <f t="shared" si="527"/>
        <v>0</v>
      </c>
      <c r="AG366" s="418">
        <v>0</v>
      </c>
      <c r="AH366" s="418">
        <v>0</v>
      </c>
      <c r="AI366" s="418">
        <v>0</v>
      </c>
      <c r="AJ366" s="418">
        <v>0</v>
      </c>
      <c r="AK366" s="418">
        <v>0</v>
      </c>
      <c r="AL366" s="418">
        <f t="shared" si="528"/>
        <v>0</v>
      </c>
      <c r="AM366" s="418">
        <f t="shared" si="529"/>
        <v>0</v>
      </c>
      <c r="AN366" s="418">
        <f t="shared" si="530"/>
        <v>0</v>
      </c>
      <c r="AO366" s="418">
        <f t="shared" si="531"/>
        <v>0</v>
      </c>
      <c r="AP366" s="418">
        <f t="shared" si="532"/>
        <v>0</v>
      </c>
      <c r="AQ366" s="418">
        <f t="shared" si="533"/>
        <v>0</v>
      </c>
      <c r="AR366" s="68">
        <f t="shared" si="534"/>
        <v>0</v>
      </c>
      <c r="AS366" s="68">
        <f t="shared" si="535"/>
        <v>0</v>
      </c>
      <c r="AT366" s="418">
        <v>0</v>
      </c>
      <c r="AU366" s="418">
        <v>0</v>
      </c>
      <c r="AV366" s="418">
        <f t="shared" si="536"/>
        <v>0</v>
      </c>
      <c r="AW366" s="418">
        <f t="shared" si="537"/>
        <v>0</v>
      </c>
      <c r="AX366" s="419">
        <v>0</v>
      </c>
      <c r="AY366" s="419">
        <v>0</v>
      </c>
      <c r="AZ366" s="419">
        <v>0</v>
      </c>
      <c r="BA366" s="419">
        <v>0</v>
      </c>
      <c r="BB366" s="419">
        <v>0</v>
      </c>
      <c r="BC366" s="419">
        <v>0</v>
      </c>
      <c r="BD366" s="419">
        <v>0</v>
      </c>
      <c r="BE366" s="419">
        <v>0</v>
      </c>
      <c r="BF366" s="419">
        <f t="shared" si="538"/>
        <v>0</v>
      </c>
      <c r="BG366" s="419">
        <f t="shared" si="539"/>
        <v>0</v>
      </c>
      <c r="BH366" s="421">
        <f t="shared" si="540"/>
        <v>0</v>
      </c>
      <c r="BI366" s="780">
        <f t="shared" si="587"/>
        <v>5796441</v>
      </c>
      <c r="BJ366" s="418">
        <f t="shared" si="588"/>
        <v>4244958</v>
      </c>
      <c r="BK366" s="418">
        <f t="shared" si="589"/>
        <v>3726931</v>
      </c>
      <c r="BL366" s="418">
        <f t="shared" si="589"/>
        <v>518027</v>
      </c>
      <c r="BM366" s="418">
        <f t="shared" si="590"/>
        <v>0</v>
      </c>
      <c r="BN366" s="418">
        <f t="shared" si="591"/>
        <v>0</v>
      </c>
      <c r="BO366" s="418">
        <f t="shared" si="591"/>
        <v>0</v>
      </c>
      <c r="BP366" s="418">
        <f t="shared" si="592"/>
        <v>1434796</v>
      </c>
      <c r="BQ366" s="418">
        <f t="shared" si="592"/>
        <v>42450</v>
      </c>
      <c r="BR366" s="418">
        <f t="shared" si="593"/>
        <v>74237</v>
      </c>
      <c r="BS366" s="419">
        <f t="shared" si="594"/>
        <v>6.8632</v>
      </c>
      <c r="BT366" s="419">
        <f t="shared" si="595"/>
        <v>5.4545000000000003</v>
      </c>
      <c r="BU366" s="421">
        <f t="shared" si="595"/>
        <v>1.4086999999999998</v>
      </c>
      <c r="BV366" s="420"/>
      <c r="BW366" s="415"/>
      <c r="BX366" s="415"/>
      <c r="BY366" s="415"/>
      <c r="BZ366" s="415"/>
      <c r="CA366" s="510"/>
    </row>
    <row r="367" spans="1:79" ht="14.1" customHeight="1" x14ac:dyDescent="0.2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679</v>
      </c>
      <c r="F367" s="66">
        <v>3117</v>
      </c>
      <c r="G367" s="77" t="s">
        <v>291</v>
      </c>
      <c r="H367" s="67" t="s">
        <v>272</v>
      </c>
      <c r="I367" s="420">
        <v>885932</v>
      </c>
      <c r="J367" s="415">
        <v>657220</v>
      </c>
      <c r="K367" s="415">
        <v>657220</v>
      </c>
      <c r="L367" s="415">
        <v>0</v>
      </c>
      <c r="M367" s="415">
        <v>0</v>
      </c>
      <c r="N367" s="415">
        <v>0</v>
      </c>
      <c r="O367" s="415">
        <v>0</v>
      </c>
      <c r="P367" s="599">
        <v>222140</v>
      </c>
      <c r="Q367" s="599">
        <v>6572</v>
      </c>
      <c r="R367" s="415">
        <v>0</v>
      </c>
      <c r="S367" s="416">
        <v>1.7400000000000002</v>
      </c>
      <c r="T367" s="417">
        <v>1.7400000000000002</v>
      </c>
      <c r="U367" s="423">
        <v>0</v>
      </c>
      <c r="V367" s="424">
        <f t="shared" si="525"/>
        <v>0</v>
      </c>
      <c r="W367" s="418">
        <f t="shared" si="526"/>
        <v>0</v>
      </c>
      <c r="X367" s="418">
        <v>0</v>
      </c>
      <c r="Y367" s="418">
        <v>0</v>
      </c>
      <c r="Z367" s="418">
        <v>0</v>
      </c>
      <c r="AA367" s="418">
        <v>0</v>
      </c>
      <c r="AB367" s="418">
        <v>0</v>
      </c>
      <c r="AC367" s="418">
        <v>0</v>
      </c>
      <c r="AD367" s="418">
        <f t="shared" si="585"/>
        <v>0</v>
      </c>
      <c r="AE367" s="418">
        <f t="shared" si="586"/>
        <v>0</v>
      </c>
      <c r="AF367" s="418">
        <f t="shared" si="527"/>
        <v>0</v>
      </c>
      <c r="AG367" s="418">
        <v>0</v>
      </c>
      <c r="AH367" s="418">
        <v>0</v>
      </c>
      <c r="AI367" s="418">
        <v>0</v>
      </c>
      <c r="AJ367" s="418">
        <v>0</v>
      </c>
      <c r="AK367" s="418">
        <v>0</v>
      </c>
      <c r="AL367" s="418">
        <f t="shared" si="528"/>
        <v>0</v>
      </c>
      <c r="AM367" s="418">
        <f t="shared" si="529"/>
        <v>0</v>
      </c>
      <c r="AN367" s="418">
        <f t="shared" si="530"/>
        <v>0</v>
      </c>
      <c r="AO367" s="418">
        <f t="shared" si="531"/>
        <v>0</v>
      </c>
      <c r="AP367" s="418">
        <f t="shared" si="532"/>
        <v>0</v>
      </c>
      <c r="AQ367" s="418">
        <f t="shared" si="533"/>
        <v>0</v>
      </c>
      <c r="AR367" s="68">
        <f t="shared" si="534"/>
        <v>0</v>
      </c>
      <c r="AS367" s="68">
        <f t="shared" si="535"/>
        <v>0</v>
      </c>
      <c r="AT367" s="418">
        <v>0</v>
      </c>
      <c r="AU367" s="418">
        <v>0</v>
      </c>
      <c r="AV367" s="418">
        <f t="shared" si="536"/>
        <v>0</v>
      </c>
      <c r="AW367" s="418">
        <f t="shared" si="537"/>
        <v>0</v>
      </c>
      <c r="AX367" s="419">
        <v>0</v>
      </c>
      <c r="AY367" s="419">
        <v>0</v>
      </c>
      <c r="AZ367" s="419">
        <v>0</v>
      </c>
      <c r="BA367" s="419">
        <v>0</v>
      </c>
      <c r="BB367" s="419">
        <v>0</v>
      </c>
      <c r="BC367" s="419">
        <v>0</v>
      </c>
      <c r="BD367" s="419">
        <v>0</v>
      </c>
      <c r="BE367" s="419">
        <v>0</v>
      </c>
      <c r="BF367" s="419">
        <f t="shared" si="538"/>
        <v>0</v>
      </c>
      <c r="BG367" s="419">
        <f t="shared" si="539"/>
        <v>0</v>
      </c>
      <c r="BH367" s="421">
        <f t="shared" si="540"/>
        <v>0</v>
      </c>
      <c r="BI367" s="780">
        <f t="shared" si="587"/>
        <v>885932</v>
      </c>
      <c r="BJ367" s="418">
        <f t="shared" si="588"/>
        <v>657220</v>
      </c>
      <c r="BK367" s="418">
        <f t="shared" si="589"/>
        <v>657220</v>
      </c>
      <c r="BL367" s="418">
        <f t="shared" si="589"/>
        <v>0</v>
      </c>
      <c r="BM367" s="418">
        <f t="shared" si="590"/>
        <v>0</v>
      </c>
      <c r="BN367" s="418">
        <f t="shared" si="591"/>
        <v>0</v>
      </c>
      <c r="BO367" s="418">
        <f t="shared" si="591"/>
        <v>0</v>
      </c>
      <c r="BP367" s="418">
        <f t="shared" si="592"/>
        <v>222140</v>
      </c>
      <c r="BQ367" s="418">
        <f t="shared" si="592"/>
        <v>6572</v>
      </c>
      <c r="BR367" s="418">
        <f t="shared" si="593"/>
        <v>0</v>
      </c>
      <c r="BS367" s="419">
        <f t="shared" si="594"/>
        <v>1.7400000000000002</v>
      </c>
      <c r="BT367" s="419">
        <f t="shared" si="595"/>
        <v>1.7400000000000002</v>
      </c>
      <c r="BU367" s="421">
        <f t="shared" si="595"/>
        <v>0</v>
      </c>
      <c r="BV367" s="420"/>
      <c r="BW367" s="415"/>
      <c r="BX367" s="415"/>
      <c r="BY367" s="415"/>
      <c r="BZ367" s="415"/>
      <c r="CA367" s="510"/>
    </row>
    <row r="368" spans="1:79" ht="14.1" customHeight="1" x14ac:dyDescent="0.2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679</v>
      </c>
      <c r="F368" s="66">
        <v>3141</v>
      </c>
      <c r="G368" s="65" t="s">
        <v>294</v>
      </c>
      <c r="H368" s="67" t="s">
        <v>272</v>
      </c>
      <c r="I368" s="420">
        <v>755350</v>
      </c>
      <c r="J368" s="415">
        <v>558012</v>
      </c>
      <c r="K368" s="415">
        <v>0</v>
      </c>
      <c r="L368" s="750">
        <v>558012</v>
      </c>
      <c r="M368" s="415">
        <v>0</v>
      </c>
      <c r="N368" s="204">
        <v>0</v>
      </c>
      <c r="O368" s="204">
        <v>0</v>
      </c>
      <c r="P368" s="599">
        <v>188608</v>
      </c>
      <c r="Q368" s="599">
        <v>5580</v>
      </c>
      <c r="R368" s="605">
        <v>3150</v>
      </c>
      <c r="S368" s="416">
        <v>1.6733</v>
      </c>
      <c r="T368" s="607">
        <v>0</v>
      </c>
      <c r="U368" s="737">
        <v>1.6733</v>
      </c>
      <c r="V368" s="424">
        <f t="shared" si="525"/>
        <v>0</v>
      </c>
      <c r="W368" s="418">
        <f t="shared" si="526"/>
        <v>0</v>
      </c>
      <c r="X368" s="418">
        <v>0</v>
      </c>
      <c r="Y368" s="418">
        <v>0</v>
      </c>
      <c r="Z368" s="418">
        <v>0</v>
      </c>
      <c r="AA368" s="418">
        <v>277630</v>
      </c>
      <c r="AB368" s="418">
        <v>0</v>
      </c>
      <c r="AC368" s="418">
        <v>0</v>
      </c>
      <c r="AD368" s="418">
        <f t="shared" si="585"/>
        <v>0</v>
      </c>
      <c r="AE368" s="418">
        <f t="shared" si="586"/>
        <v>277630</v>
      </c>
      <c r="AF368" s="418">
        <f t="shared" si="527"/>
        <v>277630</v>
      </c>
      <c r="AG368" s="418">
        <v>0</v>
      </c>
      <c r="AH368" s="418">
        <v>0</v>
      </c>
      <c r="AI368" s="418">
        <v>0</v>
      </c>
      <c r="AJ368" s="418">
        <v>0</v>
      </c>
      <c r="AK368" s="418">
        <v>0</v>
      </c>
      <c r="AL368" s="418">
        <f t="shared" si="528"/>
        <v>0</v>
      </c>
      <c r="AM368" s="418">
        <f t="shared" si="529"/>
        <v>0</v>
      </c>
      <c r="AN368" s="418">
        <f t="shared" si="530"/>
        <v>0</v>
      </c>
      <c r="AO368" s="418">
        <f t="shared" si="531"/>
        <v>0</v>
      </c>
      <c r="AP368" s="418">
        <f t="shared" si="532"/>
        <v>277630</v>
      </c>
      <c r="AQ368" s="418">
        <f t="shared" si="533"/>
        <v>277630</v>
      </c>
      <c r="AR368" s="68">
        <f t="shared" si="534"/>
        <v>93839</v>
      </c>
      <c r="AS368" s="68">
        <f t="shared" si="535"/>
        <v>2776</v>
      </c>
      <c r="AT368" s="418">
        <v>0</v>
      </c>
      <c r="AU368" s="418">
        <v>1530</v>
      </c>
      <c r="AV368" s="418">
        <f t="shared" si="536"/>
        <v>1530</v>
      </c>
      <c r="AW368" s="418">
        <f t="shared" si="537"/>
        <v>375775</v>
      </c>
      <c r="AX368" s="419">
        <v>0</v>
      </c>
      <c r="AY368" s="419">
        <v>0</v>
      </c>
      <c r="AZ368" s="419">
        <v>0</v>
      </c>
      <c r="BA368" s="419">
        <v>0</v>
      </c>
      <c r="BB368" s="419">
        <v>0.84</v>
      </c>
      <c r="BC368" s="419">
        <v>0</v>
      </c>
      <c r="BD368" s="419">
        <v>0</v>
      </c>
      <c r="BE368" s="419">
        <v>0</v>
      </c>
      <c r="BF368" s="419">
        <f t="shared" si="538"/>
        <v>0</v>
      </c>
      <c r="BG368" s="419">
        <f t="shared" si="539"/>
        <v>0.84</v>
      </c>
      <c r="BH368" s="421">
        <f t="shared" si="540"/>
        <v>0.84</v>
      </c>
      <c r="BI368" s="780">
        <f t="shared" si="587"/>
        <v>1131125</v>
      </c>
      <c r="BJ368" s="418">
        <f t="shared" si="588"/>
        <v>835642</v>
      </c>
      <c r="BK368" s="418">
        <f t="shared" si="589"/>
        <v>0</v>
      </c>
      <c r="BL368" s="418">
        <f t="shared" si="589"/>
        <v>835642</v>
      </c>
      <c r="BM368" s="418">
        <f t="shared" si="590"/>
        <v>0</v>
      </c>
      <c r="BN368" s="418">
        <f t="shared" si="591"/>
        <v>0</v>
      </c>
      <c r="BO368" s="418">
        <f t="shared" si="591"/>
        <v>0</v>
      </c>
      <c r="BP368" s="418">
        <f t="shared" si="592"/>
        <v>282447</v>
      </c>
      <c r="BQ368" s="418">
        <f t="shared" si="592"/>
        <v>8356</v>
      </c>
      <c r="BR368" s="418">
        <f t="shared" si="593"/>
        <v>4680</v>
      </c>
      <c r="BS368" s="419">
        <f t="shared" si="594"/>
        <v>2.5133000000000001</v>
      </c>
      <c r="BT368" s="419">
        <f t="shared" si="595"/>
        <v>0</v>
      </c>
      <c r="BU368" s="421">
        <f t="shared" si="595"/>
        <v>2.5133000000000001</v>
      </c>
      <c r="BV368" s="420"/>
      <c r="BW368" s="415"/>
      <c r="BX368" s="415"/>
      <c r="BY368" s="415"/>
      <c r="BZ368" s="415"/>
      <c r="CA368" s="510"/>
    </row>
    <row r="369" spans="1:82" ht="14.1" customHeight="1" x14ac:dyDescent="0.2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679</v>
      </c>
      <c r="F369" s="66">
        <v>3143</v>
      </c>
      <c r="G369" s="77" t="s">
        <v>595</v>
      </c>
      <c r="H369" s="67" t="s">
        <v>271</v>
      </c>
      <c r="I369" s="420">
        <v>441130</v>
      </c>
      <c r="J369" s="415">
        <v>327248</v>
      </c>
      <c r="K369" s="415">
        <v>327248</v>
      </c>
      <c r="L369" s="415">
        <v>0</v>
      </c>
      <c r="M369" s="415">
        <v>0</v>
      </c>
      <c r="N369" s="415">
        <v>0</v>
      </c>
      <c r="O369" s="415">
        <v>0</v>
      </c>
      <c r="P369" s="599">
        <v>110610</v>
      </c>
      <c r="Q369" s="599">
        <v>3272</v>
      </c>
      <c r="R369" s="415">
        <v>0</v>
      </c>
      <c r="S369" s="416">
        <v>0.66</v>
      </c>
      <c r="T369" s="416">
        <v>0.66</v>
      </c>
      <c r="U369" s="423">
        <v>0</v>
      </c>
      <c r="V369" s="424">
        <f t="shared" si="525"/>
        <v>0</v>
      </c>
      <c r="W369" s="418">
        <f t="shared" si="526"/>
        <v>0</v>
      </c>
      <c r="X369" s="418">
        <v>0</v>
      </c>
      <c r="Y369" s="418">
        <v>0</v>
      </c>
      <c r="Z369" s="418">
        <v>0</v>
      </c>
      <c r="AA369" s="418">
        <v>0</v>
      </c>
      <c r="AB369" s="418">
        <v>0</v>
      </c>
      <c r="AC369" s="418">
        <v>0</v>
      </c>
      <c r="AD369" s="418">
        <f t="shared" si="585"/>
        <v>0</v>
      </c>
      <c r="AE369" s="418">
        <f t="shared" si="586"/>
        <v>0</v>
      </c>
      <c r="AF369" s="418">
        <f t="shared" si="527"/>
        <v>0</v>
      </c>
      <c r="AG369" s="418">
        <v>0</v>
      </c>
      <c r="AH369" s="418">
        <v>0</v>
      </c>
      <c r="AI369" s="418">
        <v>0</v>
      </c>
      <c r="AJ369" s="418">
        <v>0</v>
      </c>
      <c r="AK369" s="418">
        <v>0</v>
      </c>
      <c r="AL369" s="418">
        <f t="shared" si="528"/>
        <v>0</v>
      </c>
      <c r="AM369" s="418">
        <f t="shared" si="529"/>
        <v>0</v>
      </c>
      <c r="AN369" s="418">
        <f t="shared" si="530"/>
        <v>0</v>
      </c>
      <c r="AO369" s="418">
        <f t="shared" si="531"/>
        <v>0</v>
      </c>
      <c r="AP369" s="418">
        <f t="shared" si="532"/>
        <v>0</v>
      </c>
      <c r="AQ369" s="418">
        <f t="shared" si="533"/>
        <v>0</v>
      </c>
      <c r="AR369" s="68">
        <f t="shared" si="534"/>
        <v>0</v>
      </c>
      <c r="AS369" s="68">
        <f t="shared" si="535"/>
        <v>0</v>
      </c>
      <c r="AT369" s="418">
        <v>0</v>
      </c>
      <c r="AU369" s="418">
        <v>0</v>
      </c>
      <c r="AV369" s="418">
        <f t="shared" si="536"/>
        <v>0</v>
      </c>
      <c r="AW369" s="418">
        <f t="shared" si="537"/>
        <v>0</v>
      </c>
      <c r="AX369" s="419">
        <v>0</v>
      </c>
      <c r="AY369" s="419">
        <v>0</v>
      </c>
      <c r="AZ369" s="419">
        <v>0</v>
      </c>
      <c r="BA369" s="419">
        <v>0</v>
      </c>
      <c r="BB369" s="419">
        <v>0</v>
      </c>
      <c r="BC369" s="419">
        <v>0</v>
      </c>
      <c r="BD369" s="419">
        <v>0</v>
      </c>
      <c r="BE369" s="419">
        <v>0</v>
      </c>
      <c r="BF369" s="419">
        <f t="shared" si="538"/>
        <v>0</v>
      </c>
      <c r="BG369" s="419">
        <f t="shared" si="539"/>
        <v>0</v>
      </c>
      <c r="BH369" s="421">
        <f t="shared" si="540"/>
        <v>0</v>
      </c>
      <c r="BI369" s="780">
        <f t="shared" si="587"/>
        <v>441130</v>
      </c>
      <c r="BJ369" s="418">
        <f t="shared" si="588"/>
        <v>327248</v>
      </c>
      <c r="BK369" s="418">
        <f t="shared" si="589"/>
        <v>327248</v>
      </c>
      <c r="BL369" s="418">
        <f t="shared" si="589"/>
        <v>0</v>
      </c>
      <c r="BM369" s="418">
        <f t="shared" si="590"/>
        <v>0</v>
      </c>
      <c r="BN369" s="418">
        <f t="shared" si="591"/>
        <v>0</v>
      </c>
      <c r="BO369" s="418">
        <f t="shared" si="591"/>
        <v>0</v>
      </c>
      <c r="BP369" s="418">
        <f t="shared" si="592"/>
        <v>110610</v>
      </c>
      <c r="BQ369" s="418">
        <f t="shared" si="592"/>
        <v>3272</v>
      </c>
      <c r="BR369" s="418">
        <f t="shared" si="593"/>
        <v>0</v>
      </c>
      <c r="BS369" s="419">
        <f t="shared" si="594"/>
        <v>0.66</v>
      </c>
      <c r="BT369" s="419">
        <f t="shared" si="595"/>
        <v>0.66</v>
      </c>
      <c r="BU369" s="421">
        <f t="shared" si="595"/>
        <v>0</v>
      </c>
      <c r="BV369" s="420"/>
      <c r="BW369" s="415"/>
      <c r="BX369" s="415"/>
      <c r="BY369" s="415"/>
      <c r="BZ369" s="415"/>
      <c r="CA369" s="510"/>
    </row>
    <row r="370" spans="1:82" ht="14.1" customHeight="1" x14ac:dyDescent="0.2">
      <c r="A370" s="66">
        <v>73</v>
      </c>
      <c r="B370" s="63">
        <v>2459</v>
      </c>
      <c r="C370" s="64">
        <v>650030583</v>
      </c>
      <c r="D370" s="63">
        <v>72744707</v>
      </c>
      <c r="E370" s="65" t="s">
        <v>679</v>
      </c>
      <c r="F370" s="66">
        <v>3143</v>
      </c>
      <c r="G370" s="77" t="s">
        <v>596</v>
      </c>
      <c r="H370" s="67" t="s">
        <v>272</v>
      </c>
      <c r="I370" s="420">
        <v>13831</v>
      </c>
      <c r="J370" s="415">
        <v>9900</v>
      </c>
      <c r="K370" s="415">
        <v>0</v>
      </c>
      <c r="L370" s="605">
        <v>9900</v>
      </c>
      <c r="M370" s="415">
        <v>0</v>
      </c>
      <c r="N370" s="415">
        <v>0</v>
      </c>
      <c r="O370" s="415">
        <v>0</v>
      </c>
      <c r="P370" s="599">
        <v>3346</v>
      </c>
      <c r="Q370" s="599">
        <v>99</v>
      </c>
      <c r="R370" s="606">
        <v>486</v>
      </c>
      <c r="S370" s="416">
        <v>3.7499999999999999E-2</v>
      </c>
      <c r="T370" s="609">
        <v>0</v>
      </c>
      <c r="U370" s="737">
        <v>3.7499999999999999E-2</v>
      </c>
      <c r="V370" s="424">
        <f t="shared" si="525"/>
        <v>0</v>
      </c>
      <c r="W370" s="418">
        <f t="shared" si="526"/>
        <v>0</v>
      </c>
      <c r="X370" s="418">
        <v>0</v>
      </c>
      <c r="Y370" s="418">
        <v>0</v>
      </c>
      <c r="Z370" s="418">
        <v>0</v>
      </c>
      <c r="AA370" s="418">
        <v>4950</v>
      </c>
      <c r="AB370" s="418">
        <v>0</v>
      </c>
      <c r="AC370" s="418">
        <v>0</v>
      </c>
      <c r="AD370" s="418">
        <f t="shared" si="585"/>
        <v>0</v>
      </c>
      <c r="AE370" s="418">
        <f t="shared" si="586"/>
        <v>4950</v>
      </c>
      <c r="AF370" s="418">
        <f t="shared" si="527"/>
        <v>4950</v>
      </c>
      <c r="AG370" s="418">
        <v>0</v>
      </c>
      <c r="AH370" s="418">
        <v>0</v>
      </c>
      <c r="AI370" s="418">
        <v>0</v>
      </c>
      <c r="AJ370" s="418">
        <v>0</v>
      </c>
      <c r="AK370" s="418">
        <v>0</v>
      </c>
      <c r="AL370" s="418">
        <f t="shared" si="528"/>
        <v>0</v>
      </c>
      <c r="AM370" s="418">
        <f t="shared" si="529"/>
        <v>0</v>
      </c>
      <c r="AN370" s="418">
        <f t="shared" si="530"/>
        <v>0</v>
      </c>
      <c r="AO370" s="418">
        <f t="shared" si="531"/>
        <v>0</v>
      </c>
      <c r="AP370" s="418">
        <f t="shared" si="532"/>
        <v>4950</v>
      </c>
      <c r="AQ370" s="418">
        <f t="shared" si="533"/>
        <v>4950</v>
      </c>
      <c r="AR370" s="68">
        <f t="shared" si="534"/>
        <v>1673</v>
      </c>
      <c r="AS370" s="68">
        <f t="shared" si="535"/>
        <v>50</v>
      </c>
      <c r="AT370" s="418">
        <v>0</v>
      </c>
      <c r="AU370" s="418">
        <v>243</v>
      </c>
      <c r="AV370" s="418">
        <f t="shared" si="536"/>
        <v>243</v>
      </c>
      <c r="AW370" s="418">
        <f t="shared" si="537"/>
        <v>6916</v>
      </c>
      <c r="AX370" s="419">
        <v>0</v>
      </c>
      <c r="AY370" s="419">
        <v>0</v>
      </c>
      <c r="AZ370" s="419">
        <v>0</v>
      </c>
      <c r="BA370" s="419">
        <v>0</v>
      </c>
      <c r="BB370" s="419">
        <v>0.02</v>
      </c>
      <c r="BC370" s="419">
        <v>0</v>
      </c>
      <c r="BD370" s="419">
        <v>0</v>
      </c>
      <c r="BE370" s="419">
        <v>0</v>
      </c>
      <c r="BF370" s="419">
        <f t="shared" si="538"/>
        <v>0</v>
      </c>
      <c r="BG370" s="419">
        <f t="shared" si="539"/>
        <v>0.02</v>
      </c>
      <c r="BH370" s="421">
        <f t="shared" si="540"/>
        <v>0.02</v>
      </c>
      <c r="BI370" s="780">
        <f t="shared" si="587"/>
        <v>20747</v>
      </c>
      <c r="BJ370" s="418">
        <f t="shared" si="588"/>
        <v>14850</v>
      </c>
      <c r="BK370" s="418">
        <f t="shared" si="589"/>
        <v>0</v>
      </c>
      <c r="BL370" s="418">
        <f t="shared" si="589"/>
        <v>14850</v>
      </c>
      <c r="BM370" s="418">
        <f t="shared" si="590"/>
        <v>0</v>
      </c>
      <c r="BN370" s="418">
        <f t="shared" si="591"/>
        <v>0</v>
      </c>
      <c r="BO370" s="418">
        <f t="shared" si="591"/>
        <v>0</v>
      </c>
      <c r="BP370" s="418">
        <f t="shared" si="592"/>
        <v>5019</v>
      </c>
      <c r="BQ370" s="418">
        <f t="shared" si="592"/>
        <v>149</v>
      </c>
      <c r="BR370" s="418">
        <f t="shared" si="593"/>
        <v>729</v>
      </c>
      <c r="BS370" s="419">
        <f t="shared" si="594"/>
        <v>5.7499999999999996E-2</v>
      </c>
      <c r="BT370" s="419">
        <f t="shared" si="595"/>
        <v>0</v>
      </c>
      <c r="BU370" s="421">
        <f t="shared" si="595"/>
        <v>5.7499999999999996E-2</v>
      </c>
      <c r="BV370" s="420"/>
      <c r="BW370" s="415"/>
      <c r="BX370" s="415"/>
      <c r="BY370" s="415"/>
      <c r="BZ370" s="415"/>
      <c r="CA370" s="510"/>
    </row>
    <row r="371" spans="1:82" ht="14.1" customHeight="1" x14ac:dyDescent="0.2">
      <c r="A371" s="72">
        <v>73</v>
      </c>
      <c r="B371" s="69">
        <v>2459</v>
      </c>
      <c r="C371" s="70">
        <v>650030583</v>
      </c>
      <c r="D371" s="69">
        <v>72744707</v>
      </c>
      <c r="E371" s="71" t="s">
        <v>680</v>
      </c>
      <c r="F371" s="72"/>
      <c r="G371" s="71"/>
      <c r="H371" s="73"/>
      <c r="I371" s="517">
        <v>11239286</v>
      </c>
      <c r="J371" s="74">
        <v>8271860</v>
      </c>
      <c r="K371" s="74">
        <v>7066113</v>
      </c>
      <c r="L371" s="74">
        <v>1205747</v>
      </c>
      <c r="M371" s="74">
        <v>0</v>
      </c>
      <c r="N371" s="74">
        <v>0</v>
      </c>
      <c r="O371" s="74">
        <v>0</v>
      </c>
      <c r="P371" s="74">
        <v>2795888</v>
      </c>
      <c r="Q371" s="74">
        <v>82718</v>
      </c>
      <c r="R371" s="74">
        <v>88820</v>
      </c>
      <c r="S371" s="75">
        <v>15.453999999999999</v>
      </c>
      <c r="T371" s="75">
        <v>11.8545</v>
      </c>
      <c r="U371" s="658">
        <v>3.5994999999999999</v>
      </c>
      <c r="V371" s="517">
        <f t="shared" ref="V371:BU371" si="596">SUM(V365:V370)</f>
        <v>0</v>
      </c>
      <c r="W371" s="74">
        <f t="shared" si="596"/>
        <v>0</v>
      </c>
      <c r="X371" s="74">
        <f t="shared" si="596"/>
        <v>0</v>
      </c>
      <c r="Y371" s="74">
        <f t="shared" si="596"/>
        <v>0</v>
      </c>
      <c r="Z371" s="74">
        <f t="shared" si="596"/>
        <v>0</v>
      </c>
      <c r="AA371" s="74">
        <f t="shared" si="596"/>
        <v>282580</v>
      </c>
      <c r="AB371" s="74">
        <f t="shared" si="596"/>
        <v>0</v>
      </c>
      <c r="AC371" s="74">
        <f t="shared" si="596"/>
        <v>0</v>
      </c>
      <c r="AD371" s="74">
        <f t="shared" si="596"/>
        <v>0</v>
      </c>
      <c r="AE371" s="74">
        <f t="shared" si="596"/>
        <v>282580</v>
      </c>
      <c r="AF371" s="74">
        <f t="shared" si="596"/>
        <v>282580</v>
      </c>
      <c r="AG371" s="74">
        <f t="shared" si="596"/>
        <v>0</v>
      </c>
      <c r="AH371" s="74">
        <f t="shared" si="596"/>
        <v>0</v>
      </c>
      <c r="AI371" s="74">
        <f t="shared" si="596"/>
        <v>0</v>
      </c>
      <c r="AJ371" s="74">
        <f t="shared" si="596"/>
        <v>0</v>
      </c>
      <c r="AK371" s="74">
        <f t="shared" si="596"/>
        <v>0</v>
      </c>
      <c r="AL371" s="74">
        <f t="shared" si="596"/>
        <v>0</v>
      </c>
      <c r="AM371" s="74">
        <f t="shared" si="596"/>
        <v>0</v>
      </c>
      <c r="AN371" s="74">
        <f t="shared" si="596"/>
        <v>0</v>
      </c>
      <c r="AO371" s="74">
        <f t="shared" si="596"/>
        <v>0</v>
      </c>
      <c r="AP371" s="74">
        <f t="shared" si="596"/>
        <v>282580</v>
      </c>
      <c r="AQ371" s="74">
        <f t="shared" si="596"/>
        <v>282580</v>
      </c>
      <c r="AR371" s="74">
        <f t="shared" si="596"/>
        <v>95512</v>
      </c>
      <c r="AS371" s="74">
        <f t="shared" si="596"/>
        <v>2826</v>
      </c>
      <c r="AT371" s="74">
        <f t="shared" si="596"/>
        <v>0</v>
      </c>
      <c r="AU371" s="74">
        <f t="shared" si="596"/>
        <v>1773</v>
      </c>
      <c r="AV371" s="74">
        <f t="shared" si="596"/>
        <v>1773</v>
      </c>
      <c r="AW371" s="74">
        <f t="shared" si="596"/>
        <v>382691</v>
      </c>
      <c r="AX371" s="75">
        <f t="shared" si="596"/>
        <v>0</v>
      </c>
      <c r="AY371" s="75">
        <f t="shared" si="596"/>
        <v>0</v>
      </c>
      <c r="AZ371" s="75">
        <f t="shared" si="596"/>
        <v>0</v>
      </c>
      <c r="BA371" s="75">
        <f t="shared" si="596"/>
        <v>0</v>
      </c>
      <c r="BB371" s="75">
        <f t="shared" si="596"/>
        <v>0.86</v>
      </c>
      <c r="BC371" s="75">
        <f t="shared" si="596"/>
        <v>0</v>
      </c>
      <c r="BD371" s="75">
        <f t="shared" si="596"/>
        <v>0</v>
      </c>
      <c r="BE371" s="75">
        <f t="shared" si="596"/>
        <v>0</v>
      </c>
      <c r="BF371" s="75">
        <f t="shared" si="596"/>
        <v>0</v>
      </c>
      <c r="BG371" s="75">
        <f t="shared" si="596"/>
        <v>0.86</v>
      </c>
      <c r="BH371" s="76">
        <f t="shared" si="596"/>
        <v>0.86</v>
      </c>
      <c r="BI371" s="799">
        <f t="shared" si="596"/>
        <v>11621977</v>
      </c>
      <c r="BJ371" s="74">
        <f t="shared" si="596"/>
        <v>8554440</v>
      </c>
      <c r="BK371" s="74">
        <f t="shared" si="596"/>
        <v>7066113</v>
      </c>
      <c r="BL371" s="74">
        <f t="shared" si="596"/>
        <v>1488327</v>
      </c>
      <c r="BM371" s="74">
        <f t="shared" si="596"/>
        <v>0</v>
      </c>
      <c r="BN371" s="74">
        <f t="shared" si="596"/>
        <v>0</v>
      </c>
      <c r="BO371" s="74">
        <f t="shared" si="596"/>
        <v>0</v>
      </c>
      <c r="BP371" s="74">
        <f t="shared" si="596"/>
        <v>2891400</v>
      </c>
      <c r="BQ371" s="74">
        <f t="shared" si="596"/>
        <v>85544</v>
      </c>
      <c r="BR371" s="74">
        <f t="shared" si="596"/>
        <v>90593</v>
      </c>
      <c r="BS371" s="75">
        <f t="shared" si="596"/>
        <v>16.314</v>
      </c>
      <c r="BT371" s="75">
        <f t="shared" si="596"/>
        <v>11.8545</v>
      </c>
      <c r="BU371" s="76">
        <f t="shared" si="596"/>
        <v>4.4595000000000002</v>
      </c>
      <c r="BV371" s="809">
        <f t="shared" ref="BV371:CA371" si="597">SUM(BV365:BV370)</f>
        <v>0</v>
      </c>
      <c r="BW371" s="684">
        <f t="shared" si="597"/>
        <v>0</v>
      </c>
      <c r="BX371" s="684">
        <f t="shared" si="597"/>
        <v>0</v>
      </c>
      <c r="BY371" s="684">
        <f t="shared" si="597"/>
        <v>0</v>
      </c>
      <c r="BZ371" s="684">
        <f t="shared" si="597"/>
        <v>0</v>
      </c>
      <c r="CA371" s="810">
        <f t="shared" si="597"/>
        <v>0</v>
      </c>
    </row>
    <row r="372" spans="1:82" ht="14.1" customHeight="1" x14ac:dyDescent="0.2">
      <c r="A372" s="66">
        <v>74</v>
      </c>
      <c r="B372" s="63">
        <v>2405</v>
      </c>
      <c r="C372" s="64">
        <v>600079023</v>
      </c>
      <c r="D372" s="63">
        <v>72741881</v>
      </c>
      <c r="E372" s="65" t="s">
        <v>681</v>
      </c>
      <c r="F372" s="66">
        <v>3111</v>
      </c>
      <c r="G372" s="65" t="s">
        <v>290</v>
      </c>
      <c r="H372" s="67" t="s">
        <v>271</v>
      </c>
      <c r="I372" s="420">
        <v>14463328</v>
      </c>
      <c r="J372" s="415">
        <v>10694168</v>
      </c>
      <c r="K372" s="415">
        <v>9719965</v>
      </c>
      <c r="L372" s="415">
        <v>974203</v>
      </c>
      <c r="M372" s="415">
        <v>0</v>
      </c>
      <c r="N372" s="415">
        <v>0</v>
      </c>
      <c r="O372" s="415">
        <v>0</v>
      </c>
      <c r="P372" s="599">
        <v>3614629</v>
      </c>
      <c r="Q372" s="599">
        <v>106942</v>
      </c>
      <c r="R372" s="415">
        <v>47589</v>
      </c>
      <c r="S372" s="416">
        <v>20.069800000000001</v>
      </c>
      <c r="T372" s="416">
        <v>16.709700000000002</v>
      </c>
      <c r="U372" s="423">
        <v>3.3600999999999996</v>
      </c>
      <c r="V372" s="424">
        <f t="shared" si="525"/>
        <v>0</v>
      </c>
      <c r="W372" s="418">
        <f t="shared" si="526"/>
        <v>0</v>
      </c>
      <c r="X372" s="418">
        <v>0</v>
      </c>
      <c r="Y372" s="418">
        <v>0</v>
      </c>
      <c r="Z372" s="418">
        <v>0</v>
      </c>
      <c r="AA372" s="418">
        <v>0</v>
      </c>
      <c r="AB372" s="418">
        <v>0</v>
      </c>
      <c r="AC372" s="418">
        <v>0</v>
      </c>
      <c r="AD372" s="418">
        <f>V372+X372+Y372+Z372+AB372</f>
        <v>0</v>
      </c>
      <c r="AE372" s="418">
        <f>W372+AA372+AC372</f>
        <v>0</v>
      </c>
      <c r="AF372" s="418">
        <f t="shared" si="527"/>
        <v>0</v>
      </c>
      <c r="AG372" s="418">
        <v>0</v>
      </c>
      <c r="AH372" s="418">
        <v>0</v>
      </c>
      <c r="AI372" s="418">
        <v>0</v>
      </c>
      <c r="AJ372" s="418">
        <v>0</v>
      </c>
      <c r="AK372" s="418">
        <v>0</v>
      </c>
      <c r="AL372" s="418">
        <f t="shared" si="528"/>
        <v>0</v>
      </c>
      <c r="AM372" s="418">
        <f t="shared" si="529"/>
        <v>0</v>
      </c>
      <c r="AN372" s="418">
        <f t="shared" si="530"/>
        <v>0</v>
      </c>
      <c r="AO372" s="418">
        <f t="shared" si="531"/>
        <v>0</v>
      </c>
      <c r="AP372" s="418">
        <f t="shared" si="532"/>
        <v>0</v>
      </c>
      <c r="AQ372" s="418">
        <f t="shared" si="533"/>
        <v>0</v>
      </c>
      <c r="AR372" s="68">
        <f t="shared" si="534"/>
        <v>0</v>
      </c>
      <c r="AS372" s="68">
        <f t="shared" si="535"/>
        <v>0</v>
      </c>
      <c r="AT372" s="418">
        <v>0</v>
      </c>
      <c r="AU372" s="418">
        <v>0</v>
      </c>
      <c r="AV372" s="418">
        <f t="shared" si="536"/>
        <v>0</v>
      </c>
      <c r="AW372" s="418">
        <f t="shared" si="537"/>
        <v>0</v>
      </c>
      <c r="AX372" s="419">
        <v>0</v>
      </c>
      <c r="AY372" s="419">
        <v>0</v>
      </c>
      <c r="AZ372" s="419">
        <v>0</v>
      </c>
      <c r="BA372" s="419">
        <v>0</v>
      </c>
      <c r="BB372" s="419">
        <v>0</v>
      </c>
      <c r="BC372" s="419">
        <v>0</v>
      </c>
      <c r="BD372" s="419">
        <v>0</v>
      </c>
      <c r="BE372" s="419">
        <v>0</v>
      </c>
      <c r="BF372" s="419">
        <f t="shared" si="538"/>
        <v>0</v>
      </c>
      <c r="BG372" s="419">
        <f t="shared" si="539"/>
        <v>0</v>
      </c>
      <c r="BH372" s="421">
        <f t="shared" si="540"/>
        <v>0</v>
      </c>
      <c r="BI372" s="780">
        <f>I372+AW372</f>
        <v>14463328</v>
      </c>
      <c r="BJ372" s="418">
        <f>J372+AF372</f>
        <v>10694168</v>
      </c>
      <c r="BK372" s="418">
        <f t="shared" ref="BK372:BL374" si="598">K372+AD372</f>
        <v>9719965</v>
      </c>
      <c r="BL372" s="418">
        <f t="shared" si="598"/>
        <v>974203</v>
      </c>
      <c r="BM372" s="418">
        <f>M372+AN372</f>
        <v>0</v>
      </c>
      <c r="BN372" s="418">
        <f t="shared" ref="BN372:BO374" si="599">N372+AL372</f>
        <v>0</v>
      </c>
      <c r="BO372" s="418">
        <f t="shared" si="599"/>
        <v>0</v>
      </c>
      <c r="BP372" s="418">
        <f t="shared" ref="BP372:BQ374" si="600">P372+AR372</f>
        <v>3614629</v>
      </c>
      <c r="BQ372" s="418">
        <f t="shared" si="600"/>
        <v>106942</v>
      </c>
      <c r="BR372" s="418">
        <f>R372+AV372</f>
        <v>47589</v>
      </c>
      <c r="BS372" s="419">
        <f>S372+BH372</f>
        <v>20.069800000000001</v>
      </c>
      <c r="BT372" s="419">
        <f t="shared" ref="BT372:BU374" si="601">T372+BF372</f>
        <v>16.709700000000002</v>
      </c>
      <c r="BU372" s="421">
        <f t="shared" si="601"/>
        <v>3.3600999999999996</v>
      </c>
      <c r="BV372" s="420"/>
      <c r="BW372" s="415"/>
      <c r="BX372" s="415"/>
      <c r="BY372" s="415"/>
      <c r="BZ372" s="415"/>
      <c r="CA372" s="510"/>
    </row>
    <row r="373" spans="1:82" ht="14.1" customHeight="1" x14ac:dyDescent="0.2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681</v>
      </c>
      <c r="F373" s="66">
        <v>3111</v>
      </c>
      <c r="G373" s="77" t="s">
        <v>291</v>
      </c>
      <c r="H373" s="67" t="s">
        <v>272</v>
      </c>
      <c r="I373" s="420">
        <v>628963</v>
      </c>
      <c r="J373" s="415">
        <v>464364</v>
      </c>
      <c r="K373" s="415">
        <v>464364</v>
      </c>
      <c r="L373" s="415">
        <v>0</v>
      </c>
      <c r="M373" s="415">
        <v>0</v>
      </c>
      <c r="N373" s="415">
        <v>0</v>
      </c>
      <c r="O373" s="415">
        <v>0</v>
      </c>
      <c r="P373" s="599">
        <v>156955</v>
      </c>
      <c r="Q373" s="599">
        <v>4644</v>
      </c>
      <c r="R373" s="415">
        <v>3000</v>
      </c>
      <c r="S373" s="416">
        <v>1.26</v>
      </c>
      <c r="T373" s="417">
        <v>1.26</v>
      </c>
      <c r="U373" s="423">
        <v>0</v>
      </c>
      <c r="V373" s="424">
        <f t="shared" si="525"/>
        <v>0</v>
      </c>
      <c r="W373" s="418">
        <f t="shared" si="526"/>
        <v>0</v>
      </c>
      <c r="X373" s="418">
        <v>0</v>
      </c>
      <c r="Y373" s="418">
        <v>0</v>
      </c>
      <c r="Z373" s="418">
        <v>0</v>
      </c>
      <c r="AA373" s="418">
        <v>0</v>
      </c>
      <c r="AB373" s="418">
        <v>0</v>
      </c>
      <c r="AC373" s="418">
        <v>0</v>
      </c>
      <c r="AD373" s="418">
        <f>V373+X373+Y373+Z373+AB373</f>
        <v>0</v>
      </c>
      <c r="AE373" s="418">
        <f>W373+AA373+AC373</f>
        <v>0</v>
      </c>
      <c r="AF373" s="418">
        <f t="shared" si="527"/>
        <v>0</v>
      </c>
      <c r="AG373" s="418">
        <v>0</v>
      </c>
      <c r="AH373" s="418">
        <v>0</v>
      </c>
      <c r="AI373" s="418">
        <v>0</v>
      </c>
      <c r="AJ373" s="418">
        <v>0</v>
      </c>
      <c r="AK373" s="418">
        <v>0</v>
      </c>
      <c r="AL373" s="418">
        <f t="shared" si="528"/>
        <v>0</v>
      </c>
      <c r="AM373" s="418">
        <f t="shared" si="529"/>
        <v>0</v>
      </c>
      <c r="AN373" s="418">
        <f t="shared" si="530"/>
        <v>0</v>
      </c>
      <c r="AO373" s="418">
        <f t="shared" si="531"/>
        <v>0</v>
      </c>
      <c r="AP373" s="418">
        <f t="shared" si="532"/>
        <v>0</v>
      </c>
      <c r="AQ373" s="418">
        <f t="shared" si="533"/>
        <v>0</v>
      </c>
      <c r="AR373" s="68">
        <f t="shared" si="534"/>
        <v>0</v>
      </c>
      <c r="AS373" s="68">
        <f t="shared" si="535"/>
        <v>0</v>
      </c>
      <c r="AT373" s="418">
        <v>0</v>
      </c>
      <c r="AU373" s="418">
        <v>0</v>
      </c>
      <c r="AV373" s="418">
        <f t="shared" si="536"/>
        <v>0</v>
      </c>
      <c r="AW373" s="418">
        <f t="shared" si="537"/>
        <v>0</v>
      </c>
      <c r="AX373" s="419">
        <v>0</v>
      </c>
      <c r="AY373" s="419">
        <v>0</v>
      </c>
      <c r="AZ373" s="419">
        <v>0</v>
      </c>
      <c r="BA373" s="419">
        <v>0</v>
      </c>
      <c r="BB373" s="419">
        <v>0</v>
      </c>
      <c r="BC373" s="419">
        <v>0</v>
      </c>
      <c r="BD373" s="419">
        <v>0</v>
      </c>
      <c r="BE373" s="419">
        <v>0</v>
      </c>
      <c r="BF373" s="419">
        <f t="shared" si="538"/>
        <v>0</v>
      </c>
      <c r="BG373" s="419">
        <f t="shared" si="539"/>
        <v>0</v>
      </c>
      <c r="BH373" s="421">
        <f t="shared" si="540"/>
        <v>0</v>
      </c>
      <c r="BI373" s="780">
        <f>I373+AW373</f>
        <v>628963</v>
      </c>
      <c r="BJ373" s="418">
        <f>J373+AF373</f>
        <v>464364</v>
      </c>
      <c r="BK373" s="418">
        <f t="shared" si="598"/>
        <v>464364</v>
      </c>
      <c r="BL373" s="418">
        <f t="shared" si="598"/>
        <v>0</v>
      </c>
      <c r="BM373" s="418">
        <f>M373+AN373</f>
        <v>0</v>
      </c>
      <c r="BN373" s="418">
        <f t="shared" si="599"/>
        <v>0</v>
      </c>
      <c r="BO373" s="418">
        <f t="shared" si="599"/>
        <v>0</v>
      </c>
      <c r="BP373" s="418">
        <f t="shared" si="600"/>
        <v>156955</v>
      </c>
      <c r="BQ373" s="418">
        <f t="shared" si="600"/>
        <v>4644</v>
      </c>
      <c r="BR373" s="418">
        <f>R373+AV373</f>
        <v>3000</v>
      </c>
      <c r="BS373" s="419">
        <f>S373+BH373</f>
        <v>1.26</v>
      </c>
      <c r="BT373" s="419">
        <f t="shared" si="601"/>
        <v>1.26</v>
      </c>
      <c r="BU373" s="421">
        <f t="shared" si="601"/>
        <v>0</v>
      </c>
      <c r="BV373" s="420"/>
      <c r="BW373" s="415"/>
      <c r="BX373" s="415"/>
      <c r="BY373" s="415"/>
      <c r="BZ373" s="415"/>
      <c r="CA373" s="510"/>
    </row>
    <row r="374" spans="1:82" ht="14.1" customHeight="1" x14ac:dyDescent="0.2">
      <c r="A374" s="66">
        <v>74</v>
      </c>
      <c r="B374" s="63">
        <v>2405</v>
      </c>
      <c r="C374" s="64">
        <v>600079023</v>
      </c>
      <c r="D374" s="63">
        <v>72741881</v>
      </c>
      <c r="E374" s="65" t="s">
        <v>681</v>
      </c>
      <c r="F374" s="66">
        <v>3141</v>
      </c>
      <c r="G374" s="65" t="s">
        <v>294</v>
      </c>
      <c r="H374" s="67" t="s">
        <v>272</v>
      </c>
      <c r="I374" s="420">
        <v>852453</v>
      </c>
      <c r="J374" s="415">
        <v>629143</v>
      </c>
      <c r="K374" s="415">
        <v>0</v>
      </c>
      <c r="L374" s="750">
        <v>629143</v>
      </c>
      <c r="M374" s="415">
        <v>0</v>
      </c>
      <c r="N374" s="204">
        <v>0</v>
      </c>
      <c r="O374" s="204">
        <v>0</v>
      </c>
      <c r="P374" s="599">
        <v>212650</v>
      </c>
      <c r="Q374" s="599">
        <v>6291</v>
      </c>
      <c r="R374" s="605">
        <v>4369</v>
      </c>
      <c r="S374" s="416">
        <v>1.8866000000000001</v>
      </c>
      <c r="T374" s="607">
        <v>0</v>
      </c>
      <c r="U374" s="737">
        <v>1.8866000000000001</v>
      </c>
      <c r="V374" s="424">
        <f t="shared" si="525"/>
        <v>0</v>
      </c>
      <c r="W374" s="418">
        <f t="shared" si="526"/>
        <v>0</v>
      </c>
      <c r="X374" s="418">
        <v>0</v>
      </c>
      <c r="Y374" s="418">
        <v>0</v>
      </c>
      <c r="Z374" s="418">
        <v>0</v>
      </c>
      <c r="AA374" s="418">
        <v>315013</v>
      </c>
      <c r="AB374" s="418">
        <v>0</v>
      </c>
      <c r="AC374" s="418">
        <v>0</v>
      </c>
      <c r="AD374" s="418">
        <f>V374+X374+Y374+Z374+AB374</f>
        <v>0</v>
      </c>
      <c r="AE374" s="418">
        <f>W374+AA374+AC374</f>
        <v>315013</v>
      </c>
      <c r="AF374" s="418">
        <f t="shared" si="527"/>
        <v>315013</v>
      </c>
      <c r="AG374" s="418">
        <v>0</v>
      </c>
      <c r="AH374" s="418">
        <v>0</v>
      </c>
      <c r="AI374" s="418">
        <v>0</v>
      </c>
      <c r="AJ374" s="418">
        <v>0</v>
      </c>
      <c r="AK374" s="418">
        <v>0</v>
      </c>
      <c r="AL374" s="418">
        <f t="shared" si="528"/>
        <v>0</v>
      </c>
      <c r="AM374" s="418">
        <f t="shared" si="529"/>
        <v>0</v>
      </c>
      <c r="AN374" s="418">
        <f t="shared" si="530"/>
        <v>0</v>
      </c>
      <c r="AO374" s="418">
        <f t="shared" si="531"/>
        <v>0</v>
      </c>
      <c r="AP374" s="418">
        <f t="shared" si="532"/>
        <v>315013</v>
      </c>
      <c r="AQ374" s="418">
        <f t="shared" si="533"/>
        <v>315013</v>
      </c>
      <c r="AR374" s="68">
        <f t="shared" si="534"/>
        <v>106474</v>
      </c>
      <c r="AS374" s="68">
        <f t="shared" si="535"/>
        <v>3150</v>
      </c>
      <c r="AT374" s="418">
        <v>0</v>
      </c>
      <c r="AU374" s="418">
        <v>2101</v>
      </c>
      <c r="AV374" s="418">
        <f t="shared" si="536"/>
        <v>2101</v>
      </c>
      <c r="AW374" s="418">
        <f t="shared" si="537"/>
        <v>426738</v>
      </c>
      <c r="AX374" s="419">
        <v>0</v>
      </c>
      <c r="AY374" s="419">
        <v>0</v>
      </c>
      <c r="AZ374" s="419">
        <v>0</v>
      </c>
      <c r="BA374" s="419">
        <v>0</v>
      </c>
      <c r="BB374" s="419">
        <v>0.94</v>
      </c>
      <c r="BC374" s="419">
        <v>0</v>
      </c>
      <c r="BD374" s="419">
        <v>0</v>
      </c>
      <c r="BE374" s="419">
        <v>0</v>
      </c>
      <c r="BF374" s="419">
        <f t="shared" si="538"/>
        <v>0</v>
      </c>
      <c r="BG374" s="419">
        <f t="shared" si="539"/>
        <v>0.94</v>
      </c>
      <c r="BH374" s="421">
        <f t="shared" si="540"/>
        <v>0.94</v>
      </c>
      <c r="BI374" s="780">
        <f>I374+AW374</f>
        <v>1279191</v>
      </c>
      <c r="BJ374" s="418">
        <f>J374+AF374</f>
        <v>944156</v>
      </c>
      <c r="BK374" s="418">
        <f t="shared" si="598"/>
        <v>0</v>
      </c>
      <c r="BL374" s="418">
        <f t="shared" si="598"/>
        <v>944156</v>
      </c>
      <c r="BM374" s="418">
        <f>M374+AN374</f>
        <v>0</v>
      </c>
      <c r="BN374" s="418">
        <f t="shared" si="599"/>
        <v>0</v>
      </c>
      <c r="BO374" s="418">
        <f t="shared" si="599"/>
        <v>0</v>
      </c>
      <c r="BP374" s="418">
        <f t="shared" si="600"/>
        <v>319124</v>
      </c>
      <c r="BQ374" s="418">
        <f t="shared" si="600"/>
        <v>9441</v>
      </c>
      <c r="BR374" s="418">
        <f>R374+AV374</f>
        <v>6470</v>
      </c>
      <c r="BS374" s="419">
        <f>S374+BH374</f>
        <v>2.8266</v>
      </c>
      <c r="BT374" s="419">
        <f t="shared" si="601"/>
        <v>0</v>
      </c>
      <c r="BU374" s="421">
        <f t="shared" si="601"/>
        <v>2.8266</v>
      </c>
      <c r="BV374" s="420"/>
      <c r="BW374" s="415"/>
      <c r="BX374" s="415"/>
      <c r="BY374" s="415"/>
      <c r="BZ374" s="415"/>
      <c r="CA374" s="510"/>
    </row>
    <row r="375" spans="1:82" ht="14.1" customHeight="1" x14ac:dyDescent="0.2">
      <c r="A375" s="72">
        <v>74</v>
      </c>
      <c r="B375" s="69">
        <v>2405</v>
      </c>
      <c r="C375" s="70">
        <v>600079023</v>
      </c>
      <c r="D375" s="69">
        <v>72741881</v>
      </c>
      <c r="E375" s="71" t="s">
        <v>682</v>
      </c>
      <c r="F375" s="72"/>
      <c r="G375" s="71"/>
      <c r="H375" s="73"/>
      <c r="I375" s="517">
        <v>15944744</v>
      </c>
      <c r="J375" s="74">
        <v>11787675</v>
      </c>
      <c r="K375" s="74">
        <v>10184329</v>
      </c>
      <c r="L375" s="74">
        <v>1603346</v>
      </c>
      <c r="M375" s="74">
        <v>0</v>
      </c>
      <c r="N375" s="74">
        <v>0</v>
      </c>
      <c r="O375" s="74">
        <v>0</v>
      </c>
      <c r="P375" s="74">
        <v>3984234</v>
      </c>
      <c r="Q375" s="74">
        <v>117877</v>
      </c>
      <c r="R375" s="74">
        <v>54958</v>
      </c>
      <c r="S375" s="75">
        <v>23.216400000000004</v>
      </c>
      <c r="T375" s="75">
        <v>17.969700000000003</v>
      </c>
      <c r="U375" s="658">
        <v>5.2466999999999997</v>
      </c>
      <c r="V375" s="517">
        <f t="shared" ref="V375:BU375" si="602">SUM(V372:V374)</f>
        <v>0</v>
      </c>
      <c r="W375" s="74">
        <f t="shared" si="602"/>
        <v>0</v>
      </c>
      <c r="X375" s="74">
        <f t="shared" si="602"/>
        <v>0</v>
      </c>
      <c r="Y375" s="74">
        <f t="shared" si="602"/>
        <v>0</v>
      </c>
      <c r="Z375" s="74">
        <f t="shared" si="602"/>
        <v>0</v>
      </c>
      <c r="AA375" s="74">
        <f t="shared" si="602"/>
        <v>315013</v>
      </c>
      <c r="AB375" s="74">
        <f t="shared" si="602"/>
        <v>0</v>
      </c>
      <c r="AC375" s="74">
        <f t="shared" si="602"/>
        <v>0</v>
      </c>
      <c r="AD375" s="74">
        <f t="shared" si="602"/>
        <v>0</v>
      </c>
      <c r="AE375" s="74">
        <f t="shared" si="602"/>
        <v>315013</v>
      </c>
      <c r="AF375" s="74">
        <f t="shared" si="602"/>
        <v>315013</v>
      </c>
      <c r="AG375" s="74">
        <f t="shared" si="602"/>
        <v>0</v>
      </c>
      <c r="AH375" s="74">
        <f t="shared" si="602"/>
        <v>0</v>
      </c>
      <c r="AI375" s="74">
        <f t="shared" si="602"/>
        <v>0</v>
      </c>
      <c r="AJ375" s="74">
        <f t="shared" si="602"/>
        <v>0</v>
      </c>
      <c r="AK375" s="74">
        <f t="shared" si="602"/>
        <v>0</v>
      </c>
      <c r="AL375" s="74">
        <f t="shared" si="602"/>
        <v>0</v>
      </c>
      <c r="AM375" s="74">
        <f t="shared" si="602"/>
        <v>0</v>
      </c>
      <c r="AN375" s="74">
        <f t="shared" si="602"/>
        <v>0</v>
      </c>
      <c r="AO375" s="74">
        <f t="shared" si="602"/>
        <v>0</v>
      </c>
      <c r="AP375" s="74">
        <f t="shared" si="602"/>
        <v>315013</v>
      </c>
      <c r="AQ375" s="74">
        <f t="shared" si="602"/>
        <v>315013</v>
      </c>
      <c r="AR375" s="74">
        <f t="shared" si="602"/>
        <v>106474</v>
      </c>
      <c r="AS375" s="74">
        <f t="shared" si="602"/>
        <v>3150</v>
      </c>
      <c r="AT375" s="74">
        <f t="shared" si="602"/>
        <v>0</v>
      </c>
      <c r="AU375" s="74">
        <f t="shared" si="602"/>
        <v>2101</v>
      </c>
      <c r="AV375" s="74">
        <f t="shared" si="602"/>
        <v>2101</v>
      </c>
      <c r="AW375" s="74">
        <f t="shared" si="602"/>
        <v>426738</v>
      </c>
      <c r="AX375" s="75">
        <f t="shared" si="602"/>
        <v>0</v>
      </c>
      <c r="AY375" s="75">
        <f t="shared" si="602"/>
        <v>0</v>
      </c>
      <c r="AZ375" s="75">
        <f t="shared" si="602"/>
        <v>0</v>
      </c>
      <c r="BA375" s="75">
        <f t="shared" si="602"/>
        <v>0</v>
      </c>
      <c r="BB375" s="75">
        <f t="shared" si="602"/>
        <v>0.94</v>
      </c>
      <c r="BC375" s="75">
        <f t="shared" si="602"/>
        <v>0</v>
      </c>
      <c r="BD375" s="75">
        <f t="shared" si="602"/>
        <v>0</v>
      </c>
      <c r="BE375" s="75">
        <f t="shared" si="602"/>
        <v>0</v>
      </c>
      <c r="BF375" s="75">
        <f t="shared" si="602"/>
        <v>0</v>
      </c>
      <c r="BG375" s="75">
        <f t="shared" si="602"/>
        <v>0.94</v>
      </c>
      <c r="BH375" s="76">
        <f t="shared" si="602"/>
        <v>0.94</v>
      </c>
      <c r="BI375" s="799">
        <f t="shared" si="602"/>
        <v>16371482</v>
      </c>
      <c r="BJ375" s="74">
        <f t="shared" si="602"/>
        <v>12102688</v>
      </c>
      <c r="BK375" s="74">
        <f t="shared" si="602"/>
        <v>10184329</v>
      </c>
      <c r="BL375" s="74">
        <f t="shared" si="602"/>
        <v>1918359</v>
      </c>
      <c r="BM375" s="74">
        <f t="shared" si="602"/>
        <v>0</v>
      </c>
      <c r="BN375" s="74">
        <f t="shared" si="602"/>
        <v>0</v>
      </c>
      <c r="BO375" s="74">
        <f t="shared" si="602"/>
        <v>0</v>
      </c>
      <c r="BP375" s="74">
        <f t="shared" si="602"/>
        <v>4090708</v>
      </c>
      <c r="BQ375" s="74">
        <f t="shared" si="602"/>
        <v>121027</v>
      </c>
      <c r="BR375" s="74">
        <f t="shared" si="602"/>
        <v>57059</v>
      </c>
      <c r="BS375" s="75">
        <f t="shared" si="602"/>
        <v>24.156400000000001</v>
      </c>
      <c r="BT375" s="75">
        <f t="shared" si="602"/>
        <v>17.969700000000003</v>
      </c>
      <c r="BU375" s="76">
        <f t="shared" si="602"/>
        <v>6.1867000000000001</v>
      </c>
      <c r="BV375" s="809">
        <f t="shared" ref="BV375:CA375" si="603">SUM(BV372:BV374)</f>
        <v>0</v>
      </c>
      <c r="BW375" s="684">
        <f t="shared" si="603"/>
        <v>0</v>
      </c>
      <c r="BX375" s="684">
        <f t="shared" si="603"/>
        <v>0</v>
      </c>
      <c r="BY375" s="684">
        <f t="shared" si="603"/>
        <v>0</v>
      </c>
      <c r="BZ375" s="684">
        <f t="shared" si="603"/>
        <v>0</v>
      </c>
      <c r="CA375" s="810">
        <f t="shared" si="603"/>
        <v>0</v>
      </c>
      <c r="CB375" s="899" t="s">
        <v>852</v>
      </c>
      <c r="CC375" s="899" t="s">
        <v>853</v>
      </c>
    </row>
    <row r="376" spans="1:82" ht="14.1" customHeight="1" x14ac:dyDescent="0.2">
      <c r="A376" s="66">
        <v>75</v>
      </c>
      <c r="B376" s="63">
        <v>2317</v>
      </c>
      <c r="C376" s="64">
        <v>600080501</v>
      </c>
      <c r="D376" s="63">
        <v>69411123</v>
      </c>
      <c r="E376" s="65" t="s">
        <v>683</v>
      </c>
      <c r="F376" s="66">
        <v>3141</v>
      </c>
      <c r="G376" s="65" t="s">
        <v>294</v>
      </c>
      <c r="H376" s="67" t="s">
        <v>272</v>
      </c>
      <c r="I376" s="420">
        <v>3135432</v>
      </c>
      <c r="J376" s="415">
        <v>2309894</v>
      </c>
      <c r="K376" s="415">
        <v>0</v>
      </c>
      <c r="L376" s="750">
        <v>2309894</v>
      </c>
      <c r="M376" s="415">
        <v>0</v>
      </c>
      <c r="N376" s="204">
        <v>0</v>
      </c>
      <c r="O376" s="204">
        <v>0</v>
      </c>
      <c r="P376" s="599">
        <v>780745</v>
      </c>
      <c r="Q376" s="599">
        <v>23099</v>
      </c>
      <c r="R376" s="605">
        <v>21694</v>
      </c>
      <c r="S376" s="416">
        <v>6.9233000000000002</v>
      </c>
      <c r="T376" s="607">
        <v>0</v>
      </c>
      <c r="U376" s="737">
        <v>6.9233000000000002</v>
      </c>
      <c r="V376" s="424">
        <f t="shared" si="525"/>
        <v>0</v>
      </c>
      <c r="W376" s="418">
        <f t="shared" si="526"/>
        <v>0</v>
      </c>
      <c r="X376" s="418">
        <v>0</v>
      </c>
      <c r="Y376" s="418">
        <v>0</v>
      </c>
      <c r="Z376" s="418">
        <v>0</v>
      </c>
      <c r="AA376" s="418">
        <v>1023208</v>
      </c>
      <c r="AB376" s="418">
        <v>0</v>
      </c>
      <c r="AC376" s="418">
        <v>132280</v>
      </c>
      <c r="AD376" s="418">
        <f>V376+X376+Y376+Z376+AB376</f>
        <v>0</v>
      </c>
      <c r="AE376" s="418">
        <f>W376+AA376+AC376</f>
        <v>1155488</v>
      </c>
      <c r="AF376" s="418">
        <f t="shared" si="527"/>
        <v>1155488</v>
      </c>
      <c r="AG376" s="418">
        <v>0</v>
      </c>
      <c r="AH376" s="418">
        <v>0</v>
      </c>
      <c r="AI376" s="418">
        <v>0</v>
      </c>
      <c r="AJ376" s="418">
        <v>0</v>
      </c>
      <c r="AK376" s="418">
        <v>0</v>
      </c>
      <c r="AL376" s="418">
        <f t="shared" si="528"/>
        <v>0</v>
      </c>
      <c r="AM376" s="418">
        <f t="shared" si="529"/>
        <v>0</v>
      </c>
      <c r="AN376" s="418">
        <f t="shared" si="530"/>
        <v>0</v>
      </c>
      <c r="AO376" s="418">
        <f t="shared" si="531"/>
        <v>0</v>
      </c>
      <c r="AP376" s="418">
        <f t="shared" si="532"/>
        <v>1155488</v>
      </c>
      <c r="AQ376" s="418">
        <f t="shared" si="533"/>
        <v>1155488</v>
      </c>
      <c r="AR376" s="68">
        <f t="shared" si="534"/>
        <v>390555</v>
      </c>
      <c r="AS376" s="68">
        <f t="shared" si="535"/>
        <v>11555</v>
      </c>
      <c r="AT376" s="418">
        <v>0</v>
      </c>
      <c r="AU376" s="418">
        <v>10516</v>
      </c>
      <c r="AV376" s="418">
        <f t="shared" si="536"/>
        <v>10516</v>
      </c>
      <c r="AW376" s="418">
        <f t="shared" si="537"/>
        <v>1568114</v>
      </c>
      <c r="AX376" s="419">
        <v>0</v>
      </c>
      <c r="AY376" s="419">
        <v>0</v>
      </c>
      <c r="AZ376" s="419">
        <v>0</v>
      </c>
      <c r="BA376" s="419">
        <v>0</v>
      </c>
      <c r="BB376" s="419">
        <f>3.07+0.4</f>
        <v>3.4699999999999998</v>
      </c>
      <c r="BC376" s="419">
        <v>0</v>
      </c>
      <c r="BD376" s="419">
        <v>0</v>
      </c>
      <c r="BE376" s="419">
        <v>0</v>
      </c>
      <c r="BF376" s="419">
        <f t="shared" si="538"/>
        <v>0</v>
      </c>
      <c r="BG376" s="419">
        <f t="shared" si="539"/>
        <v>3.4699999999999998</v>
      </c>
      <c r="BH376" s="421">
        <f t="shared" si="540"/>
        <v>3.4699999999999998</v>
      </c>
      <c r="BI376" s="780">
        <f>I376+AW376</f>
        <v>4703546</v>
      </c>
      <c r="BJ376" s="418">
        <f>J376+AF376</f>
        <v>3465382</v>
      </c>
      <c r="BK376" s="418">
        <f>K376+AD376</f>
        <v>0</v>
      </c>
      <c r="BL376" s="418">
        <f>L376+AE376</f>
        <v>3465382</v>
      </c>
      <c r="BM376" s="418">
        <f>M376+AN376</f>
        <v>0</v>
      </c>
      <c r="BN376" s="418">
        <f>N376+AL376</f>
        <v>0</v>
      </c>
      <c r="BO376" s="418">
        <f>O376+AM376</f>
        <v>0</v>
      </c>
      <c r="BP376" s="418">
        <f>P376+AR376</f>
        <v>1171300</v>
      </c>
      <c r="BQ376" s="418">
        <f>Q376+AS376</f>
        <v>34654</v>
      </c>
      <c r="BR376" s="418">
        <f>R376+AV376</f>
        <v>32210</v>
      </c>
      <c r="BS376" s="419">
        <f>S376+BH376</f>
        <v>10.3933</v>
      </c>
      <c r="BT376" s="419">
        <f>T376+BF376</f>
        <v>0</v>
      </c>
      <c r="BU376" s="421">
        <f>U376+BG376</f>
        <v>10.3933</v>
      </c>
      <c r="BV376" s="420"/>
      <c r="BW376" s="415"/>
      <c r="BX376" s="415"/>
      <c r="BY376" s="415"/>
      <c r="BZ376" s="415"/>
      <c r="CA376" s="510"/>
      <c r="CB376" s="900">
        <v>132280</v>
      </c>
      <c r="CC376" s="901">
        <v>0.4</v>
      </c>
      <c r="CD376" s="902" t="s">
        <v>854</v>
      </c>
    </row>
    <row r="377" spans="1:82" ht="14.1" customHeight="1" x14ac:dyDescent="0.2">
      <c r="A377" s="72">
        <v>75</v>
      </c>
      <c r="B377" s="69">
        <v>2317</v>
      </c>
      <c r="C377" s="70">
        <v>600080501</v>
      </c>
      <c r="D377" s="69">
        <v>69411123</v>
      </c>
      <c r="E377" s="71" t="s">
        <v>684</v>
      </c>
      <c r="F377" s="72"/>
      <c r="G377" s="71"/>
      <c r="H377" s="73"/>
      <c r="I377" s="519">
        <v>3135432</v>
      </c>
      <c r="J377" s="82">
        <v>2309894</v>
      </c>
      <c r="K377" s="82">
        <v>0</v>
      </c>
      <c r="L377" s="82">
        <v>2309894</v>
      </c>
      <c r="M377" s="82">
        <v>0</v>
      </c>
      <c r="N377" s="82">
        <v>0</v>
      </c>
      <c r="O377" s="82">
        <v>0</v>
      </c>
      <c r="P377" s="82">
        <v>780745</v>
      </c>
      <c r="Q377" s="82">
        <v>23099</v>
      </c>
      <c r="R377" s="82">
        <v>21694</v>
      </c>
      <c r="S377" s="83">
        <v>6.9233000000000002</v>
      </c>
      <c r="T377" s="83">
        <v>0</v>
      </c>
      <c r="U377" s="660">
        <v>6.9233000000000002</v>
      </c>
      <c r="V377" s="519">
        <f t="shared" ref="V377:BU377" si="604">SUM(V376)</f>
        <v>0</v>
      </c>
      <c r="W377" s="82">
        <f t="shared" si="604"/>
        <v>0</v>
      </c>
      <c r="X377" s="82">
        <f t="shared" si="604"/>
        <v>0</v>
      </c>
      <c r="Y377" s="82">
        <f t="shared" si="604"/>
        <v>0</v>
      </c>
      <c r="Z377" s="82">
        <f t="shared" si="604"/>
        <v>0</v>
      </c>
      <c r="AA377" s="82">
        <f t="shared" si="604"/>
        <v>1023208</v>
      </c>
      <c r="AB377" s="82">
        <f t="shared" si="604"/>
        <v>0</v>
      </c>
      <c r="AC377" s="82">
        <f t="shared" si="604"/>
        <v>132280</v>
      </c>
      <c r="AD377" s="82">
        <f t="shared" si="604"/>
        <v>0</v>
      </c>
      <c r="AE377" s="82">
        <f t="shared" si="604"/>
        <v>1155488</v>
      </c>
      <c r="AF377" s="82">
        <f t="shared" si="604"/>
        <v>1155488</v>
      </c>
      <c r="AG377" s="82">
        <f t="shared" si="604"/>
        <v>0</v>
      </c>
      <c r="AH377" s="82">
        <f t="shared" si="604"/>
        <v>0</v>
      </c>
      <c r="AI377" s="82">
        <f t="shared" si="604"/>
        <v>0</v>
      </c>
      <c r="AJ377" s="82">
        <f t="shared" si="604"/>
        <v>0</v>
      </c>
      <c r="AK377" s="82">
        <f t="shared" si="604"/>
        <v>0</v>
      </c>
      <c r="AL377" s="82">
        <f t="shared" si="604"/>
        <v>0</v>
      </c>
      <c r="AM377" s="82">
        <f t="shared" si="604"/>
        <v>0</v>
      </c>
      <c r="AN377" s="82">
        <f t="shared" si="604"/>
        <v>0</v>
      </c>
      <c r="AO377" s="82">
        <f t="shared" si="604"/>
        <v>0</v>
      </c>
      <c r="AP377" s="82">
        <f t="shared" si="604"/>
        <v>1155488</v>
      </c>
      <c r="AQ377" s="82">
        <f t="shared" si="604"/>
        <v>1155488</v>
      </c>
      <c r="AR377" s="82">
        <f t="shared" si="604"/>
        <v>390555</v>
      </c>
      <c r="AS377" s="82">
        <f t="shared" si="604"/>
        <v>11555</v>
      </c>
      <c r="AT377" s="82">
        <f t="shared" si="604"/>
        <v>0</v>
      </c>
      <c r="AU377" s="82">
        <f t="shared" si="604"/>
        <v>10516</v>
      </c>
      <c r="AV377" s="82">
        <f t="shared" si="604"/>
        <v>10516</v>
      </c>
      <c r="AW377" s="82">
        <f t="shared" si="604"/>
        <v>1568114</v>
      </c>
      <c r="AX377" s="83">
        <f t="shared" si="604"/>
        <v>0</v>
      </c>
      <c r="AY377" s="83">
        <f t="shared" si="604"/>
        <v>0</v>
      </c>
      <c r="AZ377" s="83">
        <f t="shared" si="604"/>
        <v>0</v>
      </c>
      <c r="BA377" s="83">
        <f t="shared" si="604"/>
        <v>0</v>
      </c>
      <c r="BB377" s="83">
        <f t="shared" si="604"/>
        <v>3.4699999999999998</v>
      </c>
      <c r="BC377" s="83">
        <f t="shared" si="604"/>
        <v>0</v>
      </c>
      <c r="BD377" s="83">
        <f t="shared" si="604"/>
        <v>0</v>
      </c>
      <c r="BE377" s="83">
        <f t="shared" si="604"/>
        <v>0</v>
      </c>
      <c r="BF377" s="83">
        <f t="shared" si="604"/>
        <v>0</v>
      </c>
      <c r="BG377" s="83">
        <f t="shared" si="604"/>
        <v>3.4699999999999998</v>
      </c>
      <c r="BH377" s="84">
        <f t="shared" si="604"/>
        <v>3.4699999999999998</v>
      </c>
      <c r="BI377" s="801">
        <f t="shared" si="604"/>
        <v>4703546</v>
      </c>
      <c r="BJ377" s="82">
        <f t="shared" si="604"/>
        <v>3465382</v>
      </c>
      <c r="BK377" s="82">
        <f t="shared" si="604"/>
        <v>0</v>
      </c>
      <c r="BL377" s="82">
        <f t="shared" si="604"/>
        <v>3465382</v>
      </c>
      <c r="BM377" s="82">
        <f t="shared" si="604"/>
        <v>0</v>
      </c>
      <c r="BN377" s="82">
        <f t="shared" si="604"/>
        <v>0</v>
      </c>
      <c r="BO377" s="82">
        <f t="shared" si="604"/>
        <v>0</v>
      </c>
      <c r="BP377" s="82">
        <f t="shared" si="604"/>
        <v>1171300</v>
      </c>
      <c r="BQ377" s="82">
        <f t="shared" si="604"/>
        <v>34654</v>
      </c>
      <c r="BR377" s="82">
        <f t="shared" si="604"/>
        <v>32210</v>
      </c>
      <c r="BS377" s="83">
        <f t="shared" si="604"/>
        <v>10.3933</v>
      </c>
      <c r="BT377" s="83">
        <f t="shared" si="604"/>
        <v>0</v>
      </c>
      <c r="BU377" s="84">
        <f t="shared" si="604"/>
        <v>10.3933</v>
      </c>
      <c r="BV377" s="813">
        <f t="shared" ref="BV377:CA377" si="605">SUM(BV376)</f>
        <v>0</v>
      </c>
      <c r="BW377" s="686">
        <f t="shared" si="605"/>
        <v>0</v>
      </c>
      <c r="BX377" s="686">
        <f t="shared" si="605"/>
        <v>0</v>
      </c>
      <c r="BY377" s="686">
        <f t="shared" si="605"/>
        <v>0</v>
      </c>
      <c r="BZ377" s="686">
        <f t="shared" si="605"/>
        <v>0</v>
      </c>
      <c r="CA377" s="814">
        <f t="shared" si="605"/>
        <v>0</v>
      </c>
    </row>
    <row r="378" spans="1:82" ht="14.1" customHeight="1" x14ac:dyDescent="0.2">
      <c r="A378" s="66">
        <v>76</v>
      </c>
      <c r="B378" s="63">
        <v>2461</v>
      </c>
      <c r="C378" s="64">
        <v>600079805</v>
      </c>
      <c r="D378" s="63">
        <v>72741724</v>
      </c>
      <c r="E378" s="65" t="s">
        <v>685</v>
      </c>
      <c r="F378" s="66">
        <v>3111</v>
      </c>
      <c r="G378" s="65" t="s">
        <v>290</v>
      </c>
      <c r="H378" s="67" t="s">
        <v>271</v>
      </c>
      <c r="I378" s="420">
        <v>1576973</v>
      </c>
      <c r="J378" s="415">
        <v>1166098</v>
      </c>
      <c r="K378" s="415">
        <v>1106194</v>
      </c>
      <c r="L378" s="415">
        <v>59904</v>
      </c>
      <c r="M378" s="415">
        <v>0</v>
      </c>
      <c r="N378" s="415">
        <v>0</v>
      </c>
      <c r="O378" s="415">
        <v>0</v>
      </c>
      <c r="P378" s="599">
        <v>394141</v>
      </c>
      <c r="Q378" s="599">
        <v>11661</v>
      </c>
      <c r="R378" s="415">
        <v>5073</v>
      </c>
      <c r="S378" s="416">
        <v>2.2561</v>
      </c>
      <c r="T378" s="416">
        <v>2.0160999999999998</v>
      </c>
      <c r="U378" s="423">
        <v>0.24</v>
      </c>
      <c r="V378" s="424">
        <f t="shared" si="525"/>
        <v>0</v>
      </c>
      <c r="W378" s="418">
        <f t="shared" si="526"/>
        <v>0</v>
      </c>
      <c r="X378" s="418">
        <v>0</v>
      </c>
      <c r="Y378" s="418">
        <v>0</v>
      </c>
      <c r="Z378" s="418">
        <v>0</v>
      </c>
      <c r="AA378" s="418">
        <v>0</v>
      </c>
      <c r="AB378" s="418">
        <v>0</v>
      </c>
      <c r="AC378" s="418">
        <v>0</v>
      </c>
      <c r="AD378" s="418">
        <f t="shared" ref="AD378:AD383" si="606">V378+X378+Y378+Z378+AB378</f>
        <v>0</v>
      </c>
      <c r="AE378" s="418">
        <f t="shared" ref="AE378:AE383" si="607">W378+AA378+AC378</f>
        <v>0</v>
      </c>
      <c r="AF378" s="418">
        <f t="shared" si="527"/>
        <v>0</v>
      </c>
      <c r="AG378" s="418">
        <v>0</v>
      </c>
      <c r="AH378" s="418">
        <v>0</v>
      </c>
      <c r="AI378" s="418">
        <v>0</v>
      </c>
      <c r="AJ378" s="418">
        <v>0</v>
      </c>
      <c r="AK378" s="418">
        <v>0</v>
      </c>
      <c r="AL378" s="418">
        <f t="shared" si="528"/>
        <v>0</v>
      </c>
      <c r="AM378" s="418">
        <f t="shared" si="529"/>
        <v>0</v>
      </c>
      <c r="AN378" s="418">
        <f t="shared" si="530"/>
        <v>0</v>
      </c>
      <c r="AO378" s="418">
        <f t="shared" si="531"/>
        <v>0</v>
      </c>
      <c r="AP378" s="418">
        <f t="shared" si="532"/>
        <v>0</v>
      </c>
      <c r="AQ378" s="418">
        <f t="shared" si="533"/>
        <v>0</v>
      </c>
      <c r="AR378" s="68">
        <f t="shared" si="534"/>
        <v>0</v>
      </c>
      <c r="AS378" s="68">
        <f t="shared" si="535"/>
        <v>0</v>
      </c>
      <c r="AT378" s="418">
        <v>0</v>
      </c>
      <c r="AU378" s="418">
        <v>0</v>
      </c>
      <c r="AV378" s="418">
        <f t="shared" si="536"/>
        <v>0</v>
      </c>
      <c r="AW378" s="418">
        <f t="shared" si="537"/>
        <v>0</v>
      </c>
      <c r="AX378" s="419">
        <v>0</v>
      </c>
      <c r="AY378" s="419">
        <v>0</v>
      </c>
      <c r="AZ378" s="419">
        <v>0</v>
      </c>
      <c r="BA378" s="419">
        <v>0</v>
      </c>
      <c r="BB378" s="419">
        <v>0</v>
      </c>
      <c r="BC378" s="419">
        <v>0</v>
      </c>
      <c r="BD378" s="419">
        <v>0</v>
      </c>
      <c r="BE378" s="419">
        <v>0</v>
      </c>
      <c r="BF378" s="419">
        <f t="shared" si="538"/>
        <v>0</v>
      </c>
      <c r="BG378" s="419">
        <f t="shared" si="539"/>
        <v>0</v>
      </c>
      <c r="BH378" s="421">
        <f t="shared" si="540"/>
        <v>0</v>
      </c>
      <c r="BI378" s="780">
        <f t="shared" ref="BI378:BI383" si="608">I378+AW378</f>
        <v>1576973</v>
      </c>
      <c r="BJ378" s="418">
        <f t="shared" ref="BJ378:BJ383" si="609">J378+AF378</f>
        <v>1166098</v>
      </c>
      <c r="BK378" s="418">
        <f t="shared" ref="BK378:BL383" si="610">K378+AD378</f>
        <v>1106194</v>
      </c>
      <c r="BL378" s="418">
        <f t="shared" si="610"/>
        <v>59904</v>
      </c>
      <c r="BM378" s="418">
        <f t="shared" ref="BM378:BM383" si="611">M378+AN378</f>
        <v>0</v>
      </c>
      <c r="BN378" s="418">
        <f t="shared" ref="BN378:BO383" si="612">N378+AL378</f>
        <v>0</v>
      </c>
      <c r="BO378" s="418">
        <f t="shared" si="612"/>
        <v>0</v>
      </c>
      <c r="BP378" s="418">
        <f t="shared" ref="BP378:BQ383" si="613">P378+AR378</f>
        <v>394141</v>
      </c>
      <c r="BQ378" s="418">
        <f t="shared" si="613"/>
        <v>11661</v>
      </c>
      <c r="BR378" s="418">
        <f t="shared" ref="BR378:BR383" si="614">R378+AV378</f>
        <v>5073</v>
      </c>
      <c r="BS378" s="419">
        <f t="shared" ref="BS378:BS383" si="615">S378+BH378</f>
        <v>2.2561</v>
      </c>
      <c r="BT378" s="419">
        <f t="shared" ref="BT378:BU383" si="616">T378+BF378</f>
        <v>2.0160999999999998</v>
      </c>
      <c r="BU378" s="421">
        <f t="shared" si="616"/>
        <v>0.24</v>
      </c>
      <c r="BV378" s="420"/>
      <c r="BW378" s="415"/>
      <c r="BX378" s="415"/>
      <c r="BY378" s="415"/>
      <c r="BZ378" s="415"/>
      <c r="CA378" s="510"/>
    </row>
    <row r="379" spans="1:82" ht="14.1" customHeight="1" x14ac:dyDescent="0.2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685</v>
      </c>
      <c r="F379" s="66">
        <v>3117</v>
      </c>
      <c r="G379" s="65" t="s">
        <v>293</v>
      </c>
      <c r="H379" s="67" t="s">
        <v>271</v>
      </c>
      <c r="I379" s="420">
        <v>2723630</v>
      </c>
      <c r="J379" s="415">
        <v>1873854</v>
      </c>
      <c r="K379" s="415">
        <v>1693559</v>
      </c>
      <c r="L379" s="415">
        <v>180295</v>
      </c>
      <c r="M379" s="415">
        <v>125000</v>
      </c>
      <c r="N379" s="415">
        <v>100000</v>
      </c>
      <c r="O379" s="415">
        <v>25000</v>
      </c>
      <c r="P379" s="599">
        <v>675613</v>
      </c>
      <c r="Q379" s="599">
        <v>18738</v>
      </c>
      <c r="R379" s="415">
        <v>30425</v>
      </c>
      <c r="S379" s="416">
        <v>2.8586999999999998</v>
      </c>
      <c r="T379" s="416">
        <v>2.4055000000000004</v>
      </c>
      <c r="U379" s="423">
        <v>0.45320000000000005</v>
      </c>
      <c r="V379" s="424">
        <f t="shared" si="525"/>
        <v>0</v>
      </c>
      <c r="W379" s="418">
        <f t="shared" si="526"/>
        <v>0</v>
      </c>
      <c r="X379" s="418">
        <v>0</v>
      </c>
      <c r="Y379" s="418">
        <v>0</v>
      </c>
      <c r="Z379" s="418">
        <v>0</v>
      </c>
      <c r="AA379" s="418">
        <v>0</v>
      </c>
      <c r="AB379" s="418">
        <v>0</v>
      </c>
      <c r="AC379" s="418">
        <v>0</v>
      </c>
      <c r="AD379" s="418">
        <f t="shared" si="606"/>
        <v>0</v>
      </c>
      <c r="AE379" s="418">
        <f t="shared" si="607"/>
        <v>0</v>
      </c>
      <c r="AF379" s="418">
        <f t="shared" si="527"/>
        <v>0</v>
      </c>
      <c r="AG379" s="418">
        <v>0</v>
      </c>
      <c r="AH379" s="418">
        <v>0</v>
      </c>
      <c r="AI379" s="418">
        <v>0</v>
      </c>
      <c r="AJ379" s="418">
        <v>0</v>
      </c>
      <c r="AK379" s="418">
        <v>0</v>
      </c>
      <c r="AL379" s="418">
        <f t="shared" si="528"/>
        <v>0</v>
      </c>
      <c r="AM379" s="418">
        <f t="shared" si="529"/>
        <v>0</v>
      </c>
      <c r="AN379" s="418">
        <f t="shared" si="530"/>
        <v>0</v>
      </c>
      <c r="AO379" s="418">
        <f t="shared" si="531"/>
        <v>0</v>
      </c>
      <c r="AP379" s="418">
        <f t="shared" si="532"/>
        <v>0</v>
      </c>
      <c r="AQ379" s="418">
        <f t="shared" si="533"/>
        <v>0</v>
      </c>
      <c r="AR379" s="68">
        <f t="shared" si="534"/>
        <v>0</v>
      </c>
      <c r="AS379" s="68">
        <f t="shared" si="535"/>
        <v>0</v>
      </c>
      <c r="AT379" s="418">
        <v>0</v>
      </c>
      <c r="AU379" s="418">
        <v>0</v>
      </c>
      <c r="AV379" s="418">
        <f t="shared" si="536"/>
        <v>0</v>
      </c>
      <c r="AW379" s="418">
        <f t="shared" si="537"/>
        <v>0</v>
      </c>
      <c r="AX379" s="419">
        <v>0</v>
      </c>
      <c r="AY379" s="419">
        <v>0</v>
      </c>
      <c r="AZ379" s="419">
        <v>0</v>
      </c>
      <c r="BA379" s="419">
        <v>0</v>
      </c>
      <c r="BB379" s="419">
        <v>0</v>
      </c>
      <c r="BC379" s="419">
        <v>0</v>
      </c>
      <c r="BD379" s="419">
        <v>0</v>
      </c>
      <c r="BE379" s="419">
        <v>0</v>
      </c>
      <c r="BF379" s="419">
        <f t="shared" si="538"/>
        <v>0</v>
      </c>
      <c r="BG379" s="419">
        <f t="shared" si="539"/>
        <v>0</v>
      </c>
      <c r="BH379" s="421">
        <f t="shared" si="540"/>
        <v>0</v>
      </c>
      <c r="BI379" s="780">
        <f t="shared" si="608"/>
        <v>2723630</v>
      </c>
      <c r="BJ379" s="418">
        <f t="shared" si="609"/>
        <v>1873854</v>
      </c>
      <c r="BK379" s="418">
        <f t="shared" si="610"/>
        <v>1693559</v>
      </c>
      <c r="BL379" s="418">
        <f t="shared" si="610"/>
        <v>180295</v>
      </c>
      <c r="BM379" s="418">
        <f t="shared" si="611"/>
        <v>125000</v>
      </c>
      <c r="BN379" s="418">
        <f t="shared" si="612"/>
        <v>100000</v>
      </c>
      <c r="BO379" s="418">
        <f t="shared" si="612"/>
        <v>25000</v>
      </c>
      <c r="BP379" s="418">
        <f t="shared" si="613"/>
        <v>675613</v>
      </c>
      <c r="BQ379" s="418">
        <f t="shared" si="613"/>
        <v>18738</v>
      </c>
      <c r="BR379" s="418">
        <f t="shared" si="614"/>
        <v>30425</v>
      </c>
      <c r="BS379" s="419">
        <f t="shared" si="615"/>
        <v>2.8586999999999998</v>
      </c>
      <c r="BT379" s="419">
        <f t="shared" si="616"/>
        <v>2.4055000000000004</v>
      </c>
      <c r="BU379" s="421">
        <f t="shared" si="616"/>
        <v>0.45320000000000005</v>
      </c>
      <c r="BV379" s="420"/>
      <c r="BW379" s="415"/>
      <c r="BX379" s="415"/>
      <c r="BY379" s="415"/>
      <c r="BZ379" s="415"/>
      <c r="CA379" s="510"/>
    </row>
    <row r="380" spans="1:82" ht="14.1" customHeight="1" x14ac:dyDescent="0.2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685</v>
      </c>
      <c r="F380" s="66">
        <v>3117</v>
      </c>
      <c r="G380" s="77" t="s">
        <v>291</v>
      </c>
      <c r="H380" s="67" t="s">
        <v>272</v>
      </c>
      <c r="I380" s="420">
        <v>1231093</v>
      </c>
      <c r="J380" s="415">
        <v>912903</v>
      </c>
      <c r="K380" s="415">
        <v>912903</v>
      </c>
      <c r="L380" s="415">
        <v>0</v>
      </c>
      <c r="M380" s="415">
        <v>0</v>
      </c>
      <c r="N380" s="415">
        <v>0</v>
      </c>
      <c r="O380" s="415">
        <v>0</v>
      </c>
      <c r="P380" s="599">
        <v>308561</v>
      </c>
      <c r="Q380" s="599">
        <v>9129</v>
      </c>
      <c r="R380" s="415">
        <v>500</v>
      </c>
      <c r="S380" s="416">
        <v>2.3199999999999998</v>
      </c>
      <c r="T380" s="417">
        <v>2.3199999999999998</v>
      </c>
      <c r="U380" s="423">
        <v>0</v>
      </c>
      <c r="V380" s="424">
        <f t="shared" si="525"/>
        <v>0</v>
      </c>
      <c r="W380" s="418">
        <f t="shared" si="526"/>
        <v>0</v>
      </c>
      <c r="X380" s="418">
        <v>-12379</v>
      </c>
      <c r="Y380" s="418">
        <v>0</v>
      </c>
      <c r="Z380" s="418">
        <v>0</v>
      </c>
      <c r="AA380" s="418">
        <v>0</v>
      </c>
      <c r="AB380" s="418">
        <v>0</v>
      </c>
      <c r="AC380" s="418">
        <v>0</v>
      </c>
      <c r="AD380" s="418">
        <f t="shared" si="606"/>
        <v>-12379</v>
      </c>
      <c r="AE380" s="418">
        <f t="shared" si="607"/>
        <v>0</v>
      </c>
      <c r="AF380" s="418">
        <f t="shared" si="527"/>
        <v>-12379</v>
      </c>
      <c r="AG380" s="418">
        <v>0</v>
      </c>
      <c r="AH380" s="418">
        <v>0</v>
      </c>
      <c r="AI380" s="418">
        <v>0</v>
      </c>
      <c r="AJ380" s="418">
        <v>0</v>
      </c>
      <c r="AK380" s="418">
        <v>0</v>
      </c>
      <c r="AL380" s="418">
        <f t="shared" si="528"/>
        <v>0</v>
      </c>
      <c r="AM380" s="418">
        <f t="shared" si="529"/>
        <v>0</v>
      </c>
      <c r="AN380" s="418">
        <f t="shared" si="530"/>
        <v>0</v>
      </c>
      <c r="AO380" s="418">
        <f t="shared" si="531"/>
        <v>-12379</v>
      </c>
      <c r="AP380" s="418">
        <f t="shared" si="532"/>
        <v>0</v>
      </c>
      <c r="AQ380" s="418">
        <f t="shared" si="533"/>
        <v>-12379</v>
      </c>
      <c r="AR380" s="68">
        <f t="shared" si="534"/>
        <v>-4184</v>
      </c>
      <c r="AS380" s="68">
        <f t="shared" si="535"/>
        <v>-124</v>
      </c>
      <c r="AT380" s="418">
        <v>0</v>
      </c>
      <c r="AU380" s="418">
        <v>0</v>
      </c>
      <c r="AV380" s="418">
        <f t="shared" si="536"/>
        <v>0</v>
      </c>
      <c r="AW380" s="418">
        <f t="shared" si="537"/>
        <v>-16687</v>
      </c>
      <c r="AX380" s="419">
        <v>0</v>
      </c>
      <c r="AY380" s="419">
        <v>0</v>
      </c>
      <c r="AZ380" s="419">
        <v>-0.03</v>
      </c>
      <c r="BA380" s="419">
        <v>0</v>
      </c>
      <c r="BB380" s="419">
        <v>0</v>
      </c>
      <c r="BC380" s="419">
        <v>0</v>
      </c>
      <c r="BD380" s="419">
        <v>0</v>
      </c>
      <c r="BE380" s="419">
        <v>0</v>
      </c>
      <c r="BF380" s="419">
        <f t="shared" si="538"/>
        <v>-0.03</v>
      </c>
      <c r="BG380" s="419">
        <f t="shared" si="539"/>
        <v>0</v>
      </c>
      <c r="BH380" s="421">
        <f t="shared" si="540"/>
        <v>-0.03</v>
      </c>
      <c r="BI380" s="780">
        <f t="shared" si="608"/>
        <v>1214406</v>
      </c>
      <c r="BJ380" s="418">
        <f t="shared" si="609"/>
        <v>900524</v>
      </c>
      <c r="BK380" s="418">
        <f t="shared" si="610"/>
        <v>900524</v>
      </c>
      <c r="BL380" s="418">
        <f t="shared" si="610"/>
        <v>0</v>
      </c>
      <c r="BM380" s="418">
        <f t="shared" si="611"/>
        <v>0</v>
      </c>
      <c r="BN380" s="418">
        <f t="shared" si="612"/>
        <v>0</v>
      </c>
      <c r="BO380" s="418">
        <f t="shared" si="612"/>
        <v>0</v>
      </c>
      <c r="BP380" s="418">
        <f t="shared" si="613"/>
        <v>304377</v>
      </c>
      <c r="BQ380" s="418">
        <f t="shared" si="613"/>
        <v>9005</v>
      </c>
      <c r="BR380" s="418">
        <f t="shared" si="614"/>
        <v>500</v>
      </c>
      <c r="BS380" s="419">
        <f t="shared" si="615"/>
        <v>2.29</v>
      </c>
      <c r="BT380" s="419">
        <f t="shared" si="616"/>
        <v>2.29</v>
      </c>
      <c r="BU380" s="421">
        <f t="shared" si="616"/>
        <v>0</v>
      </c>
      <c r="BV380" s="420"/>
      <c r="BW380" s="415"/>
      <c r="BX380" s="415"/>
      <c r="BY380" s="415"/>
      <c r="BZ380" s="415"/>
      <c r="CA380" s="510"/>
    </row>
    <row r="381" spans="1:82" ht="14.1" customHeight="1" x14ac:dyDescent="0.2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685</v>
      </c>
      <c r="F381" s="66">
        <v>3141</v>
      </c>
      <c r="G381" s="65" t="s">
        <v>294</v>
      </c>
      <c r="H381" s="67" t="s">
        <v>272</v>
      </c>
      <c r="I381" s="420">
        <v>430077</v>
      </c>
      <c r="J381" s="415">
        <v>317906</v>
      </c>
      <c r="K381" s="415">
        <v>0</v>
      </c>
      <c r="L381" s="750">
        <v>317906</v>
      </c>
      <c r="M381" s="415">
        <v>0</v>
      </c>
      <c r="N381" s="204">
        <v>0</v>
      </c>
      <c r="O381" s="204">
        <v>0</v>
      </c>
      <c r="P381" s="599">
        <v>107452</v>
      </c>
      <c r="Q381" s="599">
        <v>3179</v>
      </c>
      <c r="R381" s="605">
        <v>1540</v>
      </c>
      <c r="S381" s="416">
        <v>0.95330000000000004</v>
      </c>
      <c r="T381" s="607">
        <v>0</v>
      </c>
      <c r="U381" s="737">
        <v>0.95330000000000004</v>
      </c>
      <c r="V381" s="424">
        <f t="shared" si="525"/>
        <v>0</v>
      </c>
      <c r="W381" s="418">
        <f t="shared" si="526"/>
        <v>0</v>
      </c>
      <c r="X381" s="418">
        <v>0</v>
      </c>
      <c r="Y381" s="418">
        <v>0</v>
      </c>
      <c r="Z381" s="418">
        <v>0</v>
      </c>
      <c r="AA381" s="418">
        <v>160475</v>
      </c>
      <c r="AB381" s="418">
        <v>0</v>
      </c>
      <c r="AC381" s="418">
        <v>0</v>
      </c>
      <c r="AD381" s="418">
        <f t="shared" si="606"/>
        <v>0</v>
      </c>
      <c r="AE381" s="418">
        <f t="shared" si="607"/>
        <v>160475</v>
      </c>
      <c r="AF381" s="418">
        <f t="shared" si="527"/>
        <v>160475</v>
      </c>
      <c r="AG381" s="418">
        <v>0</v>
      </c>
      <c r="AH381" s="418">
        <v>0</v>
      </c>
      <c r="AI381" s="418">
        <v>0</v>
      </c>
      <c r="AJ381" s="418">
        <v>0</v>
      </c>
      <c r="AK381" s="418">
        <v>0</v>
      </c>
      <c r="AL381" s="418">
        <f t="shared" si="528"/>
        <v>0</v>
      </c>
      <c r="AM381" s="418">
        <f t="shared" si="529"/>
        <v>0</v>
      </c>
      <c r="AN381" s="418">
        <f t="shared" si="530"/>
        <v>0</v>
      </c>
      <c r="AO381" s="418">
        <f t="shared" si="531"/>
        <v>0</v>
      </c>
      <c r="AP381" s="418">
        <f t="shared" si="532"/>
        <v>160475</v>
      </c>
      <c r="AQ381" s="418">
        <f t="shared" si="533"/>
        <v>160475</v>
      </c>
      <c r="AR381" s="68">
        <f t="shared" si="534"/>
        <v>54241</v>
      </c>
      <c r="AS381" s="68">
        <f t="shared" si="535"/>
        <v>1605</v>
      </c>
      <c r="AT381" s="418">
        <v>0</v>
      </c>
      <c r="AU381" s="418">
        <v>748</v>
      </c>
      <c r="AV381" s="418">
        <f t="shared" si="536"/>
        <v>748</v>
      </c>
      <c r="AW381" s="418">
        <f t="shared" si="537"/>
        <v>217069</v>
      </c>
      <c r="AX381" s="419">
        <v>0</v>
      </c>
      <c r="AY381" s="419">
        <v>0</v>
      </c>
      <c r="AZ381" s="419">
        <v>0</v>
      </c>
      <c r="BA381" s="419">
        <v>0</v>
      </c>
      <c r="BB381" s="419">
        <v>0.48</v>
      </c>
      <c r="BC381" s="419">
        <v>0</v>
      </c>
      <c r="BD381" s="419">
        <v>0</v>
      </c>
      <c r="BE381" s="419">
        <v>0</v>
      </c>
      <c r="BF381" s="419">
        <f t="shared" si="538"/>
        <v>0</v>
      </c>
      <c r="BG381" s="419">
        <f t="shared" si="539"/>
        <v>0.48</v>
      </c>
      <c r="BH381" s="421">
        <f t="shared" si="540"/>
        <v>0.48</v>
      </c>
      <c r="BI381" s="780">
        <f t="shared" si="608"/>
        <v>647146</v>
      </c>
      <c r="BJ381" s="418">
        <f t="shared" si="609"/>
        <v>478381</v>
      </c>
      <c r="BK381" s="418">
        <f t="shared" si="610"/>
        <v>0</v>
      </c>
      <c r="BL381" s="418">
        <f t="shared" si="610"/>
        <v>478381</v>
      </c>
      <c r="BM381" s="418">
        <f t="shared" si="611"/>
        <v>0</v>
      </c>
      <c r="BN381" s="418">
        <f t="shared" si="612"/>
        <v>0</v>
      </c>
      <c r="BO381" s="418">
        <f t="shared" si="612"/>
        <v>0</v>
      </c>
      <c r="BP381" s="418">
        <f t="shared" si="613"/>
        <v>161693</v>
      </c>
      <c r="BQ381" s="418">
        <f t="shared" si="613"/>
        <v>4784</v>
      </c>
      <c r="BR381" s="418">
        <f t="shared" si="614"/>
        <v>2288</v>
      </c>
      <c r="BS381" s="419">
        <f t="shared" si="615"/>
        <v>1.4333</v>
      </c>
      <c r="BT381" s="419">
        <f t="shared" si="616"/>
        <v>0</v>
      </c>
      <c r="BU381" s="421">
        <f t="shared" si="616"/>
        <v>1.4333</v>
      </c>
      <c r="BV381" s="420"/>
      <c r="BW381" s="415"/>
      <c r="BX381" s="415"/>
      <c r="BY381" s="415"/>
      <c r="BZ381" s="415"/>
      <c r="CA381" s="510"/>
    </row>
    <row r="382" spans="1:82" ht="14.1" customHeight="1" x14ac:dyDescent="0.2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685</v>
      </c>
      <c r="F382" s="66">
        <v>3143</v>
      </c>
      <c r="G382" s="77" t="s">
        <v>595</v>
      </c>
      <c r="H382" s="67" t="s">
        <v>271</v>
      </c>
      <c r="I382" s="420">
        <v>733815</v>
      </c>
      <c r="J382" s="415">
        <v>544373</v>
      </c>
      <c r="K382" s="415">
        <v>544373</v>
      </c>
      <c r="L382" s="415">
        <v>0</v>
      </c>
      <c r="M382" s="415">
        <v>0</v>
      </c>
      <c r="N382" s="415">
        <v>0</v>
      </c>
      <c r="O382" s="415">
        <v>0</v>
      </c>
      <c r="P382" s="599">
        <v>183998</v>
      </c>
      <c r="Q382" s="599">
        <v>5444</v>
      </c>
      <c r="R382" s="415">
        <v>0</v>
      </c>
      <c r="S382" s="416">
        <v>1.0832999999999999</v>
      </c>
      <c r="T382" s="416">
        <v>1.0832999999999999</v>
      </c>
      <c r="U382" s="423">
        <v>0</v>
      </c>
      <c r="V382" s="424">
        <f t="shared" si="525"/>
        <v>0</v>
      </c>
      <c r="W382" s="418">
        <f t="shared" si="526"/>
        <v>0</v>
      </c>
      <c r="X382" s="418">
        <v>0</v>
      </c>
      <c r="Y382" s="418">
        <v>0</v>
      </c>
      <c r="Z382" s="418">
        <v>0</v>
      </c>
      <c r="AA382" s="418">
        <v>0</v>
      </c>
      <c r="AB382" s="418">
        <v>0</v>
      </c>
      <c r="AC382" s="418">
        <v>0</v>
      </c>
      <c r="AD382" s="418">
        <f t="shared" si="606"/>
        <v>0</v>
      </c>
      <c r="AE382" s="418">
        <f t="shared" si="607"/>
        <v>0</v>
      </c>
      <c r="AF382" s="418">
        <f t="shared" si="527"/>
        <v>0</v>
      </c>
      <c r="AG382" s="418">
        <v>0</v>
      </c>
      <c r="AH382" s="418">
        <v>0</v>
      </c>
      <c r="AI382" s="418">
        <v>0</v>
      </c>
      <c r="AJ382" s="418">
        <v>0</v>
      </c>
      <c r="AK382" s="418">
        <v>0</v>
      </c>
      <c r="AL382" s="418">
        <f t="shared" si="528"/>
        <v>0</v>
      </c>
      <c r="AM382" s="418">
        <f t="shared" si="529"/>
        <v>0</v>
      </c>
      <c r="AN382" s="418">
        <f t="shared" si="530"/>
        <v>0</v>
      </c>
      <c r="AO382" s="418">
        <f t="shared" si="531"/>
        <v>0</v>
      </c>
      <c r="AP382" s="418">
        <f t="shared" si="532"/>
        <v>0</v>
      </c>
      <c r="AQ382" s="418">
        <f t="shared" si="533"/>
        <v>0</v>
      </c>
      <c r="AR382" s="68">
        <f t="shared" si="534"/>
        <v>0</v>
      </c>
      <c r="AS382" s="68">
        <f t="shared" si="535"/>
        <v>0</v>
      </c>
      <c r="AT382" s="418">
        <v>0</v>
      </c>
      <c r="AU382" s="418">
        <v>0</v>
      </c>
      <c r="AV382" s="418">
        <f t="shared" si="536"/>
        <v>0</v>
      </c>
      <c r="AW382" s="418">
        <f t="shared" si="537"/>
        <v>0</v>
      </c>
      <c r="AX382" s="419">
        <v>0</v>
      </c>
      <c r="AY382" s="419">
        <v>0</v>
      </c>
      <c r="AZ382" s="419">
        <v>0</v>
      </c>
      <c r="BA382" s="419">
        <v>0</v>
      </c>
      <c r="BB382" s="419">
        <v>0</v>
      </c>
      <c r="BC382" s="419">
        <v>0</v>
      </c>
      <c r="BD382" s="419">
        <v>0</v>
      </c>
      <c r="BE382" s="419">
        <v>0</v>
      </c>
      <c r="BF382" s="419">
        <f t="shared" si="538"/>
        <v>0</v>
      </c>
      <c r="BG382" s="419">
        <f t="shared" si="539"/>
        <v>0</v>
      </c>
      <c r="BH382" s="421">
        <f t="shared" si="540"/>
        <v>0</v>
      </c>
      <c r="BI382" s="780">
        <f t="shared" si="608"/>
        <v>733815</v>
      </c>
      <c r="BJ382" s="418">
        <f t="shared" si="609"/>
        <v>544373</v>
      </c>
      <c r="BK382" s="418">
        <f t="shared" si="610"/>
        <v>544373</v>
      </c>
      <c r="BL382" s="418">
        <f t="shared" si="610"/>
        <v>0</v>
      </c>
      <c r="BM382" s="418">
        <f t="shared" si="611"/>
        <v>0</v>
      </c>
      <c r="BN382" s="418">
        <f t="shared" si="612"/>
        <v>0</v>
      </c>
      <c r="BO382" s="418">
        <f t="shared" si="612"/>
        <v>0</v>
      </c>
      <c r="BP382" s="418">
        <f t="shared" si="613"/>
        <v>183998</v>
      </c>
      <c r="BQ382" s="418">
        <f t="shared" si="613"/>
        <v>5444</v>
      </c>
      <c r="BR382" s="418">
        <f t="shared" si="614"/>
        <v>0</v>
      </c>
      <c r="BS382" s="419">
        <f t="shared" si="615"/>
        <v>1.0832999999999999</v>
      </c>
      <c r="BT382" s="419">
        <f t="shared" si="616"/>
        <v>1.0832999999999999</v>
      </c>
      <c r="BU382" s="421">
        <f t="shared" si="616"/>
        <v>0</v>
      </c>
      <c r="BV382" s="420"/>
      <c r="BW382" s="415"/>
      <c r="BX382" s="415"/>
      <c r="BY382" s="415"/>
      <c r="BZ382" s="415"/>
      <c r="CA382" s="510"/>
    </row>
    <row r="383" spans="1:82" ht="14.1" customHeight="1" x14ac:dyDescent="0.2">
      <c r="A383" s="66">
        <v>76</v>
      </c>
      <c r="B383" s="63">
        <v>2461</v>
      </c>
      <c r="C383" s="64">
        <v>600079805</v>
      </c>
      <c r="D383" s="63">
        <v>72741724</v>
      </c>
      <c r="E383" s="65" t="s">
        <v>685</v>
      </c>
      <c r="F383" s="66">
        <v>3143</v>
      </c>
      <c r="G383" s="77" t="s">
        <v>596</v>
      </c>
      <c r="H383" s="67" t="s">
        <v>272</v>
      </c>
      <c r="I383" s="420">
        <v>13314</v>
      </c>
      <c r="J383" s="415">
        <v>9530</v>
      </c>
      <c r="K383" s="415">
        <v>0</v>
      </c>
      <c r="L383" s="605">
        <v>9530</v>
      </c>
      <c r="M383" s="415">
        <v>0</v>
      </c>
      <c r="N383" s="415">
        <v>0</v>
      </c>
      <c r="O383" s="415">
        <v>0</v>
      </c>
      <c r="P383" s="599">
        <v>3221</v>
      </c>
      <c r="Q383" s="599">
        <v>95</v>
      </c>
      <c r="R383" s="606">
        <v>468</v>
      </c>
      <c r="S383" s="416">
        <v>3.61E-2</v>
      </c>
      <c r="T383" s="609">
        <v>0</v>
      </c>
      <c r="U383" s="737">
        <v>3.61E-2</v>
      </c>
      <c r="V383" s="424">
        <f t="shared" si="525"/>
        <v>0</v>
      </c>
      <c r="W383" s="418">
        <f t="shared" si="526"/>
        <v>0</v>
      </c>
      <c r="X383" s="418">
        <v>0</v>
      </c>
      <c r="Y383" s="418">
        <v>0</v>
      </c>
      <c r="Z383" s="418">
        <v>0</v>
      </c>
      <c r="AA383" s="418">
        <v>4770</v>
      </c>
      <c r="AB383" s="418">
        <v>0</v>
      </c>
      <c r="AC383" s="418">
        <v>0</v>
      </c>
      <c r="AD383" s="418">
        <f t="shared" si="606"/>
        <v>0</v>
      </c>
      <c r="AE383" s="418">
        <f t="shared" si="607"/>
        <v>4770</v>
      </c>
      <c r="AF383" s="418">
        <f t="shared" si="527"/>
        <v>4770</v>
      </c>
      <c r="AG383" s="418">
        <v>0</v>
      </c>
      <c r="AH383" s="418">
        <v>0</v>
      </c>
      <c r="AI383" s="418">
        <v>0</v>
      </c>
      <c r="AJ383" s="418">
        <v>0</v>
      </c>
      <c r="AK383" s="418">
        <v>0</v>
      </c>
      <c r="AL383" s="418">
        <f t="shared" si="528"/>
        <v>0</v>
      </c>
      <c r="AM383" s="418">
        <f t="shared" si="529"/>
        <v>0</v>
      </c>
      <c r="AN383" s="418">
        <f t="shared" si="530"/>
        <v>0</v>
      </c>
      <c r="AO383" s="418">
        <f t="shared" si="531"/>
        <v>0</v>
      </c>
      <c r="AP383" s="418">
        <f t="shared" si="532"/>
        <v>4770</v>
      </c>
      <c r="AQ383" s="418">
        <f t="shared" si="533"/>
        <v>4770</v>
      </c>
      <c r="AR383" s="68">
        <f t="shared" si="534"/>
        <v>1612</v>
      </c>
      <c r="AS383" s="68">
        <f t="shared" si="535"/>
        <v>48</v>
      </c>
      <c r="AT383" s="418">
        <v>0</v>
      </c>
      <c r="AU383" s="418">
        <v>234</v>
      </c>
      <c r="AV383" s="418">
        <f t="shared" si="536"/>
        <v>234</v>
      </c>
      <c r="AW383" s="418">
        <f t="shared" si="537"/>
        <v>6664</v>
      </c>
      <c r="AX383" s="419">
        <v>0</v>
      </c>
      <c r="AY383" s="419">
        <v>0</v>
      </c>
      <c r="AZ383" s="419">
        <v>0</v>
      </c>
      <c r="BA383" s="419">
        <v>0</v>
      </c>
      <c r="BB383" s="419">
        <v>0.02</v>
      </c>
      <c r="BC383" s="419">
        <v>0</v>
      </c>
      <c r="BD383" s="419">
        <v>0</v>
      </c>
      <c r="BE383" s="419">
        <v>0</v>
      </c>
      <c r="BF383" s="419">
        <f t="shared" si="538"/>
        <v>0</v>
      </c>
      <c r="BG383" s="419">
        <f t="shared" si="539"/>
        <v>0.02</v>
      </c>
      <c r="BH383" s="421">
        <f t="shared" si="540"/>
        <v>0.02</v>
      </c>
      <c r="BI383" s="780">
        <f t="shared" si="608"/>
        <v>19978</v>
      </c>
      <c r="BJ383" s="418">
        <f t="shared" si="609"/>
        <v>14300</v>
      </c>
      <c r="BK383" s="418">
        <f t="shared" si="610"/>
        <v>0</v>
      </c>
      <c r="BL383" s="418">
        <f t="shared" si="610"/>
        <v>14300</v>
      </c>
      <c r="BM383" s="418">
        <f t="shared" si="611"/>
        <v>0</v>
      </c>
      <c r="BN383" s="418">
        <f t="shared" si="612"/>
        <v>0</v>
      </c>
      <c r="BO383" s="418">
        <f t="shared" si="612"/>
        <v>0</v>
      </c>
      <c r="BP383" s="418">
        <f t="shared" si="613"/>
        <v>4833</v>
      </c>
      <c r="BQ383" s="418">
        <f t="shared" si="613"/>
        <v>143</v>
      </c>
      <c r="BR383" s="418">
        <f t="shared" si="614"/>
        <v>702</v>
      </c>
      <c r="BS383" s="419">
        <f t="shared" si="615"/>
        <v>5.6099999999999997E-2</v>
      </c>
      <c r="BT383" s="419">
        <f t="shared" si="616"/>
        <v>0</v>
      </c>
      <c r="BU383" s="421">
        <f t="shared" si="616"/>
        <v>5.6099999999999997E-2</v>
      </c>
      <c r="BV383" s="420"/>
      <c r="BW383" s="415"/>
      <c r="BX383" s="415"/>
      <c r="BY383" s="415"/>
      <c r="BZ383" s="415"/>
      <c r="CA383" s="510"/>
    </row>
    <row r="384" spans="1:82" ht="14.1" customHeight="1" x14ac:dyDescent="0.2">
      <c r="A384" s="72">
        <v>76</v>
      </c>
      <c r="B384" s="69">
        <v>2461</v>
      </c>
      <c r="C384" s="70">
        <v>600079805</v>
      </c>
      <c r="D384" s="69">
        <v>72741724</v>
      </c>
      <c r="E384" s="71" t="s">
        <v>686</v>
      </c>
      <c r="F384" s="72"/>
      <c r="G384" s="71"/>
      <c r="H384" s="73"/>
      <c r="I384" s="517">
        <v>6708902</v>
      </c>
      <c r="J384" s="74">
        <v>4824664</v>
      </c>
      <c r="K384" s="74">
        <v>4257029</v>
      </c>
      <c r="L384" s="74">
        <v>567635</v>
      </c>
      <c r="M384" s="74">
        <v>125000</v>
      </c>
      <c r="N384" s="74">
        <v>100000</v>
      </c>
      <c r="O384" s="74">
        <v>25000</v>
      </c>
      <c r="P384" s="74">
        <v>1672986</v>
      </c>
      <c r="Q384" s="74">
        <v>48246</v>
      </c>
      <c r="R384" s="74">
        <v>38006</v>
      </c>
      <c r="S384" s="75">
        <v>9.5074999999999985</v>
      </c>
      <c r="T384" s="75">
        <v>7.8248999999999995</v>
      </c>
      <c r="U384" s="658">
        <v>1.6826000000000001</v>
      </c>
      <c r="V384" s="517">
        <f t="shared" ref="V384:BU384" si="617">SUM(V378:V383)</f>
        <v>0</v>
      </c>
      <c r="W384" s="74">
        <f t="shared" si="617"/>
        <v>0</v>
      </c>
      <c r="X384" s="74">
        <f t="shared" si="617"/>
        <v>-12379</v>
      </c>
      <c r="Y384" s="74">
        <f t="shared" si="617"/>
        <v>0</v>
      </c>
      <c r="Z384" s="74">
        <f t="shared" si="617"/>
        <v>0</v>
      </c>
      <c r="AA384" s="74">
        <f t="shared" si="617"/>
        <v>165245</v>
      </c>
      <c r="AB384" s="74">
        <f t="shared" si="617"/>
        <v>0</v>
      </c>
      <c r="AC384" s="74">
        <f t="shared" si="617"/>
        <v>0</v>
      </c>
      <c r="AD384" s="74">
        <f t="shared" si="617"/>
        <v>-12379</v>
      </c>
      <c r="AE384" s="74">
        <f t="shared" si="617"/>
        <v>165245</v>
      </c>
      <c r="AF384" s="74">
        <f t="shared" si="617"/>
        <v>152866</v>
      </c>
      <c r="AG384" s="74">
        <f t="shared" si="617"/>
        <v>0</v>
      </c>
      <c r="AH384" s="74">
        <f t="shared" si="617"/>
        <v>0</v>
      </c>
      <c r="AI384" s="74">
        <f t="shared" si="617"/>
        <v>0</v>
      </c>
      <c r="AJ384" s="74">
        <f t="shared" si="617"/>
        <v>0</v>
      </c>
      <c r="AK384" s="74">
        <f t="shared" si="617"/>
        <v>0</v>
      </c>
      <c r="AL384" s="74">
        <f t="shared" si="617"/>
        <v>0</v>
      </c>
      <c r="AM384" s="74">
        <f t="shared" si="617"/>
        <v>0</v>
      </c>
      <c r="AN384" s="74">
        <f t="shared" si="617"/>
        <v>0</v>
      </c>
      <c r="AO384" s="74">
        <f t="shared" si="617"/>
        <v>-12379</v>
      </c>
      <c r="AP384" s="74">
        <f t="shared" si="617"/>
        <v>165245</v>
      </c>
      <c r="AQ384" s="74">
        <f t="shared" si="617"/>
        <v>152866</v>
      </c>
      <c r="AR384" s="74">
        <f t="shared" si="617"/>
        <v>51669</v>
      </c>
      <c r="AS384" s="74">
        <f t="shared" si="617"/>
        <v>1529</v>
      </c>
      <c r="AT384" s="74">
        <f t="shared" si="617"/>
        <v>0</v>
      </c>
      <c r="AU384" s="74">
        <f t="shared" si="617"/>
        <v>982</v>
      </c>
      <c r="AV384" s="74">
        <f t="shared" si="617"/>
        <v>982</v>
      </c>
      <c r="AW384" s="74">
        <f t="shared" si="617"/>
        <v>207046</v>
      </c>
      <c r="AX384" s="75">
        <f t="shared" si="617"/>
        <v>0</v>
      </c>
      <c r="AY384" s="75">
        <f t="shared" si="617"/>
        <v>0</v>
      </c>
      <c r="AZ384" s="75">
        <f t="shared" si="617"/>
        <v>-0.03</v>
      </c>
      <c r="BA384" s="75">
        <f t="shared" si="617"/>
        <v>0</v>
      </c>
      <c r="BB384" s="75">
        <f t="shared" si="617"/>
        <v>0.5</v>
      </c>
      <c r="BC384" s="75">
        <f t="shared" si="617"/>
        <v>0</v>
      </c>
      <c r="BD384" s="75">
        <f t="shared" si="617"/>
        <v>0</v>
      </c>
      <c r="BE384" s="75">
        <f t="shared" si="617"/>
        <v>0</v>
      </c>
      <c r="BF384" s="75">
        <f t="shared" si="617"/>
        <v>-0.03</v>
      </c>
      <c r="BG384" s="75">
        <f t="shared" si="617"/>
        <v>0.5</v>
      </c>
      <c r="BH384" s="76">
        <f t="shared" si="617"/>
        <v>0.47</v>
      </c>
      <c r="BI384" s="799">
        <f t="shared" si="617"/>
        <v>6915948</v>
      </c>
      <c r="BJ384" s="74">
        <f t="shared" si="617"/>
        <v>4977530</v>
      </c>
      <c r="BK384" s="74">
        <f t="shared" si="617"/>
        <v>4244650</v>
      </c>
      <c r="BL384" s="74">
        <f t="shared" si="617"/>
        <v>732880</v>
      </c>
      <c r="BM384" s="74">
        <f t="shared" si="617"/>
        <v>125000</v>
      </c>
      <c r="BN384" s="74">
        <f t="shared" si="617"/>
        <v>100000</v>
      </c>
      <c r="BO384" s="74">
        <f t="shared" si="617"/>
        <v>25000</v>
      </c>
      <c r="BP384" s="74">
        <f t="shared" si="617"/>
        <v>1724655</v>
      </c>
      <c r="BQ384" s="74">
        <f t="shared" si="617"/>
        <v>49775</v>
      </c>
      <c r="BR384" s="74">
        <f t="shared" si="617"/>
        <v>38988</v>
      </c>
      <c r="BS384" s="75">
        <f t="shared" si="617"/>
        <v>9.9775000000000009</v>
      </c>
      <c r="BT384" s="75">
        <f t="shared" si="617"/>
        <v>7.7949000000000002</v>
      </c>
      <c r="BU384" s="76">
        <f t="shared" si="617"/>
        <v>2.1825999999999999</v>
      </c>
      <c r="BV384" s="809">
        <f t="shared" ref="BV384:CA384" si="618">SUM(BV378:BV383)</f>
        <v>0</v>
      </c>
      <c r="BW384" s="684">
        <f t="shared" si="618"/>
        <v>0</v>
      </c>
      <c r="BX384" s="684">
        <f t="shared" si="618"/>
        <v>0</v>
      </c>
      <c r="BY384" s="684">
        <f t="shared" si="618"/>
        <v>0</v>
      </c>
      <c r="BZ384" s="684">
        <f t="shared" si="618"/>
        <v>0</v>
      </c>
      <c r="CA384" s="810">
        <f t="shared" si="618"/>
        <v>0</v>
      </c>
    </row>
    <row r="385" spans="1:79" ht="14.1" customHeight="1" x14ac:dyDescent="0.2">
      <c r="A385" s="66">
        <v>77</v>
      </c>
      <c r="B385" s="63">
        <v>2460</v>
      </c>
      <c r="C385" s="64">
        <v>600079783</v>
      </c>
      <c r="D385" s="63">
        <v>72741643</v>
      </c>
      <c r="E385" s="65" t="s">
        <v>687</v>
      </c>
      <c r="F385" s="66">
        <v>3113</v>
      </c>
      <c r="G385" s="65" t="s">
        <v>293</v>
      </c>
      <c r="H385" s="67" t="s">
        <v>271</v>
      </c>
      <c r="I385" s="420">
        <v>45529179</v>
      </c>
      <c r="J385" s="415">
        <v>33318207</v>
      </c>
      <c r="K385" s="415">
        <v>31195469</v>
      </c>
      <c r="L385" s="415">
        <v>2122738</v>
      </c>
      <c r="M385" s="415">
        <v>0</v>
      </c>
      <c r="N385" s="415">
        <v>0</v>
      </c>
      <c r="O385" s="415">
        <v>0</v>
      </c>
      <c r="P385" s="599">
        <v>11261554</v>
      </c>
      <c r="Q385" s="599">
        <v>333182</v>
      </c>
      <c r="R385" s="415">
        <v>616236</v>
      </c>
      <c r="S385" s="416">
        <v>50.515100000000004</v>
      </c>
      <c r="T385" s="416">
        <v>44.036000000000001</v>
      </c>
      <c r="U385" s="423">
        <v>6.4790999999999999</v>
      </c>
      <c r="V385" s="424">
        <f t="shared" si="525"/>
        <v>0</v>
      </c>
      <c r="W385" s="418">
        <f t="shared" si="526"/>
        <v>0</v>
      </c>
      <c r="X385" s="418">
        <v>0</v>
      </c>
      <c r="Y385" s="418">
        <v>0</v>
      </c>
      <c r="Z385" s="418">
        <v>0</v>
      </c>
      <c r="AA385" s="418">
        <v>0</v>
      </c>
      <c r="AB385" s="418">
        <v>0</v>
      </c>
      <c r="AC385" s="418">
        <v>0</v>
      </c>
      <c r="AD385" s="418">
        <f>V385+X385+Y385+Z385+AB385</f>
        <v>0</v>
      </c>
      <c r="AE385" s="418">
        <f>W385+AA385+AC385</f>
        <v>0</v>
      </c>
      <c r="AF385" s="418">
        <f t="shared" si="527"/>
        <v>0</v>
      </c>
      <c r="AG385" s="418">
        <v>0</v>
      </c>
      <c r="AH385" s="418">
        <v>0</v>
      </c>
      <c r="AI385" s="418">
        <v>0</v>
      </c>
      <c r="AJ385" s="418">
        <v>0</v>
      </c>
      <c r="AK385" s="418">
        <v>0</v>
      </c>
      <c r="AL385" s="418">
        <f t="shared" si="528"/>
        <v>0</v>
      </c>
      <c r="AM385" s="418">
        <f t="shared" si="529"/>
        <v>0</v>
      </c>
      <c r="AN385" s="418">
        <f t="shared" si="530"/>
        <v>0</v>
      </c>
      <c r="AO385" s="418">
        <f t="shared" si="531"/>
        <v>0</v>
      </c>
      <c r="AP385" s="418">
        <f t="shared" si="532"/>
        <v>0</v>
      </c>
      <c r="AQ385" s="418">
        <f t="shared" si="533"/>
        <v>0</v>
      </c>
      <c r="AR385" s="68">
        <f t="shared" si="534"/>
        <v>0</v>
      </c>
      <c r="AS385" s="68">
        <f t="shared" si="535"/>
        <v>0</v>
      </c>
      <c r="AT385" s="418">
        <v>0</v>
      </c>
      <c r="AU385" s="418">
        <v>0</v>
      </c>
      <c r="AV385" s="418">
        <f t="shared" si="536"/>
        <v>0</v>
      </c>
      <c r="AW385" s="418">
        <f t="shared" si="537"/>
        <v>0</v>
      </c>
      <c r="AX385" s="419">
        <v>0</v>
      </c>
      <c r="AY385" s="419">
        <v>0</v>
      </c>
      <c r="AZ385" s="419">
        <v>0</v>
      </c>
      <c r="BA385" s="419">
        <v>0</v>
      </c>
      <c r="BB385" s="419">
        <v>0</v>
      </c>
      <c r="BC385" s="419">
        <v>0</v>
      </c>
      <c r="BD385" s="419">
        <v>0</v>
      </c>
      <c r="BE385" s="419">
        <v>0</v>
      </c>
      <c r="BF385" s="419">
        <f t="shared" si="538"/>
        <v>0</v>
      </c>
      <c r="BG385" s="419">
        <f t="shared" si="539"/>
        <v>0</v>
      </c>
      <c r="BH385" s="421">
        <f t="shared" si="540"/>
        <v>0</v>
      </c>
      <c r="BI385" s="780">
        <f>I385+AW385</f>
        <v>45529179</v>
      </c>
      <c r="BJ385" s="418">
        <f>J385+AF385</f>
        <v>33318207</v>
      </c>
      <c r="BK385" s="418">
        <f t="shared" ref="BK385:BL389" si="619">K385+AD385</f>
        <v>31195469</v>
      </c>
      <c r="BL385" s="418">
        <f t="shared" si="619"/>
        <v>2122738</v>
      </c>
      <c r="BM385" s="418">
        <f>M385+AN385</f>
        <v>0</v>
      </c>
      <c r="BN385" s="418">
        <f t="shared" ref="BN385:BO389" si="620">N385+AL385</f>
        <v>0</v>
      </c>
      <c r="BO385" s="418">
        <f t="shared" si="620"/>
        <v>0</v>
      </c>
      <c r="BP385" s="418">
        <f t="shared" ref="BP385:BQ389" si="621">P385+AR385</f>
        <v>11261554</v>
      </c>
      <c r="BQ385" s="418">
        <f t="shared" si="621"/>
        <v>333182</v>
      </c>
      <c r="BR385" s="418">
        <f>R385+AV385</f>
        <v>616236</v>
      </c>
      <c r="BS385" s="419">
        <f>S385+BH385</f>
        <v>50.515100000000004</v>
      </c>
      <c r="BT385" s="419">
        <f t="shared" ref="BT385:BU389" si="622">T385+BF385</f>
        <v>44.036000000000001</v>
      </c>
      <c r="BU385" s="421">
        <f t="shared" si="622"/>
        <v>6.4790999999999999</v>
      </c>
      <c r="BV385" s="420">
        <v>684245</v>
      </c>
      <c r="BW385" s="415">
        <v>507600</v>
      </c>
      <c r="BX385" s="415">
        <v>0</v>
      </c>
      <c r="BY385" s="415">
        <v>171569</v>
      </c>
      <c r="BZ385" s="415">
        <v>5076</v>
      </c>
      <c r="CA385" s="510">
        <v>0.9</v>
      </c>
    </row>
    <row r="386" spans="1:79" ht="14.1" customHeight="1" x14ac:dyDescent="0.2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687</v>
      </c>
      <c r="F386" s="66">
        <v>3113</v>
      </c>
      <c r="G386" s="43" t="s">
        <v>292</v>
      </c>
      <c r="H386" s="67" t="s">
        <v>271</v>
      </c>
      <c r="I386" s="420">
        <v>0</v>
      </c>
      <c r="J386" s="415">
        <v>0</v>
      </c>
      <c r="K386" s="415">
        <v>0</v>
      </c>
      <c r="L386" s="415">
        <v>0</v>
      </c>
      <c r="M386" s="415">
        <v>0</v>
      </c>
      <c r="N386" s="415">
        <v>0</v>
      </c>
      <c r="O386" s="415">
        <v>0</v>
      </c>
      <c r="P386" s="599">
        <v>0</v>
      </c>
      <c r="Q386" s="599">
        <v>0</v>
      </c>
      <c r="R386" s="415">
        <v>0</v>
      </c>
      <c r="S386" s="416">
        <v>0</v>
      </c>
      <c r="T386" s="417">
        <v>0</v>
      </c>
      <c r="U386" s="423">
        <v>0</v>
      </c>
      <c r="V386" s="424">
        <f t="shared" si="525"/>
        <v>0</v>
      </c>
      <c r="W386" s="418">
        <f t="shared" si="526"/>
        <v>0</v>
      </c>
      <c r="X386" s="418">
        <v>0</v>
      </c>
      <c r="Y386" s="418">
        <v>0</v>
      </c>
      <c r="Z386" s="418">
        <v>0</v>
      </c>
      <c r="AA386" s="418">
        <v>0</v>
      </c>
      <c r="AB386" s="418">
        <v>0</v>
      </c>
      <c r="AC386" s="418">
        <v>0</v>
      </c>
      <c r="AD386" s="418">
        <f>V386+X386+Y386+Z386+AB386</f>
        <v>0</v>
      </c>
      <c r="AE386" s="418">
        <f>W386+AA386+AC386</f>
        <v>0</v>
      </c>
      <c r="AF386" s="418">
        <f t="shared" si="527"/>
        <v>0</v>
      </c>
      <c r="AG386" s="418">
        <v>0</v>
      </c>
      <c r="AH386" s="418">
        <v>0</v>
      </c>
      <c r="AI386" s="418">
        <v>0</v>
      </c>
      <c r="AJ386" s="418">
        <v>0</v>
      </c>
      <c r="AK386" s="418">
        <v>0</v>
      </c>
      <c r="AL386" s="418">
        <f t="shared" si="528"/>
        <v>0</v>
      </c>
      <c r="AM386" s="418">
        <f t="shared" si="529"/>
        <v>0</v>
      </c>
      <c r="AN386" s="418">
        <f t="shared" si="530"/>
        <v>0</v>
      </c>
      <c r="AO386" s="418">
        <f t="shared" si="531"/>
        <v>0</v>
      </c>
      <c r="AP386" s="418">
        <f t="shared" si="532"/>
        <v>0</v>
      </c>
      <c r="AQ386" s="418">
        <f t="shared" si="533"/>
        <v>0</v>
      </c>
      <c r="AR386" s="68">
        <f t="shared" si="534"/>
        <v>0</v>
      </c>
      <c r="AS386" s="68">
        <f t="shared" si="535"/>
        <v>0</v>
      </c>
      <c r="AT386" s="418">
        <v>0</v>
      </c>
      <c r="AU386" s="418">
        <v>0</v>
      </c>
      <c r="AV386" s="418">
        <f t="shared" si="536"/>
        <v>0</v>
      </c>
      <c r="AW386" s="418">
        <f t="shared" si="537"/>
        <v>0</v>
      </c>
      <c r="AX386" s="419">
        <v>0</v>
      </c>
      <c r="AY386" s="419">
        <v>0</v>
      </c>
      <c r="AZ386" s="419">
        <v>0</v>
      </c>
      <c r="BA386" s="419">
        <v>0</v>
      </c>
      <c r="BB386" s="419">
        <v>0</v>
      </c>
      <c r="BC386" s="419">
        <v>0</v>
      </c>
      <c r="BD386" s="419">
        <v>0</v>
      </c>
      <c r="BE386" s="419">
        <v>0</v>
      </c>
      <c r="BF386" s="419">
        <f t="shared" si="538"/>
        <v>0</v>
      </c>
      <c r="BG386" s="419">
        <f t="shared" si="539"/>
        <v>0</v>
      </c>
      <c r="BH386" s="421">
        <f t="shared" si="540"/>
        <v>0</v>
      </c>
      <c r="BI386" s="780">
        <f>I386+AW386</f>
        <v>0</v>
      </c>
      <c r="BJ386" s="418">
        <f>J386+AF386</f>
        <v>0</v>
      </c>
      <c r="BK386" s="418">
        <f t="shared" si="619"/>
        <v>0</v>
      </c>
      <c r="BL386" s="418">
        <f t="shared" si="619"/>
        <v>0</v>
      </c>
      <c r="BM386" s="418">
        <f>M386+AN386</f>
        <v>0</v>
      </c>
      <c r="BN386" s="418">
        <f t="shared" si="620"/>
        <v>0</v>
      </c>
      <c r="BO386" s="418">
        <f t="shared" si="620"/>
        <v>0</v>
      </c>
      <c r="BP386" s="418">
        <f t="shared" si="621"/>
        <v>0</v>
      </c>
      <c r="BQ386" s="418">
        <f t="shared" si="621"/>
        <v>0</v>
      </c>
      <c r="BR386" s="418">
        <f>R386+AV386</f>
        <v>0</v>
      </c>
      <c r="BS386" s="419">
        <f>S386+BH386</f>
        <v>0</v>
      </c>
      <c r="BT386" s="419">
        <f t="shared" si="622"/>
        <v>0</v>
      </c>
      <c r="BU386" s="421">
        <f t="shared" si="622"/>
        <v>0</v>
      </c>
      <c r="BV386" s="420"/>
      <c r="BW386" s="415"/>
      <c r="BX386" s="415"/>
      <c r="BY386" s="415"/>
      <c r="BZ386" s="415"/>
      <c r="CA386" s="510"/>
    </row>
    <row r="387" spans="1:79" ht="14.1" customHeight="1" x14ac:dyDescent="0.2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687</v>
      </c>
      <c r="F387" s="66">
        <v>3113</v>
      </c>
      <c r="G387" s="77" t="s">
        <v>291</v>
      </c>
      <c r="H387" s="67" t="s">
        <v>272</v>
      </c>
      <c r="I387" s="420">
        <v>912094</v>
      </c>
      <c r="J387" s="415">
        <v>673660</v>
      </c>
      <c r="K387" s="415">
        <v>673660</v>
      </c>
      <c r="L387" s="415">
        <v>0</v>
      </c>
      <c r="M387" s="415">
        <v>0</v>
      </c>
      <c r="N387" s="415">
        <v>0</v>
      </c>
      <c r="O387" s="415">
        <v>0</v>
      </c>
      <c r="P387" s="599">
        <v>227697</v>
      </c>
      <c r="Q387" s="599">
        <v>6737</v>
      </c>
      <c r="R387" s="415">
        <v>4000</v>
      </c>
      <c r="S387" s="416">
        <v>1.8</v>
      </c>
      <c r="T387" s="417">
        <v>1.8</v>
      </c>
      <c r="U387" s="423">
        <v>0</v>
      </c>
      <c r="V387" s="424">
        <f t="shared" si="525"/>
        <v>0</v>
      </c>
      <c r="W387" s="418">
        <f t="shared" si="526"/>
        <v>0</v>
      </c>
      <c r="X387" s="418">
        <v>0</v>
      </c>
      <c r="Y387" s="418">
        <v>0</v>
      </c>
      <c r="Z387" s="418">
        <v>0</v>
      </c>
      <c r="AA387" s="418">
        <v>0</v>
      </c>
      <c r="AB387" s="418">
        <v>0</v>
      </c>
      <c r="AC387" s="418">
        <v>0</v>
      </c>
      <c r="AD387" s="418">
        <f>V387+X387+Y387+Z387+AB387</f>
        <v>0</v>
      </c>
      <c r="AE387" s="418">
        <f>W387+AA387+AC387</f>
        <v>0</v>
      </c>
      <c r="AF387" s="418">
        <f t="shared" si="527"/>
        <v>0</v>
      </c>
      <c r="AG387" s="418">
        <v>0</v>
      </c>
      <c r="AH387" s="418">
        <v>0</v>
      </c>
      <c r="AI387" s="418">
        <v>0</v>
      </c>
      <c r="AJ387" s="418">
        <v>0</v>
      </c>
      <c r="AK387" s="418">
        <v>0</v>
      </c>
      <c r="AL387" s="418">
        <f t="shared" si="528"/>
        <v>0</v>
      </c>
      <c r="AM387" s="418">
        <f t="shared" si="529"/>
        <v>0</v>
      </c>
      <c r="AN387" s="418">
        <f t="shared" si="530"/>
        <v>0</v>
      </c>
      <c r="AO387" s="418">
        <f t="shared" si="531"/>
        <v>0</v>
      </c>
      <c r="AP387" s="418">
        <f t="shared" si="532"/>
        <v>0</v>
      </c>
      <c r="AQ387" s="418">
        <f t="shared" si="533"/>
        <v>0</v>
      </c>
      <c r="AR387" s="68">
        <f t="shared" si="534"/>
        <v>0</v>
      </c>
      <c r="AS387" s="68">
        <f t="shared" si="535"/>
        <v>0</v>
      </c>
      <c r="AT387" s="418">
        <v>0</v>
      </c>
      <c r="AU387" s="418">
        <v>0</v>
      </c>
      <c r="AV387" s="418">
        <f t="shared" si="536"/>
        <v>0</v>
      </c>
      <c r="AW387" s="418">
        <f t="shared" si="537"/>
        <v>0</v>
      </c>
      <c r="AX387" s="419">
        <v>0</v>
      </c>
      <c r="AY387" s="419">
        <v>0</v>
      </c>
      <c r="AZ387" s="419">
        <v>0</v>
      </c>
      <c r="BA387" s="419">
        <v>0</v>
      </c>
      <c r="BB387" s="419">
        <v>0</v>
      </c>
      <c r="BC387" s="419">
        <v>0</v>
      </c>
      <c r="BD387" s="419">
        <v>0</v>
      </c>
      <c r="BE387" s="419">
        <v>0</v>
      </c>
      <c r="BF387" s="419">
        <f t="shared" si="538"/>
        <v>0</v>
      </c>
      <c r="BG387" s="419">
        <f t="shared" si="539"/>
        <v>0</v>
      </c>
      <c r="BH387" s="421">
        <f t="shared" si="540"/>
        <v>0</v>
      </c>
      <c r="BI387" s="780">
        <f>I387+AW387</f>
        <v>912094</v>
      </c>
      <c r="BJ387" s="418">
        <f>J387+AF387</f>
        <v>673660</v>
      </c>
      <c r="BK387" s="418">
        <f t="shared" si="619"/>
        <v>673660</v>
      </c>
      <c r="BL387" s="418">
        <f t="shared" si="619"/>
        <v>0</v>
      </c>
      <c r="BM387" s="418">
        <f>M387+AN387</f>
        <v>0</v>
      </c>
      <c r="BN387" s="418">
        <f t="shared" si="620"/>
        <v>0</v>
      </c>
      <c r="BO387" s="418">
        <f t="shared" si="620"/>
        <v>0</v>
      </c>
      <c r="BP387" s="418">
        <f t="shared" si="621"/>
        <v>227697</v>
      </c>
      <c r="BQ387" s="418">
        <f t="shared" si="621"/>
        <v>6737</v>
      </c>
      <c r="BR387" s="418">
        <f>R387+AV387</f>
        <v>4000</v>
      </c>
      <c r="BS387" s="419">
        <f>S387+BH387</f>
        <v>1.8</v>
      </c>
      <c r="BT387" s="419">
        <f t="shared" si="622"/>
        <v>1.8</v>
      </c>
      <c r="BU387" s="421">
        <f t="shared" si="622"/>
        <v>0</v>
      </c>
      <c r="BV387" s="420"/>
      <c r="BW387" s="415"/>
      <c r="BX387" s="415"/>
      <c r="BY387" s="415"/>
      <c r="BZ387" s="415"/>
      <c r="CA387" s="510"/>
    </row>
    <row r="388" spans="1:79" ht="14.1" customHeight="1" x14ac:dyDescent="0.2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687</v>
      </c>
      <c r="F388" s="66">
        <v>3143</v>
      </c>
      <c r="G388" s="77" t="s">
        <v>595</v>
      </c>
      <c r="H388" s="67" t="s">
        <v>271</v>
      </c>
      <c r="I388" s="420">
        <v>2996854</v>
      </c>
      <c r="J388" s="415">
        <v>2223185</v>
      </c>
      <c r="K388" s="415">
        <v>2223185</v>
      </c>
      <c r="L388" s="415">
        <v>0</v>
      </c>
      <c r="M388" s="415">
        <v>0</v>
      </c>
      <c r="N388" s="415">
        <v>0</v>
      </c>
      <c r="O388" s="415">
        <v>0</v>
      </c>
      <c r="P388" s="599">
        <v>751437</v>
      </c>
      <c r="Q388" s="599">
        <v>22232</v>
      </c>
      <c r="R388" s="415">
        <v>0</v>
      </c>
      <c r="S388" s="416">
        <v>4.3213999999999997</v>
      </c>
      <c r="T388" s="416">
        <v>4.3213999999999997</v>
      </c>
      <c r="U388" s="423">
        <v>0</v>
      </c>
      <c r="V388" s="424">
        <f t="shared" si="525"/>
        <v>0</v>
      </c>
      <c r="W388" s="418">
        <f t="shared" si="526"/>
        <v>0</v>
      </c>
      <c r="X388" s="418">
        <v>0</v>
      </c>
      <c r="Y388" s="418">
        <v>0</v>
      </c>
      <c r="Z388" s="418">
        <v>0</v>
      </c>
      <c r="AA388" s="418">
        <v>0</v>
      </c>
      <c r="AB388" s="418">
        <v>0</v>
      </c>
      <c r="AC388" s="418">
        <v>0</v>
      </c>
      <c r="AD388" s="418">
        <f>V388+X388+Y388+Z388+AB388</f>
        <v>0</v>
      </c>
      <c r="AE388" s="418">
        <f>W388+AA388+AC388</f>
        <v>0</v>
      </c>
      <c r="AF388" s="418">
        <f t="shared" si="527"/>
        <v>0</v>
      </c>
      <c r="AG388" s="418">
        <v>0</v>
      </c>
      <c r="AH388" s="418">
        <v>0</v>
      </c>
      <c r="AI388" s="418">
        <v>0</v>
      </c>
      <c r="AJ388" s="418">
        <v>0</v>
      </c>
      <c r="AK388" s="418">
        <v>0</v>
      </c>
      <c r="AL388" s="418">
        <f t="shared" si="528"/>
        <v>0</v>
      </c>
      <c r="AM388" s="418">
        <f t="shared" si="529"/>
        <v>0</v>
      </c>
      <c r="AN388" s="418">
        <f t="shared" si="530"/>
        <v>0</v>
      </c>
      <c r="AO388" s="418">
        <f t="shared" si="531"/>
        <v>0</v>
      </c>
      <c r="AP388" s="418">
        <f t="shared" si="532"/>
        <v>0</v>
      </c>
      <c r="AQ388" s="418">
        <f t="shared" si="533"/>
        <v>0</v>
      </c>
      <c r="AR388" s="68">
        <f t="shared" si="534"/>
        <v>0</v>
      </c>
      <c r="AS388" s="68">
        <f t="shared" si="535"/>
        <v>0</v>
      </c>
      <c r="AT388" s="418">
        <v>0</v>
      </c>
      <c r="AU388" s="418">
        <v>0</v>
      </c>
      <c r="AV388" s="418">
        <f t="shared" si="536"/>
        <v>0</v>
      </c>
      <c r="AW388" s="418">
        <f t="shared" si="537"/>
        <v>0</v>
      </c>
      <c r="AX388" s="419">
        <v>0</v>
      </c>
      <c r="AY388" s="419">
        <v>0</v>
      </c>
      <c r="AZ388" s="419">
        <v>0</v>
      </c>
      <c r="BA388" s="419">
        <v>0</v>
      </c>
      <c r="BB388" s="419">
        <v>0</v>
      </c>
      <c r="BC388" s="419">
        <v>0</v>
      </c>
      <c r="BD388" s="419">
        <v>0</v>
      </c>
      <c r="BE388" s="419">
        <v>0</v>
      </c>
      <c r="BF388" s="419">
        <f t="shared" si="538"/>
        <v>0</v>
      </c>
      <c r="BG388" s="419">
        <f t="shared" si="539"/>
        <v>0</v>
      </c>
      <c r="BH388" s="421">
        <f t="shared" si="540"/>
        <v>0</v>
      </c>
      <c r="BI388" s="780">
        <f>I388+AW388</f>
        <v>2996854</v>
      </c>
      <c r="BJ388" s="418">
        <f>J388+AF388</f>
        <v>2223185</v>
      </c>
      <c r="BK388" s="418">
        <f t="shared" si="619"/>
        <v>2223185</v>
      </c>
      <c r="BL388" s="418">
        <f t="shared" si="619"/>
        <v>0</v>
      </c>
      <c r="BM388" s="418">
        <f>M388+AN388</f>
        <v>0</v>
      </c>
      <c r="BN388" s="418">
        <f t="shared" si="620"/>
        <v>0</v>
      </c>
      <c r="BO388" s="418">
        <f t="shared" si="620"/>
        <v>0</v>
      </c>
      <c r="BP388" s="418">
        <f t="shared" si="621"/>
        <v>751437</v>
      </c>
      <c r="BQ388" s="418">
        <f t="shared" si="621"/>
        <v>22232</v>
      </c>
      <c r="BR388" s="418">
        <f>R388+AV388</f>
        <v>0</v>
      </c>
      <c r="BS388" s="419">
        <f>S388+BH388</f>
        <v>4.3213999999999997</v>
      </c>
      <c r="BT388" s="419">
        <f t="shared" si="622"/>
        <v>4.3213999999999997</v>
      </c>
      <c r="BU388" s="421">
        <f t="shared" si="622"/>
        <v>0</v>
      </c>
      <c r="BV388" s="420"/>
      <c r="BW388" s="415"/>
      <c r="BX388" s="415"/>
      <c r="BY388" s="415"/>
      <c r="BZ388" s="415"/>
      <c r="CA388" s="510"/>
    </row>
    <row r="389" spans="1:79" ht="14.1" customHeight="1" x14ac:dyDescent="0.2">
      <c r="A389" s="66">
        <v>77</v>
      </c>
      <c r="B389" s="63">
        <v>2460</v>
      </c>
      <c r="C389" s="64">
        <v>600079783</v>
      </c>
      <c r="D389" s="63">
        <v>72741643</v>
      </c>
      <c r="E389" s="65" t="s">
        <v>687</v>
      </c>
      <c r="F389" s="66">
        <v>3143</v>
      </c>
      <c r="G389" s="77" t="s">
        <v>596</v>
      </c>
      <c r="H389" s="67" t="s">
        <v>272</v>
      </c>
      <c r="I389" s="420">
        <v>70705</v>
      </c>
      <c r="J389" s="415">
        <v>50609</v>
      </c>
      <c r="K389" s="415">
        <v>0</v>
      </c>
      <c r="L389" s="605">
        <v>50609</v>
      </c>
      <c r="M389" s="415">
        <v>0</v>
      </c>
      <c r="N389" s="415">
        <v>0</v>
      </c>
      <c r="O389" s="415">
        <v>0</v>
      </c>
      <c r="P389" s="599">
        <v>17106</v>
      </c>
      <c r="Q389" s="599">
        <v>506</v>
      </c>
      <c r="R389" s="606">
        <v>2484</v>
      </c>
      <c r="S389" s="416">
        <v>0.19170000000000001</v>
      </c>
      <c r="T389" s="609">
        <v>0</v>
      </c>
      <c r="U389" s="737">
        <v>0.19170000000000001</v>
      </c>
      <c r="V389" s="424">
        <f t="shared" si="525"/>
        <v>0</v>
      </c>
      <c r="W389" s="418">
        <f t="shared" si="526"/>
        <v>0</v>
      </c>
      <c r="X389" s="418">
        <v>0</v>
      </c>
      <c r="Y389" s="418">
        <v>0</v>
      </c>
      <c r="Z389" s="418">
        <v>0</v>
      </c>
      <c r="AA389" s="418">
        <v>25291</v>
      </c>
      <c r="AB389" s="418">
        <v>0</v>
      </c>
      <c r="AC389" s="418">
        <v>0</v>
      </c>
      <c r="AD389" s="418">
        <f>V389+X389+Y389+Z389+AB389</f>
        <v>0</v>
      </c>
      <c r="AE389" s="418">
        <f>W389+AA389+AC389</f>
        <v>25291</v>
      </c>
      <c r="AF389" s="418">
        <f t="shared" si="527"/>
        <v>25291</v>
      </c>
      <c r="AG389" s="418">
        <v>0</v>
      </c>
      <c r="AH389" s="418">
        <v>0</v>
      </c>
      <c r="AI389" s="418">
        <v>0</v>
      </c>
      <c r="AJ389" s="418">
        <v>0</v>
      </c>
      <c r="AK389" s="418">
        <v>0</v>
      </c>
      <c r="AL389" s="418">
        <f t="shared" si="528"/>
        <v>0</v>
      </c>
      <c r="AM389" s="418">
        <f t="shared" si="529"/>
        <v>0</v>
      </c>
      <c r="AN389" s="418">
        <f t="shared" si="530"/>
        <v>0</v>
      </c>
      <c r="AO389" s="418">
        <f t="shared" si="531"/>
        <v>0</v>
      </c>
      <c r="AP389" s="418">
        <f t="shared" si="532"/>
        <v>25291</v>
      </c>
      <c r="AQ389" s="418">
        <f t="shared" si="533"/>
        <v>25291</v>
      </c>
      <c r="AR389" s="68">
        <f t="shared" si="534"/>
        <v>8548</v>
      </c>
      <c r="AS389" s="68">
        <f t="shared" si="535"/>
        <v>253</v>
      </c>
      <c r="AT389" s="418">
        <v>0</v>
      </c>
      <c r="AU389" s="418">
        <v>1242</v>
      </c>
      <c r="AV389" s="418">
        <f t="shared" si="536"/>
        <v>1242</v>
      </c>
      <c r="AW389" s="418">
        <f t="shared" si="537"/>
        <v>35334</v>
      </c>
      <c r="AX389" s="419">
        <v>0</v>
      </c>
      <c r="AY389" s="419">
        <v>0</v>
      </c>
      <c r="AZ389" s="419">
        <v>0</v>
      </c>
      <c r="BA389" s="419">
        <v>0</v>
      </c>
      <c r="BB389" s="419">
        <v>0.1</v>
      </c>
      <c r="BC389" s="419">
        <v>0</v>
      </c>
      <c r="BD389" s="419">
        <v>0</v>
      </c>
      <c r="BE389" s="419">
        <v>0</v>
      </c>
      <c r="BF389" s="419">
        <f t="shared" si="538"/>
        <v>0</v>
      </c>
      <c r="BG389" s="419">
        <f t="shared" si="539"/>
        <v>0.1</v>
      </c>
      <c r="BH389" s="421">
        <f t="shared" si="540"/>
        <v>0.1</v>
      </c>
      <c r="BI389" s="780">
        <f>I389+AW389</f>
        <v>106039</v>
      </c>
      <c r="BJ389" s="418">
        <f>J389+AF389</f>
        <v>75900</v>
      </c>
      <c r="BK389" s="418">
        <f t="shared" si="619"/>
        <v>0</v>
      </c>
      <c r="BL389" s="418">
        <f t="shared" si="619"/>
        <v>75900</v>
      </c>
      <c r="BM389" s="418">
        <f>M389+AN389</f>
        <v>0</v>
      </c>
      <c r="BN389" s="418">
        <f t="shared" si="620"/>
        <v>0</v>
      </c>
      <c r="BO389" s="418">
        <f t="shared" si="620"/>
        <v>0</v>
      </c>
      <c r="BP389" s="418">
        <f t="shared" si="621"/>
        <v>25654</v>
      </c>
      <c r="BQ389" s="418">
        <f t="shared" si="621"/>
        <v>759</v>
      </c>
      <c r="BR389" s="418">
        <f>R389+AV389</f>
        <v>3726</v>
      </c>
      <c r="BS389" s="419">
        <f>S389+BH389</f>
        <v>0.29170000000000001</v>
      </c>
      <c r="BT389" s="419">
        <f t="shared" si="622"/>
        <v>0</v>
      </c>
      <c r="BU389" s="421">
        <f t="shared" si="622"/>
        <v>0.29170000000000001</v>
      </c>
      <c r="BV389" s="420"/>
      <c r="BW389" s="415"/>
      <c r="BX389" s="415"/>
      <c r="BY389" s="415"/>
      <c r="BZ389" s="415"/>
      <c r="CA389" s="510"/>
    </row>
    <row r="390" spans="1:79" ht="14.1" customHeight="1" x14ac:dyDescent="0.2">
      <c r="A390" s="72">
        <v>77</v>
      </c>
      <c r="B390" s="69">
        <v>2460</v>
      </c>
      <c r="C390" s="70">
        <v>600079783</v>
      </c>
      <c r="D390" s="69">
        <v>72741643</v>
      </c>
      <c r="E390" s="71" t="s">
        <v>688</v>
      </c>
      <c r="F390" s="72"/>
      <c r="G390" s="71"/>
      <c r="H390" s="73"/>
      <c r="I390" s="517">
        <v>49508832</v>
      </c>
      <c r="J390" s="74">
        <v>36265661</v>
      </c>
      <c r="K390" s="74">
        <v>34092314</v>
      </c>
      <c r="L390" s="74">
        <v>2173347</v>
      </c>
      <c r="M390" s="74">
        <v>0</v>
      </c>
      <c r="N390" s="74">
        <v>0</v>
      </c>
      <c r="O390" s="74">
        <v>0</v>
      </c>
      <c r="P390" s="74">
        <v>12257794</v>
      </c>
      <c r="Q390" s="74">
        <v>362657</v>
      </c>
      <c r="R390" s="74">
        <v>622720</v>
      </c>
      <c r="S390" s="75">
        <v>56.828199999999995</v>
      </c>
      <c r="T390" s="75">
        <v>50.157399999999996</v>
      </c>
      <c r="U390" s="658">
        <v>6.6707999999999998</v>
      </c>
      <c r="V390" s="517">
        <f t="shared" ref="V390:BU390" si="623">SUM(V385:V389)</f>
        <v>0</v>
      </c>
      <c r="W390" s="74">
        <f t="shared" si="623"/>
        <v>0</v>
      </c>
      <c r="X390" s="74">
        <f t="shared" si="623"/>
        <v>0</v>
      </c>
      <c r="Y390" s="74">
        <f t="shared" si="623"/>
        <v>0</v>
      </c>
      <c r="Z390" s="74">
        <f t="shared" si="623"/>
        <v>0</v>
      </c>
      <c r="AA390" s="74">
        <f t="shared" si="623"/>
        <v>25291</v>
      </c>
      <c r="AB390" s="74">
        <f t="shared" si="623"/>
        <v>0</v>
      </c>
      <c r="AC390" s="74">
        <f t="shared" si="623"/>
        <v>0</v>
      </c>
      <c r="AD390" s="74">
        <f t="shared" si="623"/>
        <v>0</v>
      </c>
      <c r="AE390" s="74">
        <f t="shared" si="623"/>
        <v>25291</v>
      </c>
      <c r="AF390" s="74">
        <f t="shared" si="623"/>
        <v>25291</v>
      </c>
      <c r="AG390" s="74">
        <f t="shared" si="623"/>
        <v>0</v>
      </c>
      <c r="AH390" s="74">
        <f t="shared" si="623"/>
        <v>0</v>
      </c>
      <c r="AI390" s="74">
        <f t="shared" si="623"/>
        <v>0</v>
      </c>
      <c r="AJ390" s="74">
        <f t="shared" si="623"/>
        <v>0</v>
      </c>
      <c r="AK390" s="74">
        <f t="shared" si="623"/>
        <v>0</v>
      </c>
      <c r="AL390" s="74">
        <f t="shared" si="623"/>
        <v>0</v>
      </c>
      <c r="AM390" s="74">
        <f t="shared" si="623"/>
        <v>0</v>
      </c>
      <c r="AN390" s="74">
        <f t="shared" si="623"/>
        <v>0</v>
      </c>
      <c r="AO390" s="74">
        <f t="shared" si="623"/>
        <v>0</v>
      </c>
      <c r="AP390" s="74">
        <f t="shared" si="623"/>
        <v>25291</v>
      </c>
      <c r="AQ390" s="74">
        <f t="shared" si="623"/>
        <v>25291</v>
      </c>
      <c r="AR390" s="74">
        <f t="shared" si="623"/>
        <v>8548</v>
      </c>
      <c r="AS390" s="74">
        <f t="shared" si="623"/>
        <v>253</v>
      </c>
      <c r="AT390" s="74">
        <f t="shared" si="623"/>
        <v>0</v>
      </c>
      <c r="AU390" s="74">
        <f t="shared" si="623"/>
        <v>1242</v>
      </c>
      <c r="AV390" s="74">
        <f t="shared" si="623"/>
        <v>1242</v>
      </c>
      <c r="AW390" s="74">
        <f t="shared" si="623"/>
        <v>35334</v>
      </c>
      <c r="AX390" s="75">
        <f t="shared" si="623"/>
        <v>0</v>
      </c>
      <c r="AY390" s="75">
        <f t="shared" si="623"/>
        <v>0</v>
      </c>
      <c r="AZ390" s="75">
        <f t="shared" si="623"/>
        <v>0</v>
      </c>
      <c r="BA390" s="75">
        <f t="shared" si="623"/>
        <v>0</v>
      </c>
      <c r="BB390" s="75">
        <f t="shared" si="623"/>
        <v>0.1</v>
      </c>
      <c r="BC390" s="75">
        <f t="shared" si="623"/>
        <v>0</v>
      </c>
      <c r="BD390" s="75">
        <f t="shared" si="623"/>
        <v>0</v>
      </c>
      <c r="BE390" s="75">
        <f t="shared" si="623"/>
        <v>0</v>
      </c>
      <c r="BF390" s="75">
        <f t="shared" si="623"/>
        <v>0</v>
      </c>
      <c r="BG390" s="75">
        <f t="shared" si="623"/>
        <v>0.1</v>
      </c>
      <c r="BH390" s="76">
        <f t="shared" si="623"/>
        <v>0.1</v>
      </c>
      <c r="BI390" s="799">
        <f t="shared" si="623"/>
        <v>49544166</v>
      </c>
      <c r="BJ390" s="74">
        <f t="shared" si="623"/>
        <v>36290952</v>
      </c>
      <c r="BK390" s="74">
        <f t="shared" si="623"/>
        <v>34092314</v>
      </c>
      <c r="BL390" s="74">
        <f t="shared" si="623"/>
        <v>2198638</v>
      </c>
      <c r="BM390" s="74">
        <f t="shared" si="623"/>
        <v>0</v>
      </c>
      <c r="BN390" s="74">
        <f t="shared" si="623"/>
        <v>0</v>
      </c>
      <c r="BO390" s="74">
        <f t="shared" si="623"/>
        <v>0</v>
      </c>
      <c r="BP390" s="74">
        <f t="shared" si="623"/>
        <v>12266342</v>
      </c>
      <c r="BQ390" s="74">
        <f t="shared" si="623"/>
        <v>362910</v>
      </c>
      <c r="BR390" s="74">
        <f t="shared" si="623"/>
        <v>623962</v>
      </c>
      <c r="BS390" s="75">
        <f t="shared" si="623"/>
        <v>56.928199999999997</v>
      </c>
      <c r="BT390" s="75">
        <f t="shared" si="623"/>
        <v>50.157399999999996</v>
      </c>
      <c r="BU390" s="76">
        <f t="shared" si="623"/>
        <v>6.7707999999999995</v>
      </c>
      <c r="BV390" s="809">
        <f t="shared" ref="BV390:CA390" si="624">SUM(BV385:BV389)</f>
        <v>684245</v>
      </c>
      <c r="BW390" s="684">
        <f t="shared" si="624"/>
        <v>507600</v>
      </c>
      <c r="BX390" s="684">
        <f t="shared" si="624"/>
        <v>0</v>
      </c>
      <c r="BY390" s="684">
        <f t="shared" si="624"/>
        <v>171569</v>
      </c>
      <c r="BZ390" s="684">
        <f t="shared" si="624"/>
        <v>5076</v>
      </c>
      <c r="CA390" s="810">
        <f t="shared" si="624"/>
        <v>0.9</v>
      </c>
    </row>
    <row r="391" spans="1:79" ht="14.1" customHeight="1" x14ac:dyDescent="0.2">
      <c r="A391" s="66">
        <v>78</v>
      </c>
      <c r="B391" s="63">
        <v>2324</v>
      </c>
      <c r="C391" s="64">
        <v>600074030</v>
      </c>
      <c r="D391" s="63">
        <v>71013083</v>
      </c>
      <c r="E391" s="189" t="s">
        <v>848</v>
      </c>
      <c r="F391" s="808">
        <v>3111</v>
      </c>
      <c r="G391" s="65" t="s">
        <v>290</v>
      </c>
      <c r="H391" s="67" t="s">
        <v>271</v>
      </c>
      <c r="I391" s="420">
        <v>11746142</v>
      </c>
      <c r="J391" s="415">
        <v>8659880</v>
      </c>
      <c r="K391" s="415">
        <v>7859527</v>
      </c>
      <c r="L391" s="415">
        <v>800353</v>
      </c>
      <c r="M391" s="415">
        <v>23500</v>
      </c>
      <c r="N391" s="415">
        <v>11750</v>
      </c>
      <c r="O391" s="415">
        <v>11750</v>
      </c>
      <c r="P391" s="599">
        <v>2934982</v>
      </c>
      <c r="Q391" s="599">
        <v>86599</v>
      </c>
      <c r="R391" s="415">
        <v>41181</v>
      </c>
      <c r="S391" s="416">
        <v>16.590900000000001</v>
      </c>
      <c r="T391" s="416">
        <v>13.850900000000001</v>
      </c>
      <c r="U391" s="423">
        <v>2.7400000000000007</v>
      </c>
      <c r="V391" s="424">
        <f t="shared" si="525"/>
        <v>0</v>
      </c>
      <c r="W391" s="418">
        <f t="shared" si="526"/>
        <v>0</v>
      </c>
      <c r="X391" s="418">
        <v>0</v>
      </c>
      <c r="Y391" s="418">
        <v>0</v>
      </c>
      <c r="Z391" s="418">
        <v>0</v>
      </c>
      <c r="AA391" s="418">
        <v>0</v>
      </c>
      <c r="AB391" s="418">
        <v>0</v>
      </c>
      <c r="AC391" s="418">
        <v>0</v>
      </c>
      <c r="AD391" s="418">
        <f>V391+X391+Y391+Z391+AB391</f>
        <v>0</v>
      </c>
      <c r="AE391" s="418">
        <f>W391+AA391+AC391</f>
        <v>0</v>
      </c>
      <c r="AF391" s="418">
        <f t="shared" si="527"/>
        <v>0</v>
      </c>
      <c r="AG391" s="418">
        <v>0</v>
      </c>
      <c r="AH391" s="418">
        <v>0</v>
      </c>
      <c r="AI391" s="418">
        <v>0</v>
      </c>
      <c r="AJ391" s="418">
        <v>0</v>
      </c>
      <c r="AK391" s="418">
        <v>0</v>
      </c>
      <c r="AL391" s="418">
        <f t="shared" si="528"/>
        <v>0</v>
      </c>
      <c r="AM391" s="418">
        <f t="shared" si="529"/>
        <v>0</v>
      </c>
      <c r="AN391" s="418">
        <f t="shared" si="530"/>
        <v>0</v>
      </c>
      <c r="AO391" s="418">
        <f t="shared" si="531"/>
        <v>0</v>
      </c>
      <c r="AP391" s="418">
        <f t="shared" si="532"/>
        <v>0</v>
      </c>
      <c r="AQ391" s="418">
        <f t="shared" si="533"/>
        <v>0</v>
      </c>
      <c r="AR391" s="68">
        <f t="shared" si="534"/>
        <v>0</v>
      </c>
      <c r="AS391" s="68">
        <f t="shared" si="535"/>
        <v>0</v>
      </c>
      <c r="AT391" s="418">
        <v>0</v>
      </c>
      <c r="AU391" s="418">
        <v>0</v>
      </c>
      <c r="AV391" s="418">
        <f t="shared" si="536"/>
        <v>0</v>
      </c>
      <c r="AW391" s="418">
        <f t="shared" si="537"/>
        <v>0</v>
      </c>
      <c r="AX391" s="419">
        <v>0</v>
      </c>
      <c r="AY391" s="419">
        <v>0</v>
      </c>
      <c r="AZ391" s="419">
        <v>0</v>
      </c>
      <c r="BA391" s="419">
        <v>0</v>
      </c>
      <c r="BB391" s="419">
        <v>0</v>
      </c>
      <c r="BC391" s="419">
        <v>0</v>
      </c>
      <c r="BD391" s="419">
        <v>0</v>
      </c>
      <c r="BE391" s="419">
        <v>0</v>
      </c>
      <c r="BF391" s="419">
        <f t="shared" si="538"/>
        <v>0</v>
      </c>
      <c r="BG391" s="419">
        <f t="shared" si="539"/>
        <v>0</v>
      </c>
      <c r="BH391" s="421">
        <f t="shared" si="540"/>
        <v>0</v>
      </c>
      <c r="BI391" s="780">
        <f>I391+AW391</f>
        <v>11746142</v>
      </c>
      <c r="BJ391" s="418">
        <f>J391+AF391</f>
        <v>8659880</v>
      </c>
      <c r="BK391" s="418">
        <f t="shared" ref="BK391:BL393" si="625">K391+AD391</f>
        <v>7859527</v>
      </c>
      <c r="BL391" s="418">
        <f t="shared" si="625"/>
        <v>800353</v>
      </c>
      <c r="BM391" s="418">
        <f>M391+AN391</f>
        <v>23500</v>
      </c>
      <c r="BN391" s="418">
        <f t="shared" ref="BN391:BO393" si="626">N391+AL391</f>
        <v>11750</v>
      </c>
      <c r="BO391" s="418">
        <f t="shared" si="626"/>
        <v>11750</v>
      </c>
      <c r="BP391" s="418">
        <f t="shared" ref="BP391:BQ393" si="627">P391+AR391</f>
        <v>2934982</v>
      </c>
      <c r="BQ391" s="418">
        <f t="shared" si="627"/>
        <v>86599</v>
      </c>
      <c r="BR391" s="418">
        <f>R391+AV391</f>
        <v>41181</v>
      </c>
      <c r="BS391" s="419">
        <f>S391+BH391</f>
        <v>16.590900000000001</v>
      </c>
      <c r="BT391" s="419">
        <f t="shared" ref="BT391:BU393" si="628">T391+BF391</f>
        <v>13.850900000000001</v>
      </c>
      <c r="BU391" s="421">
        <f t="shared" si="628"/>
        <v>2.7400000000000007</v>
      </c>
      <c r="BV391" s="420"/>
      <c r="BW391" s="415"/>
      <c r="BX391" s="415"/>
      <c r="BY391" s="415"/>
      <c r="BZ391" s="415"/>
      <c r="CA391" s="510"/>
    </row>
    <row r="392" spans="1:79" ht="14.1" customHeight="1" x14ac:dyDescent="0.2">
      <c r="A392" s="66">
        <v>78</v>
      </c>
      <c r="B392" s="63">
        <v>2324</v>
      </c>
      <c r="C392" s="64">
        <v>600074030</v>
      </c>
      <c r="D392" s="63">
        <v>71013083</v>
      </c>
      <c r="E392" s="189" t="s">
        <v>848</v>
      </c>
      <c r="F392" s="808">
        <v>3111</v>
      </c>
      <c r="G392" s="77" t="s">
        <v>291</v>
      </c>
      <c r="H392" s="67" t="s">
        <v>272</v>
      </c>
      <c r="I392" s="420">
        <v>1832969</v>
      </c>
      <c r="J392" s="415">
        <v>1357544</v>
      </c>
      <c r="K392" s="415">
        <v>1357544</v>
      </c>
      <c r="L392" s="415">
        <v>0</v>
      </c>
      <c r="M392" s="415">
        <v>0</v>
      </c>
      <c r="N392" s="415">
        <v>0</v>
      </c>
      <c r="O392" s="415">
        <v>0</v>
      </c>
      <c r="P392" s="599">
        <v>458850</v>
      </c>
      <c r="Q392" s="599">
        <v>13575</v>
      </c>
      <c r="R392" s="415">
        <v>3000</v>
      </c>
      <c r="S392" s="416">
        <v>3.75</v>
      </c>
      <c r="T392" s="417">
        <v>3.75</v>
      </c>
      <c r="U392" s="423">
        <v>0</v>
      </c>
      <c r="V392" s="424">
        <f t="shared" si="525"/>
        <v>0</v>
      </c>
      <c r="W392" s="418">
        <f t="shared" si="526"/>
        <v>0</v>
      </c>
      <c r="X392" s="418">
        <v>0</v>
      </c>
      <c r="Y392" s="418">
        <v>0</v>
      </c>
      <c r="Z392" s="418">
        <v>0</v>
      </c>
      <c r="AA392" s="418">
        <v>0</v>
      </c>
      <c r="AB392" s="418">
        <v>0</v>
      </c>
      <c r="AC392" s="418">
        <v>0</v>
      </c>
      <c r="AD392" s="418">
        <f>V392+X392+Y392+Z392+AB392</f>
        <v>0</v>
      </c>
      <c r="AE392" s="418">
        <f>W392+AA392+AC392</f>
        <v>0</v>
      </c>
      <c r="AF392" s="418">
        <f t="shared" si="527"/>
        <v>0</v>
      </c>
      <c r="AG392" s="418">
        <v>0</v>
      </c>
      <c r="AH392" s="418">
        <v>0</v>
      </c>
      <c r="AI392" s="418">
        <v>0</v>
      </c>
      <c r="AJ392" s="418">
        <v>0</v>
      </c>
      <c r="AK392" s="418">
        <v>0</v>
      </c>
      <c r="AL392" s="418">
        <f t="shared" si="528"/>
        <v>0</v>
      </c>
      <c r="AM392" s="418">
        <f t="shared" si="529"/>
        <v>0</v>
      </c>
      <c r="AN392" s="418">
        <f t="shared" si="530"/>
        <v>0</v>
      </c>
      <c r="AO392" s="418">
        <f t="shared" si="531"/>
        <v>0</v>
      </c>
      <c r="AP392" s="418">
        <f t="shared" si="532"/>
        <v>0</v>
      </c>
      <c r="AQ392" s="418">
        <f t="shared" si="533"/>
        <v>0</v>
      </c>
      <c r="AR392" s="68">
        <f t="shared" si="534"/>
        <v>0</v>
      </c>
      <c r="AS392" s="68">
        <f t="shared" si="535"/>
        <v>0</v>
      </c>
      <c r="AT392" s="418">
        <v>0</v>
      </c>
      <c r="AU392" s="418">
        <v>0</v>
      </c>
      <c r="AV392" s="418">
        <f t="shared" si="536"/>
        <v>0</v>
      </c>
      <c r="AW392" s="418">
        <f t="shared" si="537"/>
        <v>0</v>
      </c>
      <c r="AX392" s="419">
        <v>0</v>
      </c>
      <c r="AY392" s="419">
        <v>0</v>
      </c>
      <c r="AZ392" s="419">
        <f>0.67+(-0.67)</f>
        <v>0</v>
      </c>
      <c r="BA392" s="419">
        <v>0</v>
      </c>
      <c r="BB392" s="419">
        <v>0</v>
      </c>
      <c r="BC392" s="419">
        <v>0</v>
      </c>
      <c r="BD392" s="419">
        <v>0</v>
      </c>
      <c r="BE392" s="419">
        <v>0</v>
      </c>
      <c r="BF392" s="419">
        <f t="shared" si="538"/>
        <v>0</v>
      </c>
      <c r="BG392" s="419">
        <f t="shared" si="539"/>
        <v>0</v>
      </c>
      <c r="BH392" s="421">
        <f t="shared" si="540"/>
        <v>0</v>
      </c>
      <c r="BI392" s="780">
        <f>I392+AW392</f>
        <v>1832969</v>
      </c>
      <c r="BJ392" s="418">
        <f>J392+AF392</f>
        <v>1357544</v>
      </c>
      <c r="BK392" s="418">
        <f t="shared" si="625"/>
        <v>1357544</v>
      </c>
      <c r="BL392" s="418">
        <f t="shared" si="625"/>
        <v>0</v>
      </c>
      <c r="BM392" s="418">
        <f>M392+AN392</f>
        <v>0</v>
      </c>
      <c r="BN392" s="418">
        <f t="shared" si="626"/>
        <v>0</v>
      </c>
      <c r="BO392" s="418">
        <f t="shared" si="626"/>
        <v>0</v>
      </c>
      <c r="BP392" s="418">
        <f t="shared" si="627"/>
        <v>458850</v>
      </c>
      <c r="BQ392" s="418">
        <f t="shared" si="627"/>
        <v>13575</v>
      </c>
      <c r="BR392" s="418">
        <f>R392+AV392</f>
        <v>3000</v>
      </c>
      <c r="BS392" s="419">
        <f>S392+BH392</f>
        <v>3.75</v>
      </c>
      <c r="BT392" s="419">
        <f t="shared" si="628"/>
        <v>3.75</v>
      </c>
      <c r="BU392" s="421">
        <f t="shared" si="628"/>
        <v>0</v>
      </c>
      <c r="BV392" s="420"/>
      <c r="BW392" s="415"/>
      <c r="BX392" s="415"/>
      <c r="BY392" s="415"/>
      <c r="BZ392" s="415"/>
      <c r="CA392" s="510"/>
    </row>
    <row r="393" spans="1:79" ht="14.1" customHeight="1" x14ac:dyDescent="0.2">
      <c r="A393" s="66">
        <v>78</v>
      </c>
      <c r="B393" s="63">
        <v>2324</v>
      </c>
      <c r="C393" s="64">
        <v>600074030</v>
      </c>
      <c r="D393" s="63">
        <v>71013083</v>
      </c>
      <c r="E393" s="189" t="s">
        <v>848</v>
      </c>
      <c r="F393" s="808">
        <v>3141</v>
      </c>
      <c r="G393" s="65" t="s">
        <v>294</v>
      </c>
      <c r="H393" s="67" t="s">
        <v>272</v>
      </c>
      <c r="I393" s="420">
        <v>783216</v>
      </c>
      <c r="J393" s="415">
        <v>578055</v>
      </c>
      <c r="K393" s="415">
        <v>0</v>
      </c>
      <c r="L393" s="750">
        <v>578055</v>
      </c>
      <c r="M393" s="415">
        <v>0</v>
      </c>
      <c r="N393" s="204">
        <v>0</v>
      </c>
      <c r="O393" s="204">
        <v>0</v>
      </c>
      <c r="P393" s="599">
        <v>195383</v>
      </c>
      <c r="Q393" s="599">
        <v>5781</v>
      </c>
      <c r="R393" s="605">
        <v>3997</v>
      </c>
      <c r="S393" s="416">
        <v>1.7334000000000001</v>
      </c>
      <c r="T393" s="607">
        <v>0</v>
      </c>
      <c r="U393" s="737">
        <v>1.7334000000000001</v>
      </c>
      <c r="V393" s="424">
        <f t="shared" si="525"/>
        <v>0</v>
      </c>
      <c r="W393" s="418">
        <f t="shared" si="526"/>
        <v>0</v>
      </c>
      <c r="X393" s="418">
        <v>0</v>
      </c>
      <c r="Y393" s="418">
        <v>0</v>
      </c>
      <c r="Z393" s="418">
        <v>0</v>
      </c>
      <c r="AA393" s="418">
        <v>289349</v>
      </c>
      <c r="AB393" s="418">
        <v>0</v>
      </c>
      <c r="AC393" s="418">
        <v>0</v>
      </c>
      <c r="AD393" s="418">
        <f>V393+X393+Y393+Z393+AB393</f>
        <v>0</v>
      </c>
      <c r="AE393" s="418">
        <f>W393+AA393+AC393</f>
        <v>289349</v>
      </c>
      <c r="AF393" s="418">
        <f t="shared" si="527"/>
        <v>289349</v>
      </c>
      <c r="AG393" s="418">
        <v>0</v>
      </c>
      <c r="AH393" s="418">
        <v>0</v>
      </c>
      <c r="AI393" s="418">
        <v>0</v>
      </c>
      <c r="AJ393" s="418">
        <v>0</v>
      </c>
      <c r="AK393" s="418">
        <v>0</v>
      </c>
      <c r="AL393" s="418">
        <f t="shared" si="528"/>
        <v>0</v>
      </c>
      <c r="AM393" s="418">
        <f t="shared" si="529"/>
        <v>0</v>
      </c>
      <c r="AN393" s="418">
        <f t="shared" si="530"/>
        <v>0</v>
      </c>
      <c r="AO393" s="418">
        <f t="shared" si="531"/>
        <v>0</v>
      </c>
      <c r="AP393" s="418">
        <f t="shared" si="532"/>
        <v>289349</v>
      </c>
      <c r="AQ393" s="418">
        <f t="shared" si="533"/>
        <v>289349</v>
      </c>
      <c r="AR393" s="68">
        <f t="shared" si="534"/>
        <v>97800</v>
      </c>
      <c r="AS393" s="68">
        <f t="shared" si="535"/>
        <v>2893</v>
      </c>
      <c r="AT393" s="418">
        <v>0</v>
      </c>
      <c r="AU393" s="418">
        <v>1927</v>
      </c>
      <c r="AV393" s="418">
        <f t="shared" si="536"/>
        <v>1927</v>
      </c>
      <c r="AW393" s="418">
        <f t="shared" si="537"/>
        <v>391969</v>
      </c>
      <c r="AX393" s="419">
        <v>0</v>
      </c>
      <c r="AY393" s="419">
        <v>0</v>
      </c>
      <c r="AZ393" s="419">
        <v>0</v>
      </c>
      <c r="BA393" s="419">
        <v>0</v>
      </c>
      <c r="BB393" s="419">
        <v>0.87</v>
      </c>
      <c r="BC393" s="419">
        <v>0</v>
      </c>
      <c r="BD393" s="419">
        <v>0</v>
      </c>
      <c r="BE393" s="419">
        <v>0</v>
      </c>
      <c r="BF393" s="419">
        <f t="shared" si="538"/>
        <v>0</v>
      </c>
      <c r="BG393" s="419">
        <f t="shared" si="539"/>
        <v>0.87</v>
      </c>
      <c r="BH393" s="421">
        <f t="shared" si="540"/>
        <v>0.87</v>
      </c>
      <c r="BI393" s="780">
        <f>I393+AW393</f>
        <v>1175185</v>
      </c>
      <c r="BJ393" s="418">
        <f>J393+AF393</f>
        <v>867404</v>
      </c>
      <c r="BK393" s="418">
        <f t="shared" si="625"/>
        <v>0</v>
      </c>
      <c r="BL393" s="418">
        <f t="shared" si="625"/>
        <v>867404</v>
      </c>
      <c r="BM393" s="418">
        <f>M393+AN393</f>
        <v>0</v>
      </c>
      <c r="BN393" s="418">
        <f t="shared" si="626"/>
        <v>0</v>
      </c>
      <c r="BO393" s="418">
        <f t="shared" si="626"/>
        <v>0</v>
      </c>
      <c r="BP393" s="418">
        <f t="shared" si="627"/>
        <v>293183</v>
      </c>
      <c r="BQ393" s="418">
        <f t="shared" si="627"/>
        <v>8674</v>
      </c>
      <c r="BR393" s="418">
        <f>R393+AV393</f>
        <v>5924</v>
      </c>
      <c r="BS393" s="419">
        <f>S393+BH393</f>
        <v>2.6034000000000002</v>
      </c>
      <c r="BT393" s="419">
        <f t="shared" si="628"/>
        <v>0</v>
      </c>
      <c r="BU393" s="421">
        <f t="shared" si="628"/>
        <v>2.6034000000000002</v>
      </c>
      <c r="BV393" s="420"/>
      <c r="BW393" s="415"/>
      <c r="BX393" s="415"/>
      <c r="BY393" s="415"/>
      <c r="BZ393" s="415"/>
      <c r="CA393" s="510"/>
    </row>
    <row r="394" spans="1:79" ht="14.1" customHeight="1" x14ac:dyDescent="0.2">
      <c r="A394" s="72">
        <v>78</v>
      </c>
      <c r="B394" s="69">
        <v>2324</v>
      </c>
      <c r="C394" s="70">
        <v>600074030</v>
      </c>
      <c r="D394" s="69">
        <v>71013083</v>
      </c>
      <c r="E394" s="807" t="s">
        <v>849</v>
      </c>
      <c r="F394" s="72"/>
      <c r="G394" s="71"/>
      <c r="H394" s="73"/>
      <c r="I394" s="517">
        <v>14362327</v>
      </c>
      <c r="J394" s="74">
        <v>10595479</v>
      </c>
      <c r="K394" s="74">
        <v>9217071</v>
      </c>
      <c r="L394" s="74">
        <v>1378408</v>
      </c>
      <c r="M394" s="74">
        <v>23500</v>
      </c>
      <c r="N394" s="74">
        <v>11750</v>
      </c>
      <c r="O394" s="74">
        <v>11750</v>
      </c>
      <c r="P394" s="74">
        <v>3589215</v>
      </c>
      <c r="Q394" s="74">
        <v>105955</v>
      </c>
      <c r="R394" s="74">
        <v>48178</v>
      </c>
      <c r="S394" s="75">
        <v>22.074300000000001</v>
      </c>
      <c r="T394" s="75">
        <v>17.600900000000003</v>
      </c>
      <c r="U394" s="658">
        <v>4.4734000000000007</v>
      </c>
      <c r="V394" s="517">
        <f t="shared" ref="V394:BU394" si="629">SUM(V391:V393)</f>
        <v>0</v>
      </c>
      <c r="W394" s="74">
        <f t="shared" si="629"/>
        <v>0</v>
      </c>
      <c r="X394" s="74">
        <f t="shared" si="629"/>
        <v>0</v>
      </c>
      <c r="Y394" s="74">
        <f t="shared" si="629"/>
        <v>0</v>
      </c>
      <c r="Z394" s="74">
        <f t="shared" si="629"/>
        <v>0</v>
      </c>
      <c r="AA394" s="74">
        <f t="shared" si="629"/>
        <v>289349</v>
      </c>
      <c r="AB394" s="74">
        <f t="shared" si="629"/>
        <v>0</v>
      </c>
      <c r="AC394" s="74">
        <f t="shared" si="629"/>
        <v>0</v>
      </c>
      <c r="AD394" s="74">
        <f t="shared" si="629"/>
        <v>0</v>
      </c>
      <c r="AE394" s="74">
        <f t="shared" si="629"/>
        <v>289349</v>
      </c>
      <c r="AF394" s="74">
        <f t="shared" si="629"/>
        <v>289349</v>
      </c>
      <c r="AG394" s="74">
        <f t="shared" si="629"/>
        <v>0</v>
      </c>
      <c r="AH394" s="74">
        <f t="shared" si="629"/>
        <v>0</v>
      </c>
      <c r="AI394" s="74">
        <f t="shared" si="629"/>
        <v>0</v>
      </c>
      <c r="AJ394" s="74">
        <f t="shared" si="629"/>
        <v>0</v>
      </c>
      <c r="AK394" s="74">
        <f t="shared" si="629"/>
        <v>0</v>
      </c>
      <c r="AL394" s="74">
        <f t="shared" si="629"/>
        <v>0</v>
      </c>
      <c r="AM394" s="74">
        <f t="shared" si="629"/>
        <v>0</v>
      </c>
      <c r="AN394" s="74">
        <f t="shared" si="629"/>
        <v>0</v>
      </c>
      <c r="AO394" s="74">
        <f t="shared" si="629"/>
        <v>0</v>
      </c>
      <c r="AP394" s="74">
        <f t="shared" si="629"/>
        <v>289349</v>
      </c>
      <c r="AQ394" s="74">
        <f t="shared" si="629"/>
        <v>289349</v>
      </c>
      <c r="AR394" s="74">
        <f t="shared" si="629"/>
        <v>97800</v>
      </c>
      <c r="AS394" s="74">
        <f t="shared" si="629"/>
        <v>2893</v>
      </c>
      <c r="AT394" s="74">
        <f t="shared" si="629"/>
        <v>0</v>
      </c>
      <c r="AU394" s="74">
        <f t="shared" si="629"/>
        <v>1927</v>
      </c>
      <c r="AV394" s="74">
        <f t="shared" si="629"/>
        <v>1927</v>
      </c>
      <c r="AW394" s="74">
        <f t="shared" si="629"/>
        <v>391969</v>
      </c>
      <c r="AX394" s="75">
        <f t="shared" si="629"/>
        <v>0</v>
      </c>
      <c r="AY394" s="75">
        <f t="shared" si="629"/>
        <v>0</v>
      </c>
      <c r="AZ394" s="75">
        <f t="shared" si="629"/>
        <v>0</v>
      </c>
      <c r="BA394" s="75">
        <f t="shared" si="629"/>
        <v>0</v>
      </c>
      <c r="BB394" s="75">
        <f t="shared" si="629"/>
        <v>0.87</v>
      </c>
      <c r="BC394" s="75">
        <f t="shared" si="629"/>
        <v>0</v>
      </c>
      <c r="BD394" s="75">
        <f t="shared" si="629"/>
        <v>0</v>
      </c>
      <c r="BE394" s="75">
        <f t="shared" si="629"/>
        <v>0</v>
      </c>
      <c r="BF394" s="75">
        <f t="shared" si="629"/>
        <v>0</v>
      </c>
      <c r="BG394" s="75">
        <f t="shared" si="629"/>
        <v>0.87</v>
      </c>
      <c r="BH394" s="76">
        <f t="shared" si="629"/>
        <v>0.87</v>
      </c>
      <c r="BI394" s="799">
        <f t="shared" si="629"/>
        <v>14754296</v>
      </c>
      <c r="BJ394" s="74">
        <f t="shared" si="629"/>
        <v>10884828</v>
      </c>
      <c r="BK394" s="74">
        <f t="shared" si="629"/>
        <v>9217071</v>
      </c>
      <c r="BL394" s="74">
        <f t="shared" si="629"/>
        <v>1667757</v>
      </c>
      <c r="BM394" s="74">
        <f t="shared" si="629"/>
        <v>23500</v>
      </c>
      <c r="BN394" s="74">
        <f t="shared" si="629"/>
        <v>11750</v>
      </c>
      <c r="BO394" s="74">
        <f t="shared" si="629"/>
        <v>11750</v>
      </c>
      <c r="BP394" s="74">
        <f t="shared" si="629"/>
        <v>3687015</v>
      </c>
      <c r="BQ394" s="74">
        <f t="shared" si="629"/>
        <v>108848</v>
      </c>
      <c r="BR394" s="74">
        <f t="shared" si="629"/>
        <v>50105</v>
      </c>
      <c r="BS394" s="75">
        <f t="shared" si="629"/>
        <v>22.944300000000002</v>
      </c>
      <c r="BT394" s="75">
        <f t="shared" si="629"/>
        <v>17.600900000000003</v>
      </c>
      <c r="BU394" s="76">
        <f t="shared" si="629"/>
        <v>5.3434000000000008</v>
      </c>
      <c r="BV394" s="809">
        <f t="shared" ref="BV394:CA394" si="630">SUM(BV391:BV393)</f>
        <v>0</v>
      </c>
      <c r="BW394" s="684">
        <f t="shared" si="630"/>
        <v>0</v>
      </c>
      <c r="BX394" s="684">
        <f t="shared" si="630"/>
        <v>0</v>
      </c>
      <c r="BY394" s="684">
        <f t="shared" si="630"/>
        <v>0</v>
      </c>
      <c r="BZ394" s="684">
        <f t="shared" si="630"/>
        <v>0</v>
      </c>
      <c r="CA394" s="810">
        <f t="shared" si="630"/>
        <v>0</v>
      </c>
    </row>
    <row r="395" spans="1:79" ht="14.1" customHeight="1" x14ac:dyDescent="0.2">
      <c r="A395" s="66">
        <v>79</v>
      </c>
      <c r="B395" s="63">
        <v>2325</v>
      </c>
      <c r="C395" s="64">
        <v>600074561</v>
      </c>
      <c r="D395" s="63">
        <v>46750321</v>
      </c>
      <c r="E395" s="65" t="s">
        <v>689</v>
      </c>
      <c r="F395" s="66">
        <v>3113</v>
      </c>
      <c r="G395" s="65" t="s">
        <v>293</v>
      </c>
      <c r="H395" s="67" t="s">
        <v>271</v>
      </c>
      <c r="I395" s="420">
        <v>29980360</v>
      </c>
      <c r="J395" s="415">
        <v>21950037</v>
      </c>
      <c r="K395" s="415">
        <v>20517826</v>
      </c>
      <c r="L395" s="415">
        <v>1432211</v>
      </c>
      <c r="M395" s="415">
        <v>0</v>
      </c>
      <c r="N395" s="415">
        <v>0</v>
      </c>
      <c r="O395" s="415">
        <v>0</v>
      </c>
      <c r="P395" s="599">
        <v>7419113</v>
      </c>
      <c r="Q395" s="599">
        <v>219500</v>
      </c>
      <c r="R395" s="415">
        <v>391710</v>
      </c>
      <c r="S395" s="416">
        <v>33.492100000000001</v>
      </c>
      <c r="T395" s="416">
        <v>29.2727</v>
      </c>
      <c r="U395" s="423">
        <v>4.2194000000000003</v>
      </c>
      <c r="V395" s="424">
        <f t="shared" si="525"/>
        <v>0</v>
      </c>
      <c r="W395" s="418">
        <f t="shared" si="526"/>
        <v>0</v>
      </c>
      <c r="X395" s="418">
        <v>0</v>
      </c>
      <c r="Y395" s="418">
        <v>0</v>
      </c>
      <c r="Z395" s="418">
        <v>0</v>
      </c>
      <c r="AA395" s="418">
        <v>0</v>
      </c>
      <c r="AB395" s="418">
        <v>0</v>
      </c>
      <c r="AC395" s="418">
        <v>0</v>
      </c>
      <c r="AD395" s="418">
        <f t="shared" ref="AD395:AD400" si="631">V395+X395+Y395+Z395+AB395</f>
        <v>0</v>
      </c>
      <c r="AE395" s="418">
        <f t="shared" ref="AE395:AE400" si="632">W395+AA395+AC395</f>
        <v>0</v>
      </c>
      <c r="AF395" s="418">
        <f t="shared" si="527"/>
        <v>0</v>
      </c>
      <c r="AG395" s="418">
        <v>0</v>
      </c>
      <c r="AH395" s="418">
        <v>0</v>
      </c>
      <c r="AI395" s="418">
        <v>0</v>
      </c>
      <c r="AJ395" s="418">
        <v>0</v>
      </c>
      <c r="AK395" s="418">
        <v>0</v>
      </c>
      <c r="AL395" s="418">
        <f t="shared" si="528"/>
        <v>0</v>
      </c>
      <c r="AM395" s="418">
        <f t="shared" si="529"/>
        <v>0</v>
      </c>
      <c r="AN395" s="418">
        <f t="shared" si="530"/>
        <v>0</v>
      </c>
      <c r="AO395" s="418">
        <f t="shared" si="531"/>
        <v>0</v>
      </c>
      <c r="AP395" s="418">
        <f t="shared" si="532"/>
        <v>0</v>
      </c>
      <c r="AQ395" s="418">
        <f t="shared" si="533"/>
        <v>0</v>
      </c>
      <c r="AR395" s="68">
        <f t="shared" si="534"/>
        <v>0</v>
      </c>
      <c r="AS395" s="68">
        <f t="shared" si="535"/>
        <v>0</v>
      </c>
      <c r="AT395" s="418">
        <v>0</v>
      </c>
      <c r="AU395" s="418">
        <v>0</v>
      </c>
      <c r="AV395" s="418">
        <f t="shared" si="536"/>
        <v>0</v>
      </c>
      <c r="AW395" s="418">
        <f t="shared" si="537"/>
        <v>0</v>
      </c>
      <c r="AX395" s="419">
        <v>0</v>
      </c>
      <c r="AY395" s="419">
        <v>0</v>
      </c>
      <c r="AZ395" s="419">
        <v>0</v>
      </c>
      <c r="BA395" s="419">
        <v>0</v>
      </c>
      <c r="BB395" s="419">
        <v>0</v>
      </c>
      <c r="BC395" s="419">
        <v>0</v>
      </c>
      <c r="BD395" s="419">
        <v>0</v>
      </c>
      <c r="BE395" s="419">
        <v>0</v>
      </c>
      <c r="BF395" s="419">
        <f t="shared" si="538"/>
        <v>0</v>
      </c>
      <c r="BG395" s="419">
        <f t="shared" si="539"/>
        <v>0</v>
      </c>
      <c r="BH395" s="421">
        <f t="shared" si="540"/>
        <v>0</v>
      </c>
      <c r="BI395" s="780">
        <f t="shared" ref="BI395:BI400" si="633">I395+AW395</f>
        <v>29980360</v>
      </c>
      <c r="BJ395" s="418">
        <f t="shared" ref="BJ395:BJ400" si="634">J395+AF395</f>
        <v>21950037</v>
      </c>
      <c r="BK395" s="418">
        <f t="shared" ref="BK395:BL400" si="635">K395+AD395</f>
        <v>20517826</v>
      </c>
      <c r="BL395" s="418">
        <f t="shared" si="635"/>
        <v>1432211</v>
      </c>
      <c r="BM395" s="418">
        <f t="shared" ref="BM395:BM400" si="636">M395+AN395</f>
        <v>0</v>
      </c>
      <c r="BN395" s="418">
        <f t="shared" ref="BN395:BO400" si="637">N395+AL395</f>
        <v>0</v>
      </c>
      <c r="BO395" s="418">
        <f t="shared" si="637"/>
        <v>0</v>
      </c>
      <c r="BP395" s="418">
        <f t="shared" ref="BP395:BQ400" si="638">P395+AR395</f>
        <v>7419113</v>
      </c>
      <c r="BQ395" s="418">
        <f t="shared" si="638"/>
        <v>219500</v>
      </c>
      <c r="BR395" s="418">
        <f t="shared" ref="BR395:BR400" si="639">R395+AV395</f>
        <v>391710</v>
      </c>
      <c r="BS395" s="419">
        <f t="shared" ref="BS395:BS400" si="640">S395+BH395</f>
        <v>33.492100000000001</v>
      </c>
      <c r="BT395" s="419">
        <f t="shared" ref="BT395:BU400" si="641">T395+BF395</f>
        <v>29.2727</v>
      </c>
      <c r="BU395" s="421">
        <f t="shared" si="641"/>
        <v>4.2194000000000003</v>
      </c>
      <c r="BV395" s="420">
        <v>760272</v>
      </c>
      <c r="BW395" s="415">
        <v>564000</v>
      </c>
      <c r="BX395" s="415">
        <v>0</v>
      </c>
      <c r="BY395" s="415">
        <v>190632</v>
      </c>
      <c r="BZ395" s="415">
        <v>5640</v>
      </c>
      <c r="CA395" s="510">
        <v>1</v>
      </c>
    </row>
    <row r="396" spans="1:79" ht="14.1" customHeight="1" x14ac:dyDescent="0.2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689</v>
      </c>
      <c r="F396" s="66">
        <v>3113</v>
      </c>
      <c r="G396" s="77" t="s">
        <v>291</v>
      </c>
      <c r="H396" s="67" t="s">
        <v>272</v>
      </c>
      <c r="I396" s="420">
        <v>4825562</v>
      </c>
      <c r="J396" s="415">
        <v>3576456</v>
      </c>
      <c r="K396" s="415">
        <v>3576456</v>
      </c>
      <c r="L396" s="415">
        <v>0</v>
      </c>
      <c r="M396" s="415">
        <v>0</v>
      </c>
      <c r="N396" s="415">
        <v>0</v>
      </c>
      <c r="O396" s="415">
        <v>0</v>
      </c>
      <c r="P396" s="599">
        <v>1208842</v>
      </c>
      <c r="Q396" s="599">
        <v>35764</v>
      </c>
      <c r="R396" s="415">
        <v>4500</v>
      </c>
      <c r="S396" s="416">
        <v>9.52</v>
      </c>
      <c r="T396" s="417">
        <v>9.52</v>
      </c>
      <c r="U396" s="423">
        <v>0</v>
      </c>
      <c r="V396" s="424">
        <f t="shared" si="525"/>
        <v>0</v>
      </c>
      <c r="W396" s="418">
        <f t="shared" si="526"/>
        <v>0</v>
      </c>
      <c r="X396" s="418">
        <v>0</v>
      </c>
      <c r="Y396" s="418">
        <v>0</v>
      </c>
      <c r="Z396" s="418">
        <v>0</v>
      </c>
      <c r="AA396" s="418">
        <v>0</v>
      </c>
      <c r="AB396" s="418">
        <v>0</v>
      </c>
      <c r="AC396" s="418">
        <v>0</v>
      </c>
      <c r="AD396" s="418">
        <f t="shared" si="631"/>
        <v>0</v>
      </c>
      <c r="AE396" s="418">
        <f t="shared" si="632"/>
        <v>0</v>
      </c>
      <c r="AF396" s="418">
        <f t="shared" si="527"/>
        <v>0</v>
      </c>
      <c r="AG396" s="418">
        <v>0</v>
      </c>
      <c r="AH396" s="418">
        <v>0</v>
      </c>
      <c r="AI396" s="418">
        <v>0</v>
      </c>
      <c r="AJ396" s="418">
        <v>0</v>
      </c>
      <c r="AK396" s="418">
        <v>0</v>
      </c>
      <c r="AL396" s="418">
        <f t="shared" si="528"/>
        <v>0</v>
      </c>
      <c r="AM396" s="418">
        <f t="shared" si="529"/>
        <v>0</v>
      </c>
      <c r="AN396" s="418">
        <f t="shared" si="530"/>
        <v>0</v>
      </c>
      <c r="AO396" s="418">
        <f t="shared" si="531"/>
        <v>0</v>
      </c>
      <c r="AP396" s="418">
        <f t="shared" si="532"/>
        <v>0</v>
      </c>
      <c r="AQ396" s="418">
        <f t="shared" si="533"/>
        <v>0</v>
      </c>
      <c r="AR396" s="68">
        <f t="shared" si="534"/>
        <v>0</v>
      </c>
      <c r="AS396" s="68">
        <f t="shared" si="535"/>
        <v>0</v>
      </c>
      <c r="AT396" s="418">
        <v>1500</v>
      </c>
      <c r="AU396" s="418">
        <v>0</v>
      </c>
      <c r="AV396" s="418">
        <f t="shared" si="536"/>
        <v>1500</v>
      </c>
      <c r="AW396" s="418">
        <f t="shared" si="537"/>
        <v>1500</v>
      </c>
      <c r="AX396" s="419">
        <v>0</v>
      </c>
      <c r="AY396" s="419">
        <v>0</v>
      </c>
      <c r="AZ396" s="419">
        <v>0</v>
      </c>
      <c r="BA396" s="419">
        <v>0</v>
      </c>
      <c r="BB396" s="419">
        <v>0</v>
      </c>
      <c r="BC396" s="419">
        <v>0</v>
      </c>
      <c r="BD396" s="419">
        <v>0</v>
      </c>
      <c r="BE396" s="419">
        <v>0</v>
      </c>
      <c r="BF396" s="419">
        <f t="shared" si="538"/>
        <v>0</v>
      </c>
      <c r="BG396" s="419">
        <f t="shared" si="539"/>
        <v>0</v>
      </c>
      <c r="BH396" s="421">
        <f t="shared" si="540"/>
        <v>0</v>
      </c>
      <c r="BI396" s="780">
        <f t="shared" si="633"/>
        <v>4827062</v>
      </c>
      <c r="BJ396" s="418">
        <f t="shared" si="634"/>
        <v>3576456</v>
      </c>
      <c r="BK396" s="418">
        <f t="shared" si="635"/>
        <v>3576456</v>
      </c>
      <c r="BL396" s="418">
        <f t="shared" si="635"/>
        <v>0</v>
      </c>
      <c r="BM396" s="418">
        <f t="shared" si="636"/>
        <v>0</v>
      </c>
      <c r="BN396" s="418">
        <f t="shared" si="637"/>
        <v>0</v>
      </c>
      <c r="BO396" s="418">
        <f t="shared" si="637"/>
        <v>0</v>
      </c>
      <c r="BP396" s="418">
        <f t="shared" si="638"/>
        <v>1208842</v>
      </c>
      <c r="BQ396" s="418">
        <f t="shared" si="638"/>
        <v>35764</v>
      </c>
      <c r="BR396" s="418">
        <f t="shared" si="639"/>
        <v>6000</v>
      </c>
      <c r="BS396" s="419">
        <f t="shared" si="640"/>
        <v>9.52</v>
      </c>
      <c r="BT396" s="419">
        <f t="shared" si="641"/>
        <v>9.52</v>
      </c>
      <c r="BU396" s="421">
        <f t="shared" si="641"/>
        <v>0</v>
      </c>
      <c r="BV396" s="420"/>
      <c r="BW396" s="415"/>
      <c r="BX396" s="415"/>
      <c r="BY396" s="415"/>
      <c r="BZ396" s="415"/>
      <c r="CA396" s="510"/>
    </row>
    <row r="397" spans="1:79" ht="14.1" customHeight="1" x14ac:dyDescent="0.2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689</v>
      </c>
      <c r="F397" s="66">
        <v>3141</v>
      </c>
      <c r="G397" s="65" t="s">
        <v>294</v>
      </c>
      <c r="H397" s="67" t="s">
        <v>272</v>
      </c>
      <c r="I397" s="420">
        <v>1843857</v>
      </c>
      <c r="J397" s="415">
        <v>1358364</v>
      </c>
      <c r="K397" s="415">
        <v>0</v>
      </c>
      <c r="L397" s="750">
        <v>1358364</v>
      </c>
      <c r="M397" s="415">
        <v>0</v>
      </c>
      <c r="N397" s="204">
        <v>0</v>
      </c>
      <c r="O397" s="204">
        <v>0</v>
      </c>
      <c r="P397" s="599">
        <v>459127</v>
      </c>
      <c r="Q397" s="599">
        <v>13584</v>
      </c>
      <c r="R397" s="605">
        <v>12782</v>
      </c>
      <c r="S397" s="416">
        <v>4.0732999999999997</v>
      </c>
      <c r="T397" s="607">
        <v>0</v>
      </c>
      <c r="U397" s="737">
        <v>4.0732999999999997</v>
      </c>
      <c r="V397" s="424">
        <f t="shared" si="525"/>
        <v>0</v>
      </c>
      <c r="W397" s="418">
        <f t="shared" si="526"/>
        <v>0</v>
      </c>
      <c r="X397" s="418">
        <v>0</v>
      </c>
      <c r="Y397" s="418">
        <v>0</v>
      </c>
      <c r="Z397" s="418">
        <v>0</v>
      </c>
      <c r="AA397" s="418">
        <v>678051</v>
      </c>
      <c r="AB397" s="418">
        <v>0</v>
      </c>
      <c r="AC397" s="418">
        <v>0</v>
      </c>
      <c r="AD397" s="418">
        <f t="shared" si="631"/>
        <v>0</v>
      </c>
      <c r="AE397" s="418">
        <f t="shared" si="632"/>
        <v>678051</v>
      </c>
      <c r="AF397" s="418">
        <f t="shared" si="527"/>
        <v>678051</v>
      </c>
      <c r="AG397" s="418">
        <v>0</v>
      </c>
      <c r="AH397" s="418">
        <v>0</v>
      </c>
      <c r="AI397" s="418">
        <v>0</v>
      </c>
      <c r="AJ397" s="418">
        <v>0</v>
      </c>
      <c r="AK397" s="418">
        <v>0</v>
      </c>
      <c r="AL397" s="418">
        <f t="shared" si="528"/>
        <v>0</v>
      </c>
      <c r="AM397" s="418">
        <f t="shared" si="529"/>
        <v>0</v>
      </c>
      <c r="AN397" s="418">
        <f t="shared" si="530"/>
        <v>0</v>
      </c>
      <c r="AO397" s="418">
        <f t="shared" si="531"/>
        <v>0</v>
      </c>
      <c r="AP397" s="418">
        <f t="shared" si="532"/>
        <v>678051</v>
      </c>
      <c r="AQ397" s="418">
        <f t="shared" si="533"/>
        <v>678051</v>
      </c>
      <c r="AR397" s="68">
        <f t="shared" si="534"/>
        <v>229181</v>
      </c>
      <c r="AS397" s="68">
        <f t="shared" si="535"/>
        <v>6781</v>
      </c>
      <c r="AT397" s="418">
        <v>0</v>
      </c>
      <c r="AU397" s="418">
        <v>6194</v>
      </c>
      <c r="AV397" s="418">
        <f t="shared" si="536"/>
        <v>6194</v>
      </c>
      <c r="AW397" s="418">
        <f t="shared" si="537"/>
        <v>920207</v>
      </c>
      <c r="AX397" s="419">
        <v>0</v>
      </c>
      <c r="AY397" s="419">
        <v>0</v>
      </c>
      <c r="AZ397" s="419">
        <v>0</v>
      </c>
      <c r="BA397" s="419">
        <v>0</v>
      </c>
      <c r="BB397" s="419">
        <v>2.04</v>
      </c>
      <c r="BC397" s="419">
        <v>0</v>
      </c>
      <c r="BD397" s="419">
        <v>0</v>
      </c>
      <c r="BE397" s="419">
        <v>0</v>
      </c>
      <c r="BF397" s="419">
        <f t="shared" si="538"/>
        <v>0</v>
      </c>
      <c r="BG397" s="419">
        <f t="shared" si="539"/>
        <v>2.04</v>
      </c>
      <c r="BH397" s="421">
        <f t="shared" si="540"/>
        <v>2.04</v>
      </c>
      <c r="BI397" s="780">
        <f t="shared" si="633"/>
        <v>2764064</v>
      </c>
      <c r="BJ397" s="418">
        <f t="shared" si="634"/>
        <v>2036415</v>
      </c>
      <c r="BK397" s="418">
        <f t="shared" si="635"/>
        <v>0</v>
      </c>
      <c r="BL397" s="418">
        <f t="shared" si="635"/>
        <v>2036415</v>
      </c>
      <c r="BM397" s="418">
        <f t="shared" si="636"/>
        <v>0</v>
      </c>
      <c r="BN397" s="418">
        <f t="shared" si="637"/>
        <v>0</v>
      </c>
      <c r="BO397" s="418">
        <f t="shared" si="637"/>
        <v>0</v>
      </c>
      <c r="BP397" s="418">
        <f t="shared" si="638"/>
        <v>688308</v>
      </c>
      <c r="BQ397" s="418">
        <f t="shared" si="638"/>
        <v>20365</v>
      </c>
      <c r="BR397" s="418">
        <f t="shared" si="639"/>
        <v>18976</v>
      </c>
      <c r="BS397" s="419">
        <f t="shared" si="640"/>
        <v>6.1132999999999997</v>
      </c>
      <c r="BT397" s="419">
        <f t="shared" si="641"/>
        <v>0</v>
      </c>
      <c r="BU397" s="421">
        <f t="shared" si="641"/>
        <v>6.1132999999999997</v>
      </c>
      <c r="BV397" s="420"/>
      <c r="BW397" s="415"/>
      <c r="BX397" s="415"/>
      <c r="BY397" s="415"/>
      <c r="BZ397" s="415"/>
      <c r="CA397" s="510"/>
    </row>
    <row r="398" spans="1:79" ht="14.1" customHeight="1" x14ac:dyDescent="0.2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689</v>
      </c>
      <c r="F398" s="66">
        <v>3143</v>
      </c>
      <c r="G398" s="77" t="s">
        <v>595</v>
      </c>
      <c r="H398" s="67" t="s">
        <v>271</v>
      </c>
      <c r="I398" s="420">
        <v>2242365</v>
      </c>
      <c r="J398" s="415">
        <v>1645609</v>
      </c>
      <c r="K398" s="415">
        <v>1645609</v>
      </c>
      <c r="L398" s="415">
        <v>0</v>
      </c>
      <c r="M398" s="415">
        <v>18000</v>
      </c>
      <c r="N398" s="415">
        <v>18000</v>
      </c>
      <c r="O398" s="415">
        <v>0</v>
      </c>
      <c r="P398" s="599">
        <v>562300</v>
      </c>
      <c r="Q398" s="599">
        <v>16456</v>
      </c>
      <c r="R398" s="415">
        <v>0</v>
      </c>
      <c r="S398" s="416">
        <v>3.5</v>
      </c>
      <c r="T398" s="416">
        <v>3.5</v>
      </c>
      <c r="U398" s="423">
        <v>0</v>
      </c>
      <c r="V398" s="424">
        <f t="shared" ref="V398:V461" si="642">AG398*-1</f>
        <v>0</v>
      </c>
      <c r="W398" s="418">
        <f t="shared" ref="W398:W461" si="643">AH398*-1</f>
        <v>0</v>
      </c>
      <c r="X398" s="418">
        <v>0</v>
      </c>
      <c r="Y398" s="418">
        <v>0</v>
      </c>
      <c r="Z398" s="418">
        <v>0</v>
      </c>
      <c r="AA398" s="418">
        <v>0</v>
      </c>
      <c r="AB398" s="418">
        <v>0</v>
      </c>
      <c r="AC398" s="418">
        <v>0</v>
      </c>
      <c r="AD398" s="418">
        <f t="shared" si="631"/>
        <v>0</v>
      </c>
      <c r="AE398" s="418">
        <f t="shared" si="632"/>
        <v>0</v>
      </c>
      <c r="AF398" s="418">
        <f t="shared" ref="AF398:AF461" si="644">SUM(AD398:AE398)</f>
        <v>0</v>
      </c>
      <c r="AG398" s="418">
        <v>0</v>
      </c>
      <c r="AH398" s="418">
        <v>0</v>
      </c>
      <c r="AI398" s="418">
        <v>0</v>
      </c>
      <c r="AJ398" s="418">
        <v>0</v>
      </c>
      <c r="AK398" s="418">
        <v>0</v>
      </c>
      <c r="AL398" s="418">
        <f t="shared" ref="AL398:AL461" si="645">AG398+AI398+AJ398</f>
        <v>0</v>
      </c>
      <c r="AM398" s="418">
        <f t="shared" ref="AM398:AM461" si="646">AH398+AK398</f>
        <v>0</v>
      </c>
      <c r="AN398" s="418">
        <f t="shared" ref="AN398:AN461" si="647">SUM(AL398:AM398)</f>
        <v>0</v>
      </c>
      <c r="AO398" s="418">
        <f t="shared" ref="AO398:AO461" si="648">AD398+AL398</f>
        <v>0</v>
      </c>
      <c r="AP398" s="418">
        <f t="shared" ref="AP398:AP461" si="649">AE398+AM398</f>
        <v>0</v>
      </c>
      <c r="AQ398" s="418">
        <f t="shared" ref="AQ398:AQ461" si="650">SUM(AO398:AP398)</f>
        <v>0</v>
      </c>
      <c r="AR398" s="68">
        <f t="shared" ref="AR398:AR461" si="651">ROUND((AF398+AG398+AH398+AI398)*33.8%,0)</f>
        <v>0</v>
      </c>
      <c r="AS398" s="68">
        <f t="shared" ref="AS398:AS461" si="652">ROUND(AF398*1%,0)</f>
        <v>0</v>
      </c>
      <c r="AT398" s="418">
        <v>0</v>
      </c>
      <c r="AU398" s="418">
        <v>0</v>
      </c>
      <c r="AV398" s="418">
        <f t="shared" ref="AV398:AV461" si="653">AT398+AU398</f>
        <v>0</v>
      </c>
      <c r="AW398" s="418">
        <f t="shared" ref="AW398:AW461" si="654">AQ398+AR398+AS398+AV398</f>
        <v>0</v>
      </c>
      <c r="AX398" s="419">
        <v>0</v>
      </c>
      <c r="AY398" s="419">
        <v>0</v>
      </c>
      <c r="AZ398" s="419">
        <v>0</v>
      </c>
      <c r="BA398" s="419">
        <v>0</v>
      </c>
      <c r="BB398" s="419">
        <v>0</v>
      </c>
      <c r="BC398" s="419">
        <v>0</v>
      </c>
      <c r="BD398" s="419">
        <v>0</v>
      </c>
      <c r="BE398" s="419">
        <v>0</v>
      </c>
      <c r="BF398" s="419">
        <f t="shared" ref="BF398:BF461" si="655">AX398+AZ398+BA398+BC398+BD398</f>
        <v>0</v>
      </c>
      <c r="BG398" s="419">
        <f t="shared" ref="BG398:BG461" si="656">AY398+BB398+BE398</f>
        <v>0</v>
      </c>
      <c r="BH398" s="421">
        <f t="shared" ref="BH398:BH461" si="657">SUM(BF398:BG398)</f>
        <v>0</v>
      </c>
      <c r="BI398" s="780">
        <f t="shared" si="633"/>
        <v>2242365</v>
      </c>
      <c r="BJ398" s="418">
        <f t="shared" si="634"/>
        <v>1645609</v>
      </c>
      <c r="BK398" s="418">
        <f t="shared" si="635"/>
        <v>1645609</v>
      </c>
      <c r="BL398" s="418">
        <f t="shared" si="635"/>
        <v>0</v>
      </c>
      <c r="BM398" s="418">
        <f t="shared" si="636"/>
        <v>18000</v>
      </c>
      <c r="BN398" s="418">
        <f t="shared" si="637"/>
        <v>18000</v>
      </c>
      <c r="BO398" s="418">
        <f t="shared" si="637"/>
        <v>0</v>
      </c>
      <c r="BP398" s="418">
        <f t="shared" si="638"/>
        <v>562300</v>
      </c>
      <c r="BQ398" s="418">
        <f t="shared" si="638"/>
        <v>16456</v>
      </c>
      <c r="BR398" s="418">
        <f t="shared" si="639"/>
        <v>0</v>
      </c>
      <c r="BS398" s="419">
        <f t="shared" si="640"/>
        <v>3.5</v>
      </c>
      <c r="BT398" s="419">
        <f t="shared" si="641"/>
        <v>3.5</v>
      </c>
      <c r="BU398" s="421">
        <f t="shared" si="641"/>
        <v>0</v>
      </c>
      <c r="BV398" s="420"/>
      <c r="BW398" s="415"/>
      <c r="BX398" s="415"/>
      <c r="BY398" s="415"/>
      <c r="BZ398" s="415"/>
      <c r="CA398" s="510"/>
    </row>
    <row r="399" spans="1:79" ht="14.1" customHeight="1" x14ac:dyDescent="0.2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689</v>
      </c>
      <c r="F399" s="66">
        <v>3143</v>
      </c>
      <c r="G399" s="77" t="s">
        <v>596</v>
      </c>
      <c r="H399" s="67" t="s">
        <v>272</v>
      </c>
      <c r="I399" s="420">
        <v>61484</v>
      </c>
      <c r="J399" s="415">
        <v>44009</v>
      </c>
      <c r="K399" s="415">
        <v>0</v>
      </c>
      <c r="L399" s="605">
        <v>44009</v>
      </c>
      <c r="M399" s="415">
        <v>0</v>
      </c>
      <c r="N399" s="415">
        <v>0</v>
      </c>
      <c r="O399" s="415">
        <v>0</v>
      </c>
      <c r="P399" s="599">
        <v>14875</v>
      </c>
      <c r="Q399" s="599">
        <v>440</v>
      </c>
      <c r="R399" s="606">
        <v>2160</v>
      </c>
      <c r="S399" s="416">
        <v>0.16669999999999999</v>
      </c>
      <c r="T399" s="609">
        <v>0</v>
      </c>
      <c r="U399" s="737">
        <v>0.16669999999999999</v>
      </c>
      <c r="V399" s="424">
        <f t="shared" si="642"/>
        <v>0</v>
      </c>
      <c r="W399" s="418">
        <f t="shared" si="643"/>
        <v>0</v>
      </c>
      <c r="X399" s="418">
        <v>0</v>
      </c>
      <c r="Y399" s="418">
        <v>0</v>
      </c>
      <c r="Z399" s="418">
        <v>0</v>
      </c>
      <c r="AA399" s="418">
        <v>21991</v>
      </c>
      <c r="AB399" s="418">
        <v>0</v>
      </c>
      <c r="AC399" s="418">
        <v>0</v>
      </c>
      <c r="AD399" s="418">
        <f t="shared" si="631"/>
        <v>0</v>
      </c>
      <c r="AE399" s="418">
        <f t="shared" si="632"/>
        <v>21991</v>
      </c>
      <c r="AF399" s="418">
        <f t="shared" si="644"/>
        <v>21991</v>
      </c>
      <c r="AG399" s="418">
        <v>0</v>
      </c>
      <c r="AH399" s="418">
        <v>0</v>
      </c>
      <c r="AI399" s="418">
        <v>0</v>
      </c>
      <c r="AJ399" s="418">
        <v>0</v>
      </c>
      <c r="AK399" s="418">
        <v>0</v>
      </c>
      <c r="AL399" s="418">
        <f t="shared" si="645"/>
        <v>0</v>
      </c>
      <c r="AM399" s="418">
        <f t="shared" si="646"/>
        <v>0</v>
      </c>
      <c r="AN399" s="418">
        <f t="shared" si="647"/>
        <v>0</v>
      </c>
      <c r="AO399" s="418">
        <f t="shared" si="648"/>
        <v>0</v>
      </c>
      <c r="AP399" s="418">
        <f t="shared" si="649"/>
        <v>21991</v>
      </c>
      <c r="AQ399" s="418">
        <f t="shared" si="650"/>
        <v>21991</v>
      </c>
      <c r="AR399" s="68">
        <f t="shared" si="651"/>
        <v>7433</v>
      </c>
      <c r="AS399" s="68">
        <f t="shared" si="652"/>
        <v>220</v>
      </c>
      <c r="AT399" s="418">
        <v>0</v>
      </c>
      <c r="AU399" s="418">
        <v>1080</v>
      </c>
      <c r="AV399" s="418">
        <f t="shared" si="653"/>
        <v>1080</v>
      </c>
      <c r="AW399" s="418">
        <f t="shared" si="654"/>
        <v>30724</v>
      </c>
      <c r="AX399" s="419">
        <v>0</v>
      </c>
      <c r="AY399" s="419">
        <v>0</v>
      </c>
      <c r="AZ399" s="419">
        <v>0</v>
      </c>
      <c r="BA399" s="419">
        <v>0</v>
      </c>
      <c r="BB399" s="419">
        <v>0.08</v>
      </c>
      <c r="BC399" s="419">
        <v>0</v>
      </c>
      <c r="BD399" s="419">
        <v>0</v>
      </c>
      <c r="BE399" s="419">
        <v>0</v>
      </c>
      <c r="BF399" s="419">
        <f t="shared" si="655"/>
        <v>0</v>
      </c>
      <c r="BG399" s="419">
        <f t="shared" si="656"/>
        <v>0.08</v>
      </c>
      <c r="BH399" s="421">
        <f t="shared" si="657"/>
        <v>0.08</v>
      </c>
      <c r="BI399" s="780">
        <f t="shared" si="633"/>
        <v>92208</v>
      </c>
      <c r="BJ399" s="418">
        <f t="shared" si="634"/>
        <v>66000</v>
      </c>
      <c r="BK399" s="418">
        <f t="shared" si="635"/>
        <v>0</v>
      </c>
      <c r="BL399" s="418">
        <f t="shared" si="635"/>
        <v>66000</v>
      </c>
      <c r="BM399" s="418">
        <f t="shared" si="636"/>
        <v>0</v>
      </c>
      <c r="BN399" s="418">
        <f t="shared" si="637"/>
        <v>0</v>
      </c>
      <c r="BO399" s="418">
        <f t="shared" si="637"/>
        <v>0</v>
      </c>
      <c r="BP399" s="418">
        <f t="shared" si="638"/>
        <v>22308</v>
      </c>
      <c r="BQ399" s="418">
        <f t="shared" si="638"/>
        <v>660</v>
      </c>
      <c r="BR399" s="418">
        <f t="shared" si="639"/>
        <v>3240</v>
      </c>
      <c r="BS399" s="419">
        <f t="shared" si="640"/>
        <v>0.24669999999999997</v>
      </c>
      <c r="BT399" s="419">
        <f t="shared" si="641"/>
        <v>0</v>
      </c>
      <c r="BU399" s="421">
        <f t="shared" si="641"/>
        <v>0.24669999999999997</v>
      </c>
      <c r="BV399" s="420"/>
      <c r="BW399" s="415"/>
      <c r="BX399" s="415"/>
      <c r="BY399" s="415"/>
      <c r="BZ399" s="415"/>
      <c r="CA399" s="510"/>
    </row>
    <row r="400" spans="1:79" ht="14.1" customHeight="1" x14ac:dyDescent="0.2">
      <c r="A400" s="66">
        <v>79</v>
      </c>
      <c r="B400" s="63">
        <v>2325</v>
      </c>
      <c r="C400" s="64">
        <v>600074561</v>
      </c>
      <c r="D400" s="63">
        <v>46750321</v>
      </c>
      <c r="E400" s="65" t="s">
        <v>689</v>
      </c>
      <c r="F400" s="66">
        <v>3231</v>
      </c>
      <c r="G400" s="65" t="s">
        <v>295</v>
      </c>
      <c r="H400" s="67" t="s">
        <v>271</v>
      </c>
      <c r="I400" s="420">
        <v>3844502</v>
      </c>
      <c r="J400" s="415">
        <v>2846498</v>
      </c>
      <c r="K400" s="415">
        <v>2744180</v>
      </c>
      <c r="L400" s="415">
        <v>102318</v>
      </c>
      <c r="M400" s="415">
        <v>0</v>
      </c>
      <c r="N400" s="415">
        <v>0</v>
      </c>
      <c r="O400" s="415">
        <v>0</v>
      </c>
      <c r="P400" s="599">
        <v>962116</v>
      </c>
      <c r="Q400" s="599">
        <v>28465</v>
      </c>
      <c r="R400" s="415">
        <v>7423</v>
      </c>
      <c r="S400" s="416">
        <v>4.5599999999999996</v>
      </c>
      <c r="T400" s="416">
        <v>4.2699999999999996</v>
      </c>
      <c r="U400" s="423">
        <v>0.28999999999999998</v>
      </c>
      <c r="V400" s="424">
        <f t="shared" si="642"/>
        <v>0</v>
      </c>
      <c r="W400" s="418">
        <f t="shared" si="643"/>
        <v>0</v>
      </c>
      <c r="X400" s="418">
        <v>0</v>
      </c>
      <c r="Y400" s="418">
        <v>0</v>
      </c>
      <c r="Z400" s="418">
        <v>0</v>
      </c>
      <c r="AA400" s="418">
        <v>0</v>
      </c>
      <c r="AB400" s="418">
        <v>0</v>
      </c>
      <c r="AC400" s="418">
        <v>0</v>
      </c>
      <c r="AD400" s="418">
        <f t="shared" si="631"/>
        <v>0</v>
      </c>
      <c r="AE400" s="418">
        <f t="shared" si="632"/>
        <v>0</v>
      </c>
      <c r="AF400" s="418">
        <f t="shared" si="644"/>
        <v>0</v>
      </c>
      <c r="AG400" s="418">
        <v>0</v>
      </c>
      <c r="AH400" s="418">
        <v>0</v>
      </c>
      <c r="AI400" s="418">
        <v>0</v>
      </c>
      <c r="AJ400" s="418">
        <v>0</v>
      </c>
      <c r="AK400" s="418">
        <v>0</v>
      </c>
      <c r="AL400" s="418">
        <f t="shared" si="645"/>
        <v>0</v>
      </c>
      <c r="AM400" s="418">
        <f t="shared" si="646"/>
        <v>0</v>
      </c>
      <c r="AN400" s="418">
        <f t="shared" si="647"/>
        <v>0</v>
      </c>
      <c r="AO400" s="418">
        <f t="shared" si="648"/>
        <v>0</v>
      </c>
      <c r="AP400" s="418">
        <f t="shared" si="649"/>
        <v>0</v>
      </c>
      <c r="AQ400" s="418">
        <f t="shared" si="650"/>
        <v>0</v>
      </c>
      <c r="AR400" s="68">
        <f t="shared" si="651"/>
        <v>0</v>
      </c>
      <c r="AS400" s="68">
        <f t="shared" si="652"/>
        <v>0</v>
      </c>
      <c r="AT400" s="418">
        <v>0</v>
      </c>
      <c r="AU400" s="418">
        <v>0</v>
      </c>
      <c r="AV400" s="418">
        <f t="shared" si="653"/>
        <v>0</v>
      </c>
      <c r="AW400" s="418">
        <f t="shared" si="654"/>
        <v>0</v>
      </c>
      <c r="AX400" s="419">
        <v>0</v>
      </c>
      <c r="AY400" s="419">
        <v>0</v>
      </c>
      <c r="AZ400" s="419">
        <v>0</v>
      </c>
      <c r="BA400" s="419">
        <v>0</v>
      </c>
      <c r="BB400" s="419">
        <v>0</v>
      </c>
      <c r="BC400" s="419">
        <v>0</v>
      </c>
      <c r="BD400" s="419">
        <v>0</v>
      </c>
      <c r="BE400" s="419">
        <v>0</v>
      </c>
      <c r="BF400" s="419">
        <f t="shared" si="655"/>
        <v>0</v>
      </c>
      <c r="BG400" s="419">
        <f t="shared" si="656"/>
        <v>0</v>
      </c>
      <c r="BH400" s="421">
        <f t="shared" si="657"/>
        <v>0</v>
      </c>
      <c r="BI400" s="780">
        <f t="shared" si="633"/>
        <v>3844502</v>
      </c>
      <c r="BJ400" s="418">
        <f t="shared" si="634"/>
        <v>2846498</v>
      </c>
      <c r="BK400" s="418">
        <f t="shared" si="635"/>
        <v>2744180</v>
      </c>
      <c r="BL400" s="418">
        <f t="shared" si="635"/>
        <v>102318</v>
      </c>
      <c r="BM400" s="418">
        <f t="shared" si="636"/>
        <v>0</v>
      </c>
      <c r="BN400" s="418">
        <f t="shared" si="637"/>
        <v>0</v>
      </c>
      <c r="BO400" s="418">
        <f t="shared" si="637"/>
        <v>0</v>
      </c>
      <c r="BP400" s="418">
        <f t="shared" si="638"/>
        <v>962116</v>
      </c>
      <c r="BQ400" s="418">
        <f t="shared" si="638"/>
        <v>28465</v>
      </c>
      <c r="BR400" s="418">
        <f t="shared" si="639"/>
        <v>7423</v>
      </c>
      <c r="BS400" s="419">
        <f t="shared" si="640"/>
        <v>4.5599999999999996</v>
      </c>
      <c r="BT400" s="419">
        <f t="shared" si="641"/>
        <v>4.2699999999999996</v>
      </c>
      <c r="BU400" s="421">
        <f t="shared" si="641"/>
        <v>0.28999999999999998</v>
      </c>
      <c r="BV400" s="420"/>
      <c r="BW400" s="415"/>
      <c r="BX400" s="415"/>
      <c r="BY400" s="415"/>
      <c r="BZ400" s="415"/>
      <c r="CA400" s="510"/>
    </row>
    <row r="401" spans="1:79" ht="14.1" customHeight="1" x14ac:dyDescent="0.2">
      <c r="A401" s="72">
        <v>79</v>
      </c>
      <c r="B401" s="69">
        <v>2325</v>
      </c>
      <c r="C401" s="70">
        <v>600074561</v>
      </c>
      <c r="D401" s="69">
        <v>46750321</v>
      </c>
      <c r="E401" s="71" t="s">
        <v>690</v>
      </c>
      <c r="F401" s="72"/>
      <c r="G401" s="71"/>
      <c r="H401" s="73"/>
      <c r="I401" s="518">
        <v>42798130</v>
      </c>
      <c r="J401" s="78">
        <v>31420973</v>
      </c>
      <c r="K401" s="78">
        <v>28484071</v>
      </c>
      <c r="L401" s="78">
        <v>2936902</v>
      </c>
      <c r="M401" s="78">
        <v>18000</v>
      </c>
      <c r="N401" s="78">
        <v>18000</v>
      </c>
      <c r="O401" s="78">
        <v>0</v>
      </c>
      <c r="P401" s="78">
        <v>10626373</v>
      </c>
      <c r="Q401" s="78">
        <v>314209</v>
      </c>
      <c r="R401" s="78">
        <v>418575</v>
      </c>
      <c r="S401" s="79">
        <v>55.312100000000008</v>
      </c>
      <c r="T401" s="79">
        <v>46.562699999999992</v>
      </c>
      <c r="U401" s="659">
        <v>8.7493999999999996</v>
      </c>
      <c r="V401" s="518">
        <f t="shared" ref="V401:BU401" si="658">SUM(V395:V400)</f>
        <v>0</v>
      </c>
      <c r="W401" s="78">
        <f t="shared" si="658"/>
        <v>0</v>
      </c>
      <c r="X401" s="78">
        <f t="shared" si="658"/>
        <v>0</v>
      </c>
      <c r="Y401" s="78">
        <f t="shared" si="658"/>
        <v>0</v>
      </c>
      <c r="Z401" s="78">
        <f t="shared" si="658"/>
        <v>0</v>
      </c>
      <c r="AA401" s="78">
        <f t="shared" si="658"/>
        <v>700042</v>
      </c>
      <c r="AB401" s="78">
        <f t="shared" si="658"/>
        <v>0</v>
      </c>
      <c r="AC401" s="78">
        <f t="shared" si="658"/>
        <v>0</v>
      </c>
      <c r="AD401" s="78">
        <f t="shared" si="658"/>
        <v>0</v>
      </c>
      <c r="AE401" s="78">
        <f t="shared" si="658"/>
        <v>700042</v>
      </c>
      <c r="AF401" s="78">
        <f t="shared" si="658"/>
        <v>700042</v>
      </c>
      <c r="AG401" s="78">
        <f t="shared" si="658"/>
        <v>0</v>
      </c>
      <c r="AH401" s="78">
        <f t="shared" si="658"/>
        <v>0</v>
      </c>
      <c r="AI401" s="78">
        <f t="shared" si="658"/>
        <v>0</v>
      </c>
      <c r="AJ401" s="78">
        <f t="shared" si="658"/>
        <v>0</v>
      </c>
      <c r="AK401" s="78">
        <f t="shared" si="658"/>
        <v>0</v>
      </c>
      <c r="AL401" s="78">
        <f t="shared" si="658"/>
        <v>0</v>
      </c>
      <c r="AM401" s="78">
        <f t="shared" si="658"/>
        <v>0</v>
      </c>
      <c r="AN401" s="78">
        <f t="shared" si="658"/>
        <v>0</v>
      </c>
      <c r="AO401" s="78">
        <f t="shared" si="658"/>
        <v>0</v>
      </c>
      <c r="AP401" s="78">
        <f t="shared" si="658"/>
        <v>700042</v>
      </c>
      <c r="AQ401" s="78">
        <f t="shared" si="658"/>
        <v>700042</v>
      </c>
      <c r="AR401" s="78">
        <f t="shared" si="658"/>
        <v>236614</v>
      </c>
      <c r="AS401" s="78">
        <f t="shared" si="658"/>
        <v>7001</v>
      </c>
      <c r="AT401" s="78">
        <f t="shared" si="658"/>
        <v>1500</v>
      </c>
      <c r="AU401" s="78">
        <f t="shared" si="658"/>
        <v>7274</v>
      </c>
      <c r="AV401" s="78">
        <f t="shared" si="658"/>
        <v>8774</v>
      </c>
      <c r="AW401" s="78">
        <f t="shared" si="658"/>
        <v>952431</v>
      </c>
      <c r="AX401" s="79">
        <f t="shared" si="658"/>
        <v>0</v>
      </c>
      <c r="AY401" s="79">
        <f t="shared" si="658"/>
        <v>0</v>
      </c>
      <c r="AZ401" s="79">
        <f t="shared" si="658"/>
        <v>0</v>
      </c>
      <c r="BA401" s="79">
        <f t="shared" si="658"/>
        <v>0</v>
      </c>
      <c r="BB401" s="79">
        <f t="shared" si="658"/>
        <v>2.12</v>
      </c>
      <c r="BC401" s="79">
        <f t="shared" si="658"/>
        <v>0</v>
      </c>
      <c r="BD401" s="79">
        <f t="shared" si="658"/>
        <v>0</v>
      </c>
      <c r="BE401" s="79">
        <f t="shared" si="658"/>
        <v>0</v>
      </c>
      <c r="BF401" s="79">
        <f t="shared" si="658"/>
        <v>0</v>
      </c>
      <c r="BG401" s="79">
        <f t="shared" si="658"/>
        <v>2.12</v>
      </c>
      <c r="BH401" s="80">
        <f t="shared" si="658"/>
        <v>2.12</v>
      </c>
      <c r="BI401" s="800">
        <f t="shared" si="658"/>
        <v>43750561</v>
      </c>
      <c r="BJ401" s="78">
        <f t="shared" si="658"/>
        <v>32121015</v>
      </c>
      <c r="BK401" s="78">
        <f t="shared" si="658"/>
        <v>28484071</v>
      </c>
      <c r="BL401" s="78">
        <f t="shared" si="658"/>
        <v>3636944</v>
      </c>
      <c r="BM401" s="78">
        <f t="shared" si="658"/>
        <v>18000</v>
      </c>
      <c r="BN401" s="78">
        <f t="shared" si="658"/>
        <v>18000</v>
      </c>
      <c r="BO401" s="78">
        <f t="shared" si="658"/>
        <v>0</v>
      </c>
      <c r="BP401" s="78">
        <f t="shared" si="658"/>
        <v>10862987</v>
      </c>
      <c r="BQ401" s="78">
        <f t="shared" si="658"/>
        <v>321210</v>
      </c>
      <c r="BR401" s="78">
        <f t="shared" si="658"/>
        <v>427349</v>
      </c>
      <c r="BS401" s="79">
        <f t="shared" si="658"/>
        <v>57.432100000000005</v>
      </c>
      <c r="BT401" s="79">
        <f t="shared" si="658"/>
        <v>46.562699999999992</v>
      </c>
      <c r="BU401" s="80">
        <f t="shared" si="658"/>
        <v>10.869399999999999</v>
      </c>
      <c r="BV401" s="811">
        <f t="shared" ref="BV401:CA401" si="659">SUM(BV395:BV400)</f>
        <v>760272</v>
      </c>
      <c r="BW401" s="685">
        <f t="shared" si="659"/>
        <v>564000</v>
      </c>
      <c r="BX401" s="685">
        <f t="shared" si="659"/>
        <v>0</v>
      </c>
      <c r="BY401" s="685">
        <f t="shared" si="659"/>
        <v>190632</v>
      </c>
      <c r="BZ401" s="685">
        <f t="shared" si="659"/>
        <v>5640</v>
      </c>
      <c r="CA401" s="812">
        <f t="shared" si="659"/>
        <v>1</v>
      </c>
    </row>
    <row r="402" spans="1:79" ht="14.1" customHeight="1" x14ac:dyDescent="0.2">
      <c r="A402" s="66">
        <v>80</v>
      </c>
      <c r="B402" s="63">
        <v>2329</v>
      </c>
      <c r="C402" s="64">
        <v>691007331</v>
      </c>
      <c r="D402" s="63">
        <v>71294171</v>
      </c>
      <c r="E402" s="65" t="s">
        <v>760</v>
      </c>
      <c r="F402" s="66">
        <v>3114</v>
      </c>
      <c r="G402" s="165" t="s">
        <v>525</v>
      </c>
      <c r="H402" s="67" t="s">
        <v>271</v>
      </c>
      <c r="I402" s="420">
        <v>7711601</v>
      </c>
      <c r="J402" s="415">
        <v>5683710</v>
      </c>
      <c r="K402" s="415">
        <v>5183594</v>
      </c>
      <c r="L402" s="415">
        <v>500116</v>
      </c>
      <c r="M402" s="415">
        <v>0</v>
      </c>
      <c r="N402" s="415">
        <v>0</v>
      </c>
      <c r="O402" s="415">
        <v>0</v>
      </c>
      <c r="P402" s="599">
        <v>1921095</v>
      </c>
      <c r="Q402" s="599">
        <v>56837</v>
      </c>
      <c r="R402" s="415">
        <v>49959</v>
      </c>
      <c r="S402" s="416">
        <v>8.3878000000000004</v>
      </c>
      <c r="T402" s="416">
        <v>6.9545000000000003</v>
      </c>
      <c r="U402" s="423">
        <v>1.4333</v>
      </c>
      <c r="V402" s="424">
        <f t="shared" si="642"/>
        <v>0</v>
      </c>
      <c r="W402" s="418">
        <f t="shared" si="643"/>
        <v>0</v>
      </c>
      <c r="X402" s="418">
        <v>0</v>
      </c>
      <c r="Y402" s="418">
        <v>0</v>
      </c>
      <c r="Z402" s="418">
        <v>0</v>
      </c>
      <c r="AA402" s="418">
        <v>0</v>
      </c>
      <c r="AB402" s="418">
        <v>0</v>
      </c>
      <c r="AC402" s="418">
        <v>0</v>
      </c>
      <c r="AD402" s="418">
        <f t="shared" ref="AD402:AD407" si="660">V402+X402+Y402+Z402+AB402</f>
        <v>0</v>
      </c>
      <c r="AE402" s="418">
        <f t="shared" ref="AE402:AE407" si="661">W402+AA402+AC402</f>
        <v>0</v>
      </c>
      <c r="AF402" s="418">
        <f t="shared" si="644"/>
        <v>0</v>
      </c>
      <c r="AG402" s="418">
        <v>0</v>
      </c>
      <c r="AH402" s="418">
        <v>0</v>
      </c>
      <c r="AI402" s="418">
        <v>0</v>
      </c>
      <c r="AJ402" s="418">
        <v>0</v>
      </c>
      <c r="AK402" s="418">
        <v>0</v>
      </c>
      <c r="AL402" s="418">
        <f t="shared" si="645"/>
        <v>0</v>
      </c>
      <c r="AM402" s="418">
        <f t="shared" si="646"/>
        <v>0</v>
      </c>
      <c r="AN402" s="418">
        <f t="shared" si="647"/>
        <v>0</v>
      </c>
      <c r="AO402" s="418">
        <f t="shared" si="648"/>
        <v>0</v>
      </c>
      <c r="AP402" s="418">
        <f t="shared" si="649"/>
        <v>0</v>
      </c>
      <c r="AQ402" s="418">
        <f t="shared" si="650"/>
        <v>0</v>
      </c>
      <c r="AR402" s="68">
        <f t="shared" si="651"/>
        <v>0</v>
      </c>
      <c r="AS402" s="68">
        <f t="shared" si="652"/>
        <v>0</v>
      </c>
      <c r="AT402" s="418">
        <v>0</v>
      </c>
      <c r="AU402" s="418">
        <v>0</v>
      </c>
      <c r="AV402" s="418">
        <f t="shared" si="653"/>
        <v>0</v>
      </c>
      <c r="AW402" s="418">
        <f t="shared" si="654"/>
        <v>0</v>
      </c>
      <c r="AX402" s="419">
        <v>0</v>
      </c>
      <c r="AY402" s="419">
        <v>0</v>
      </c>
      <c r="AZ402" s="419">
        <v>0</v>
      </c>
      <c r="BA402" s="419">
        <v>0</v>
      </c>
      <c r="BB402" s="419">
        <v>0</v>
      </c>
      <c r="BC402" s="419">
        <v>0</v>
      </c>
      <c r="BD402" s="419">
        <v>0</v>
      </c>
      <c r="BE402" s="419">
        <v>0</v>
      </c>
      <c r="BF402" s="419">
        <f t="shared" si="655"/>
        <v>0</v>
      </c>
      <c r="BG402" s="419">
        <f t="shared" si="656"/>
        <v>0</v>
      </c>
      <c r="BH402" s="421">
        <f t="shared" si="657"/>
        <v>0</v>
      </c>
      <c r="BI402" s="780">
        <f t="shared" ref="BI402:BI407" si="662">I402+AW402</f>
        <v>7711601</v>
      </c>
      <c r="BJ402" s="418">
        <f t="shared" ref="BJ402:BJ407" si="663">J402+AF402</f>
        <v>5683710</v>
      </c>
      <c r="BK402" s="418">
        <f t="shared" ref="BK402:BL407" si="664">K402+AD402</f>
        <v>5183594</v>
      </c>
      <c r="BL402" s="418">
        <f t="shared" si="664"/>
        <v>500116</v>
      </c>
      <c r="BM402" s="418">
        <f t="shared" ref="BM402:BM407" si="665">M402+AN402</f>
        <v>0</v>
      </c>
      <c r="BN402" s="418">
        <f t="shared" ref="BN402:BO407" si="666">N402+AL402</f>
        <v>0</v>
      </c>
      <c r="BO402" s="418">
        <f t="shared" si="666"/>
        <v>0</v>
      </c>
      <c r="BP402" s="418">
        <f t="shared" ref="BP402:BQ407" si="667">P402+AR402</f>
        <v>1921095</v>
      </c>
      <c r="BQ402" s="418">
        <f t="shared" si="667"/>
        <v>56837</v>
      </c>
      <c r="BR402" s="418">
        <f t="shared" ref="BR402:BR407" si="668">R402+AV402</f>
        <v>49959</v>
      </c>
      <c r="BS402" s="419">
        <f t="shared" ref="BS402:BS407" si="669">S402+BH402</f>
        <v>8.3878000000000004</v>
      </c>
      <c r="BT402" s="419">
        <f t="shared" ref="BT402:BU407" si="670">T402+BF402</f>
        <v>6.9545000000000003</v>
      </c>
      <c r="BU402" s="421">
        <f t="shared" si="670"/>
        <v>1.4333</v>
      </c>
      <c r="BV402" s="420"/>
      <c r="BW402" s="415"/>
      <c r="BX402" s="415"/>
      <c r="BY402" s="415"/>
      <c r="BZ402" s="415"/>
      <c r="CA402" s="510"/>
    </row>
    <row r="403" spans="1:79" ht="14.1" customHeight="1" x14ac:dyDescent="0.2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760</v>
      </c>
      <c r="F403" s="66">
        <v>3114</v>
      </c>
      <c r="G403" s="43" t="s">
        <v>292</v>
      </c>
      <c r="H403" s="67" t="s">
        <v>271</v>
      </c>
      <c r="I403" s="420">
        <v>1583582</v>
      </c>
      <c r="J403" s="415">
        <v>1174764</v>
      </c>
      <c r="K403" s="415">
        <v>1174764</v>
      </c>
      <c r="L403" s="415">
        <v>0</v>
      </c>
      <c r="M403" s="415">
        <v>0</v>
      </c>
      <c r="N403" s="415">
        <v>0</v>
      </c>
      <c r="O403" s="415">
        <v>0</v>
      </c>
      <c r="P403" s="599">
        <v>397070</v>
      </c>
      <c r="Q403" s="599">
        <v>11748</v>
      </c>
      <c r="R403" s="415">
        <v>0</v>
      </c>
      <c r="S403" s="416">
        <v>2.9167000000000001</v>
      </c>
      <c r="T403" s="416">
        <v>2.9167000000000001</v>
      </c>
      <c r="U403" s="423">
        <v>0</v>
      </c>
      <c r="V403" s="424">
        <f t="shared" si="642"/>
        <v>0</v>
      </c>
      <c r="W403" s="418">
        <f t="shared" si="643"/>
        <v>0</v>
      </c>
      <c r="X403" s="418">
        <v>0</v>
      </c>
      <c r="Y403" s="418">
        <v>0</v>
      </c>
      <c r="Z403" s="418">
        <v>0</v>
      </c>
      <c r="AA403" s="418">
        <v>0</v>
      </c>
      <c r="AB403" s="418">
        <v>0</v>
      </c>
      <c r="AC403" s="418">
        <v>0</v>
      </c>
      <c r="AD403" s="418">
        <f t="shared" si="660"/>
        <v>0</v>
      </c>
      <c r="AE403" s="418">
        <f t="shared" si="661"/>
        <v>0</v>
      </c>
      <c r="AF403" s="418">
        <f t="shared" si="644"/>
        <v>0</v>
      </c>
      <c r="AG403" s="418">
        <v>0</v>
      </c>
      <c r="AH403" s="418">
        <v>0</v>
      </c>
      <c r="AI403" s="418">
        <v>0</v>
      </c>
      <c r="AJ403" s="418">
        <v>0</v>
      </c>
      <c r="AK403" s="418">
        <v>0</v>
      </c>
      <c r="AL403" s="418">
        <f t="shared" si="645"/>
        <v>0</v>
      </c>
      <c r="AM403" s="418">
        <f t="shared" si="646"/>
        <v>0</v>
      </c>
      <c r="AN403" s="418">
        <f t="shared" si="647"/>
        <v>0</v>
      </c>
      <c r="AO403" s="418">
        <f t="shared" si="648"/>
        <v>0</v>
      </c>
      <c r="AP403" s="418">
        <f t="shared" si="649"/>
        <v>0</v>
      </c>
      <c r="AQ403" s="418">
        <f t="shared" si="650"/>
        <v>0</v>
      </c>
      <c r="AR403" s="68">
        <f t="shared" si="651"/>
        <v>0</v>
      </c>
      <c r="AS403" s="68">
        <f t="shared" si="652"/>
        <v>0</v>
      </c>
      <c r="AT403" s="418">
        <v>0</v>
      </c>
      <c r="AU403" s="418">
        <v>0</v>
      </c>
      <c r="AV403" s="418">
        <f t="shared" si="653"/>
        <v>0</v>
      </c>
      <c r="AW403" s="418">
        <f t="shared" si="654"/>
        <v>0</v>
      </c>
      <c r="AX403" s="419">
        <v>0</v>
      </c>
      <c r="AY403" s="419">
        <v>0</v>
      </c>
      <c r="AZ403" s="419">
        <v>0</v>
      </c>
      <c r="BA403" s="419">
        <v>0</v>
      </c>
      <c r="BB403" s="419">
        <v>0</v>
      </c>
      <c r="BC403" s="419">
        <v>0</v>
      </c>
      <c r="BD403" s="419">
        <v>0</v>
      </c>
      <c r="BE403" s="419">
        <v>0</v>
      </c>
      <c r="BF403" s="419">
        <f t="shared" si="655"/>
        <v>0</v>
      </c>
      <c r="BG403" s="419">
        <f t="shared" si="656"/>
        <v>0</v>
      </c>
      <c r="BH403" s="421">
        <f t="shared" si="657"/>
        <v>0</v>
      </c>
      <c r="BI403" s="780">
        <f t="shared" si="662"/>
        <v>1583582</v>
      </c>
      <c r="BJ403" s="418">
        <f t="shared" si="663"/>
        <v>1174764</v>
      </c>
      <c r="BK403" s="418">
        <f t="shared" si="664"/>
        <v>1174764</v>
      </c>
      <c r="BL403" s="418">
        <f t="shared" si="664"/>
        <v>0</v>
      </c>
      <c r="BM403" s="418">
        <f t="shared" si="665"/>
        <v>0</v>
      </c>
      <c r="BN403" s="418">
        <f t="shared" si="666"/>
        <v>0</v>
      </c>
      <c r="BO403" s="418">
        <f t="shared" si="666"/>
        <v>0</v>
      </c>
      <c r="BP403" s="418">
        <f t="shared" si="667"/>
        <v>397070</v>
      </c>
      <c r="BQ403" s="418">
        <f t="shared" si="667"/>
        <v>11748</v>
      </c>
      <c r="BR403" s="418">
        <f t="shared" si="668"/>
        <v>0</v>
      </c>
      <c r="BS403" s="419">
        <f t="shared" si="669"/>
        <v>2.9167000000000001</v>
      </c>
      <c r="BT403" s="419">
        <f t="shared" si="670"/>
        <v>2.9167000000000001</v>
      </c>
      <c r="BU403" s="421">
        <f t="shared" si="670"/>
        <v>0</v>
      </c>
      <c r="BV403" s="420"/>
      <c r="BW403" s="415"/>
      <c r="BX403" s="415"/>
      <c r="BY403" s="415"/>
      <c r="BZ403" s="415"/>
      <c r="CA403" s="510"/>
    </row>
    <row r="404" spans="1:79" ht="14.1" customHeight="1" x14ac:dyDescent="0.2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760</v>
      </c>
      <c r="F404" s="66">
        <v>3114</v>
      </c>
      <c r="G404" s="77" t="s">
        <v>291</v>
      </c>
      <c r="H404" s="67" t="s">
        <v>272</v>
      </c>
      <c r="I404" s="420">
        <v>0</v>
      </c>
      <c r="J404" s="415">
        <v>0</v>
      </c>
      <c r="K404" s="415">
        <v>0</v>
      </c>
      <c r="L404" s="415">
        <v>0</v>
      </c>
      <c r="M404" s="415">
        <v>0</v>
      </c>
      <c r="N404" s="415">
        <v>0</v>
      </c>
      <c r="O404" s="415">
        <v>0</v>
      </c>
      <c r="P404" s="599">
        <v>0</v>
      </c>
      <c r="Q404" s="599">
        <v>0</v>
      </c>
      <c r="R404" s="415">
        <v>0</v>
      </c>
      <c r="S404" s="416">
        <v>0</v>
      </c>
      <c r="T404" s="417">
        <v>0</v>
      </c>
      <c r="U404" s="423">
        <v>0</v>
      </c>
      <c r="V404" s="424">
        <f t="shared" si="642"/>
        <v>0</v>
      </c>
      <c r="W404" s="418">
        <f t="shared" si="643"/>
        <v>0</v>
      </c>
      <c r="X404" s="418">
        <v>0</v>
      </c>
      <c r="Y404" s="418">
        <v>0</v>
      </c>
      <c r="Z404" s="418">
        <v>0</v>
      </c>
      <c r="AA404" s="418">
        <v>0</v>
      </c>
      <c r="AB404" s="418">
        <v>0</v>
      </c>
      <c r="AC404" s="418">
        <v>0</v>
      </c>
      <c r="AD404" s="418">
        <f t="shared" si="660"/>
        <v>0</v>
      </c>
      <c r="AE404" s="418">
        <f t="shared" si="661"/>
        <v>0</v>
      </c>
      <c r="AF404" s="418">
        <f t="shared" si="644"/>
        <v>0</v>
      </c>
      <c r="AG404" s="418">
        <v>0</v>
      </c>
      <c r="AH404" s="418">
        <v>0</v>
      </c>
      <c r="AI404" s="418">
        <v>0</v>
      </c>
      <c r="AJ404" s="418">
        <v>0</v>
      </c>
      <c r="AK404" s="418">
        <v>0</v>
      </c>
      <c r="AL404" s="418">
        <f t="shared" si="645"/>
        <v>0</v>
      </c>
      <c r="AM404" s="418">
        <f t="shared" si="646"/>
        <v>0</v>
      </c>
      <c r="AN404" s="418">
        <f t="shared" si="647"/>
        <v>0</v>
      </c>
      <c r="AO404" s="418">
        <f t="shared" si="648"/>
        <v>0</v>
      </c>
      <c r="AP404" s="418">
        <f t="shared" si="649"/>
        <v>0</v>
      </c>
      <c r="AQ404" s="418">
        <f t="shared" si="650"/>
        <v>0</v>
      </c>
      <c r="AR404" s="68">
        <f t="shared" si="651"/>
        <v>0</v>
      </c>
      <c r="AS404" s="68">
        <f t="shared" si="652"/>
        <v>0</v>
      </c>
      <c r="AT404" s="418">
        <v>0</v>
      </c>
      <c r="AU404" s="418">
        <v>0</v>
      </c>
      <c r="AV404" s="418">
        <f t="shared" si="653"/>
        <v>0</v>
      </c>
      <c r="AW404" s="418">
        <f t="shared" si="654"/>
        <v>0</v>
      </c>
      <c r="AX404" s="419">
        <v>0</v>
      </c>
      <c r="AY404" s="419">
        <v>0</v>
      </c>
      <c r="AZ404" s="419">
        <v>0</v>
      </c>
      <c r="BA404" s="419">
        <v>0</v>
      </c>
      <c r="BB404" s="419">
        <v>0</v>
      </c>
      <c r="BC404" s="419">
        <v>0</v>
      </c>
      <c r="BD404" s="419">
        <v>0</v>
      </c>
      <c r="BE404" s="419">
        <v>0</v>
      </c>
      <c r="BF404" s="419">
        <f t="shared" si="655"/>
        <v>0</v>
      </c>
      <c r="BG404" s="419">
        <f t="shared" si="656"/>
        <v>0</v>
      </c>
      <c r="BH404" s="421">
        <f t="shared" si="657"/>
        <v>0</v>
      </c>
      <c r="BI404" s="780">
        <f t="shared" si="662"/>
        <v>0</v>
      </c>
      <c r="BJ404" s="418">
        <f t="shared" si="663"/>
        <v>0</v>
      </c>
      <c r="BK404" s="418">
        <f t="shared" si="664"/>
        <v>0</v>
      </c>
      <c r="BL404" s="418">
        <f t="shared" si="664"/>
        <v>0</v>
      </c>
      <c r="BM404" s="418">
        <f t="shared" si="665"/>
        <v>0</v>
      </c>
      <c r="BN404" s="418">
        <f t="shared" si="666"/>
        <v>0</v>
      </c>
      <c r="BO404" s="418">
        <f t="shared" si="666"/>
        <v>0</v>
      </c>
      <c r="BP404" s="418">
        <f t="shared" si="667"/>
        <v>0</v>
      </c>
      <c r="BQ404" s="418">
        <f t="shared" si="667"/>
        <v>0</v>
      </c>
      <c r="BR404" s="418">
        <f t="shared" si="668"/>
        <v>0</v>
      </c>
      <c r="BS404" s="419">
        <f t="shared" si="669"/>
        <v>0</v>
      </c>
      <c r="BT404" s="419">
        <f t="shared" si="670"/>
        <v>0</v>
      </c>
      <c r="BU404" s="421">
        <f t="shared" si="670"/>
        <v>0</v>
      </c>
      <c r="BV404" s="420"/>
      <c r="BW404" s="415"/>
      <c r="BX404" s="415"/>
      <c r="BY404" s="415"/>
      <c r="BZ404" s="415"/>
      <c r="CA404" s="510"/>
    </row>
    <row r="405" spans="1:79" ht="14.1" customHeight="1" x14ac:dyDescent="0.2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760</v>
      </c>
      <c r="F405" s="66">
        <v>3141</v>
      </c>
      <c r="G405" s="65" t="s">
        <v>294</v>
      </c>
      <c r="H405" s="67" t="s">
        <v>272</v>
      </c>
      <c r="I405" s="420">
        <v>75466</v>
      </c>
      <c r="J405" s="415">
        <v>55591</v>
      </c>
      <c r="K405" s="415">
        <v>0</v>
      </c>
      <c r="L405" s="750">
        <v>55591</v>
      </c>
      <c r="M405" s="415">
        <v>0</v>
      </c>
      <c r="N405" s="204">
        <v>0</v>
      </c>
      <c r="O405" s="204">
        <v>0</v>
      </c>
      <c r="P405" s="599">
        <v>18790</v>
      </c>
      <c r="Q405" s="599">
        <v>556</v>
      </c>
      <c r="R405" s="605">
        <v>529</v>
      </c>
      <c r="S405" s="416">
        <v>0.16669999999999999</v>
      </c>
      <c r="T405" s="607">
        <v>0</v>
      </c>
      <c r="U405" s="737">
        <v>0.16669999999999999</v>
      </c>
      <c r="V405" s="424">
        <f t="shared" si="642"/>
        <v>0</v>
      </c>
      <c r="W405" s="418">
        <f t="shared" si="643"/>
        <v>0</v>
      </c>
      <c r="X405" s="418">
        <v>0</v>
      </c>
      <c r="Y405" s="418">
        <v>0</v>
      </c>
      <c r="Z405" s="418">
        <v>0</v>
      </c>
      <c r="AA405" s="418">
        <v>27649</v>
      </c>
      <c r="AB405" s="418">
        <v>0</v>
      </c>
      <c r="AC405" s="418">
        <v>0</v>
      </c>
      <c r="AD405" s="418">
        <f t="shared" si="660"/>
        <v>0</v>
      </c>
      <c r="AE405" s="418">
        <f t="shared" si="661"/>
        <v>27649</v>
      </c>
      <c r="AF405" s="418">
        <f t="shared" si="644"/>
        <v>27649</v>
      </c>
      <c r="AG405" s="418">
        <v>0</v>
      </c>
      <c r="AH405" s="418">
        <v>0</v>
      </c>
      <c r="AI405" s="418">
        <v>0</v>
      </c>
      <c r="AJ405" s="418">
        <v>0</v>
      </c>
      <c r="AK405" s="418">
        <v>0</v>
      </c>
      <c r="AL405" s="418">
        <f t="shared" si="645"/>
        <v>0</v>
      </c>
      <c r="AM405" s="418">
        <f t="shared" si="646"/>
        <v>0</v>
      </c>
      <c r="AN405" s="418">
        <f t="shared" si="647"/>
        <v>0</v>
      </c>
      <c r="AO405" s="418">
        <f t="shared" si="648"/>
        <v>0</v>
      </c>
      <c r="AP405" s="418">
        <f t="shared" si="649"/>
        <v>27649</v>
      </c>
      <c r="AQ405" s="418">
        <f t="shared" si="650"/>
        <v>27649</v>
      </c>
      <c r="AR405" s="68">
        <f t="shared" si="651"/>
        <v>9345</v>
      </c>
      <c r="AS405" s="68">
        <f t="shared" si="652"/>
        <v>276</v>
      </c>
      <c r="AT405" s="418">
        <v>0</v>
      </c>
      <c r="AU405" s="418">
        <v>253</v>
      </c>
      <c r="AV405" s="418">
        <f t="shared" si="653"/>
        <v>253</v>
      </c>
      <c r="AW405" s="418">
        <f t="shared" si="654"/>
        <v>37523</v>
      </c>
      <c r="AX405" s="419">
        <v>0</v>
      </c>
      <c r="AY405" s="419">
        <v>0</v>
      </c>
      <c r="AZ405" s="419">
        <v>0</v>
      </c>
      <c r="BA405" s="419">
        <v>0</v>
      </c>
      <c r="BB405" s="419">
        <v>0.08</v>
      </c>
      <c r="BC405" s="419">
        <v>0</v>
      </c>
      <c r="BD405" s="419">
        <v>0</v>
      </c>
      <c r="BE405" s="419">
        <v>0</v>
      </c>
      <c r="BF405" s="419">
        <f t="shared" si="655"/>
        <v>0</v>
      </c>
      <c r="BG405" s="419">
        <f t="shared" si="656"/>
        <v>0.08</v>
      </c>
      <c r="BH405" s="421">
        <f t="shared" si="657"/>
        <v>0.08</v>
      </c>
      <c r="BI405" s="780">
        <f t="shared" si="662"/>
        <v>112989</v>
      </c>
      <c r="BJ405" s="418">
        <f t="shared" si="663"/>
        <v>83240</v>
      </c>
      <c r="BK405" s="418">
        <f t="shared" si="664"/>
        <v>0</v>
      </c>
      <c r="BL405" s="418">
        <f t="shared" si="664"/>
        <v>83240</v>
      </c>
      <c r="BM405" s="418">
        <f t="shared" si="665"/>
        <v>0</v>
      </c>
      <c r="BN405" s="418">
        <f t="shared" si="666"/>
        <v>0</v>
      </c>
      <c r="BO405" s="418">
        <f t="shared" si="666"/>
        <v>0</v>
      </c>
      <c r="BP405" s="418">
        <f t="shared" si="667"/>
        <v>28135</v>
      </c>
      <c r="BQ405" s="418">
        <f t="shared" si="667"/>
        <v>832</v>
      </c>
      <c r="BR405" s="418">
        <f t="shared" si="668"/>
        <v>782</v>
      </c>
      <c r="BS405" s="419">
        <f t="shared" si="669"/>
        <v>0.24669999999999997</v>
      </c>
      <c r="BT405" s="419">
        <f t="shared" si="670"/>
        <v>0</v>
      </c>
      <c r="BU405" s="421">
        <f t="shared" si="670"/>
        <v>0.24669999999999997</v>
      </c>
      <c r="BV405" s="420"/>
      <c r="BW405" s="415"/>
      <c r="BX405" s="415"/>
      <c r="BY405" s="415"/>
      <c r="BZ405" s="415"/>
      <c r="CA405" s="510"/>
    </row>
    <row r="406" spans="1:79" ht="14.1" customHeight="1" x14ac:dyDescent="0.2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760</v>
      </c>
      <c r="F406" s="66">
        <v>3143</v>
      </c>
      <c r="G406" s="77" t="s">
        <v>595</v>
      </c>
      <c r="H406" s="67" t="s">
        <v>271</v>
      </c>
      <c r="I406" s="420">
        <v>537690</v>
      </c>
      <c r="J406" s="415">
        <v>398880</v>
      </c>
      <c r="K406" s="415">
        <v>398880</v>
      </c>
      <c r="L406" s="415">
        <v>0</v>
      </c>
      <c r="M406" s="415">
        <v>0</v>
      </c>
      <c r="N406" s="415">
        <v>0</v>
      </c>
      <c r="O406" s="415">
        <v>0</v>
      </c>
      <c r="P406" s="599">
        <v>134821</v>
      </c>
      <c r="Q406" s="599">
        <v>3989</v>
      </c>
      <c r="R406" s="415">
        <v>0</v>
      </c>
      <c r="S406" s="416">
        <v>0.75</v>
      </c>
      <c r="T406" s="416">
        <v>0.75</v>
      </c>
      <c r="U406" s="423">
        <v>0</v>
      </c>
      <c r="V406" s="424">
        <f t="shared" si="642"/>
        <v>0</v>
      </c>
      <c r="W406" s="418">
        <f t="shared" si="643"/>
        <v>0</v>
      </c>
      <c r="X406" s="418">
        <v>0</v>
      </c>
      <c r="Y406" s="418">
        <v>0</v>
      </c>
      <c r="Z406" s="418">
        <v>0</v>
      </c>
      <c r="AA406" s="418">
        <v>0</v>
      </c>
      <c r="AB406" s="418">
        <v>0</v>
      </c>
      <c r="AC406" s="418">
        <v>0</v>
      </c>
      <c r="AD406" s="418">
        <f t="shared" si="660"/>
        <v>0</v>
      </c>
      <c r="AE406" s="418">
        <f t="shared" si="661"/>
        <v>0</v>
      </c>
      <c r="AF406" s="418">
        <f t="shared" si="644"/>
        <v>0</v>
      </c>
      <c r="AG406" s="418">
        <v>0</v>
      </c>
      <c r="AH406" s="418">
        <v>0</v>
      </c>
      <c r="AI406" s="418">
        <v>0</v>
      </c>
      <c r="AJ406" s="418">
        <v>0</v>
      </c>
      <c r="AK406" s="418">
        <v>0</v>
      </c>
      <c r="AL406" s="418">
        <f t="shared" si="645"/>
        <v>0</v>
      </c>
      <c r="AM406" s="418">
        <f t="shared" si="646"/>
        <v>0</v>
      </c>
      <c r="AN406" s="418">
        <f t="shared" si="647"/>
        <v>0</v>
      </c>
      <c r="AO406" s="418">
        <f t="shared" si="648"/>
        <v>0</v>
      </c>
      <c r="AP406" s="418">
        <f t="shared" si="649"/>
        <v>0</v>
      </c>
      <c r="AQ406" s="418">
        <f t="shared" si="650"/>
        <v>0</v>
      </c>
      <c r="AR406" s="68">
        <f t="shared" si="651"/>
        <v>0</v>
      </c>
      <c r="AS406" s="68">
        <f t="shared" si="652"/>
        <v>0</v>
      </c>
      <c r="AT406" s="418">
        <v>0</v>
      </c>
      <c r="AU406" s="418">
        <v>0</v>
      </c>
      <c r="AV406" s="418">
        <f t="shared" si="653"/>
        <v>0</v>
      </c>
      <c r="AW406" s="418">
        <f t="shared" si="654"/>
        <v>0</v>
      </c>
      <c r="AX406" s="419">
        <v>0</v>
      </c>
      <c r="AY406" s="419">
        <v>0</v>
      </c>
      <c r="AZ406" s="419">
        <v>0</v>
      </c>
      <c r="BA406" s="419">
        <v>0</v>
      </c>
      <c r="BB406" s="419">
        <v>0</v>
      </c>
      <c r="BC406" s="419">
        <v>0</v>
      </c>
      <c r="BD406" s="419">
        <v>0</v>
      </c>
      <c r="BE406" s="419">
        <v>0</v>
      </c>
      <c r="BF406" s="419">
        <f t="shared" si="655"/>
        <v>0</v>
      </c>
      <c r="BG406" s="419">
        <f t="shared" si="656"/>
        <v>0</v>
      </c>
      <c r="BH406" s="421">
        <f t="shared" si="657"/>
        <v>0</v>
      </c>
      <c r="BI406" s="780">
        <f t="shared" si="662"/>
        <v>537690</v>
      </c>
      <c r="BJ406" s="418">
        <f t="shared" si="663"/>
        <v>398880</v>
      </c>
      <c r="BK406" s="418">
        <f t="shared" si="664"/>
        <v>398880</v>
      </c>
      <c r="BL406" s="418">
        <f t="shared" si="664"/>
        <v>0</v>
      </c>
      <c r="BM406" s="418">
        <f t="shared" si="665"/>
        <v>0</v>
      </c>
      <c r="BN406" s="418">
        <f t="shared" si="666"/>
        <v>0</v>
      </c>
      <c r="BO406" s="418">
        <f t="shared" si="666"/>
        <v>0</v>
      </c>
      <c r="BP406" s="418">
        <f t="shared" si="667"/>
        <v>134821</v>
      </c>
      <c r="BQ406" s="418">
        <f t="shared" si="667"/>
        <v>3989</v>
      </c>
      <c r="BR406" s="418">
        <f t="shared" si="668"/>
        <v>0</v>
      </c>
      <c r="BS406" s="419">
        <f t="shared" si="669"/>
        <v>0.75</v>
      </c>
      <c r="BT406" s="419">
        <f t="shared" si="670"/>
        <v>0.75</v>
      </c>
      <c r="BU406" s="421">
        <f t="shared" si="670"/>
        <v>0</v>
      </c>
      <c r="BV406" s="420"/>
      <c r="BW406" s="415"/>
      <c r="BX406" s="415"/>
      <c r="BY406" s="415"/>
      <c r="BZ406" s="415"/>
      <c r="CA406" s="510"/>
    </row>
    <row r="407" spans="1:79" ht="14.1" customHeight="1" x14ac:dyDescent="0.2">
      <c r="A407" s="66">
        <v>80</v>
      </c>
      <c r="B407" s="63">
        <v>2329</v>
      </c>
      <c r="C407" s="64">
        <v>691007331</v>
      </c>
      <c r="D407" s="63">
        <v>71294171</v>
      </c>
      <c r="E407" s="65" t="s">
        <v>760</v>
      </c>
      <c r="F407" s="66">
        <v>3143</v>
      </c>
      <c r="G407" s="77" t="s">
        <v>596</v>
      </c>
      <c r="H407" s="67" t="s">
        <v>272</v>
      </c>
      <c r="I407" s="420">
        <v>7156</v>
      </c>
      <c r="J407" s="415">
        <v>5122</v>
      </c>
      <c r="K407" s="415">
        <v>0</v>
      </c>
      <c r="L407" s="605">
        <v>5122</v>
      </c>
      <c r="M407" s="415">
        <v>0</v>
      </c>
      <c r="N407" s="415">
        <v>0</v>
      </c>
      <c r="O407" s="415">
        <v>0</v>
      </c>
      <c r="P407" s="599">
        <v>1731</v>
      </c>
      <c r="Q407" s="599">
        <v>51</v>
      </c>
      <c r="R407" s="606">
        <v>252</v>
      </c>
      <c r="S407" s="416">
        <v>1.9400000000000001E-2</v>
      </c>
      <c r="T407" s="609">
        <v>0</v>
      </c>
      <c r="U407" s="737">
        <v>1.9400000000000001E-2</v>
      </c>
      <c r="V407" s="424">
        <f t="shared" si="642"/>
        <v>0</v>
      </c>
      <c r="W407" s="418">
        <f t="shared" si="643"/>
        <v>0</v>
      </c>
      <c r="X407" s="418">
        <v>0</v>
      </c>
      <c r="Y407" s="418">
        <v>0</v>
      </c>
      <c r="Z407" s="418">
        <v>0</v>
      </c>
      <c r="AA407" s="418">
        <v>2578</v>
      </c>
      <c r="AB407" s="418">
        <v>0</v>
      </c>
      <c r="AC407" s="418">
        <v>0</v>
      </c>
      <c r="AD407" s="418">
        <f t="shared" si="660"/>
        <v>0</v>
      </c>
      <c r="AE407" s="418">
        <f t="shared" si="661"/>
        <v>2578</v>
      </c>
      <c r="AF407" s="418">
        <f t="shared" si="644"/>
        <v>2578</v>
      </c>
      <c r="AG407" s="418">
        <v>0</v>
      </c>
      <c r="AH407" s="418">
        <v>0</v>
      </c>
      <c r="AI407" s="418">
        <v>0</v>
      </c>
      <c r="AJ407" s="418">
        <v>0</v>
      </c>
      <c r="AK407" s="418">
        <v>0</v>
      </c>
      <c r="AL407" s="418">
        <f t="shared" si="645"/>
        <v>0</v>
      </c>
      <c r="AM407" s="418">
        <f t="shared" si="646"/>
        <v>0</v>
      </c>
      <c r="AN407" s="418">
        <f t="shared" si="647"/>
        <v>0</v>
      </c>
      <c r="AO407" s="418">
        <f t="shared" si="648"/>
        <v>0</v>
      </c>
      <c r="AP407" s="418">
        <f t="shared" si="649"/>
        <v>2578</v>
      </c>
      <c r="AQ407" s="418">
        <f t="shared" si="650"/>
        <v>2578</v>
      </c>
      <c r="AR407" s="68">
        <f t="shared" si="651"/>
        <v>871</v>
      </c>
      <c r="AS407" s="68">
        <f t="shared" si="652"/>
        <v>26</v>
      </c>
      <c r="AT407" s="418">
        <v>0</v>
      </c>
      <c r="AU407" s="418">
        <v>126</v>
      </c>
      <c r="AV407" s="418">
        <f t="shared" si="653"/>
        <v>126</v>
      </c>
      <c r="AW407" s="418">
        <f t="shared" si="654"/>
        <v>3601</v>
      </c>
      <c r="AX407" s="419">
        <v>0</v>
      </c>
      <c r="AY407" s="419">
        <v>0</v>
      </c>
      <c r="AZ407" s="419">
        <v>0</v>
      </c>
      <c r="BA407" s="419">
        <v>0</v>
      </c>
      <c r="BB407" s="419">
        <v>0.01</v>
      </c>
      <c r="BC407" s="419">
        <v>0</v>
      </c>
      <c r="BD407" s="419">
        <v>0</v>
      </c>
      <c r="BE407" s="419">
        <v>0</v>
      </c>
      <c r="BF407" s="419">
        <f t="shared" si="655"/>
        <v>0</v>
      </c>
      <c r="BG407" s="419">
        <f t="shared" si="656"/>
        <v>0.01</v>
      </c>
      <c r="BH407" s="421">
        <f t="shared" si="657"/>
        <v>0.01</v>
      </c>
      <c r="BI407" s="780">
        <f t="shared" si="662"/>
        <v>10757</v>
      </c>
      <c r="BJ407" s="418">
        <f t="shared" si="663"/>
        <v>7700</v>
      </c>
      <c r="BK407" s="418">
        <f t="shared" si="664"/>
        <v>0</v>
      </c>
      <c r="BL407" s="418">
        <f t="shared" si="664"/>
        <v>7700</v>
      </c>
      <c r="BM407" s="418">
        <f t="shared" si="665"/>
        <v>0</v>
      </c>
      <c r="BN407" s="418">
        <f t="shared" si="666"/>
        <v>0</v>
      </c>
      <c r="BO407" s="418">
        <f t="shared" si="666"/>
        <v>0</v>
      </c>
      <c r="BP407" s="418">
        <f t="shared" si="667"/>
        <v>2602</v>
      </c>
      <c r="BQ407" s="418">
        <f t="shared" si="667"/>
        <v>77</v>
      </c>
      <c r="BR407" s="418">
        <f t="shared" si="668"/>
        <v>378</v>
      </c>
      <c r="BS407" s="419">
        <f t="shared" si="669"/>
        <v>2.9400000000000003E-2</v>
      </c>
      <c r="BT407" s="419">
        <f t="shared" si="670"/>
        <v>0</v>
      </c>
      <c r="BU407" s="421">
        <f t="shared" si="670"/>
        <v>2.9400000000000003E-2</v>
      </c>
      <c r="BV407" s="420"/>
      <c r="BW407" s="415"/>
      <c r="BX407" s="415"/>
      <c r="BY407" s="415"/>
      <c r="BZ407" s="415"/>
      <c r="CA407" s="510"/>
    </row>
    <row r="408" spans="1:79" ht="14.1" customHeight="1" x14ac:dyDescent="0.2">
      <c r="A408" s="72">
        <v>80</v>
      </c>
      <c r="B408" s="69">
        <v>2329</v>
      </c>
      <c r="C408" s="70">
        <v>691007331</v>
      </c>
      <c r="D408" s="69">
        <v>71294171</v>
      </c>
      <c r="E408" s="71" t="s">
        <v>781</v>
      </c>
      <c r="F408" s="72"/>
      <c r="G408" s="71"/>
      <c r="H408" s="73"/>
      <c r="I408" s="519">
        <v>9915495</v>
      </c>
      <c r="J408" s="82">
        <v>7318067</v>
      </c>
      <c r="K408" s="82">
        <v>6757238</v>
      </c>
      <c r="L408" s="82">
        <v>560829</v>
      </c>
      <c r="M408" s="82">
        <v>0</v>
      </c>
      <c r="N408" s="82">
        <v>0</v>
      </c>
      <c r="O408" s="82">
        <v>0</v>
      </c>
      <c r="P408" s="82">
        <v>2473507</v>
      </c>
      <c r="Q408" s="82">
        <v>73181</v>
      </c>
      <c r="R408" s="82">
        <v>50740</v>
      </c>
      <c r="S408" s="83">
        <v>12.240600000000001</v>
      </c>
      <c r="T408" s="83">
        <v>10.6212</v>
      </c>
      <c r="U408" s="660">
        <v>1.6194000000000002</v>
      </c>
      <c r="V408" s="519">
        <f t="shared" ref="V408:BU408" si="671">SUM(V402:V407)</f>
        <v>0</v>
      </c>
      <c r="W408" s="82">
        <f t="shared" si="671"/>
        <v>0</v>
      </c>
      <c r="X408" s="82">
        <f t="shared" si="671"/>
        <v>0</v>
      </c>
      <c r="Y408" s="82">
        <f t="shared" si="671"/>
        <v>0</v>
      </c>
      <c r="Z408" s="82">
        <f t="shared" si="671"/>
        <v>0</v>
      </c>
      <c r="AA408" s="82">
        <f t="shared" si="671"/>
        <v>30227</v>
      </c>
      <c r="AB408" s="82">
        <f t="shared" si="671"/>
        <v>0</v>
      </c>
      <c r="AC408" s="82">
        <f t="shared" si="671"/>
        <v>0</v>
      </c>
      <c r="AD408" s="82">
        <f t="shared" si="671"/>
        <v>0</v>
      </c>
      <c r="AE408" s="82">
        <f t="shared" si="671"/>
        <v>30227</v>
      </c>
      <c r="AF408" s="82">
        <f t="shared" si="671"/>
        <v>30227</v>
      </c>
      <c r="AG408" s="82">
        <f t="shared" si="671"/>
        <v>0</v>
      </c>
      <c r="AH408" s="82">
        <f t="shared" si="671"/>
        <v>0</v>
      </c>
      <c r="AI408" s="82">
        <f t="shared" si="671"/>
        <v>0</v>
      </c>
      <c r="AJ408" s="82">
        <f t="shared" si="671"/>
        <v>0</v>
      </c>
      <c r="AK408" s="82">
        <f t="shared" si="671"/>
        <v>0</v>
      </c>
      <c r="AL408" s="82">
        <f t="shared" si="671"/>
        <v>0</v>
      </c>
      <c r="AM408" s="82">
        <f t="shared" si="671"/>
        <v>0</v>
      </c>
      <c r="AN408" s="82">
        <f t="shared" si="671"/>
        <v>0</v>
      </c>
      <c r="AO408" s="82">
        <f t="shared" si="671"/>
        <v>0</v>
      </c>
      <c r="AP408" s="82">
        <f t="shared" si="671"/>
        <v>30227</v>
      </c>
      <c r="AQ408" s="82">
        <f t="shared" si="671"/>
        <v>30227</v>
      </c>
      <c r="AR408" s="82">
        <f t="shared" si="671"/>
        <v>10216</v>
      </c>
      <c r="AS408" s="82">
        <f t="shared" si="671"/>
        <v>302</v>
      </c>
      <c r="AT408" s="82">
        <f t="shared" si="671"/>
        <v>0</v>
      </c>
      <c r="AU408" s="82">
        <f t="shared" si="671"/>
        <v>379</v>
      </c>
      <c r="AV408" s="82">
        <f t="shared" si="671"/>
        <v>379</v>
      </c>
      <c r="AW408" s="82">
        <f t="shared" si="671"/>
        <v>41124</v>
      </c>
      <c r="AX408" s="83">
        <f t="shared" si="671"/>
        <v>0</v>
      </c>
      <c r="AY408" s="83">
        <f t="shared" si="671"/>
        <v>0</v>
      </c>
      <c r="AZ408" s="83">
        <f t="shared" si="671"/>
        <v>0</v>
      </c>
      <c r="BA408" s="83">
        <f t="shared" si="671"/>
        <v>0</v>
      </c>
      <c r="BB408" s="83">
        <f t="shared" si="671"/>
        <v>0.09</v>
      </c>
      <c r="BC408" s="83">
        <f t="shared" si="671"/>
        <v>0</v>
      </c>
      <c r="BD408" s="83">
        <f t="shared" si="671"/>
        <v>0</v>
      </c>
      <c r="BE408" s="83">
        <f t="shared" si="671"/>
        <v>0</v>
      </c>
      <c r="BF408" s="83">
        <f t="shared" si="671"/>
        <v>0</v>
      </c>
      <c r="BG408" s="83">
        <f t="shared" si="671"/>
        <v>0.09</v>
      </c>
      <c r="BH408" s="84">
        <f t="shared" si="671"/>
        <v>0.09</v>
      </c>
      <c r="BI408" s="801">
        <f t="shared" si="671"/>
        <v>9956619</v>
      </c>
      <c r="BJ408" s="82">
        <f t="shared" si="671"/>
        <v>7348294</v>
      </c>
      <c r="BK408" s="82">
        <f t="shared" si="671"/>
        <v>6757238</v>
      </c>
      <c r="BL408" s="82">
        <f t="shared" si="671"/>
        <v>591056</v>
      </c>
      <c r="BM408" s="82">
        <f t="shared" si="671"/>
        <v>0</v>
      </c>
      <c r="BN408" s="82">
        <f t="shared" si="671"/>
        <v>0</v>
      </c>
      <c r="BO408" s="82">
        <f t="shared" si="671"/>
        <v>0</v>
      </c>
      <c r="BP408" s="82">
        <f t="shared" si="671"/>
        <v>2483723</v>
      </c>
      <c r="BQ408" s="82">
        <f t="shared" si="671"/>
        <v>73483</v>
      </c>
      <c r="BR408" s="82">
        <f t="shared" si="671"/>
        <v>51119</v>
      </c>
      <c r="BS408" s="83">
        <f t="shared" si="671"/>
        <v>12.330600000000002</v>
      </c>
      <c r="BT408" s="83">
        <f t="shared" si="671"/>
        <v>10.6212</v>
      </c>
      <c r="BU408" s="84">
        <f t="shared" si="671"/>
        <v>1.7094</v>
      </c>
      <c r="BV408" s="813">
        <f t="shared" ref="BV408:CA408" si="672">SUM(BV402:BV407)</f>
        <v>0</v>
      </c>
      <c r="BW408" s="686">
        <f t="shared" si="672"/>
        <v>0</v>
      </c>
      <c r="BX408" s="686">
        <f t="shared" si="672"/>
        <v>0</v>
      </c>
      <c r="BY408" s="686">
        <f t="shared" si="672"/>
        <v>0</v>
      </c>
      <c r="BZ408" s="686">
        <f t="shared" si="672"/>
        <v>0</v>
      </c>
      <c r="CA408" s="814">
        <f t="shared" si="672"/>
        <v>0</v>
      </c>
    </row>
    <row r="409" spans="1:79" ht="14.1" customHeight="1" x14ac:dyDescent="0.2">
      <c r="A409" s="66">
        <v>81</v>
      </c>
      <c r="B409" s="63">
        <v>2466</v>
      </c>
      <c r="C409" s="64">
        <v>600079821</v>
      </c>
      <c r="D409" s="63">
        <v>70695083</v>
      </c>
      <c r="E409" s="65" t="s">
        <v>792</v>
      </c>
      <c r="F409" s="66">
        <v>3111</v>
      </c>
      <c r="G409" s="65" t="s">
        <v>290</v>
      </c>
      <c r="H409" s="67" t="s">
        <v>271</v>
      </c>
      <c r="I409" s="420">
        <v>3040189</v>
      </c>
      <c r="J409" s="415">
        <v>2248995</v>
      </c>
      <c r="K409" s="415">
        <v>2129187</v>
      </c>
      <c r="L409" s="415">
        <v>119808</v>
      </c>
      <c r="M409" s="415">
        <v>0</v>
      </c>
      <c r="N409" s="415">
        <v>0</v>
      </c>
      <c r="O409" s="415">
        <v>0</v>
      </c>
      <c r="P409" s="599">
        <v>760160</v>
      </c>
      <c r="Q409" s="599">
        <v>22490</v>
      </c>
      <c r="R409" s="415">
        <v>8544</v>
      </c>
      <c r="S409" s="416">
        <v>4.4800000000000004</v>
      </c>
      <c r="T409" s="416">
        <v>4</v>
      </c>
      <c r="U409" s="423">
        <v>0.48</v>
      </c>
      <c r="V409" s="424">
        <f t="shared" si="642"/>
        <v>0</v>
      </c>
      <c r="W409" s="418">
        <f t="shared" si="643"/>
        <v>0</v>
      </c>
      <c r="X409" s="418">
        <v>0</v>
      </c>
      <c r="Y409" s="418">
        <v>0</v>
      </c>
      <c r="Z409" s="418">
        <v>0</v>
      </c>
      <c r="AA409" s="418">
        <v>0</v>
      </c>
      <c r="AB409" s="418">
        <v>0</v>
      </c>
      <c r="AC409" s="418">
        <v>0</v>
      </c>
      <c r="AD409" s="418">
        <f t="shared" ref="AD409:AD414" si="673">V409+X409+Y409+Z409+AB409</f>
        <v>0</v>
      </c>
      <c r="AE409" s="418">
        <f t="shared" ref="AE409:AE414" si="674">W409+AA409+AC409</f>
        <v>0</v>
      </c>
      <c r="AF409" s="418">
        <f t="shared" si="644"/>
        <v>0</v>
      </c>
      <c r="AG409" s="418">
        <v>0</v>
      </c>
      <c r="AH409" s="418">
        <v>0</v>
      </c>
      <c r="AI409" s="418">
        <v>0</v>
      </c>
      <c r="AJ409" s="418">
        <v>0</v>
      </c>
      <c r="AK409" s="418">
        <v>0</v>
      </c>
      <c r="AL409" s="418">
        <f t="shared" si="645"/>
        <v>0</v>
      </c>
      <c r="AM409" s="418">
        <f t="shared" si="646"/>
        <v>0</v>
      </c>
      <c r="AN409" s="418">
        <f t="shared" si="647"/>
        <v>0</v>
      </c>
      <c r="AO409" s="418">
        <f t="shared" si="648"/>
        <v>0</v>
      </c>
      <c r="AP409" s="418">
        <f t="shared" si="649"/>
        <v>0</v>
      </c>
      <c r="AQ409" s="418">
        <f t="shared" si="650"/>
        <v>0</v>
      </c>
      <c r="AR409" s="68">
        <f t="shared" si="651"/>
        <v>0</v>
      </c>
      <c r="AS409" s="68">
        <f t="shared" si="652"/>
        <v>0</v>
      </c>
      <c r="AT409" s="418">
        <v>0</v>
      </c>
      <c r="AU409" s="418">
        <v>0</v>
      </c>
      <c r="AV409" s="418">
        <f t="shared" si="653"/>
        <v>0</v>
      </c>
      <c r="AW409" s="418">
        <f t="shared" si="654"/>
        <v>0</v>
      </c>
      <c r="AX409" s="419">
        <v>0</v>
      </c>
      <c r="AY409" s="419">
        <v>0</v>
      </c>
      <c r="AZ409" s="419">
        <v>0</v>
      </c>
      <c r="BA409" s="419">
        <v>0</v>
      </c>
      <c r="BB409" s="419">
        <v>0</v>
      </c>
      <c r="BC409" s="419">
        <v>0</v>
      </c>
      <c r="BD409" s="419">
        <v>0</v>
      </c>
      <c r="BE409" s="419">
        <v>0</v>
      </c>
      <c r="BF409" s="419">
        <f t="shared" si="655"/>
        <v>0</v>
      </c>
      <c r="BG409" s="419">
        <f t="shared" si="656"/>
        <v>0</v>
      </c>
      <c r="BH409" s="421">
        <f t="shared" si="657"/>
        <v>0</v>
      </c>
      <c r="BI409" s="780">
        <f t="shared" ref="BI409:BI414" si="675">I409+AW409</f>
        <v>3040189</v>
      </c>
      <c r="BJ409" s="418">
        <f t="shared" ref="BJ409:BJ414" si="676">J409+AF409</f>
        <v>2248995</v>
      </c>
      <c r="BK409" s="418">
        <f t="shared" ref="BK409:BL414" si="677">K409+AD409</f>
        <v>2129187</v>
      </c>
      <c r="BL409" s="418">
        <f t="shared" si="677"/>
        <v>119808</v>
      </c>
      <c r="BM409" s="418">
        <f t="shared" ref="BM409:BM414" si="678">M409+AN409</f>
        <v>0</v>
      </c>
      <c r="BN409" s="418">
        <f t="shared" ref="BN409:BO414" si="679">N409+AL409</f>
        <v>0</v>
      </c>
      <c r="BO409" s="418">
        <f t="shared" si="679"/>
        <v>0</v>
      </c>
      <c r="BP409" s="418">
        <f t="shared" ref="BP409:BQ414" si="680">P409+AR409</f>
        <v>760160</v>
      </c>
      <c r="BQ409" s="418">
        <f t="shared" si="680"/>
        <v>22490</v>
      </c>
      <c r="BR409" s="418">
        <f t="shared" ref="BR409:BR414" si="681">R409+AV409</f>
        <v>8544</v>
      </c>
      <c r="BS409" s="419">
        <f t="shared" ref="BS409:BS414" si="682">S409+BH409</f>
        <v>4.4800000000000004</v>
      </c>
      <c r="BT409" s="419">
        <f t="shared" ref="BT409:BU414" si="683">T409+BF409</f>
        <v>4</v>
      </c>
      <c r="BU409" s="421">
        <f t="shared" si="683"/>
        <v>0.48</v>
      </c>
      <c r="BV409" s="420"/>
      <c r="BW409" s="415"/>
      <c r="BX409" s="415"/>
      <c r="BY409" s="415"/>
      <c r="BZ409" s="415"/>
      <c r="CA409" s="510"/>
    </row>
    <row r="410" spans="1:79" ht="14.1" customHeight="1" x14ac:dyDescent="0.2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792</v>
      </c>
      <c r="F410" s="66">
        <v>3113</v>
      </c>
      <c r="G410" s="65" t="s">
        <v>293</v>
      </c>
      <c r="H410" s="67" t="s">
        <v>271</v>
      </c>
      <c r="I410" s="420">
        <v>9162859</v>
      </c>
      <c r="J410" s="415">
        <v>6555612</v>
      </c>
      <c r="K410" s="415">
        <v>5877237</v>
      </c>
      <c r="L410" s="415">
        <v>678375</v>
      </c>
      <c r="M410" s="415">
        <v>170000</v>
      </c>
      <c r="N410" s="415">
        <v>50000</v>
      </c>
      <c r="O410" s="415">
        <v>120000</v>
      </c>
      <c r="P410" s="599">
        <v>2273257</v>
      </c>
      <c r="Q410" s="599">
        <v>65556</v>
      </c>
      <c r="R410" s="415">
        <v>98434</v>
      </c>
      <c r="S410" s="416">
        <v>11.437199999999999</v>
      </c>
      <c r="T410" s="416">
        <v>9.5907999999999998</v>
      </c>
      <c r="U410" s="423">
        <v>1.8464</v>
      </c>
      <c r="V410" s="424">
        <f t="shared" si="642"/>
        <v>0</v>
      </c>
      <c r="W410" s="418">
        <f t="shared" si="643"/>
        <v>0</v>
      </c>
      <c r="X410" s="418">
        <v>0</v>
      </c>
      <c r="Y410" s="418">
        <v>0</v>
      </c>
      <c r="Z410" s="418">
        <v>0</v>
      </c>
      <c r="AA410" s="418">
        <v>0</v>
      </c>
      <c r="AB410" s="418">
        <v>0</v>
      </c>
      <c r="AC410" s="418">
        <v>0</v>
      </c>
      <c r="AD410" s="418">
        <f t="shared" si="673"/>
        <v>0</v>
      </c>
      <c r="AE410" s="418">
        <f t="shared" si="674"/>
        <v>0</v>
      </c>
      <c r="AF410" s="418">
        <f t="shared" si="644"/>
        <v>0</v>
      </c>
      <c r="AG410" s="418">
        <v>0</v>
      </c>
      <c r="AH410" s="418">
        <v>0</v>
      </c>
      <c r="AI410" s="418">
        <v>0</v>
      </c>
      <c r="AJ410" s="418">
        <v>0</v>
      </c>
      <c r="AK410" s="418">
        <v>0</v>
      </c>
      <c r="AL410" s="418">
        <f t="shared" si="645"/>
        <v>0</v>
      </c>
      <c r="AM410" s="418">
        <f t="shared" si="646"/>
        <v>0</v>
      </c>
      <c r="AN410" s="418">
        <f t="shared" si="647"/>
        <v>0</v>
      </c>
      <c r="AO410" s="418">
        <f t="shared" si="648"/>
        <v>0</v>
      </c>
      <c r="AP410" s="418">
        <f t="shared" si="649"/>
        <v>0</v>
      </c>
      <c r="AQ410" s="418">
        <f t="shared" si="650"/>
        <v>0</v>
      </c>
      <c r="AR410" s="68">
        <f t="shared" si="651"/>
        <v>0</v>
      </c>
      <c r="AS410" s="68">
        <f t="shared" si="652"/>
        <v>0</v>
      </c>
      <c r="AT410" s="418">
        <v>0</v>
      </c>
      <c r="AU410" s="418">
        <v>0</v>
      </c>
      <c r="AV410" s="418">
        <f t="shared" si="653"/>
        <v>0</v>
      </c>
      <c r="AW410" s="418">
        <f t="shared" si="654"/>
        <v>0</v>
      </c>
      <c r="AX410" s="419">
        <v>0</v>
      </c>
      <c r="AY410" s="419">
        <v>0</v>
      </c>
      <c r="AZ410" s="419">
        <v>0</v>
      </c>
      <c r="BA410" s="419">
        <v>0</v>
      </c>
      <c r="BB410" s="419">
        <v>0</v>
      </c>
      <c r="BC410" s="419">
        <v>0</v>
      </c>
      <c r="BD410" s="419">
        <v>0</v>
      </c>
      <c r="BE410" s="419">
        <v>0</v>
      </c>
      <c r="BF410" s="419">
        <f t="shared" si="655"/>
        <v>0</v>
      </c>
      <c r="BG410" s="419">
        <f t="shared" si="656"/>
        <v>0</v>
      </c>
      <c r="BH410" s="421">
        <f t="shared" si="657"/>
        <v>0</v>
      </c>
      <c r="BI410" s="780">
        <f t="shared" si="675"/>
        <v>9162859</v>
      </c>
      <c r="BJ410" s="418">
        <f t="shared" si="676"/>
        <v>6555612</v>
      </c>
      <c r="BK410" s="418">
        <f t="shared" si="677"/>
        <v>5877237</v>
      </c>
      <c r="BL410" s="418">
        <f t="shared" si="677"/>
        <v>678375</v>
      </c>
      <c r="BM410" s="418">
        <f t="shared" si="678"/>
        <v>170000</v>
      </c>
      <c r="BN410" s="418">
        <f t="shared" si="679"/>
        <v>50000</v>
      </c>
      <c r="BO410" s="418">
        <f t="shared" si="679"/>
        <v>120000</v>
      </c>
      <c r="BP410" s="418">
        <f t="shared" si="680"/>
        <v>2273257</v>
      </c>
      <c r="BQ410" s="418">
        <f t="shared" si="680"/>
        <v>65556</v>
      </c>
      <c r="BR410" s="418">
        <f t="shared" si="681"/>
        <v>98434</v>
      </c>
      <c r="BS410" s="419">
        <f t="shared" si="682"/>
        <v>11.437199999999999</v>
      </c>
      <c r="BT410" s="419">
        <f t="shared" si="683"/>
        <v>9.5907999999999998</v>
      </c>
      <c r="BU410" s="421">
        <f t="shared" si="683"/>
        <v>1.8464</v>
      </c>
      <c r="BV410" s="420"/>
      <c r="BW410" s="415"/>
      <c r="BX410" s="415"/>
      <c r="BY410" s="415"/>
      <c r="BZ410" s="415"/>
      <c r="CA410" s="510"/>
    </row>
    <row r="411" spans="1:79" ht="14.1" customHeight="1" x14ac:dyDescent="0.2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792</v>
      </c>
      <c r="F411" s="66">
        <v>3113</v>
      </c>
      <c r="G411" s="77" t="s">
        <v>291</v>
      </c>
      <c r="H411" s="67" t="s">
        <v>272</v>
      </c>
      <c r="I411" s="420">
        <v>2871599</v>
      </c>
      <c r="J411" s="415">
        <v>2126743</v>
      </c>
      <c r="K411" s="415">
        <v>2126743</v>
      </c>
      <c r="L411" s="415">
        <v>0</v>
      </c>
      <c r="M411" s="415">
        <v>0</v>
      </c>
      <c r="N411" s="415">
        <v>0</v>
      </c>
      <c r="O411" s="415">
        <v>0</v>
      </c>
      <c r="P411" s="599">
        <v>718839</v>
      </c>
      <c r="Q411" s="599">
        <v>21267</v>
      </c>
      <c r="R411" s="415">
        <v>4750</v>
      </c>
      <c r="S411" s="416">
        <v>6.129999999999999</v>
      </c>
      <c r="T411" s="417">
        <v>6.129999999999999</v>
      </c>
      <c r="U411" s="423">
        <v>0</v>
      </c>
      <c r="V411" s="424">
        <f t="shared" si="642"/>
        <v>0</v>
      </c>
      <c r="W411" s="418">
        <f t="shared" si="643"/>
        <v>0</v>
      </c>
      <c r="X411" s="418">
        <v>0</v>
      </c>
      <c r="Y411" s="418">
        <v>0</v>
      </c>
      <c r="Z411" s="418">
        <v>0</v>
      </c>
      <c r="AA411" s="418">
        <v>0</v>
      </c>
      <c r="AB411" s="418">
        <v>0</v>
      </c>
      <c r="AC411" s="418">
        <v>0</v>
      </c>
      <c r="AD411" s="418">
        <f t="shared" si="673"/>
        <v>0</v>
      </c>
      <c r="AE411" s="418">
        <f t="shared" si="674"/>
        <v>0</v>
      </c>
      <c r="AF411" s="418">
        <f t="shared" si="644"/>
        <v>0</v>
      </c>
      <c r="AG411" s="418">
        <v>0</v>
      </c>
      <c r="AH411" s="418">
        <v>0</v>
      </c>
      <c r="AI411" s="418">
        <v>0</v>
      </c>
      <c r="AJ411" s="418">
        <v>0</v>
      </c>
      <c r="AK411" s="418">
        <v>0</v>
      </c>
      <c r="AL411" s="418">
        <f t="shared" si="645"/>
        <v>0</v>
      </c>
      <c r="AM411" s="418">
        <f t="shared" si="646"/>
        <v>0</v>
      </c>
      <c r="AN411" s="418">
        <f t="shared" si="647"/>
        <v>0</v>
      </c>
      <c r="AO411" s="418">
        <f t="shared" si="648"/>
        <v>0</v>
      </c>
      <c r="AP411" s="418">
        <f t="shared" si="649"/>
        <v>0</v>
      </c>
      <c r="AQ411" s="418">
        <f t="shared" si="650"/>
        <v>0</v>
      </c>
      <c r="AR411" s="68">
        <f t="shared" si="651"/>
        <v>0</v>
      </c>
      <c r="AS411" s="68">
        <f t="shared" si="652"/>
        <v>0</v>
      </c>
      <c r="AT411" s="418">
        <v>0</v>
      </c>
      <c r="AU411" s="418">
        <v>0</v>
      </c>
      <c r="AV411" s="418">
        <f t="shared" si="653"/>
        <v>0</v>
      </c>
      <c r="AW411" s="418">
        <f t="shared" si="654"/>
        <v>0</v>
      </c>
      <c r="AX411" s="419">
        <v>0</v>
      </c>
      <c r="AY411" s="419">
        <v>0</v>
      </c>
      <c r="AZ411" s="419">
        <v>0</v>
      </c>
      <c r="BA411" s="419">
        <v>0</v>
      </c>
      <c r="BB411" s="419">
        <v>0</v>
      </c>
      <c r="BC411" s="419">
        <v>0</v>
      </c>
      <c r="BD411" s="419">
        <v>0</v>
      </c>
      <c r="BE411" s="419">
        <v>0</v>
      </c>
      <c r="BF411" s="419">
        <f t="shared" si="655"/>
        <v>0</v>
      </c>
      <c r="BG411" s="419">
        <f t="shared" si="656"/>
        <v>0</v>
      </c>
      <c r="BH411" s="421">
        <f t="shared" si="657"/>
        <v>0</v>
      </c>
      <c r="BI411" s="780">
        <f t="shared" si="675"/>
        <v>2871599</v>
      </c>
      <c r="BJ411" s="418">
        <f t="shared" si="676"/>
        <v>2126743</v>
      </c>
      <c r="BK411" s="418">
        <f t="shared" si="677"/>
        <v>2126743</v>
      </c>
      <c r="BL411" s="418">
        <f t="shared" si="677"/>
        <v>0</v>
      </c>
      <c r="BM411" s="418">
        <f t="shared" si="678"/>
        <v>0</v>
      </c>
      <c r="BN411" s="418">
        <f t="shared" si="679"/>
        <v>0</v>
      </c>
      <c r="BO411" s="418">
        <f t="shared" si="679"/>
        <v>0</v>
      </c>
      <c r="BP411" s="418">
        <f t="shared" si="680"/>
        <v>718839</v>
      </c>
      <c r="BQ411" s="418">
        <f t="shared" si="680"/>
        <v>21267</v>
      </c>
      <c r="BR411" s="418">
        <f t="shared" si="681"/>
        <v>4750</v>
      </c>
      <c r="BS411" s="419">
        <f t="shared" si="682"/>
        <v>6.129999999999999</v>
      </c>
      <c r="BT411" s="419">
        <f t="shared" si="683"/>
        <v>6.129999999999999</v>
      </c>
      <c r="BU411" s="421">
        <f t="shared" si="683"/>
        <v>0</v>
      </c>
      <c r="BV411" s="420"/>
      <c r="BW411" s="415"/>
      <c r="BX411" s="415"/>
      <c r="BY411" s="415"/>
      <c r="BZ411" s="415"/>
      <c r="CA411" s="510"/>
    </row>
    <row r="412" spans="1:79" ht="14.1" customHeight="1" x14ac:dyDescent="0.2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792</v>
      </c>
      <c r="F412" s="66">
        <v>3141</v>
      </c>
      <c r="G412" s="65" t="s">
        <v>294</v>
      </c>
      <c r="H412" s="67" t="s">
        <v>272</v>
      </c>
      <c r="I412" s="420">
        <v>900156</v>
      </c>
      <c r="J412" s="415">
        <v>664759</v>
      </c>
      <c r="K412" s="415">
        <v>0</v>
      </c>
      <c r="L412" s="750">
        <v>664759</v>
      </c>
      <c r="M412" s="415">
        <v>0</v>
      </c>
      <c r="N412" s="204">
        <v>0</v>
      </c>
      <c r="O412" s="204">
        <v>0</v>
      </c>
      <c r="P412" s="599">
        <v>224689</v>
      </c>
      <c r="Q412" s="599">
        <v>6648</v>
      </c>
      <c r="R412" s="605">
        <v>4060</v>
      </c>
      <c r="S412" s="416">
        <v>1.9934000000000001</v>
      </c>
      <c r="T412" s="607">
        <v>0</v>
      </c>
      <c r="U412" s="737">
        <v>1.9934000000000001</v>
      </c>
      <c r="V412" s="424">
        <f t="shared" si="642"/>
        <v>0</v>
      </c>
      <c r="W412" s="418">
        <f t="shared" si="643"/>
        <v>0</v>
      </c>
      <c r="X412" s="418">
        <v>0</v>
      </c>
      <c r="Y412" s="418">
        <v>0</v>
      </c>
      <c r="Z412" s="418">
        <v>0</v>
      </c>
      <c r="AA412" s="418">
        <v>331893</v>
      </c>
      <c r="AB412" s="418">
        <v>0</v>
      </c>
      <c r="AC412" s="418">
        <v>0</v>
      </c>
      <c r="AD412" s="418">
        <f t="shared" si="673"/>
        <v>0</v>
      </c>
      <c r="AE412" s="418">
        <f t="shared" si="674"/>
        <v>331893</v>
      </c>
      <c r="AF412" s="418">
        <f t="shared" si="644"/>
        <v>331893</v>
      </c>
      <c r="AG412" s="418">
        <v>0</v>
      </c>
      <c r="AH412" s="418">
        <v>0</v>
      </c>
      <c r="AI412" s="418">
        <v>0</v>
      </c>
      <c r="AJ412" s="418">
        <v>0</v>
      </c>
      <c r="AK412" s="418">
        <v>0</v>
      </c>
      <c r="AL412" s="418">
        <f t="shared" si="645"/>
        <v>0</v>
      </c>
      <c r="AM412" s="418">
        <f t="shared" si="646"/>
        <v>0</v>
      </c>
      <c r="AN412" s="418">
        <f t="shared" si="647"/>
        <v>0</v>
      </c>
      <c r="AO412" s="418">
        <f t="shared" si="648"/>
        <v>0</v>
      </c>
      <c r="AP412" s="418">
        <f t="shared" si="649"/>
        <v>331893</v>
      </c>
      <c r="AQ412" s="418">
        <f t="shared" si="650"/>
        <v>331893</v>
      </c>
      <c r="AR412" s="68">
        <f t="shared" si="651"/>
        <v>112180</v>
      </c>
      <c r="AS412" s="68">
        <f t="shared" si="652"/>
        <v>3319</v>
      </c>
      <c r="AT412" s="418">
        <v>0</v>
      </c>
      <c r="AU412" s="418">
        <v>1972</v>
      </c>
      <c r="AV412" s="418">
        <f t="shared" si="653"/>
        <v>1972</v>
      </c>
      <c r="AW412" s="418">
        <f t="shared" si="654"/>
        <v>449364</v>
      </c>
      <c r="AX412" s="419">
        <v>0</v>
      </c>
      <c r="AY412" s="419">
        <v>0</v>
      </c>
      <c r="AZ412" s="419">
        <v>0</v>
      </c>
      <c r="BA412" s="419">
        <v>0</v>
      </c>
      <c r="BB412" s="419">
        <v>1</v>
      </c>
      <c r="BC412" s="419">
        <v>0</v>
      </c>
      <c r="BD412" s="419">
        <v>0</v>
      </c>
      <c r="BE412" s="419">
        <v>0</v>
      </c>
      <c r="BF412" s="419">
        <f t="shared" si="655"/>
        <v>0</v>
      </c>
      <c r="BG412" s="419">
        <f t="shared" si="656"/>
        <v>1</v>
      </c>
      <c r="BH412" s="421">
        <f t="shared" si="657"/>
        <v>1</v>
      </c>
      <c r="BI412" s="780">
        <f t="shared" si="675"/>
        <v>1349520</v>
      </c>
      <c r="BJ412" s="418">
        <f t="shared" si="676"/>
        <v>996652</v>
      </c>
      <c r="BK412" s="418">
        <f t="shared" si="677"/>
        <v>0</v>
      </c>
      <c r="BL412" s="418">
        <f t="shared" si="677"/>
        <v>996652</v>
      </c>
      <c r="BM412" s="418">
        <f t="shared" si="678"/>
        <v>0</v>
      </c>
      <c r="BN412" s="418">
        <f t="shared" si="679"/>
        <v>0</v>
      </c>
      <c r="BO412" s="418">
        <f t="shared" si="679"/>
        <v>0</v>
      </c>
      <c r="BP412" s="418">
        <f t="shared" si="680"/>
        <v>336869</v>
      </c>
      <c r="BQ412" s="418">
        <f t="shared" si="680"/>
        <v>9967</v>
      </c>
      <c r="BR412" s="418">
        <f t="shared" si="681"/>
        <v>6032</v>
      </c>
      <c r="BS412" s="419">
        <f t="shared" si="682"/>
        <v>2.9934000000000003</v>
      </c>
      <c r="BT412" s="419">
        <f t="shared" si="683"/>
        <v>0</v>
      </c>
      <c r="BU412" s="421">
        <f t="shared" si="683"/>
        <v>2.9934000000000003</v>
      </c>
      <c r="BV412" s="420"/>
      <c r="BW412" s="415"/>
      <c r="BX412" s="415"/>
      <c r="BY412" s="415"/>
      <c r="BZ412" s="415"/>
      <c r="CA412" s="510"/>
    </row>
    <row r="413" spans="1:79" ht="14.1" customHeight="1" x14ac:dyDescent="0.2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792</v>
      </c>
      <c r="F413" s="66">
        <v>3143</v>
      </c>
      <c r="G413" s="77" t="s">
        <v>595</v>
      </c>
      <c r="H413" s="67" t="s">
        <v>271</v>
      </c>
      <c r="I413" s="420">
        <v>703675</v>
      </c>
      <c r="J413" s="415">
        <v>522014</v>
      </c>
      <c r="K413" s="415">
        <v>522014</v>
      </c>
      <c r="L413" s="415">
        <v>0</v>
      </c>
      <c r="M413" s="415">
        <v>0</v>
      </c>
      <c r="N413" s="415">
        <v>0</v>
      </c>
      <c r="O413" s="415">
        <v>0</v>
      </c>
      <c r="P413" s="599">
        <v>176441</v>
      </c>
      <c r="Q413" s="599">
        <v>5220</v>
      </c>
      <c r="R413" s="415">
        <v>0</v>
      </c>
      <c r="S413" s="416">
        <v>1.1608000000000001</v>
      </c>
      <c r="T413" s="416">
        <v>1.1608000000000001</v>
      </c>
      <c r="U413" s="423">
        <v>0</v>
      </c>
      <c r="V413" s="424">
        <f t="shared" si="642"/>
        <v>0</v>
      </c>
      <c r="W413" s="418">
        <f t="shared" si="643"/>
        <v>0</v>
      </c>
      <c r="X413" s="418">
        <v>0</v>
      </c>
      <c r="Y413" s="418">
        <v>0</v>
      </c>
      <c r="Z413" s="418">
        <v>0</v>
      </c>
      <c r="AA413" s="418">
        <v>0</v>
      </c>
      <c r="AB413" s="418">
        <v>0</v>
      </c>
      <c r="AC413" s="418">
        <v>0</v>
      </c>
      <c r="AD413" s="418">
        <f t="shared" si="673"/>
        <v>0</v>
      </c>
      <c r="AE413" s="418">
        <f t="shared" si="674"/>
        <v>0</v>
      </c>
      <c r="AF413" s="418">
        <f t="shared" si="644"/>
        <v>0</v>
      </c>
      <c r="AG413" s="418">
        <v>0</v>
      </c>
      <c r="AH413" s="418">
        <v>0</v>
      </c>
      <c r="AI413" s="418">
        <v>0</v>
      </c>
      <c r="AJ413" s="418">
        <v>0</v>
      </c>
      <c r="AK413" s="418">
        <v>0</v>
      </c>
      <c r="AL413" s="418">
        <f t="shared" si="645"/>
        <v>0</v>
      </c>
      <c r="AM413" s="418">
        <f t="shared" si="646"/>
        <v>0</v>
      </c>
      <c r="AN413" s="418">
        <f t="shared" si="647"/>
        <v>0</v>
      </c>
      <c r="AO413" s="418">
        <f t="shared" si="648"/>
        <v>0</v>
      </c>
      <c r="AP413" s="418">
        <f t="shared" si="649"/>
        <v>0</v>
      </c>
      <c r="AQ413" s="418">
        <f t="shared" si="650"/>
        <v>0</v>
      </c>
      <c r="AR413" s="68">
        <f t="shared" si="651"/>
        <v>0</v>
      </c>
      <c r="AS413" s="68">
        <f t="shared" si="652"/>
        <v>0</v>
      </c>
      <c r="AT413" s="418">
        <v>0</v>
      </c>
      <c r="AU413" s="418">
        <v>0</v>
      </c>
      <c r="AV413" s="418">
        <f t="shared" si="653"/>
        <v>0</v>
      </c>
      <c r="AW413" s="418">
        <f t="shared" si="654"/>
        <v>0</v>
      </c>
      <c r="AX413" s="419">
        <v>0</v>
      </c>
      <c r="AY413" s="419">
        <v>0</v>
      </c>
      <c r="AZ413" s="419">
        <v>0</v>
      </c>
      <c r="BA413" s="419">
        <v>0</v>
      </c>
      <c r="BB413" s="419">
        <v>0</v>
      </c>
      <c r="BC413" s="419">
        <v>0</v>
      </c>
      <c r="BD413" s="419">
        <v>0</v>
      </c>
      <c r="BE413" s="419">
        <v>0</v>
      </c>
      <c r="BF413" s="419">
        <f t="shared" si="655"/>
        <v>0</v>
      </c>
      <c r="BG413" s="419">
        <f t="shared" si="656"/>
        <v>0</v>
      </c>
      <c r="BH413" s="421">
        <f t="shared" si="657"/>
        <v>0</v>
      </c>
      <c r="BI413" s="780">
        <f t="shared" si="675"/>
        <v>703675</v>
      </c>
      <c r="BJ413" s="418">
        <f t="shared" si="676"/>
        <v>522014</v>
      </c>
      <c r="BK413" s="418">
        <f t="shared" si="677"/>
        <v>522014</v>
      </c>
      <c r="BL413" s="418">
        <f t="shared" si="677"/>
        <v>0</v>
      </c>
      <c r="BM413" s="418">
        <f t="shared" si="678"/>
        <v>0</v>
      </c>
      <c r="BN413" s="418">
        <f t="shared" si="679"/>
        <v>0</v>
      </c>
      <c r="BO413" s="418">
        <f t="shared" si="679"/>
        <v>0</v>
      </c>
      <c r="BP413" s="418">
        <f t="shared" si="680"/>
        <v>176441</v>
      </c>
      <c r="BQ413" s="418">
        <f t="shared" si="680"/>
        <v>5220</v>
      </c>
      <c r="BR413" s="418">
        <f t="shared" si="681"/>
        <v>0</v>
      </c>
      <c r="BS413" s="419">
        <f t="shared" si="682"/>
        <v>1.1608000000000001</v>
      </c>
      <c r="BT413" s="419">
        <f t="shared" si="683"/>
        <v>1.1608000000000001</v>
      </c>
      <c r="BU413" s="421">
        <f t="shared" si="683"/>
        <v>0</v>
      </c>
      <c r="BV413" s="420"/>
      <c r="BW413" s="415"/>
      <c r="BX413" s="415"/>
      <c r="BY413" s="415"/>
      <c r="BZ413" s="415"/>
      <c r="CA413" s="510"/>
    </row>
    <row r="414" spans="1:79" ht="14.1" customHeight="1" x14ac:dyDescent="0.2">
      <c r="A414" s="66">
        <v>81</v>
      </c>
      <c r="B414" s="63">
        <v>2466</v>
      </c>
      <c r="C414" s="64">
        <v>600079821</v>
      </c>
      <c r="D414" s="63">
        <v>70695083</v>
      </c>
      <c r="E414" s="65" t="s">
        <v>792</v>
      </c>
      <c r="F414" s="66">
        <v>3143</v>
      </c>
      <c r="G414" s="77" t="s">
        <v>596</v>
      </c>
      <c r="H414" s="67" t="s">
        <v>272</v>
      </c>
      <c r="I414" s="420">
        <v>15380</v>
      </c>
      <c r="J414" s="415">
        <v>11009</v>
      </c>
      <c r="K414" s="415">
        <v>0</v>
      </c>
      <c r="L414" s="605">
        <v>11009</v>
      </c>
      <c r="M414" s="415">
        <v>0</v>
      </c>
      <c r="N414" s="415">
        <v>0</v>
      </c>
      <c r="O414" s="415">
        <v>0</v>
      </c>
      <c r="P414" s="599">
        <v>3721</v>
      </c>
      <c r="Q414" s="599">
        <v>110</v>
      </c>
      <c r="R414" s="606">
        <v>540</v>
      </c>
      <c r="S414" s="416">
        <v>4.1700000000000001E-2</v>
      </c>
      <c r="T414" s="609">
        <v>0</v>
      </c>
      <c r="U414" s="737">
        <v>4.1700000000000001E-2</v>
      </c>
      <c r="V414" s="424">
        <f t="shared" si="642"/>
        <v>0</v>
      </c>
      <c r="W414" s="418">
        <f t="shared" si="643"/>
        <v>0</v>
      </c>
      <c r="X414" s="418">
        <v>0</v>
      </c>
      <c r="Y414" s="418">
        <v>0</v>
      </c>
      <c r="Z414" s="418">
        <v>0</v>
      </c>
      <c r="AA414" s="418">
        <v>5491</v>
      </c>
      <c r="AB414" s="418">
        <v>0</v>
      </c>
      <c r="AC414" s="418">
        <v>0</v>
      </c>
      <c r="AD414" s="418">
        <f t="shared" si="673"/>
        <v>0</v>
      </c>
      <c r="AE414" s="418">
        <f t="shared" si="674"/>
        <v>5491</v>
      </c>
      <c r="AF414" s="418">
        <f t="shared" si="644"/>
        <v>5491</v>
      </c>
      <c r="AG414" s="418">
        <v>0</v>
      </c>
      <c r="AH414" s="418">
        <v>0</v>
      </c>
      <c r="AI414" s="418">
        <v>0</v>
      </c>
      <c r="AJ414" s="418">
        <v>0</v>
      </c>
      <c r="AK414" s="418">
        <v>0</v>
      </c>
      <c r="AL414" s="418">
        <f t="shared" si="645"/>
        <v>0</v>
      </c>
      <c r="AM414" s="418">
        <f t="shared" si="646"/>
        <v>0</v>
      </c>
      <c r="AN414" s="418">
        <f t="shared" si="647"/>
        <v>0</v>
      </c>
      <c r="AO414" s="418">
        <f t="shared" si="648"/>
        <v>0</v>
      </c>
      <c r="AP414" s="418">
        <f t="shared" si="649"/>
        <v>5491</v>
      </c>
      <c r="AQ414" s="418">
        <f t="shared" si="650"/>
        <v>5491</v>
      </c>
      <c r="AR414" s="68">
        <f t="shared" si="651"/>
        <v>1856</v>
      </c>
      <c r="AS414" s="68">
        <f t="shared" si="652"/>
        <v>55</v>
      </c>
      <c r="AT414" s="418">
        <v>0</v>
      </c>
      <c r="AU414" s="418">
        <v>270</v>
      </c>
      <c r="AV414" s="418">
        <f t="shared" si="653"/>
        <v>270</v>
      </c>
      <c r="AW414" s="418">
        <f t="shared" si="654"/>
        <v>7672</v>
      </c>
      <c r="AX414" s="419">
        <v>0</v>
      </c>
      <c r="AY414" s="419">
        <v>0</v>
      </c>
      <c r="AZ414" s="419">
        <v>0</v>
      </c>
      <c r="BA414" s="419">
        <v>0</v>
      </c>
      <c r="BB414" s="419">
        <v>0.02</v>
      </c>
      <c r="BC414" s="419">
        <v>0</v>
      </c>
      <c r="BD414" s="419">
        <v>0</v>
      </c>
      <c r="BE414" s="419">
        <v>0</v>
      </c>
      <c r="BF414" s="419">
        <f t="shared" si="655"/>
        <v>0</v>
      </c>
      <c r="BG414" s="419">
        <f t="shared" si="656"/>
        <v>0.02</v>
      </c>
      <c r="BH414" s="421">
        <f t="shared" si="657"/>
        <v>0.02</v>
      </c>
      <c r="BI414" s="780">
        <f t="shared" si="675"/>
        <v>23052</v>
      </c>
      <c r="BJ414" s="418">
        <f t="shared" si="676"/>
        <v>16500</v>
      </c>
      <c r="BK414" s="418">
        <f t="shared" si="677"/>
        <v>0</v>
      </c>
      <c r="BL414" s="418">
        <f t="shared" si="677"/>
        <v>16500</v>
      </c>
      <c r="BM414" s="418">
        <f t="shared" si="678"/>
        <v>0</v>
      </c>
      <c r="BN414" s="418">
        <f t="shared" si="679"/>
        <v>0</v>
      </c>
      <c r="BO414" s="418">
        <f t="shared" si="679"/>
        <v>0</v>
      </c>
      <c r="BP414" s="418">
        <f t="shared" si="680"/>
        <v>5577</v>
      </c>
      <c r="BQ414" s="418">
        <f t="shared" si="680"/>
        <v>165</v>
      </c>
      <c r="BR414" s="418">
        <f t="shared" si="681"/>
        <v>810</v>
      </c>
      <c r="BS414" s="419">
        <f t="shared" si="682"/>
        <v>6.1700000000000005E-2</v>
      </c>
      <c r="BT414" s="419">
        <f t="shared" si="683"/>
        <v>0</v>
      </c>
      <c r="BU414" s="421">
        <f t="shared" si="683"/>
        <v>6.1700000000000005E-2</v>
      </c>
      <c r="BV414" s="420"/>
      <c r="BW414" s="415"/>
      <c r="BX414" s="415"/>
      <c r="BY414" s="415"/>
      <c r="BZ414" s="415"/>
      <c r="CA414" s="510"/>
    </row>
    <row r="415" spans="1:79" ht="14.1" customHeight="1" x14ac:dyDescent="0.2">
      <c r="A415" s="72">
        <v>81</v>
      </c>
      <c r="B415" s="69">
        <v>2466</v>
      </c>
      <c r="C415" s="70">
        <v>600079821</v>
      </c>
      <c r="D415" s="69">
        <v>70695083</v>
      </c>
      <c r="E415" s="71" t="s">
        <v>793</v>
      </c>
      <c r="F415" s="72"/>
      <c r="G415" s="71"/>
      <c r="H415" s="73"/>
      <c r="I415" s="517">
        <v>16693858</v>
      </c>
      <c r="J415" s="74">
        <v>12129132</v>
      </c>
      <c r="K415" s="74">
        <v>10655181</v>
      </c>
      <c r="L415" s="74">
        <v>1473951</v>
      </c>
      <c r="M415" s="74">
        <v>170000</v>
      </c>
      <c r="N415" s="74">
        <v>50000</v>
      </c>
      <c r="O415" s="74">
        <v>120000</v>
      </c>
      <c r="P415" s="74">
        <v>4157107</v>
      </c>
      <c r="Q415" s="74">
        <v>121291</v>
      </c>
      <c r="R415" s="74">
        <v>116328</v>
      </c>
      <c r="S415" s="75">
        <v>25.243099999999998</v>
      </c>
      <c r="T415" s="75">
        <v>20.881599999999999</v>
      </c>
      <c r="U415" s="658">
        <v>4.3614999999999995</v>
      </c>
      <c r="V415" s="517">
        <f t="shared" ref="V415:BU415" si="684">SUM(V409:V414)</f>
        <v>0</v>
      </c>
      <c r="W415" s="74">
        <f t="shared" si="684"/>
        <v>0</v>
      </c>
      <c r="X415" s="74">
        <f t="shared" si="684"/>
        <v>0</v>
      </c>
      <c r="Y415" s="74">
        <f t="shared" si="684"/>
        <v>0</v>
      </c>
      <c r="Z415" s="74">
        <f t="shared" si="684"/>
        <v>0</v>
      </c>
      <c r="AA415" s="74">
        <f t="shared" si="684"/>
        <v>337384</v>
      </c>
      <c r="AB415" s="74">
        <f t="shared" si="684"/>
        <v>0</v>
      </c>
      <c r="AC415" s="74">
        <f t="shared" si="684"/>
        <v>0</v>
      </c>
      <c r="AD415" s="74">
        <f t="shared" si="684"/>
        <v>0</v>
      </c>
      <c r="AE415" s="74">
        <f t="shared" si="684"/>
        <v>337384</v>
      </c>
      <c r="AF415" s="74">
        <f t="shared" si="684"/>
        <v>337384</v>
      </c>
      <c r="AG415" s="74">
        <f t="shared" si="684"/>
        <v>0</v>
      </c>
      <c r="AH415" s="74">
        <f t="shared" si="684"/>
        <v>0</v>
      </c>
      <c r="AI415" s="74">
        <f t="shared" si="684"/>
        <v>0</v>
      </c>
      <c r="AJ415" s="74">
        <f t="shared" si="684"/>
        <v>0</v>
      </c>
      <c r="AK415" s="74">
        <f t="shared" si="684"/>
        <v>0</v>
      </c>
      <c r="AL415" s="74">
        <f t="shared" si="684"/>
        <v>0</v>
      </c>
      <c r="AM415" s="74">
        <f t="shared" si="684"/>
        <v>0</v>
      </c>
      <c r="AN415" s="74">
        <f t="shared" si="684"/>
        <v>0</v>
      </c>
      <c r="AO415" s="74">
        <f t="shared" si="684"/>
        <v>0</v>
      </c>
      <c r="AP415" s="74">
        <f t="shared" si="684"/>
        <v>337384</v>
      </c>
      <c r="AQ415" s="74">
        <f t="shared" si="684"/>
        <v>337384</v>
      </c>
      <c r="AR415" s="74">
        <f t="shared" si="684"/>
        <v>114036</v>
      </c>
      <c r="AS415" s="74">
        <f t="shared" si="684"/>
        <v>3374</v>
      </c>
      <c r="AT415" s="74">
        <f t="shared" si="684"/>
        <v>0</v>
      </c>
      <c r="AU415" s="74">
        <f t="shared" si="684"/>
        <v>2242</v>
      </c>
      <c r="AV415" s="74">
        <f t="shared" si="684"/>
        <v>2242</v>
      </c>
      <c r="AW415" s="74">
        <f t="shared" si="684"/>
        <v>457036</v>
      </c>
      <c r="AX415" s="75">
        <f t="shared" si="684"/>
        <v>0</v>
      </c>
      <c r="AY415" s="75">
        <f t="shared" si="684"/>
        <v>0</v>
      </c>
      <c r="AZ415" s="75">
        <f t="shared" si="684"/>
        <v>0</v>
      </c>
      <c r="BA415" s="75">
        <f t="shared" si="684"/>
        <v>0</v>
      </c>
      <c r="BB415" s="75">
        <f t="shared" si="684"/>
        <v>1.02</v>
      </c>
      <c r="BC415" s="75">
        <f t="shared" si="684"/>
        <v>0</v>
      </c>
      <c r="BD415" s="75">
        <f t="shared" si="684"/>
        <v>0</v>
      </c>
      <c r="BE415" s="75">
        <f t="shared" si="684"/>
        <v>0</v>
      </c>
      <c r="BF415" s="75">
        <f t="shared" si="684"/>
        <v>0</v>
      </c>
      <c r="BG415" s="75">
        <f t="shared" si="684"/>
        <v>1.02</v>
      </c>
      <c r="BH415" s="76">
        <f t="shared" si="684"/>
        <v>1.02</v>
      </c>
      <c r="BI415" s="799">
        <f t="shared" si="684"/>
        <v>17150894</v>
      </c>
      <c r="BJ415" s="74">
        <f t="shared" si="684"/>
        <v>12466516</v>
      </c>
      <c r="BK415" s="74">
        <f t="shared" si="684"/>
        <v>10655181</v>
      </c>
      <c r="BL415" s="74">
        <f t="shared" si="684"/>
        <v>1811335</v>
      </c>
      <c r="BM415" s="74">
        <f t="shared" si="684"/>
        <v>170000</v>
      </c>
      <c r="BN415" s="74">
        <f t="shared" si="684"/>
        <v>50000</v>
      </c>
      <c r="BO415" s="74">
        <f t="shared" si="684"/>
        <v>120000</v>
      </c>
      <c r="BP415" s="74">
        <f t="shared" si="684"/>
        <v>4271143</v>
      </c>
      <c r="BQ415" s="74">
        <f t="shared" si="684"/>
        <v>124665</v>
      </c>
      <c r="BR415" s="74">
        <f t="shared" si="684"/>
        <v>118570</v>
      </c>
      <c r="BS415" s="75">
        <f t="shared" si="684"/>
        <v>26.263099999999998</v>
      </c>
      <c r="BT415" s="75">
        <f t="shared" si="684"/>
        <v>20.881599999999999</v>
      </c>
      <c r="BU415" s="76">
        <f t="shared" si="684"/>
        <v>5.3815000000000008</v>
      </c>
      <c r="BV415" s="809">
        <f t="shared" ref="BV415:CA415" si="685">SUM(BV409:BV414)</f>
        <v>0</v>
      </c>
      <c r="BW415" s="684">
        <f t="shared" si="685"/>
        <v>0</v>
      </c>
      <c r="BX415" s="684">
        <f t="shared" si="685"/>
        <v>0</v>
      </c>
      <c r="BY415" s="684">
        <f t="shared" si="685"/>
        <v>0</v>
      </c>
      <c r="BZ415" s="684">
        <f t="shared" si="685"/>
        <v>0</v>
      </c>
      <c r="CA415" s="810">
        <f t="shared" si="685"/>
        <v>0</v>
      </c>
    </row>
    <row r="416" spans="1:79" ht="14.1" customHeight="1" x14ac:dyDescent="0.2">
      <c r="A416" s="66">
        <v>82</v>
      </c>
      <c r="B416" s="63">
        <v>2493</v>
      </c>
      <c r="C416" s="64">
        <v>600080021</v>
      </c>
      <c r="D416" s="63">
        <v>72742399</v>
      </c>
      <c r="E416" s="65" t="s">
        <v>691</v>
      </c>
      <c r="F416" s="66">
        <v>3111</v>
      </c>
      <c r="G416" s="65" t="s">
        <v>290</v>
      </c>
      <c r="H416" s="67" t="s">
        <v>271</v>
      </c>
      <c r="I416" s="420">
        <v>7811728</v>
      </c>
      <c r="J416" s="415">
        <v>5770478</v>
      </c>
      <c r="K416" s="415">
        <v>5470958</v>
      </c>
      <c r="L416" s="415">
        <v>299520</v>
      </c>
      <c r="M416" s="415">
        <v>5000</v>
      </c>
      <c r="N416" s="415">
        <v>5000</v>
      </c>
      <c r="O416" s="415">
        <v>0</v>
      </c>
      <c r="P416" s="599">
        <v>1952112</v>
      </c>
      <c r="Q416" s="599">
        <v>57705</v>
      </c>
      <c r="R416" s="415">
        <v>26433</v>
      </c>
      <c r="S416" s="416">
        <v>10.9903</v>
      </c>
      <c r="T416" s="416">
        <v>9.7903000000000002</v>
      </c>
      <c r="U416" s="423">
        <v>1.2</v>
      </c>
      <c r="V416" s="424">
        <f t="shared" si="642"/>
        <v>0</v>
      </c>
      <c r="W416" s="418">
        <f t="shared" si="643"/>
        <v>0</v>
      </c>
      <c r="X416" s="418">
        <v>0</v>
      </c>
      <c r="Y416" s="418">
        <v>0</v>
      </c>
      <c r="Z416" s="418">
        <v>0</v>
      </c>
      <c r="AA416" s="418">
        <v>0</v>
      </c>
      <c r="AB416" s="418">
        <v>0</v>
      </c>
      <c r="AC416" s="418">
        <v>0</v>
      </c>
      <c r="AD416" s="418">
        <f t="shared" ref="AD416:AD421" si="686">V416+X416+Y416+Z416+AB416</f>
        <v>0</v>
      </c>
      <c r="AE416" s="418">
        <f t="shared" ref="AE416:AE421" si="687">W416+AA416+AC416</f>
        <v>0</v>
      </c>
      <c r="AF416" s="418">
        <f t="shared" si="644"/>
        <v>0</v>
      </c>
      <c r="AG416" s="418">
        <v>0</v>
      </c>
      <c r="AH416" s="418">
        <v>0</v>
      </c>
      <c r="AI416" s="418">
        <v>0</v>
      </c>
      <c r="AJ416" s="418">
        <v>0</v>
      </c>
      <c r="AK416" s="418">
        <v>0</v>
      </c>
      <c r="AL416" s="418">
        <f t="shared" si="645"/>
        <v>0</v>
      </c>
      <c r="AM416" s="418">
        <f t="shared" si="646"/>
        <v>0</v>
      </c>
      <c r="AN416" s="418">
        <f t="shared" si="647"/>
        <v>0</v>
      </c>
      <c r="AO416" s="418">
        <f t="shared" si="648"/>
        <v>0</v>
      </c>
      <c r="AP416" s="418">
        <f t="shared" si="649"/>
        <v>0</v>
      </c>
      <c r="AQ416" s="418">
        <f t="shared" si="650"/>
        <v>0</v>
      </c>
      <c r="AR416" s="68">
        <f t="shared" si="651"/>
        <v>0</v>
      </c>
      <c r="AS416" s="68">
        <f t="shared" si="652"/>
        <v>0</v>
      </c>
      <c r="AT416" s="418">
        <v>0</v>
      </c>
      <c r="AU416" s="418">
        <v>0</v>
      </c>
      <c r="AV416" s="418">
        <f t="shared" si="653"/>
        <v>0</v>
      </c>
      <c r="AW416" s="418">
        <f t="shared" si="654"/>
        <v>0</v>
      </c>
      <c r="AX416" s="419">
        <v>0</v>
      </c>
      <c r="AY416" s="419">
        <v>0</v>
      </c>
      <c r="AZ416" s="419">
        <v>0</v>
      </c>
      <c r="BA416" s="419">
        <v>0</v>
      </c>
      <c r="BB416" s="419">
        <v>0</v>
      </c>
      <c r="BC416" s="419">
        <v>0</v>
      </c>
      <c r="BD416" s="419">
        <v>0</v>
      </c>
      <c r="BE416" s="419">
        <v>0</v>
      </c>
      <c r="BF416" s="419">
        <f t="shared" si="655"/>
        <v>0</v>
      </c>
      <c r="BG416" s="419">
        <f t="shared" si="656"/>
        <v>0</v>
      </c>
      <c r="BH416" s="421">
        <f t="shared" si="657"/>
        <v>0</v>
      </c>
      <c r="BI416" s="780">
        <f t="shared" ref="BI416:BI421" si="688">I416+AW416</f>
        <v>7811728</v>
      </c>
      <c r="BJ416" s="418">
        <f t="shared" ref="BJ416:BJ421" si="689">J416+AF416</f>
        <v>5770478</v>
      </c>
      <c r="BK416" s="418">
        <f t="shared" ref="BK416:BL421" si="690">K416+AD416</f>
        <v>5470958</v>
      </c>
      <c r="BL416" s="418">
        <f t="shared" si="690"/>
        <v>299520</v>
      </c>
      <c r="BM416" s="418">
        <f t="shared" ref="BM416:BM421" si="691">M416+AN416</f>
        <v>5000</v>
      </c>
      <c r="BN416" s="418">
        <f t="shared" ref="BN416:BO421" si="692">N416+AL416</f>
        <v>5000</v>
      </c>
      <c r="BO416" s="418">
        <f t="shared" si="692"/>
        <v>0</v>
      </c>
      <c r="BP416" s="418">
        <f t="shared" ref="BP416:BQ421" si="693">P416+AR416</f>
        <v>1952112</v>
      </c>
      <c r="BQ416" s="418">
        <f t="shared" si="693"/>
        <v>57705</v>
      </c>
      <c r="BR416" s="418">
        <f t="shared" ref="BR416:BR421" si="694">R416+AV416</f>
        <v>26433</v>
      </c>
      <c r="BS416" s="419">
        <f t="shared" ref="BS416:BS421" si="695">S416+BH416</f>
        <v>10.9903</v>
      </c>
      <c r="BT416" s="419">
        <f t="shared" ref="BT416:BU421" si="696">T416+BF416</f>
        <v>9.7903000000000002</v>
      </c>
      <c r="BU416" s="421">
        <f t="shared" si="696"/>
        <v>1.2</v>
      </c>
      <c r="BV416" s="420"/>
      <c r="BW416" s="415"/>
      <c r="BX416" s="415"/>
      <c r="BY416" s="415"/>
      <c r="BZ416" s="415"/>
      <c r="CA416" s="510"/>
    </row>
    <row r="417" spans="1:79" ht="14.1" customHeight="1" x14ac:dyDescent="0.2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691</v>
      </c>
      <c r="F417" s="66">
        <v>3113</v>
      </c>
      <c r="G417" s="65" t="s">
        <v>293</v>
      </c>
      <c r="H417" s="67" t="s">
        <v>271</v>
      </c>
      <c r="I417" s="420">
        <v>18555513</v>
      </c>
      <c r="J417" s="415">
        <v>13547900</v>
      </c>
      <c r="K417" s="415">
        <v>12415510</v>
      </c>
      <c r="L417" s="415">
        <v>1132390</v>
      </c>
      <c r="M417" s="415">
        <v>35000</v>
      </c>
      <c r="N417" s="415">
        <v>5000</v>
      </c>
      <c r="O417" s="415">
        <v>30000</v>
      </c>
      <c r="P417" s="599">
        <v>4591019</v>
      </c>
      <c r="Q417" s="599">
        <v>135479</v>
      </c>
      <c r="R417" s="415">
        <v>246115</v>
      </c>
      <c r="S417" s="416">
        <v>19.633399999999998</v>
      </c>
      <c r="T417" s="416">
        <v>16.2</v>
      </c>
      <c r="U417" s="423">
        <v>3.4333999999999998</v>
      </c>
      <c r="V417" s="424">
        <f t="shared" si="642"/>
        <v>0</v>
      </c>
      <c r="W417" s="418">
        <f t="shared" si="643"/>
        <v>0</v>
      </c>
      <c r="X417" s="418">
        <v>0</v>
      </c>
      <c r="Y417" s="418">
        <v>0</v>
      </c>
      <c r="Z417" s="418">
        <v>0</v>
      </c>
      <c r="AA417" s="418">
        <v>0</v>
      </c>
      <c r="AB417" s="418">
        <v>0</v>
      </c>
      <c r="AC417" s="418">
        <v>0</v>
      </c>
      <c r="AD417" s="418">
        <f t="shared" si="686"/>
        <v>0</v>
      </c>
      <c r="AE417" s="418">
        <f t="shared" si="687"/>
        <v>0</v>
      </c>
      <c r="AF417" s="418">
        <f t="shared" si="644"/>
        <v>0</v>
      </c>
      <c r="AG417" s="418">
        <v>0</v>
      </c>
      <c r="AH417" s="418">
        <v>0</v>
      </c>
      <c r="AI417" s="418">
        <v>0</v>
      </c>
      <c r="AJ417" s="418">
        <v>0</v>
      </c>
      <c r="AK417" s="418">
        <v>0</v>
      </c>
      <c r="AL417" s="418">
        <f t="shared" si="645"/>
        <v>0</v>
      </c>
      <c r="AM417" s="418">
        <f t="shared" si="646"/>
        <v>0</v>
      </c>
      <c r="AN417" s="418">
        <f t="shared" si="647"/>
        <v>0</v>
      </c>
      <c r="AO417" s="418">
        <f t="shared" si="648"/>
        <v>0</v>
      </c>
      <c r="AP417" s="418">
        <f t="shared" si="649"/>
        <v>0</v>
      </c>
      <c r="AQ417" s="418">
        <f t="shared" si="650"/>
        <v>0</v>
      </c>
      <c r="AR417" s="68">
        <f t="shared" si="651"/>
        <v>0</v>
      </c>
      <c r="AS417" s="68">
        <f t="shared" si="652"/>
        <v>0</v>
      </c>
      <c r="AT417" s="418">
        <v>0</v>
      </c>
      <c r="AU417" s="418">
        <v>0</v>
      </c>
      <c r="AV417" s="418">
        <f t="shared" si="653"/>
        <v>0</v>
      </c>
      <c r="AW417" s="418">
        <f t="shared" si="654"/>
        <v>0</v>
      </c>
      <c r="AX417" s="419">
        <v>0</v>
      </c>
      <c r="AY417" s="419">
        <v>0</v>
      </c>
      <c r="AZ417" s="419">
        <v>0</v>
      </c>
      <c r="BA417" s="419">
        <v>0</v>
      </c>
      <c r="BB417" s="419">
        <v>0</v>
      </c>
      <c r="BC417" s="419">
        <v>0</v>
      </c>
      <c r="BD417" s="419">
        <v>0</v>
      </c>
      <c r="BE417" s="419">
        <v>0</v>
      </c>
      <c r="BF417" s="419">
        <f t="shared" si="655"/>
        <v>0</v>
      </c>
      <c r="BG417" s="419">
        <f t="shared" si="656"/>
        <v>0</v>
      </c>
      <c r="BH417" s="421">
        <f t="shared" si="657"/>
        <v>0</v>
      </c>
      <c r="BI417" s="780">
        <f t="shared" si="688"/>
        <v>18555513</v>
      </c>
      <c r="BJ417" s="418">
        <f t="shared" si="689"/>
        <v>13547900</v>
      </c>
      <c r="BK417" s="418">
        <f t="shared" si="690"/>
        <v>12415510</v>
      </c>
      <c r="BL417" s="418">
        <f t="shared" si="690"/>
        <v>1132390</v>
      </c>
      <c r="BM417" s="418">
        <f t="shared" si="691"/>
        <v>35000</v>
      </c>
      <c r="BN417" s="418">
        <f t="shared" si="692"/>
        <v>5000</v>
      </c>
      <c r="BO417" s="418">
        <f t="shared" si="692"/>
        <v>30000</v>
      </c>
      <c r="BP417" s="418">
        <f t="shared" si="693"/>
        <v>4591019</v>
      </c>
      <c r="BQ417" s="418">
        <f t="shared" si="693"/>
        <v>135479</v>
      </c>
      <c r="BR417" s="418">
        <f t="shared" si="694"/>
        <v>246115</v>
      </c>
      <c r="BS417" s="419">
        <f t="shared" si="695"/>
        <v>19.633399999999998</v>
      </c>
      <c r="BT417" s="419">
        <f t="shared" si="696"/>
        <v>16.2</v>
      </c>
      <c r="BU417" s="421">
        <f t="shared" si="696"/>
        <v>3.4333999999999998</v>
      </c>
      <c r="BV417" s="420">
        <v>152054</v>
      </c>
      <c r="BW417" s="415">
        <v>112800</v>
      </c>
      <c r="BX417" s="415">
        <v>0</v>
      </c>
      <c r="BY417" s="415">
        <v>38126</v>
      </c>
      <c r="BZ417" s="415">
        <v>1128</v>
      </c>
      <c r="CA417" s="510">
        <v>0.2</v>
      </c>
    </row>
    <row r="418" spans="1:79" ht="14.1" customHeight="1" x14ac:dyDescent="0.2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691</v>
      </c>
      <c r="F418" s="66">
        <v>3113</v>
      </c>
      <c r="G418" s="77" t="s">
        <v>291</v>
      </c>
      <c r="H418" s="67" t="s">
        <v>272</v>
      </c>
      <c r="I418" s="420">
        <v>3397077</v>
      </c>
      <c r="J418" s="415">
        <v>2520087</v>
      </c>
      <c r="K418" s="415">
        <v>2520087</v>
      </c>
      <c r="L418" s="415">
        <v>0</v>
      </c>
      <c r="M418" s="415">
        <v>0</v>
      </c>
      <c r="N418" s="415">
        <v>0</v>
      </c>
      <c r="O418" s="415">
        <v>0</v>
      </c>
      <c r="P418" s="599">
        <v>851789</v>
      </c>
      <c r="Q418" s="599">
        <v>25201</v>
      </c>
      <c r="R418" s="415">
        <v>0</v>
      </c>
      <c r="S418" s="416">
        <v>7.17</v>
      </c>
      <c r="T418" s="417">
        <v>7.17</v>
      </c>
      <c r="U418" s="423">
        <v>0</v>
      </c>
      <c r="V418" s="424">
        <f t="shared" si="642"/>
        <v>0</v>
      </c>
      <c r="W418" s="418">
        <f t="shared" si="643"/>
        <v>0</v>
      </c>
      <c r="X418" s="418">
        <v>0</v>
      </c>
      <c r="Y418" s="418">
        <v>0</v>
      </c>
      <c r="Z418" s="418">
        <v>0</v>
      </c>
      <c r="AA418" s="418">
        <v>0</v>
      </c>
      <c r="AB418" s="418">
        <v>0</v>
      </c>
      <c r="AC418" s="418">
        <v>0</v>
      </c>
      <c r="AD418" s="418">
        <f t="shared" si="686"/>
        <v>0</v>
      </c>
      <c r="AE418" s="418">
        <f t="shared" si="687"/>
        <v>0</v>
      </c>
      <c r="AF418" s="418">
        <f t="shared" si="644"/>
        <v>0</v>
      </c>
      <c r="AG418" s="418">
        <v>0</v>
      </c>
      <c r="AH418" s="418">
        <v>0</v>
      </c>
      <c r="AI418" s="418">
        <v>0</v>
      </c>
      <c r="AJ418" s="418">
        <v>0</v>
      </c>
      <c r="AK418" s="418">
        <v>0</v>
      </c>
      <c r="AL418" s="418">
        <f t="shared" si="645"/>
        <v>0</v>
      </c>
      <c r="AM418" s="418">
        <f t="shared" si="646"/>
        <v>0</v>
      </c>
      <c r="AN418" s="418">
        <f t="shared" si="647"/>
        <v>0</v>
      </c>
      <c r="AO418" s="418">
        <f t="shared" si="648"/>
        <v>0</v>
      </c>
      <c r="AP418" s="418">
        <f t="shared" si="649"/>
        <v>0</v>
      </c>
      <c r="AQ418" s="418">
        <f t="shared" si="650"/>
        <v>0</v>
      </c>
      <c r="AR418" s="68">
        <f t="shared" si="651"/>
        <v>0</v>
      </c>
      <c r="AS418" s="68">
        <f t="shared" si="652"/>
        <v>0</v>
      </c>
      <c r="AT418" s="418">
        <v>0</v>
      </c>
      <c r="AU418" s="418">
        <v>0</v>
      </c>
      <c r="AV418" s="418">
        <f t="shared" si="653"/>
        <v>0</v>
      </c>
      <c r="AW418" s="418">
        <f t="shared" si="654"/>
        <v>0</v>
      </c>
      <c r="AX418" s="419">
        <v>0</v>
      </c>
      <c r="AY418" s="419">
        <v>0</v>
      </c>
      <c r="AZ418" s="419">
        <v>0</v>
      </c>
      <c r="BA418" s="419">
        <v>0</v>
      </c>
      <c r="BB418" s="419">
        <v>0</v>
      </c>
      <c r="BC418" s="419">
        <v>0</v>
      </c>
      <c r="BD418" s="419">
        <v>0</v>
      </c>
      <c r="BE418" s="419">
        <v>0</v>
      </c>
      <c r="BF418" s="419">
        <f t="shared" si="655"/>
        <v>0</v>
      </c>
      <c r="BG418" s="419">
        <f t="shared" si="656"/>
        <v>0</v>
      </c>
      <c r="BH418" s="421">
        <f t="shared" si="657"/>
        <v>0</v>
      </c>
      <c r="BI418" s="780">
        <f t="shared" si="688"/>
        <v>3397077</v>
      </c>
      <c r="BJ418" s="418">
        <f t="shared" si="689"/>
        <v>2520087</v>
      </c>
      <c r="BK418" s="418">
        <f t="shared" si="690"/>
        <v>2520087</v>
      </c>
      <c r="BL418" s="418">
        <f t="shared" si="690"/>
        <v>0</v>
      </c>
      <c r="BM418" s="418">
        <f t="shared" si="691"/>
        <v>0</v>
      </c>
      <c r="BN418" s="418">
        <f t="shared" si="692"/>
        <v>0</v>
      </c>
      <c r="BO418" s="418">
        <f t="shared" si="692"/>
        <v>0</v>
      </c>
      <c r="BP418" s="418">
        <f t="shared" si="693"/>
        <v>851789</v>
      </c>
      <c r="BQ418" s="418">
        <f t="shared" si="693"/>
        <v>25201</v>
      </c>
      <c r="BR418" s="418">
        <f t="shared" si="694"/>
        <v>0</v>
      </c>
      <c r="BS418" s="419">
        <f t="shared" si="695"/>
        <v>7.17</v>
      </c>
      <c r="BT418" s="419">
        <f t="shared" si="696"/>
        <v>7.17</v>
      </c>
      <c r="BU418" s="421">
        <f t="shared" si="696"/>
        <v>0</v>
      </c>
      <c r="BV418" s="420"/>
      <c r="BW418" s="415"/>
      <c r="BX418" s="415"/>
      <c r="BY418" s="415"/>
      <c r="BZ418" s="415"/>
      <c r="CA418" s="510"/>
    </row>
    <row r="419" spans="1:79" ht="14.1" customHeight="1" x14ac:dyDescent="0.2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691</v>
      </c>
      <c r="F419" s="66">
        <v>3141</v>
      </c>
      <c r="G419" s="65" t="s">
        <v>294</v>
      </c>
      <c r="H419" s="67" t="s">
        <v>272</v>
      </c>
      <c r="I419" s="420">
        <v>1890624</v>
      </c>
      <c r="J419" s="415">
        <v>1393946</v>
      </c>
      <c r="K419" s="415">
        <v>0</v>
      </c>
      <c r="L419" s="750">
        <v>1393946</v>
      </c>
      <c r="M419" s="415">
        <v>0</v>
      </c>
      <c r="N419" s="204">
        <v>0</v>
      </c>
      <c r="O419" s="204">
        <v>0</v>
      </c>
      <c r="P419" s="599">
        <v>471154</v>
      </c>
      <c r="Q419" s="599">
        <v>13939</v>
      </c>
      <c r="R419" s="605">
        <v>11585</v>
      </c>
      <c r="S419" s="416">
        <v>4.18</v>
      </c>
      <c r="T419" s="607">
        <v>0</v>
      </c>
      <c r="U419" s="737">
        <v>4.18</v>
      </c>
      <c r="V419" s="424">
        <f t="shared" si="642"/>
        <v>0</v>
      </c>
      <c r="W419" s="418">
        <f t="shared" si="643"/>
        <v>0</v>
      </c>
      <c r="X419" s="418">
        <v>0</v>
      </c>
      <c r="Y419" s="418">
        <v>0</v>
      </c>
      <c r="Z419" s="418">
        <v>0</v>
      </c>
      <c r="AA419" s="418">
        <v>695197</v>
      </c>
      <c r="AB419" s="418">
        <v>0</v>
      </c>
      <c r="AC419" s="418">
        <v>0</v>
      </c>
      <c r="AD419" s="418">
        <f t="shared" si="686"/>
        <v>0</v>
      </c>
      <c r="AE419" s="418">
        <f t="shared" si="687"/>
        <v>695197</v>
      </c>
      <c r="AF419" s="418">
        <f t="shared" si="644"/>
        <v>695197</v>
      </c>
      <c r="AG419" s="418">
        <v>0</v>
      </c>
      <c r="AH419" s="418">
        <v>0</v>
      </c>
      <c r="AI419" s="418">
        <v>0</v>
      </c>
      <c r="AJ419" s="418">
        <v>0</v>
      </c>
      <c r="AK419" s="418">
        <v>0</v>
      </c>
      <c r="AL419" s="418">
        <f t="shared" si="645"/>
        <v>0</v>
      </c>
      <c r="AM419" s="418">
        <f t="shared" si="646"/>
        <v>0</v>
      </c>
      <c r="AN419" s="418">
        <f t="shared" si="647"/>
        <v>0</v>
      </c>
      <c r="AO419" s="418">
        <f t="shared" si="648"/>
        <v>0</v>
      </c>
      <c r="AP419" s="418">
        <f t="shared" si="649"/>
        <v>695197</v>
      </c>
      <c r="AQ419" s="418">
        <f t="shared" si="650"/>
        <v>695197</v>
      </c>
      <c r="AR419" s="68">
        <f t="shared" si="651"/>
        <v>234977</v>
      </c>
      <c r="AS419" s="68">
        <f t="shared" si="652"/>
        <v>6952</v>
      </c>
      <c r="AT419" s="418">
        <v>0</v>
      </c>
      <c r="AU419" s="418">
        <v>5627</v>
      </c>
      <c r="AV419" s="418">
        <f t="shared" si="653"/>
        <v>5627</v>
      </c>
      <c r="AW419" s="418">
        <f t="shared" si="654"/>
        <v>942753</v>
      </c>
      <c r="AX419" s="419">
        <v>0</v>
      </c>
      <c r="AY419" s="419">
        <v>0</v>
      </c>
      <c r="AZ419" s="419">
        <v>0</v>
      </c>
      <c r="BA419" s="419">
        <v>0</v>
      </c>
      <c r="BB419" s="419">
        <v>2.09</v>
      </c>
      <c r="BC419" s="419">
        <v>0</v>
      </c>
      <c r="BD419" s="419">
        <v>0</v>
      </c>
      <c r="BE419" s="419">
        <v>0</v>
      </c>
      <c r="BF419" s="419">
        <f t="shared" si="655"/>
        <v>0</v>
      </c>
      <c r="BG419" s="419">
        <f t="shared" si="656"/>
        <v>2.09</v>
      </c>
      <c r="BH419" s="421">
        <f t="shared" si="657"/>
        <v>2.09</v>
      </c>
      <c r="BI419" s="780">
        <f t="shared" si="688"/>
        <v>2833377</v>
      </c>
      <c r="BJ419" s="418">
        <f t="shared" si="689"/>
        <v>2089143</v>
      </c>
      <c r="BK419" s="418">
        <f t="shared" si="690"/>
        <v>0</v>
      </c>
      <c r="BL419" s="418">
        <f t="shared" si="690"/>
        <v>2089143</v>
      </c>
      <c r="BM419" s="418">
        <f t="shared" si="691"/>
        <v>0</v>
      </c>
      <c r="BN419" s="418">
        <f t="shared" si="692"/>
        <v>0</v>
      </c>
      <c r="BO419" s="418">
        <f t="shared" si="692"/>
        <v>0</v>
      </c>
      <c r="BP419" s="418">
        <f t="shared" si="693"/>
        <v>706131</v>
      </c>
      <c r="BQ419" s="418">
        <f t="shared" si="693"/>
        <v>20891</v>
      </c>
      <c r="BR419" s="418">
        <f t="shared" si="694"/>
        <v>17212</v>
      </c>
      <c r="BS419" s="419">
        <f t="shared" si="695"/>
        <v>6.27</v>
      </c>
      <c r="BT419" s="419">
        <f t="shared" si="696"/>
        <v>0</v>
      </c>
      <c r="BU419" s="421">
        <f t="shared" si="696"/>
        <v>6.27</v>
      </c>
      <c r="BV419" s="420"/>
      <c r="BW419" s="415"/>
      <c r="BX419" s="415"/>
      <c r="BY419" s="415"/>
      <c r="BZ419" s="415"/>
      <c r="CA419" s="510"/>
    </row>
    <row r="420" spans="1:79" ht="14.1" customHeight="1" x14ac:dyDescent="0.2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691</v>
      </c>
      <c r="F420" s="66">
        <v>3143</v>
      </c>
      <c r="G420" s="77" t="s">
        <v>595</v>
      </c>
      <c r="H420" s="67" t="s">
        <v>271</v>
      </c>
      <c r="I420" s="420">
        <v>2026434</v>
      </c>
      <c r="J420" s="415">
        <v>1503289</v>
      </c>
      <c r="K420" s="415">
        <v>1503289</v>
      </c>
      <c r="L420" s="415">
        <v>0</v>
      </c>
      <c r="M420" s="415">
        <v>0</v>
      </c>
      <c r="N420" s="415">
        <v>0</v>
      </c>
      <c r="O420" s="415">
        <v>0</v>
      </c>
      <c r="P420" s="599">
        <v>508112</v>
      </c>
      <c r="Q420" s="599">
        <v>15033</v>
      </c>
      <c r="R420" s="415">
        <v>0</v>
      </c>
      <c r="S420" s="416">
        <v>2.9641999999999999</v>
      </c>
      <c r="T420" s="416">
        <v>2.9641999999999999</v>
      </c>
      <c r="U420" s="423">
        <v>0</v>
      </c>
      <c r="V420" s="424">
        <f t="shared" si="642"/>
        <v>0</v>
      </c>
      <c r="W420" s="418">
        <f t="shared" si="643"/>
        <v>0</v>
      </c>
      <c r="X420" s="418">
        <v>0</v>
      </c>
      <c r="Y420" s="418">
        <v>0</v>
      </c>
      <c r="Z420" s="418">
        <v>0</v>
      </c>
      <c r="AA420" s="418">
        <v>0</v>
      </c>
      <c r="AB420" s="418">
        <v>0</v>
      </c>
      <c r="AC420" s="418">
        <v>0</v>
      </c>
      <c r="AD420" s="418">
        <f t="shared" si="686"/>
        <v>0</v>
      </c>
      <c r="AE420" s="418">
        <f t="shared" si="687"/>
        <v>0</v>
      </c>
      <c r="AF420" s="418">
        <f t="shared" si="644"/>
        <v>0</v>
      </c>
      <c r="AG420" s="418">
        <v>0</v>
      </c>
      <c r="AH420" s="418">
        <v>0</v>
      </c>
      <c r="AI420" s="418">
        <v>0</v>
      </c>
      <c r="AJ420" s="418">
        <v>0</v>
      </c>
      <c r="AK420" s="418">
        <v>0</v>
      </c>
      <c r="AL420" s="418">
        <f t="shared" si="645"/>
        <v>0</v>
      </c>
      <c r="AM420" s="418">
        <f t="shared" si="646"/>
        <v>0</v>
      </c>
      <c r="AN420" s="418">
        <f t="shared" si="647"/>
        <v>0</v>
      </c>
      <c r="AO420" s="418">
        <f t="shared" si="648"/>
        <v>0</v>
      </c>
      <c r="AP420" s="418">
        <f t="shared" si="649"/>
        <v>0</v>
      </c>
      <c r="AQ420" s="418">
        <f t="shared" si="650"/>
        <v>0</v>
      </c>
      <c r="AR420" s="68">
        <f t="shared" si="651"/>
        <v>0</v>
      </c>
      <c r="AS420" s="68">
        <f t="shared" si="652"/>
        <v>0</v>
      </c>
      <c r="AT420" s="418">
        <v>0</v>
      </c>
      <c r="AU420" s="418">
        <v>0</v>
      </c>
      <c r="AV420" s="418">
        <f t="shared" si="653"/>
        <v>0</v>
      </c>
      <c r="AW420" s="418">
        <f t="shared" si="654"/>
        <v>0</v>
      </c>
      <c r="AX420" s="419">
        <v>0</v>
      </c>
      <c r="AY420" s="419">
        <v>0</v>
      </c>
      <c r="AZ420" s="419">
        <v>0</v>
      </c>
      <c r="BA420" s="419">
        <v>0</v>
      </c>
      <c r="BB420" s="419">
        <v>0</v>
      </c>
      <c r="BC420" s="419">
        <v>0</v>
      </c>
      <c r="BD420" s="419">
        <v>0</v>
      </c>
      <c r="BE420" s="419">
        <v>0</v>
      </c>
      <c r="BF420" s="419">
        <f t="shared" si="655"/>
        <v>0</v>
      </c>
      <c r="BG420" s="419">
        <f t="shared" si="656"/>
        <v>0</v>
      </c>
      <c r="BH420" s="421">
        <f t="shared" si="657"/>
        <v>0</v>
      </c>
      <c r="BI420" s="780">
        <f t="shared" si="688"/>
        <v>2026434</v>
      </c>
      <c r="BJ420" s="418">
        <f t="shared" si="689"/>
        <v>1503289</v>
      </c>
      <c r="BK420" s="418">
        <f t="shared" si="690"/>
        <v>1503289</v>
      </c>
      <c r="BL420" s="418">
        <f t="shared" si="690"/>
        <v>0</v>
      </c>
      <c r="BM420" s="418">
        <f t="shared" si="691"/>
        <v>0</v>
      </c>
      <c r="BN420" s="418">
        <f t="shared" si="692"/>
        <v>0</v>
      </c>
      <c r="BO420" s="418">
        <f t="shared" si="692"/>
        <v>0</v>
      </c>
      <c r="BP420" s="418">
        <f t="shared" si="693"/>
        <v>508112</v>
      </c>
      <c r="BQ420" s="418">
        <f t="shared" si="693"/>
        <v>15033</v>
      </c>
      <c r="BR420" s="418">
        <f t="shared" si="694"/>
        <v>0</v>
      </c>
      <c r="BS420" s="419">
        <f t="shared" si="695"/>
        <v>2.9641999999999999</v>
      </c>
      <c r="BT420" s="419">
        <f t="shared" si="696"/>
        <v>2.9641999999999999</v>
      </c>
      <c r="BU420" s="421">
        <f t="shared" si="696"/>
        <v>0</v>
      </c>
      <c r="BV420" s="420"/>
      <c r="BW420" s="415"/>
      <c r="BX420" s="415"/>
      <c r="BY420" s="415"/>
      <c r="BZ420" s="415"/>
      <c r="CA420" s="510"/>
    </row>
    <row r="421" spans="1:79" ht="14.1" customHeight="1" x14ac:dyDescent="0.2">
      <c r="A421" s="66">
        <v>82</v>
      </c>
      <c r="B421" s="63">
        <v>2493</v>
      </c>
      <c r="C421" s="64">
        <v>600080021</v>
      </c>
      <c r="D421" s="63">
        <v>72742399</v>
      </c>
      <c r="E421" s="65" t="s">
        <v>691</v>
      </c>
      <c r="F421" s="66">
        <v>3143</v>
      </c>
      <c r="G421" s="77" t="s">
        <v>596</v>
      </c>
      <c r="H421" s="67" t="s">
        <v>272</v>
      </c>
      <c r="I421" s="420">
        <v>38432</v>
      </c>
      <c r="J421" s="415">
        <v>27509</v>
      </c>
      <c r="K421" s="415">
        <v>0</v>
      </c>
      <c r="L421" s="605">
        <v>27509</v>
      </c>
      <c r="M421" s="415">
        <v>0</v>
      </c>
      <c r="N421" s="415">
        <v>0</v>
      </c>
      <c r="O421" s="415">
        <v>0</v>
      </c>
      <c r="P421" s="599">
        <v>9298</v>
      </c>
      <c r="Q421" s="599">
        <v>275</v>
      </c>
      <c r="R421" s="606">
        <v>1350</v>
      </c>
      <c r="S421" s="416">
        <v>0.1042</v>
      </c>
      <c r="T421" s="609">
        <v>0</v>
      </c>
      <c r="U421" s="737">
        <v>0.1042</v>
      </c>
      <c r="V421" s="424">
        <f t="shared" si="642"/>
        <v>0</v>
      </c>
      <c r="W421" s="418">
        <f t="shared" si="643"/>
        <v>0</v>
      </c>
      <c r="X421" s="418">
        <v>0</v>
      </c>
      <c r="Y421" s="418">
        <v>0</v>
      </c>
      <c r="Z421" s="418">
        <v>0</v>
      </c>
      <c r="AA421" s="418">
        <v>13741</v>
      </c>
      <c r="AB421" s="418">
        <v>0</v>
      </c>
      <c r="AC421" s="418">
        <v>0</v>
      </c>
      <c r="AD421" s="418">
        <f t="shared" si="686"/>
        <v>0</v>
      </c>
      <c r="AE421" s="418">
        <f t="shared" si="687"/>
        <v>13741</v>
      </c>
      <c r="AF421" s="418">
        <f t="shared" si="644"/>
        <v>13741</v>
      </c>
      <c r="AG421" s="418">
        <v>0</v>
      </c>
      <c r="AH421" s="418">
        <v>0</v>
      </c>
      <c r="AI421" s="418">
        <v>0</v>
      </c>
      <c r="AJ421" s="418">
        <v>0</v>
      </c>
      <c r="AK421" s="418">
        <v>0</v>
      </c>
      <c r="AL421" s="418">
        <f t="shared" si="645"/>
        <v>0</v>
      </c>
      <c r="AM421" s="418">
        <f t="shared" si="646"/>
        <v>0</v>
      </c>
      <c r="AN421" s="418">
        <f t="shared" si="647"/>
        <v>0</v>
      </c>
      <c r="AO421" s="418">
        <f t="shared" si="648"/>
        <v>0</v>
      </c>
      <c r="AP421" s="418">
        <f t="shared" si="649"/>
        <v>13741</v>
      </c>
      <c r="AQ421" s="418">
        <f t="shared" si="650"/>
        <v>13741</v>
      </c>
      <c r="AR421" s="68">
        <f t="shared" si="651"/>
        <v>4644</v>
      </c>
      <c r="AS421" s="68">
        <f t="shared" si="652"/>
        <v>137</v>
      </c>
      <c r="AT421" s="418">
        <v>0</v>
      </c>
      <c r="AU421" s="418">
        <v>675</v>
      </c>
      <c r="AV421" s="418">
        <f t="shared" si="653"/>
        <v>675</v>
      </c>
      <c r="AW421" s="418">
        <f t="shared" si="654"/>
        <v>19197</v>
      </c>
      <c r="AX421" s="419">
        <v>0</v>
      </c>
      <c r="AY421" s="419">
        <v>0</v>
      </c>
      <c r="AZ421" s="419">
        <v>0</v>
      </c>
      <c r="BA421" s="419">
        <v>0</v>
      </c>
      <c r="BB421" s="419">
        <v>0.05</v>
      </c>
      <c r="BC421" s="419">
        <v>0</v>
      </c>
      <c r="BD421" s="419">
        <v>0</v>
      </c>
      <c r="BE421" s="419">
        <v>0</v>
      </c>
      <c r="BF421" s="419">
        <f t="shared" si="655"/>
        <v>0</v>
      </c>
      <c r="BG421" s="419">
        <f t="shared" si="656"/>
        <v>0.05</v>
      </c>
      <c r="BH421" s="421">
        <f t="shared" si="657"/>
        <v>0.05</v>
      </c>
      <c r="BI421" s="780">
        <f t="shared" si="688"/>
        <v>57629</v>
      </c>
      <c r="BJ421" s="418">
        <f t="shared" si="689"/>
        <v>41250</v>
      </c>
      <c r="BK421" s="418">
        <f t="shared" si="690"/>
        <v>0</v>
      </c>
      <c r="BL421" s="418">
        <f t="shared" si="690"/>
        <v>41250</v>
      </c>
      <c r="BM421" s="418">
        <f t="shared" si="691"/>
        <v>0</v>
      </c>
      <c r="BN421" s="418">
        <f t="shared" si="692"/>
        <v>0</v>
      </c>
      <c r="BO421" s="418">
        <f t="shared" si="692"/>
        <v>0</v>
      </c>
      <c r="BP421" s="418">
        <f t="shared" si="693"/>
        <v>13942</v>
      </c>
      <c r="BQ421" s="418">
        <f t="shared" si="693"/>
        <v>412</v>
      </c>
      <c r="BR421" s="418">
        <f t="shared" si="694"/>
        <v>2025</v>
      </c>
      <c r="BS421" s="419">
        <f t="shared" si="695"/>
        <v>0.1542</v>
      </c>
      <c r="BT421" s="419">
        <f t="shared" si="696"/>
        <v>0</v>
      </c>
      <c r="BU421" s="421">
        <f t="shared" si="696"/>
        <v>0.1542</v>
      </c>
      <c r="BV421" s="420"/>
      <c r="BW421" s="415"/>
      <c r="BX421" s="415"/>
      <c r="BY421" s="415"/>
      <c r="BZ421" s="415"/>
      <c r="CA421" s="510"/>
    </row>
    <row r="422" spans="1:79" ht="14.1" customHeight="1" x14ac:dyDescent="0.2">
      <c r="A422" s="72">
        <v>82</v>
      </c>
      <c r="B422" s="69">
        <v>2493</v>
      </c>
      <c r="C422" s="70">
        <v>600080021</v>
      </c>
      <c r="D422" s="69">
        <v>72742399</v>
      </c>
      <c r="E422" s="71" t="s">
        <v>692</v>
      </c>
      <c r="F422" s="72"/>
      <c r="G422" s="71"/>
      <c r="H422" s="73"/>
      <c r="I422" s="517">
        <v>33719808</v>
      </c>
      <c r="J422" s="74">
        <v>24763209</v>
      </c>
      <c r="K422" s="74">
        <v>21909844</v>
      </c>
      <c r="L422" s="74">
        <v>2853365</v>
      </c>
      <c r="M422" s="74">
        <v>40000</v>
      </c>
      <c r="N422" s="74">
        <v>10000</v>
      </c>
      <c r="O422" s="74">
        <v>30000</v>
      </c>
      <c r="P422" s="74">
        <v>8383484</v>
      </c>
      <c r="Q422" s="74">
        <v>247632</v>
      </c>
      <c r="R422" s="74">
        <v>285483</v>
      </c>
      <c r="S422" s="75">
        <v>45.042099999999998</v>
      </c>
      <c r="T422" s="75">
        <v>36.124499999999998</v>
      </c>
      <c r="U422" s="658">
        <v>8.9176000000000002</v>
      </c>
      <c r="V422" s="517">
        <f t="shared" ref="V422:BU422" si="697">SUM(V416:V421)</f>
        <v>0</v>
      </c>
      <c r="W422" s="74">
        <f t="shared" si="697"/>
        <v>0</v>
      </c>
      <c r="X422" s="74">
        <f t="shared" si="697"/>
        <v>0</v>
      </c>
      <c r="Y422" s="74">
        <f t="shared" si="697"/>
        <v>0</v>
      </c>
      <c r="Z422" s="74">
        <f t="shared" si="697"/>
        <v>0</v>
      </c>
      <c r="AA422" s="74">
        <f t="shared" si="697"/>
        <v>708938</v>
      </c>
      <c r="AB422" s="74">
        <f t="shared" si="697"/>
        <v>0</v>
      </c>
      <c r="AC422" s="74">
        <f t="shared" si="697"/>
        <v>0</v>
      </c>
      <c r="AD422" s="74">
        <f t="shared" si="697"/>
        <v>0</v>
      </c>
      <c r="AE422" s="74">
        <f t="shared" si="697"/>
        <v>708938</v>
      </c>
      <c r="AF422" s="74">
        <f t="shared" si="697"/>
        <v>708938</v>
      </c>
      <c r="AG422" s="74">
        <f t="shared" si="697"/>
        <v>0</v>
      </c>
      <c r="AH422" s="74">
        <f t="shared" si="697"/>
        <v>0</v>
      </c>
      <c r="AI422" s="74">
        <f t="shared" si="697"/>
        <v>0</v>
      </c>
      <c r="AJ422" s="74">
        <f t="shared" si="697"/>
        <v>0</v>
      </c>
      <c r="AK422" s="74">
        <f t="shared" si="697"/>
        <v>0</v>
      </c>
      <c r="AL422" s="74">
        <f t="shared" si="697"/>
        <v>0</v>
      </c>
      <c r="AM422" s="74">
        <f t="shared" si="697"/>
        <v>0</v>
      </c>
      <c r="AN422" s="74">
        <f t="shared" si="697"/>
        <v>0</v>
      </c>
      <c r="AO422" s="74">
        <f t="shared" si="697"/>
        <v>0</v>
      </c>
      <c r="AP422" s="74">
        <f t="shared" si="697"/>
        <v>708938</v>
      </c>
      <c r="AQ422" s="74">
        <f t="shared" si="697"/>
        <v>708938</v>
      </c>
      <c r="AR422" s="74">
        <f t="shared" si="697"/>
        <v>239621</v>
      </c>
      <c r="AS422" s="74">
        <f t="shared" si="697"/>
        <v>7089</v>
      </c>
      <c r="AT422" s="74">
        <f t="shared" si="697"/>
        <v>0</v>
      </c>
      <c r="AU422" s="74">
        <f t="shared" si="697"/>
        <v>6302</v>
      </c>
      <c r="AV422" s="74">
        <f t="shared" si="697"/>
        <v>6302</v>
      </c>
      <c r="AW422" s="74">
        <f t="shared" si="697"/>
        <v>961950</v>
      </c>
      <c r="AX422" s="75">
        <f t="shared" si="697"/>
        <v>0</v>
      </c>
      <c r="AY422" s="75">
        <f t="shared" si="697"/>
        <v>0</v>
      </c>
      <c r="AZ422" s="75">
        <f t="shared" si="697"/>
        <v>0</v>
      </c>
      <c r="BA422" s="75">
        <f t="shared" si="697"/>
        <v>0</v>
      </c>
      <c r="BB422" s="75">
        <f t="shared" si="697"/>
        <v>2.1399999999999997</v>
      </c>
      <c r="BC422" s="75">
        <f t="shared" si="697"/>
        <v>0</v>
      </c>
      <c r="BD422" s="75">
        <f t="shared" si="697"/>
        <v>0</v>
      </c>
      <c r="BE422" s="75">
        <f t="shared" si="697"/>
        <v>0</v>
      </c>
      <c r="BF422" s="75">
        <f t="shared" si="697"/>
        <v>0</v>
      </c>
      <c r="BG422" s="75">
        <f t="shared" si="697"/>
        <v>2.1399999999999997</v>
      </c>
      <c r="BH422" s="76">
        <f t="shared" si="697"/>
        <v>2.1399999999999997</v>
      </c>
      <c r="BI422" s="799">
        <f t="shared" si="697"/>
        <v>34681758</v>
      </c>
      <c r="BJ422" s="74">
        <f t="shared" si="697"/>
        <v>25472147</v>
      </c>
      <c r="BK422" s="74">
        <f t="shared" si="697"/>
        <v>21909844</v>
      </c>
      <c r="BL422" s="74">
        <f t="shared" si="697"/>
        <v>3562303</v>
      </c>
      <c r="BM422" s="74">
        <f t="shared" si="697"/>
        <v>40000</v>
      </c>
      <c r="BN422" s="74">
        <f t="shared" si="697"/>
        <v>10000</v>
      </c>
      <c r="BO422" s="74">
        <f t="shared" si="697"/>
        <v>30000</v>
      </c>
      <c r="BP422" s="74">
        <f t="shared" si="697"/>
        <v>8623105</v>
      </c>
      <c r="BQ422" s="74">
        <f t="shared" si="697"/>
        <v>254721</v>
      </c>
      <c r="BR422" s="74">
        <f t="shared" si="697"/>
        <v>291785</v>
      </c>
      <c r="BS422" s="75">
        <f t="shared" si="697"/>
        <v>47.182099999999998</v>
      </c>
      <c r="BT422" s="75">
        <f t="shared" si="697"/>
        <v>36.124499999999998</v>
      </c>
      <c r="BU422" s="76">
        <f t="shared" si="697"/>
        <v>11.057599999999999</v>
      </c>
      <c r="BV422" s="809">
        <f t="shared" ref="BV422:CA422" si="698">SUM(BV416:BV421)</f>
        <v>152054</v>
      </c>
      <c r="BW422" s="684">
        <f t="shared" si="698"/>
        <v>112800</v>
      </c>
      <c r="BX422" s="684">
        <f t="shared" si="698"/>
        <v>0</v>
      </c>
      <c r="BY422" s="684">
        <f t="shared" si="698"/>
        <v>38126</v>
      </c>
      <c r="BZ422" s="684">
        <f t="shared" si="698"/>
        <v>1128</v>
      </c>
      <c r="CA422" s="810">
        <f t="shared" si="698"/>
        <v>0.2</v>
      </c>
    </row>
    <row r="423" spans="1:79" ht="14.1" customHeight="1" x14ac:dyDescent="0.2">
      <c r="A423" s="66">
        <v>83</v>
      </c>
      <c r="B423" s="63">
        <v>2445</v>
      </c>
      <c r="C423" s="64">
        <v>600080030</v>
      </c>
      <c r="D423" s="63">
        <v>70695997</v>
      </c>
      <c r="E423" s="65" t="s">
        <v>693</v>
      </c>
      <c r="F423" s="66">
        <v>3111</v>
      </c>
      <c r="G423" s="65" t="s">
        <v>290</v>
      </c>
      <c r="H423" s="67" t="s">
        <v>271</v>
      </c>
      <c r="I423" s="420">
        <v>3123147</v>
      </c>
      <c r="J423" s="415">
        <v>2309744</v>
      </c>
      <c r="K423" s="415">
        <v>2189936</v>
      </c>
      <c r="L423" s="415">
        <v>119808</v>
      </c>
      <c r="M423" s="415">
        <v>0</v>
      </c>
      <c r="N423" s="415">
        <v>0</v>
      </c>
      <c r="O423" s="415">
        <v>0</v>
      </c>
      <c r="P423" s="599">
        <v>780693</v>
      </c>
      <c r="Q423" s="599">
        <v>23098</v>
      </c>
      <c r="R423" s="415">
        <v>9612</v>
      </c>
      <c r="S423" s="416">
        <v>4.4800000000000004</v>
      </c>
      <c r="T423" s="416">
        <v>4</v>
      </c>
      <c r="U423" s="423">
        <v>0.48</v>
      </c>
      <c r="V423" s="424">
        <f t="shared" si="642"/>
        <v>0</v>
      </c>
      <c r="W423" s="418">
        <f t="shared" si="643"/>
        <v>0</v>
      </c>
      <c r="X423" s="418">
        <v>0</v>
      </c>
      <c r="Y423" s="418">
        <v>0</v>
      </c>
      <c r="Z423" s="418">
        <v>0</v>
      </c>
      <c r="AA423" s="418">
        <v>0</v>
      </c>
      <c r="AB423" s="418">
        <v>0</v>
      </c>
      <c r="AC423" s="418">
        <v>0</v>
      </c>
      <c r="AD423" s="418">
        <f t="shared" ref="AD423:AD428" si="699">V423+X423+Y423+Z423+AB423</f>
        <v>0</v>
      </c>
      <c r="AE423" s="418">
        <f t="shared" ref="AE423:AE428" si="700">W423+AA423+AC423</f>
        <v>0</v>
      </c>
      <c r="AF423" s="418">
        <f t="shared" si="644"/>
        <v>0</v>
      </c>
      <c r="AG423" s="418">
        <v>0</v>
      </c>
      <c r="AH423" s="418">
        <v>0</v>
      </c>
      <c r="AI423" s="418">
        <v>0</v>
      </c>
      <c r="AJ423" s="418">
        <v>0</v>
      </c>
      <c r="AK423" s="418">
        <v>0</v>
      </c>
      <c r="AL423" s="418">
        <f t="shared" si="645"/>
        <v>0</v>
      </c>
      <c r="AM423" s="418">
        <f t="shared" si="646"/>
        <v>0</v>
      </c>
      <c r="AN423" s="418">
        <f t="shared" si="647"/>
        <v>0</v>
      </c>
      <c r="AO423" s="418">
        <f t="shared" si="648"/>
        <v>0</v>
      </c>
      <c r="AP423" s="418">
        <f t="shared" si="649"/>
        <v>0</v>
      </c>
      <c r="AQ423" s="418">
        <f t="shared" si="650"/>
        <v>0</v>
      </c>
      <c r="AR423" s="68">
        <f t="shared" si="651"/>
        <v>0</v>
      </c>
      <c r="AS423" s="68">
        <f t="shared" si="652"/>
        <v>0</v>
      </c>
      <c r="AT423" s="418">
        <v>0</v>
      </c>
      <c r="AU423" s="418">
        <v>0</v>
      </c>
      <c r="AV423" s="418">
        <f t="shared" si="653"/>
        <v>0</v>
      </c>
      <c r="AW423" s="418">
        <f t="shared" si="654"/>
        <v>0</v>
      </c>
      <c r="AX423" s="419">
        <v>0</v>
      </c>
      <c r="AY423" s="419">
        <v>0</v>
      </c>
      <c r="AZ423" s="419">
        <v>0</v>
      </c>
      <c r="BA423" s="419">
        <v>0</v>
      </c>
      <c r="BB423" s="419">
        <v>0</v>
      </c>
      <c r="BC423" s="419">
        <v>0</v>
      </c>
      <c r="BD423" s="419">
        <v>0</v>
      </c>
      <c r="BE423" s="419">
        <v>0</v>
      </c>
      <c r="BF423" s="419">
        <f t="shared" si="655"/>
        <v>0</v>
      </c>
      <c r="BG423" s="419">
        <f t="shared" si="656"/>
        <v>0</v>
      </c>
      <c r="BH423" s="421">
        <f t="shared" si="657"/>
        <v>0</v>
      </c>
      <c r="BI423" s="780">
        <f t="shared" ref="BI423:BI428" si="701">I423+AW423</f>
        <v>3123147</v>
      </c>
      <c r="BJ423" s="418">
        <f t="shared" ref="BJ423:BJ428" si="702">J423+AF423</f>
        <v>2309744</v>
      </c>
      <c r="BK423" s="418">
        <f t="shared" ref="BK423:BL428" si="703">K423+AD423</f>
        <v>2189936</v>
      </c>
      <c r="BL423" s="418">
        <f t="shared" si="703"/>
        <v>119808</v>
      </c>
      <c r="BM423" s="418">
        <f t="shared" ref="BM423:BM428" si="704">M423+AN423</f>
        <v>0</v>
      </c>
      <c r="BN423" s="418">
        <f t="shared" ref="BN423:BO428" si="705">N423+AL423</f>
        <v>0</v>
      </c>
      <c r="BO423" s="418">
        <f t="shared" si="705"/>
        <v>0</v>
      </c>
      <c r="BP423" s="418">
        <f t="shared" ref="BP423:BQ428" si="706">P423+AR423</f>
        <v>780693</v>
      </c>
      <c r="BQ423" s="418">
        <f t="shared" si="706"/>
        <v>23098</v>
      </c>
      <c r="BR423" s="418">
        <f t="shared" ref="BR423:BR428" si="707">R423+AV423</f>
        <v>9612</v>
      </c>
      <c r="BS423" s="419">
        <f t="shared" ref="BS423:BS428" si="708">S423+BH423</f>
        <v>4.4800000000000004</v>
      </c>
      <c r="BT423" s="419">
        <f t="shared" ref="BT423:BU428" si="709">T423+BF423</f>
        <v>4</v>
      </c>
      <c r="BU423" s="421">
        <f t="shared" si="709"/>
        <v>0.48</v>
      </c>
      <c r="BV423" s="420"/>
      <c r="BW423" s="415"/>
      <c r="BX423" s="415"/>
      <c r="BY423" s="415"/>
      <c r="BZ423" s="415"/>
      <c r="CA423" s="510"/>
    </row>
    <row r="424" spans="1:79" ht="14.1" customHeight="1" x14ac:dyDescent="0.2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693</v>
      </c>
      <c r="F424" s="66">
        <v>3117</v>
      </c>
      <c r="G424" s="65" t="s">
        <v>293</v>
      </c>
      <c r="H424" s="67" t="s">
        <v>271</v>
      </c>
      <c r="I424" s="420">
        <v>4221762</v>
      </c>
      <c r="J424" s="415">
        <v>3005581</v>
      </c>
      <c r="K424" s="415">
        <v>2569876</v>
      </c>
      <c r="L424" s="415">
        <v>435705</v>
      </c>
      <c r="M424" s="415">
        <v>80000</v>
      </c>
      <c r="N424" s="415">
        <v>80000</v>
      </c>
      <c r="O424" s="415">
        <v>0</v>
      </c>
      <c r="P424" s="599">
        <v>1042926</v>
      </c>
      <c r="Q424" s="599">
        <v>30056</v>
      </c>
      <c r="R424" s="415">
        <v>63199</v>
      </c>
      <c r="S424" s="416">
        <v>5.1909999999999998</v>
      </c>
      <c r="T424" s="416">
        <v>4.0800999999999998</v>
      </c>
      <c r="U424" s="423">
        <v>1.1109</v>
      </c>
      <c r="V424" s="424">
        <f t="shared" si="642"/>
        <v>0</v>
      </c>
      <c r="W424" s="418">
        <f t="shared" si="643"/>
        <v>0</v>
      </c>
      <c r="X424" s="418">
        <v>0</v>
      </c>
      <c r="Y424" s="418">
        <v>0</v>
      </c>
      <c r="Z424" s="418">
        <v>0</v>
      </c>
      <c r="AA424" s="418">
        <v>0</v>
      </c>
      <c r="AB424" s="418">
        <v>0</v>
      </c>
      <c r="AC424" s="418">
        <v>0</v>
      </c>
      <c r="AD424" s="418">
        <f t="shared" si="699"/>
        <v>0</v>
      </c>
      <c r="AE424" s="418">
        <f t="shared" si="700"/>
        <v>0</v>
      </c>
      <c r="AF424" s="418">
        <f t="shared" si="644"/>
        <v>0</v>
      </c>
      <c r="AG424" s="418">
        <v>0</v>
      </c>
      <c r="AH424" s="418">
        <v>0</v>
      </c>
      <c r="AI424" s="418">
        <v>0</v>
      </c>
      <c r="AJ424" s="418">
        <v>0</v>
      </c>
      <c r="AK424" s="418">
        <v>0</v>
      </c>
      <c r="AL424" s="418">
        <f t="shared" si="645"/>
        <v>0</v>
      </c>
      <c r="AM424" s="418">
        <f t="shared" si="646"/>
        <v>0</v>
      </c>
      <c r="AN424" s="418">
        <f t="shared" si="647"/>
        <v>0</v>
      </c>
      <c r="AO424" s="418">
        <f t="shared" si="648"/>
        <v>0</v>
      </c>
      <c r="AP424" s="418">
        <f t="shared" si="649"/>
        <v>0</v>
      </c>
      <c r="AQ424" s="418">
        <f t="shared" si="650"/>
        <v>0</v>
      </c>
      <c r="AR424" s="68">
        <f t="shared" si="651"/>
        <v>0</v>
      </c>
      <c r="AS424" s="68">
        <f t="shared" si="652"/>
        <v>0</v>
      </c>
      <c r="AT424" s="418">
        <v>0</v>
      </c>
      <c r="AU424" s="418">
        <v>0</v>
      </c>
      <c r="AV424" s="418">
        <f t="shared" si="653"/>
        <v>0</v>
      </c>
      <c r="AW424" s="418">
        <f t="shared" si="654"/>
        <v>0</v>
      </c>
      <c r="AX424" s="419">
        <v>0</v>
      </c>
      <c r="AY424" s="419">
        <v>0</v>
      </c>
      <c r="AZ424" s="419">
        <v>0</v>
      </c>
      <c r="BA424" s="419">
        <v>0</v>
      </c>
      <c r="BB424" s="419">
        <v>0</v>
      </c>
      <c r="BC424" s="419">
        <v>0</v>
      </c>
      <c r="BD424" s="419">
        <v>0</v>
      </c>
      <c r="BE424" s="419">
        <v>0</v>
      </c>
      <c r="BF424" s="419">
        <f t="shared" si="655"/>
        <v>0</v>
      </c>
      <c r="BG424" s="419">
        <f t="shared" si="656"/>
        <v>0</v>
      </c>
      <c r="BH424" s="421">
        <f t="shared" si="657"/>
        <v>0</v>
      </c>
      <c r="BI424" s="780">
        <f t="shared" si="701"/>
        <v>4221762</v>
      </c>
      <c r="BJ424" s="418">
        <f t="shared" si="702"/>
        <v>3005581</v>
      </c>
      <c r="BK424" s="418">
        <f t="shared" si="703"/>
        <v>2569876</v>
      </c>
      <c r="BL424" s="418">
        <f t="shared" si="703"/>
        <v>435705</v>
      </c>
      <c r="BM424" s="418">
        <f t="shared" si="704"/>
        <v>80000</v>
      </c>
      <c r="BN424" s="418">
        <f t="shared" si="705"/>
        <v>80000</v>
      </c>
      <c r="BO424" s="418">
        <f t="shared" si="705"/>
        <v>0</v>
      </c>
      <c r="BP424" s="418">
        <f t="shared" si="706"/>
        <v>1042926</v>
      </c>
      <c r="BQ424" s="418">
        <f t="shared" si="706"/>
        <v>30056</v>
      </c>
      <c r="BR424" s="418">
        <f t="shared" si="707"/>
        <v>63199</v>
      </c>
      <c r="BS424" s="419">
        <f t="shared" si="708"/>
        <v>5.1909999999999998</v>
      </c>
      <c r="BT424" s="419">
        <f t="shared" si="709"/>
        <v>4.0800999999999998</v>
      </c>
      <c r="BU424" s="421">
        <f t="shared" si="709"/>
        <v>1.1109</v>
      </c>
      <c r="BV424" s="420">
        <v>152054</v>
      </c>
      <c r="BW424" s="415">
        <v>112800</v>
      </c>
      <c r="BX424" s="415">
        <v>0</v>
      </c>
      <c r="BY424" s="415">
        <v>38126</v>
      </c>
      <c r="BZ424" s="415">
        <v>1128</v>
      </c>
      <c r="CA424" s="510">
        <v>0.2</v>
      </c>
    </row>
    <row r="425" spans="1:79" ht="14.1" customHeight="1" x14ac:dyDescent="0.2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693</v>
      </c>
      <c r="F425" s="66">
        <v>3117</v>
      </c>
      <c r="G425" s="77" t="s">
        <v>291</v>
      </c>
      <c r="H425" s="67" t="s">
        <v>272</v>
      </c>
      <c r="I425" s="420">
        <v>1851244</v>
      </c>
      <c r="J425" s="415">
        <v>1372214</v>
      </c>
      <c r="K425" s="415">
        <v>1372214</v>
      </c>
      <c r="L425" s="415">
        <v>0</v>
      </c>
      <c r="M425" s="415">
        <v>0</v>
      </c>
      <c r="N425" s="415">
        <v>0</v>
      </c>
      <c r="O425" s="415">
        <v>0</v>
      </c>
      <c r="P425" s="599">
        <v>463808</v>
      </c>
      <c r="Q425" s="599">
        <v>13722</v>
      </c>
      <c r="R425" s="415">
        <v>1500</v>
      </c>
      <c r="S425" s="416">
        <v>3.59</v>
      </c>
      <c r="T425" s="417">
        <v>3.59</v>
      </c>
      <c r="U425" s="423">
        <v>0</v>
      </c>
      <c r="V425" s="424">
        <f t="shared" si="642"/>
        <v>0</v>
      </c>
      <c r="W425" s="418">
        <f t="shared" si="643"/>
        <v>0</v>
      </c>
      <c r="X425" s="418">
        <v>0</v>
      </c>
      <c r="Y425" s="418">
        <v>0</v>
      </c>
      <c r="Z425" s="418">
        <v>0</v>
      </c>
      <c r="AA425" s="418">
        <v>0</v>
      </c>
      <c r="AB425" s="418">
        <v>0</v>
      </c>
      <c r="AC425" s="418">
        <v>0</v>
      </c>
      <c r="AD425" s="418">
        <f t="shared" si="699"/>
        <v>0</v>
      </c>
      <c r="AE425" s="418">
        <f t="shared" si="700"/>
        <v>0</v>
      </c>
      <c r="AF425" s="418">
        <f t="shared" si="644"/>
        <v>0</v>
      </c>
      <c r="AG425" s="418">
        <v>0</v>
      </c>
      <c r="AH425" s="418">
        <v>0</v>
      </c>
      <c r="AI425" s="418">
        <v>0</v>
      </c>
      <c r="AJ425" s="418">
        <v>0</v>
      </c>
      <c r="AK425" s="418">
        <v>0</v>
      </c>
      <c r="AL425" s="418">
        <f t="shared" si="645"/>
        <v>0</v>
      </c>
      <c r="AM425" s="418">
        <f t="shared" si="646"/>
        <v>0</v>
      </c>
      <c r="AN425" s="418">
        <f t="shared" si="647"/>
        <v>0</v>
      </c>
      <c r="AO425" s="418">
        <f t="shared" si="648"/>
        <v>0</v>
      </c>
      <c r="AP425" s="418">
        <f t="shared" si="649"/>
        <v>0</v>
      </c>
      <c r="AQ425" s="418">
        <f t="shared" si="650"/>
        <v>0</v>
      </c>
      <c r="AR425" s="68">
        <f t="shared" si="651"/>
        <v>0</v>
      </c>
      <c r="AS425" s="68">
        <f t="shared" si="652"/>
        <v>0</v>
      </c>
      <c r="AT425" s="418">
        <v>0</v>
      </c>
      <c r="AU425" s="418">
        <v>0</v>
      </c>
      <c r="AV425" s="418">
        <f t="shared" si="653"/>
        <v>0</v>
      </c>
      <c r="AW425" s="418">
        <f t="shared" si="654"/>
        <v>0</v>
      </c>
      <c r="AX425" s="419">
        <v>0</v>
      </c>
      <c r="AY425" s="419">
        <v>0</v>
      </c>
      <c r="AZ425" s="419">
        <v>0</v>
      </c>
      <c r="BA425" s="419">
        <v>0</v>
      </c>
      <c r="BB425" s="419">
        <v>0</v>
      </c>
      <c r="BC425" s="419">
        <v>0</v>
      </c>
      <c r="BD425" s="419">
        <v>0</v>
      </c>
      <c r="BE425" s="419">
        <v>0</v>
      </c>
      <c r="BF425" s="419">
        <f t="shared" si="655"/>
        <v>0</v>
      </c>
      <c r="BG425" s="419">
        <f t="shared" si="656"/>
        <v>0</v>
      </c>
      <c r="BH425" s="421">
        <f t="shared" si="657"/>
        <v>0</v>
      </c>
      <c r="BI425" s="780">
        <f t="shared" si="701"/>
        <v>1851244</v>
      </c>
      <c r="BJ425" s="418">
        <f t="shared" si="702"/>
        <v>1372214</v>
      </c>
      <c r="BK425" s="418">
        <f t="shared" si="703"/>
        <v>1372214</v>
      </c>
      <c r="BL425" s="418">
        <f t="shared" si="703"/>
        <v>0</v>
      </c>
      <c r="BM425" s="418">
        <f t="shared" si="704"/>
        <v>0</v>
      </c>
      <c r="BN425" s="418">
        <f t="shared" si="705"/>
        <v>0</v>
      </c>
      <c r="BO425" s="418">
        <f t="shared" si="705"/>
        <v>0</v>
      </c>
      <c r="BP425" s="418">
        <f t="shared" si="706"/>
        <v>463808</v>
      </c>
      <c r="BQ425" s="418">
        <f t="shared" si="706"/>
        <v>13722</v>
      </c>
      <c r="BR425" s="418">
        <f t="shared" si="707"/>
        <v>1500</v>
      </c>
      <c r="BS425" s="419">
        <f t="shared" si="708"/>
        <v>3.59</v>
      </c>
      <c r="BT425" s="419">
        <f t="shared" si="709"/>
        <v>3.59</v>
      </c>
      <c r="BU425" s="421">
        <f t="shared" si="709"/>
        <v>0</v>
      </c>
      <c r="BV425" s="420"/>
      <c r="BW425" s="415"/>
      <c r="BX425" s="415"/>
      <c r="BY425" s="415"/>
      <c r="BZ425" s="415"/>
      <c r="CA425" s="510"/>
    </row>
    <row r="426" spans="1:79" ht="14.1" customHeight="1" x14ac:dyDescent="0.2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693</v>
      </c>
      <c r="F426" s="66">
        <v>3141</v>
      </c>
      <c r="G426" s="65" t="s">
        <v>294</v>
      </c>
      <c r="H426" s="67" t="s">
        <v>272</v>
      </c>
      <c r="I426" s="420">
        <v>707185</v>
      </c>
      <c r="J426" s="415">
        <v>522463</v>
      </c>
      <c r="K426" s="415">
        <v>0</v>
      </c>
      <c r="L426" s="750">
        <v>522463</v>
      </c>
      <c r="M426" s="415">
        <v>0</v>
      </c>
      <c r="N426" s="204">
        <v>0</v>
      </c>
      <c r="O426" s="204">
        <v>0</v>
      </c>
      <c r="P426" s="599">
        <v>176592</v>
      </c>
      <c r="Q426" s="599">
        <v>5225</v>
      </c>
      <c r="R426" s="605">
        <v>2905</v>
      </c>
      <c r="S426" s="416">
        <v>1.5667</v>
      </c>
      <c r="T426" s="607">
        <v>0</v>
      </c>
      <c r="U426" s="737">
        <v>1.5667</v>
      </c>
      <c r="V426" s="424">
        <f t="shared" si="642"/>
        <v>0</v>
      </c>
      <c r="W426" s="418">
        <f t="shared" si="643"/>
        <v>0</v>
      </c>
      <c r="X426" s="418">
        <v>0</v>
      </c>
      <c r="Y426" s="418">
        <v>0</v>
      </c>
      <c r="Z426" s="418">
        <v>0</v>
      </c>
      <c r="AA426" s="418">
        <v>262323</v>
      </c>
      <c r="AB426" s="418">
        <v>0</v>
      </c>
      <c r="AC426" s="418">
        <v>0</v>
      </c>
      <c r="AD426" s="418">
        <f t="shared" si="699"/>
        <v>0</v>
      </c>
      <c r="AE426" s="418">
        <f t="shared" si="700"/>
        <v>262323</v>
      </c>
      <c r="AF426" s="418">
        <f t="shared" si="644"/>
        <v>262323</v>
      </c>
      <c r="AG426" s="418">
        <v>0</v>
      </c>
      <c r="AH426" s="418">
        <v>0</v>
      </c>
      <c r="AI426" s="418">
        <v>0</v>
      </c>
      <c r="AJ426" s="418">
        <v>0</v>
      </c>
      <c r="AK426" s="418">
        <v>0</v>
      </c>
      <c r="AL426" s="418">
        <f t="shared" si="645"/>
        <v>0</v>
      </c>
      <c r="AM426" s="418">
        <f t="shared" si="646"/>
        <v>0</v>
      </c>
      <c r="AN426" s="418">
        <f t="shared" si="647"/>
        <v>0</v>
      </c>
      <c r="AO426" s="418">
        <f t="shared" si="648"/>
        <v>0</v>
      </c>
      <c r="AP426" s="418">
        <f t="shared" si="649"/>
        <v>262323</v>
      </c>
      <c r="AQ426" s="418">
        <f t="shared" si="650"/>
        <v>262323</v>
      </c>
      <c r="AR426" s="68">
        <f t="shared" si="651"/>
        <v>88665</v>
      </c>
      <c r="AS426" s="68">
        <f t="shared" si="652"/>
        <v>2623</v>
      </c>
      <c r="AT426" s="418">
        <v>0</v>
      </c>
      <c r="AU426" s="418">
        <v>1411</v>
      </c>
      <c r="AV426" s="418">
        <f t="shared" si="653"/>
        <v>1411</v>
      </c>
      <c r="AW426" s="418">
        <f t="shared" si="654"/>
        <v>355022</v>
      </c>
      <c r="AX426" s="419">
        <v>0</v>
      </c>
      <c r="AY426" s="419">
        <v>0</v>
      </c>
      <c r="AZ426" s="419">
        <v>0</v>
      </c>
      <c r="BA426" s="419">
        <v>0</v>
      </c>
      <c r="BB426" s="419">
        <v>0.78</v>
      </c>
      <c r="BC426" s="419">
        <v>0</v>
      </c>
      <c r="BD426" s="419">
        <v>0</v>
      </c>
      <c r="BE426" s="419">
        <v>0</v>
      </c>
      <c r="BF426" s="419">
        <f t="shared" si="655"/>
        <v>0</v>
      </c>
      <c r="BG426" s="419">
        <f t="shared" si="656"/>
        <v>0.78</v>
      </c>
      <c r="BH426" s="421">
        <f t="shared" si="657"/>
        <v>0.78</v>
      </c>
      <c r="BI426" s="780">
        <f t="shared" si="701"/>
        <v>1062207</v>
      </c>
      <c r="BJ426" s="418">
        <f t="shared" si="702"/>
        <v>784786</v>
      </c>
      <c r="BK426" s="418">
        <f t="shared" si="703"/>
        <v>0</v>
      </c>
      <c r="BL426" s="418">
        <f t="shared" si="703"/>
        <v>784786</v>
      </c>
      <c r="BM426" s="418">
        <f t="shared" si="704"/>
        <v>0</v>
      </c>
      <c r="BN426" s="418">
        <f t="shared" si="705"/>
        <v>0</v>
      </c>
      <c r="BO426" s="418">
        <f t="shared" si="705"/>
        <v>0</v>
      </c>
      <c r="BP426" s="418">
        <f t="shared" si="706"/>
        <v>265257</v>
      </c>
      <c r="BQ426" s="418">
        <f t="shared" si="706"/>
        <v>7848</v>
      </c>
      <c r="BR426" s="418">
        <f t="shared" si="707"/>
        <v>4316</v>
      </c>
      <c r="BS426" s="419">
        <f t="shared" si="708"/>
        <v>2.3467000000000002</v>
      </c>
      <c r="BT426" s="419">
        <f t="shared" si="709"/>
        <v>0</v>
      </c>
      <c r="BU426" s="421">
        <f t="shared" si="709"/>
        <v>2.3467000000000002</v>
      </c>
      <c r="BV426" s="420"/>
      <c r="BW426" s="415"/>
      <c r="BX426" s="415"/>
      <c r="BY426" s="415"/>
      <c r="BZ426" s="415"/>
      <c r="CA426" s="510"/>
    </row>
    <row r="427" spans="1:79" ht="14.1" customHeight="1" x14ac:dyDescent="0.2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693</v>
      </c>
      <c r="F427" s="66">
        <v>3143</v>
      </c>
      <c r="G427" s="77" t="s">
        <v>595</v>
      </c>
      <c r="H427" s="67" t="s">
        <v>271</v>
      </c>
      <c r="I427" s="420">
        <v>1401819</v>
      </c>
      <c r="J427" s="415">
        <v>1039925</v>
      </c>
      <c r="K427" s="415">
        <v>1039925</v>
      </c>
      <c r="L427" s="415">
        <v>0</v>
      </c>
      <c r="M427" s="415">
        <v>0</v>
      </c>
      <c r="N427" s="415">
        <v>0</v>
      </c>
      <c r="O427" s="415">
        <v>0</v>
      </c>
      <c r="P427" s="599">
        <v>351495</v>
      </c>
      <c r="Q427" s="599">
        <v>10399</v>
      </c>
      <c r="R427" s="415">
        <v>0</v>
      </c>
      <c r="S427" s="416">
        <v>2.1432000000000002</v>
      </c>
      <c r="T427" s="416">
        <v>2.1432000000000002</v>
      </c>
      <c r="U427" s="423">
        <v>0</v>
      </c>
      <c r="V427" s="424">
        <f t="shared" si="642"/>
        <v>0</v>
      </c>
      <c r="W427" s="418">
        <f t="shared" si="643"/>
        <v>0</v>
      </c>
      <c r="X427" s="418">
        <v>0</v>
      </c>
      <c r="Y427" s="418">
        <v>0</v>
      </c>
      <c r="Z427" s="418">
        <v>0</v>
      </c>
      <c r="AA427" s="418">
        <v>0</v>
      </c>
      <c r="AB427" s="418">
        <v>0</v>
      </c>
      <c r="AC427" s="418">
        <v>0</v>
      </c>
      <c r="AD427" s="418">
        <f t="shared" si="699"/>
        <v>0</v>
      </c>
      <c r="AE427" s="418">
        <f t="shared" si="700"/>
        <v>0</v>
      </c>
      <c r="AF427" s="418">
        <f t="shared" si="644"/>
        <v>0</v>
      </c>
      <c r="AG427" s="418">
        <v>0</v>
      </c>
      <c r="AH427" s="418">
        <v>0</v>
      </c>
      <c r="AI427" s="418">
        <v>0</v>
      </c>
      <c r="AJ427" s="418">
        <v>0</v>
      </c>
      <c r="AK427" s="418">
        <v>0</v>
      </c>
      <c r="AL427" s="418">
        <f t="shared" si="645"/>
        <v>0</v>
      </c>
      <c r="AM427" s="418">
        <f t="shared" si="646"/>
        <v>0</v>
      </c>
      <c r="AN427" s="418">
        <f t="shared" si="647"/>
        <v>0</v>
      </c>
      <c r="AO427" s="418">
        <f t="shared" si="648"/>
        <v>0</v>
      </c>
      <c r="AP427" s="418">
        <f t="shared" si="649"/>
        <v>0</v>
      </c>
      <c r="AQ427" s="418">
        <f t="shared" si="650"/>
        <v>0</v>
      </c>
      <c r="AR427" s="68">
        <f t="shared" si="651"/>
        <v>0</v>
      </c>
      <c r="AS427" s="68">
        <f t="shared" si="652"/>
        <v>0</v>
      </c>
      <c r="AT427" s="418">
        <v>0</v>
      </c>
      <c r="AU427" s="418">
        <v>0</v>
      </c>
      <c r="AV427" s="418">
        <f t="shared" si="653"/>
        <v>0</v>
      </c>
      <c r="AW427" s="418">
        <f t="shared" si="654"/>
        <v>0</v>
      </c>
      <c r="AX427" s="419">
        <v>0</v>
      </c>
      <c r="AY427" s="419">
        <v>0</v>
      </c>
      <c r="AZ427" s="419">
        <v>0</v>
      </c>
      <c r="BA427" s="419">
        <v>0</v>
      </c>
      <c r="BB427" s="419">
        <v>0</v>
      </c>
      <c r="BC427" s="419">
        <v>0</v>
      </c>
      <c r="BD427" s="419">
        <v>0</v>
      </c>
      <c r="BE427" s="419">
        <v>0</v>
      </c>
      <c r="BF427" s="419">
        <f t="shared" si="655"/>
        <v>0</v>
      </c>
      <c r="BG427" s="419">
        <f t="shared" si="656"/>
        <v>0</v>
      </c>
      <c r="BH427" s="421">
        <f t="shared" si="657"/>
        <v>0</v>
      </c>
      <c r="BI427" s="780">
        <f t="shared" si="701"/>
        <v>1401819</v>
      </c>
      <c r="BJ427" s="418">
        <f t="shared" si="702"/>
        <v>1039925</v>
      </c>
      <c r="BK427" s="418">
        <f t="shared" si="703"/>
        <v>1039925</v>
      </c>
      <c r="BL427" s="418">
        <f t="shared" si="703"/>
        <v>0</v>
      </c>
      <c r="BM427" s="418">
        <f t="shared" si="704"/>
        <v>0</v>
      </c>
      <c r="BN427" s="418">
        <f t="shared" si="705"/>
        <v>0</v>
      </c>
      <c r="BO427" s="418">
        <f t="shared" si="705"/>
        <v>0</v>
      </c>
      <c r="BP427" s="418">
        <f t="shared" si="706"/>
        <v>351495</v>
      </c>
      <c r="BQ427" s="418">
        <f t="shared" si="706"/>
        <v>10399</v>
      </c>
      <c r="BR427" s="418">
        <f t="shared" si="707"/>
        <v>0</v>
      </c>
      <c r="BS427" s="419">
        <f t="shared" si="708"/>
        <v>2.1432000000000002</v>
      </c>
      <c r="BT427" s="419">
        <f t="shared" si="709"/>
        <v>2.1432000000000002</v>
      </c>
      <c r="BU427" s="421">
        <f t="shared" si="709"/>
        <v>0</v>
      </c>
      <c r="BV427" s="420"/>
      <c r="BW427" s="415"/>
      <c r="BX427" s="415"/>
      <c r="BY427" s="415"/>
      <c r="BZ427" s="415"/>
      <c r="CA427" s="510"/>
    </row>
    <row r="428" spans="1:79" ht="14.1" customHeight="1" x14ac:dyDescent="0.2">
      <c r="A428" s="66">
        <v>83</v>
      </c>
      <c r="B428" s="63">
        <v>2445</v>
      </c>
      <c r="C428" s="64">
        <v>600080030</v>
      </c>
      <c r="D428" s="63">
        <v>70695997</v>
      </c>
      <c r="E428" s="65" t="s">
        <v>693</v>
      </c>
      <c r="F428" s="66">
        <v>3143</v>
      </c>
      <c r="G428" s="77" t="s">
        <v>596</v>
      </c>
      <c r="H428" s="67" t="s">
        <v>272</v>
      </c>
      <c r="I428" s="420">
        <v>24084</v>
      </c>
      <c r="J428" s="415">
        <v>17239</v>
      </c>
      <c r="K428" s="415">
        <v>0</v>
      </c>
      <c r="L428" s="605">
        <v>17239</v>
      </c>
      <c r="M428" s="415">
        <v>0</v>
      </c>
      <c r="N428" s="415">
        <v>0</v>
      </c>
      <c r="O428" s="415">
        <v>0</v>
      </c>
      <c r="P428" s="599">
        <v>5827</v>
      </c>
      <c r="Q428" s="599">
        <v>172</v>
      </c>
      <c r="R428" s="606">
        <v>846</v>
      </c>
      <c r="S428" s="416">
        <v>6.5299999999999997E-2</v>
      </c>
      <c r="T428" s="609">
        <v>0</v>
      </c>
      <c r="U428" s="737">
        <v>6.5299999999999997E-2</v>
      </c>
      <c r="V428" s="424">
        <f t="shared" si="642"/>
        <v>0</v>
      </c>
      <c r="W428" s="418">
        <f t="shared" si="643"/>
        <v>0</v>
      </c>
      <c r="X428" s="418">
        <v>0</v>
      </c>
      <c r="Y428" s="418">
        <v>0</v>
      </c>
      <c r="Z428" s="418">
        <v>0</v>
      </c>
      <c r="AA428" s="418">
        <v>8611</v>
      </c>
      <c r="AB428" s="418">
        <v>0</v>
      </c>
      <c r="AC428" s="418">
        <v>0</v>
      </c>
      <c r="AD428" s="418">
        <f t="shared" si="699"/>
        <v>0</v>
      </c>
      <c r="AE428" s="418">
        <f t="shared" si="700"/>
        <v>8611</v>
      </c>
      <c r="AF428" s="418">
        <f t="shared" si="644"/>
        <v>8611</v>
      </c>
      <c r="AG428" s="418">
        <v>0</v>
      </c>
      <c r="AH428" s="418">
        <v>0</v>
      </c>
      <c r="AI428" s="418">
        <v>0</v>
      </c>
      <c r="AJ428" s="418">
        <v>0</v>
      </c>
      <c r="AK428" s="418">
        <v>0</v>
      </c>
      <c r="AL428" s="418">
        <f t="shared" si="645"/>
        <v>0</v>
      </c>
      <c r="AM428" s="418">
        <f t="shared" si="646"/>
        <v>0</v>
      </c>
      <c r="AN428" s="418">
        <f t="shared" si="647"/>
        <v>0</v>
      </c>
      <c r="AO428" s="418">
        <f t="shared" si="648"/>
        <v>0</v>
      </c>
      <c r="AP428" s="418">
        <f t="shared" si="649"/>
        <v>8611</v>
      </c>
      <c r="AQ428" s="418">
        <f t="shared" si="650"/>
        <v>8611</v>
      </c>
      <c r="AR428" s="68">
        <f t="shared" si="651"/>
        <v>2911</v>
      </c>
      <c r="AS428" s="68">
        <f t="shared" si="652"/>
        <v>86</v>
      </c>
      <c r="AT428" s="418">
        <v>0</v>
      </c>
      <c r="AU428" s="418">
        <v>423</v>
      </c>
      <c r="AV428" s="418">
        <f t="shared" si="653"/>
        <v>423</v>
      </c>
      <c r="AW428" s="418">
        <f t="shared" si="654"/>
        <v>12031</v>
      </c>
      <c r="AX428" s="419">
        <v>0</v>
      </c>
      <c r="AY428" s="419">
        <v>0</v>
      </c>
      <c r="AZ428" s="419">
        <v>0</v>
      </c>
      <c r="BA428" s="419">
        <v>0</v>
      </c>
      <c r="BB428" s="419">
        <v>0.03</v>
      </c>
      <c r="BC428" s="419">
        <v>0</v>
      </c>
      <c r="BD428" s="419">
        <v>0</v>
      </c>
      <c r="BE428" s="419">
        <v>0</v>
      </c>
      <c r="BF428" s="419">
        <f t="shared" si="655"/>
        <v>0</v>
      </c>
      <c r="BG428" s="419">
        <f t="shared" si="656"/>
        <v>0.03</v>
      </c>
      <c r="BH428" s="421">
        <f t="shared" si="657"/>
        <v>0.03</v>
      </c>
      <c r="BI428" s="780">
        <f t="shared" si="701"/>
        <v>36115</v>
      </c>
      <c r="BJ428" s="418">
        <f t="shared" si="702"/>
        <v>25850</v>
      </c>
      <c r="BK428" s="418">
        <f t="shared" si="703"/>
        <v>0</v>
      </c>
      <c r="BL428" s="418">
        <f t="shared" si="703"/>
        <v>25850</v>
      </c>
      <c r="BM428" s="418">
        <f t="shared" si="704"/>
        <v>0</v>
      </c>
      <c r="BN428" s="418">
        <f t="shared" si="705"/>
        <v>0</v>
      </c>
      <c r="BO428" s="418">
        <f t="shared" si="705"/>
        <v>0</v>
      </c>
      <c r="BP428" s="418">
        <f t="shared" si="706"/>
        <v>8738</v>
      </c>
      <c r="BQ428" s="418">
        <f t="shared" si="706"/>
        <v>258</v>
      </c>
      <c r="BR428" s="418">
        <f t="shared" si="707"/>
        <v>1269</v>
      </c>
      <c r="BS428" s="419">
        <f t="shared" si="708"/>
        <v>9.5299999999999996E-2</v>
      </c>
      <c r="BT428" s="419">
        <f t="shared" si="709"/>
        <v>0</v>
      </c>
      <c r="BU428" s="421">
        <f t="shared" si="709"/>
        <v>9.5299999999999996E-2</v>
      </c>
      <c r="BV428" s="420"/>
      <c r="BW428" s="415"/>
      <c r="BX428" s="415"/>
      <c r="BY428" s="415"/>
      <c r="BZ428" s="415"/>
      <c r="CA428" s="510"/>
    </row>
    <row r="429" spans="1:79" ht="14.1" customHeight="1" x14ac:dyDescent="0.2">
      <c r="A429" s="72">
        <v>83</v>
      </c>
      <c r="B429" s="69">
        <v>2445</v>
      </c>
      <c r="C429" s="70">
        <v>600080030</v>
      </c>
      <c r="D429" s="69">
        <v>70695997</v>
      </c>
      <c r="E429" s="71" t="s">
        <v>694</v>
      </c>
      <c r="F429" s="72"/>
      <c r="G429" s="71"/>
      <c r="H429" s="73"/>
      <c r="I429" s="517">
        <v>11329241</v>
      </c>
      <c r="J429" s="74">
        <v>8267166</v>
      </c>
      <c r="K429" s="74">
        <v>7171951</v>
      </c>
      <c r="L429" s="74">
        <v>1095215</v>
      </c>
      <c r="M429" s="74">
        <v>80000</v>
      </c>
      <c r="N429" s="74">
        <v>80000</v>
      </c>
      <c r="O429" s="74">
        <v>0</v>
      </c>
      <c r="P429" s="74">
        <v>2821341</v>
      </c>
      <c r="Q429" s="74">
        <v>82672</v>
      </c>
      <c r="R429" s="74">
        <v>78062</v>
      </c>
      <c r="S429" s="75">
        <v>17.036200000000001</v>
      </c>
      <c r="T429" s="75">
        <v>13.8133</v>
      </c>
      <c r="U429" s="658">
        <v>3.2229000000000001</v>
      </c>
      <c r="V429" s="517">
        <f t="shared" ref="V429:BU429" si="710">SUM(V423:V428)</f>
        <v>0</v>
      </c>
      <c r="W429" s="74">
        <f t="shared" si="710"/>
        <v>0</v>
      </c>
      <c r="X429" s="74">
        <f t="shared" si="710"/>
        <v>0</v>
      </c>
      <c r="Y429" s="74">
        <f t="shared" si="710"/>
        <v>0</v>
      </c>
      <c r="Z429" s="74">
        <f t="shared" si="710"/>
        <v>0</v>
      </c>
      <c r="AA429" s="74">
        <f t="shared" si="710"/>
        <v>270934</v>
      </c>
      <c r="AB429" s="74">
        <f t="shared" si="710"/>
        <v>0</v>
      </c>
      <c r="AC429" s="74">
        <f t="shared" si="710"/>
        <v>0</v>
      </c>
      <c r="AD429" s="74">
        <f t="shared" si="710"/>
        <v>0</v>
      </c>
      <c r="AE429" s="74">
        <f t="shared" si="710"/>
        <v>270934</v>
      </c>
      <c r="AF429" s="74">
        <f t="shared" si="710"/>
        <v>270934</v>
      </c>
      <c r="AG429" s="74">
        <f t="shared" si="710"/>
        <v>0</v>
      </c>
      <c r="AH429" s="74">
        <f t="shared" si="710"/>
        <v>0</v>
      </c>
      <c r="AI429" s="74">
        <f t="shared" si="710"/>
        <v>0</v>
      </c>
      <c r="AJ429" s="74">
        <f t="shared" si="710"/>
        <v>0</v>
      </c>
      <c r="AK429" s="74">
        <f t="shared" si="710"/>
        <v>0</v>
      </c>
      <c r="AL429" s="74">
        <f t="shared" si="710"/>
        <v>0</v>
      </c>
      <c r="AM429" s="74">
        <f t="shared" si="710"/>
        <v>0</v>
      </c>
      <c r="AN429" s="74">
        <f t="shared" si="710"/>
        <v>0</v>
      </c>
      <c r="AO429" s="74">
        <f t="shared" si="710"/>
        <v>0</v>
      </c>
      <c r="AP429" s="74">
        <f t="shared" si="710"/>
        <v>270934</v>
      </c>
      <c r="AQ429" s="74">
        <f t="shared" si="710"/>
        <v>270934</v>
      </c>
      <c r="AR429" s="74">
        <f t="shared" si="710"/>
        <v>91576</v>
      </c>
      <c r="AS429" s="74">
        <f t="shared" si="710"/>
        <v>2709</v>
      </c>
      <c r="AT429" s="74">
        <f t="shared" si="710"/>
        <v>0</v>
      </c>
      <c r="AU429" s="74">
        <f t="shared" si="710"/>
        <v>1834</v>
      </c>
      <c r="AV429" s="74">
        <f t="shared" si="710"/>
        <v>1834</v>
      </c>
      <c r="AW429" s="74">
        <f t="shared" si="710"/>
        <v>367053</v>
      </c>
      <c r="AX429" s="75">
        <f t="shared" si="710"/>
        <v>0</v>
      </c>
      <c r="AY429" s="75">
        <f t="shared" si="710"/>
        <v>0</v>
      </c>
      <c r="AZ429" s="75">
        <f t="shared" si="710"/>
        <v>0</v>
      </c>
      <c r="BA429" s="75">
        <f t="shared" si="710"/>
        <v>0</v>
      </c>
      <c r="BB429" s="75">
        <f t="shared" si="710"/>
        <v>0.81</v>
      </c>
      <c r="BC429" s="75">
        <f t="shared" si="710"/>
        <v>0</v>
      </c>
      <c r="BD429" s="75">
        <f t="shared" si="710"/>
        <v>0</v>
      </c>
      <c r="BE429" s="75">
        <f t="shared" si="710"/>
        <v>0</v>
      </c>
      <c r="BF429" s="75">
        <f t="shared" si="710"/>
        <v>0</v>
      </c>
      <c r="BG429" s="75">
        <f t="shared" si="710"/>
        <v>0.81</v>
      </c>
      <c r="BH429" s="76">
        <f t="shared" si="710"/>
        <v>0.81</v>
      </c>
      <c r="BI429" s="799">
        <f t="shared" si="710"/>
        <v>11696294</v>
      </c>
      <c r="BJ429" s="74">
        <f t="shared" si="710"/>
        <v>8538100</v>
      </c>
      <c r="BK429" s="74">
        <f t="shared" si="710"/>
        <v>7171951</v>
      </c>
      <c r="BL429" s="74">
        <f t="shared" si="710"/>
        <v>1366149</v>
      </c>
      <c r="BM429" s="74">
        <f t="shared" si="710"/>
        <v>80000</v>
      </c>
      <c r="BN429" s="74">
        <f t="shared" si="710"/>
        <v>80000</v>
      </c>
      <c r="BO429" s="74">
        <f t="shared" si="710"/>
        <v>0</v>
      </c>
      <c r="BP429" s="74">
        <f t="shared" si="710"/>
        <v>2912917</v>
      </c>
      <c r="BQ429" s="74">
        <f t="shared" si="710"/>
        <v>85381</v>
      </c>
      <c r="BR429" s="74">
        <f t="shared" si="710"/>
        <v>79896</v>
      </c>
      <c r="BS429" s="75">
        <f t="shared" si="710"/>
        <v>17.846200000000003</v>
      </c>
      <c r="BT429" s="75">
        <f t="shared" si="710"/>
        <v>13.8133</v>
      </c>
      <c r="BU429" s="76">
        <f t="shared" si="710"/>
        <v>4.0329000000000006</v>
      </c>
      <c r="BV429" s="809">
        <f t="shared" ref="BV429:CA429" si="711">SUM(BV423:BV428)</f>
        <v>152054</v>
      </c>
      <c r="BW429" s="684">
        <f t="shared" si="711"/>
        <v>112800</v>
      </c>
      <c r="BX429" s="684">
        <f t="shared" si="711"/>
        <v>0</v>
      </c>
      <c r="BY429" s="684">
        <f t="shared" si="711"/>
        <v>38126</v>
      </c>
      <c r="BZ429" s="684">
        <f t="shared" si="711"/>
        <v>1128</v>
      </c>
      <c r="CA429" s="810">
        <f t="shared" si="711"/>
        <v>0.2</v>
      </c>
    </row>
    <row r="430" spans="1:79" ht="14.1" customHeight="1" x14ac:dyDescent="0.2">
      <c r="A430" s="66">
        <v>84</v>
      </c>
      <c r="B430" s="63">
        <v>2495</v>
      </c>
      <c r="C430" s="64">
        <v>600080196</v>
      </c>
      <c r="D430" s="63">
        <v>70983810</v>
      </c>
      <c r="E430" s="65" t="s">
        <v>695</v>
      </c>
      <c r="F430" s="66">
        <v>3111</v>
      </c>
      <c r="G430" s="65" t="s">
        <v>290</v>
      </c>
      <c r="H430" s="67" t="s">
        <v>271</v>
      </c>
      <c r="I430" s="420">
        <v>4820471</v>
      </c>
      <c r="J430" s="415">
        <v>3560917</v>
      </c>
      <c r="K430" s="415">
        <v>3361213</v>
      </c>
      <c r="L430" s="415">
        <v>199704</v>
      </c>
      <c r="M430" s="415">
        <v>0</v>
      </c>
      <c r="N430" s="415">
        <v>0</v>
      </c>
      <c r="O430" s="415">
        <v>0</v>
      </c>
      <c r="P430" s="599">
        <v>1203590</v>
      </c>
      <c r="Q430" s="599">
        <v>35609</v>
      </c>
      <c r="R430" s="415">
        <v>20355</v>
      </c>
      <c r="S430" s="416">
        <v>6.6326999999999998</v>
      </c>
      <c r="T430" s="416">
        <v>5.8326000000000002</v>
      </c>
      <c r="U430" s="423">
        <v>0.80010000000000003</v>
      </c>
      <c r="V430" s="424">
        <f t="shared" si="642"/>
        <v>0</v>
      </c>
      <c r="W430" s="418">
        <f t="shared" si="643"/>
        <v>0</v>
      </c>
      <c r="X430" s="418">
        <v>0</v>
      </c>
      <c r="Y430" s="418">
        <v>0</v>
      </c>
      <c r="Z430" s="418">
        <v>0</v>
      </c>
      <c r="AA430" s="418">
        <v>0</v>
      </c>
      <c r="AB430" s="418">
        <v>0</v>
      </c>
      <c r="AC430" s="418">
        <v>0</v>
      </c>
      <c r="AD430" s="418">
        <f t="shared" ref="AD430:AD435" si="712">V430+X430+Y430+Z430+AB430</f>
        <v>0</v>
      </c>
      <c r="AE430" s="418">
        <f t="shared" ref="AE430:AE435" si="713">W430+AA430+AC430</f>
        <v>0</v>
      </c>
      <c r="AF430" s="418">
        <f t="shared" si="644"/>
        <v>0</v>
      </c>
      <c r="AG430" s="418">
        <v>0</v>
      </c>
      <c r="AH430" s="418">
        <v>0</v>
      </c>
      <c r="AI430" s="418">
        <v>0</v>
      </c>
      <c r="AJ430" s="418">
        <v>0</v>
      </c>
      <c r="AK430" s="418">
        <v>0</v>
      </c>
      <c r="AL430" s="418">
        <f t="shared" si="645"/>
        <v>0</v>
      </c>
      <c r="AM430" s="418">
        <f t="shared" si="646"/>
        <v>0</v>
      </c>
      <c r="AN430" s="418">
        <f t="shared" si="647"/>
        <v>0</v>
      </c>
      <c r="AO430" s="418">
        <f t="shared" si="648"/>
        <v>0</v>
      </c>
      <c r="AP430" s="418">
        <f t="shared" si="649"/>
        <v>0</v>
      </c>
      <c r="AQ430" s="418">
        <f t="shared" si="650"/>
        <v>0</v>
      </c>
      <c r="AR430" s="68">
        <f t="shared" si="651"/>
        <v>0</v>
      </c>
      <c r="AS430" s="68">
        <f t="shared" si="652"/>
        <v>0</v>
      </c>
      <c r="AT430" s="418">
        <v>0</v>
      </c>
      <c r="AU430" s="418">
        <v>0</v>
      </c>
      <c r="AV430" s="418">
        <f t="shared" si="653"/>
        <v>0</v>
      </c>
      <c r="AW430" s="418">
        <f t="shared" si="654"/>
        <v>0</v>
      </c>
      <c r="AX430" s="419">
        <v>0</v>
      </c>
      <c r="AY430" s="419">
        <v>0</v>
      </c>
      <c r="AZ430" s="419">
        <v>0</v>
      </c>
      <c r="BA430" s="419">
        <v>0</v>
      </c>
      <c r="BB430" s="419">
        <v>0</v>
      </c>
      <c r="BC430" s="419">
        <v>0</v>
      </c>
      <c r="BD430" s="419">
        <v>0</v>
      </c>
      <c r="BE430" s="419">
        <v>0</v>
      </c>
      <c r="BF430" s="419">
        <f t="shared" si="655"/>
        <v>0</v>
      </c>
      <c r="BG430" s="419">
        <f t="shared" si="656"/>
        <v>0</v>
      </c>
      <c r="BH430" s="421">
        <f t="shared" si="657"/>
        <v>0</v>
      </c>
      <c r="BI430" s="780">
        <f t="shared" ref="BI430:BI435" si="714">I430+AW430</f>
        <v>4820471</v>
      </c>
      <c r="BJ430" s="418">
        <f t="shared" ref="BJ430:BJ435" si="715">J430+AF430</f>
        <v>3560917</v>
      </c>
      <c r="BK430" s="418">
        <f t="shared" ref="BK430:BL435" si="716">K430+AD430</f>
        <v>3361213</v>
      </c>
      <c r="BL430" s="418">
        <f t="shared" si="716"/>
        <v>199704</v>
      </c>
      <c r="BM430" s="418">
        <f t="shared" ref="BM430:BM435" si="717">M430+AN430</f>
        <v>0</v>
      </c>
      <c r="BN430" s="418">
        <f t="shared" ref="BN430:BO435" si="718">N430+AL430</f>
        <v>0</v>
      </c>
      <c r="BO430" s="418">
        <f t="shared" si="718"/>
        <v>0</v>
      </c>
      <c r="BP430" s="418">
        <f t="shared" ref="BP430:BQ435" si="719">P430+AR430</f>
        <v>1203590</v>
      </c>
      <c r="BQ430" s="418">
        <f t="shared" si="719"/>
        <v>35609</v>
      </c>
      <c r="BR430" s="418">
        <f t="shared" ref="BR430:BR435" si="720">R430+AV430</f>
        <v>20355</v>
      </c>
      <c r="BS430" s="419">
        <f t="shared" ref="BS430:BS435" si="721">S430+BH430</f>
        <v>6.6326999999999998</v>
      </c>
      <c r="BT430" s="419">
        <f t="shared" ref="BT430:BU435" si="722">T430+BF430</f>
        <v>5.8326000000000002</v>
      </c>
      <c r="BU430" s="421">
        <f t="shared" si="722"/>
        <v>0.80010000000000003</v>
      </c>
      <c r="BV430" s="420"/>
      <c r="BW430" s="415"/>
      <c r="BX430" s="415"/>
      <c r="BY430" s="415"/>
      <c r="BZ430" s="415"/>
      <c r="CA430" s="510"/>
    </row>
    <row r="431" spans="1:79" ht="14.1" customHeight="1" x14ac:dyDescent="0.2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695</v>
      </c>
      <c r="F431" s="66">
        <v>3113</v>
      </c>
      <c r="G431" s="65" t="s">
        <v>293</v>
      </c>
      <c r="H431" s="67" t="s">
        <v>271</v>
      </c>
      <c r="I431" s="420">
        <v>15287805</v>
      </c>
      <c r="J431" s="415">
        <v>11188076</v>
      </c>
      <c r="K431" s="415">
        <v>10129360</v>
      </c>
      <c r="L431" s="415">
        <v>1058716</v>
      </c>
      <c r="M431" s="415">
        <v>0</v>
      </c>
      <c r="N431" s="415">
        <v>0</v>
      </c>
      <c r="O431" s="415">
        <v>0</v>
      </c>
      <c r="P431" s="599">
        <v>3781570</v>
      </c>
      <c r="Q431" s="599">
        <v>111881</v>
      </c>
      <c r="R431" s="415">
        <v>206278</v>
      </c>
      <c r="S431" s="416">
        <v>16.7654</v>
      </c>
      <c r="T431" s="416">
        <v>13.6388</v>
      </c>
      <c r="U431" s="423">
        <v>3.1266000000000003</v>
      </c>
      <c r="V431" s="424">
        <f t="shared" si="642"/>
        <v>0</v>
      </c>
      <c r="W431" s="418">
        <f t="shared" si="643"/>
        <v>0</v>
      </c>
      <c r="X431" s="418">
        <v>0</v>
      </c>
      <c r="Y431" s="418">
        <v>0</v>
      </c>
      <c r="Z431" s="418">
        <v>0</v>
      </c>
      <c r="AA431" s="418">
        <v>0</v>
      </c>
      <c r="AB431" s="418">
        <v>0</v>
      </c>
      <c r="AC431" s="418">
        <v>0</v>
      </c>
      <c r="AD431" s="418">
        <f t="shared" si="712"/>
        <v>0</v>
      </c>
      <c r="AE431" s="418">
        <f t="shared" si="713"/>
        <v>0</v>
      </c>
      <c r="AF431" s="418">
        <f t="shared" si="644"/>
        <v>0</v>
      </c>
      <c r="AG431" s="418">
        <v>0</v>
      </c>
      <c r="AH431" s="418">
        <v>0</v>
      </c>
      <c r="AI431" s="418">
        <v>0</v>
      </c>
      <c r="AJ431" s="418">
        <v>0</v>
      </c>
      <c r="AK431" s="418">
        <v>0</v>
      </c>
      <c r="AL431" s="418">
        <f t="shared" si="645"/>
        <v>0</v>
      </c>
      <c r="AM431" s="418">
        <f t="shared" si="646"/>
        <v>0</v>
      </c>
      <c r="AN431" s="418">
        <f t="shared" si="647"/>
        <v>0</v>
      </c>
      <c r="AO431" s="418">
        <f t="shared" si="648"/>
        <v>0</v>
      </c>
      <c r="AP431" s="418">
        <f t="shared" si="649"/>
        <v>0</v>
      </c>
      <c r="AQ431" s="418">
        <f t="shared" si="650"/>
        <v>0</v>
      </c>
      <c r="AR431" s="68">
        <f t="shared" si="651"/>
        <v>0</v>
      </c>
      <c r="AS431" s="68">
        <f t="shared" si="652"/>
        <v>0</v>
      </c>
      <c r="AT431" s="418">
        <v>0</v>
      </c>
      <c r="AU431" s="418">
        <v>0</v>
      </c>
      <c r="AV431" s="418">
        <f t="shared" si="653"/>
        <v>0</v>
      </c>
      <c r="AW431" s="418">
        <f t="shared" si="654"/>
        <v>0</v>
      </c>
      <c r="AX431" s="419">
        <v>0</v>
      </c>
      <c r="AY431" s="419">
        <v>0</v>
      </c>
      <c r="AZ431" s="419">
        <v>0</v>
      </c>
      <c r="BA431" s="419">
        <v>0</v>
      </c>
      <c r="BB431" s="419">
        <v>0</v>
      </c>
      <c r="BC431" s="419">
        <v>0</v>
      </c>
      <c r="BD431" s="419">
        <v>0</v>
      </c>
      <c r="BE431" s="419">
        <v>0</v>
      </c>
      <c r="BF431" s="419">
        <f t="shared" si="655"/>
        <v>0</v>
      </c>
      <c r="BG431" s="419">
        <f t="shared" si="656"/>
        <v>0</v>
      </c>
      <c r="BH431" s="421">
        <f t="shared" si="657"/>
        <v>0</v>
      </c>
      <c r="BI431" s="780">
        <f t="shared" si="714"/>
        <v>15287805</v>
      </c>
      <c r="BJ431" s="418">
        <f t="shared" si="715"/>
        <v>11188076</v>
      </c>
      <c r="BK431" s="418">
        <f t="shared" si="716"/>
        <v>10129360</v>
      </c>
      <c r="BL431" s="418">
        <f t="shared" si="716"/>
        <v>1058716</v>
      </c>
      <c r="BM431" s="418">
        <f t="shared" si="717"/>
        <v>0</v>
      </c>
      <c r="BN431" s="418">
        <f t="shared" si="718"/>
        <v>0</v>
      </c>
      <c r="BO431" s="418">
        <f t="shared" si="718"/>
        <v>0</v>
      </c>
      <c r="BP431" s="418">
        <f t="shared" si="719"/>
        <v>3781570</v>
      </c>
      <c r="BQ431" s="418">
        <f t="shared" si="719"/>
        <v>111881</v>
      </c>
      <c r="BR431" s="418">
        <f t="shared" si="720"/>
        <v>206278</v>
      </c>
      <c r="BS431" s="419">
        <f t="shared" si="721"/>
        <v>16.7654</v>
      </c>
      <c r="BT431" s="419">
        <f t="shared" si="722"/>
        <v>13.6388</v>
      </c>
      <c r="BU431" s="421">
        <f t="shared" si="722"/>
        <v>3.1266000000000003</v>
      </c>
      <c r="BV431" s="420"/>
      <c r="BW431" s="415"/>
      <c r="BX431" s="415"/>
      <c r="BY431" s="415"/>
      <c r="BZ431" s="415"/>
      <c r="CA431" s="510"/>
    </row>
    <row r="432" spans="1:79" ht="14.1" customHeight="1" x14ac:dyDescent="0.2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695</v>
      </c>
      <c r="F432" s="66">
        <v>3113</v>
      </c>
      <c r="G432" s="77" t="s">
        <v>291</v>
      </c>
      <c r="H432" s="67" t="s">
        <v>272</v>
      </c>
      <c r="I432" s="420">
        <v>2959428</v>
      </c>
      <c r="J432" s="415">
        <v>2195421</v>
      </c>
      <c r="K432" s="415">
        <v>2195421</v>
      </c>
      <c r="L432" s="415">
        <v>0</v>
      </c>
      <c r="M432" s="415">
        <v>0</v>
      </c>
      <c r="N432" s="415">
        <v>0</v>
      </c>
      <c r="O432" s="415">
        <v>0</v>
      </c>
      <c r="P432" s="599">
        <v>742053</v>
      </c>
      <c r="Q432" s="599">
        <v>21954</v>
      </c>
      <c r="R432" s="415">
        <v>0</v>
      </c>
      <c r="S432" s="416">
        <v>5.53</v>
      </c>
      <c r="T432" s="417">
        <v>5.53</v>
      </c>
      <c r="U432" s="423">
        <v>0</v>
      </c>
      <c r="V432" s="424">
        <f t="shared" si="642"/>
        <v>0</v>
      </c>
      <c r="W432" s="418">
        <f t="shared" si="643"/>
        <v>0</v>
      </c>
      <c r="X432" s="418">
        <v>0</v>
      </c>
      <c r="Y432" s="418">
        <v>0</v>
      </c>
      <c r="Z432" s="418">
        <v>0</v>
      </c>
      <c r="AA432" s="418">
        <v>0</v>
      </c>
      <c r="AB432" s="418">
        <v>0</v>
      </c>
      <c r="AC432" s="418">
        <v>0</v>
      </c>
      <c r="AD432" s="418">
        <f t="shared" si="712"/>
        <v>0</v>
      </c>
      <c r="AE432" s="418">
        <f t="shared" si="713"/>
        <v>0</v>
      </c>
      <c r="AF432" s="418">
        <f t="shared" si="644"/>
        <v>0</v>
      </c>
      <c r="AG432" s="418">
        <v>0</v>
      </c>
      <c r="AH432" s="418">
        <v>0</v>
      </c>
      <c r="AI432" s="418">
        <v>0</v>
      </c>
      <c r="AJ432" s="418">
        <v>0</v>
      </c>
      <c r="AK432" s="418">
        <v>0</v>
      </c>
      <c r="AL432" s="418">
        <f t="shared" si="645"/>
        <v>0</v>
      </c>
      <c r="AM432" s="418">
        <f t="shared" si="646"/>
        <v>0</v>
      </c>
      <c r="AN432" s="418">
        <f t="shared" si="647"/>
        <v>0</v>
      </c>
      <c r="AO432" s="418">
        <f t="shared" si="648"/>
        <v>0</v>
      </c>
      <c r="AP432" s="418">
        <f t="shared" si="649"/>
        <v>0</v>
      </c>
      <c r="AQ432" s="418">
        <f t="shared" si="650"/>
        <v>0</v>
      </c>
      <c r="AR432" s="68">
        <f t="shared" si="651"/>
        <v>0</v>
      </c>
      <c r="AS432" s="68">
        <f t="shared" si="652"/>
        <v>0</v>
      </c>
      <c r="AT432" s="418">
        <v>0</v>
      </c>
      <c r="AU432" s="418">
        <v>0</v>
      </c>
      <c r="AV432" s="418">
        <f t="shared" si="653"/>
        <v>0</v>
      </c>
      <c r="AW432" s="418">
        <f t="shared" si="654"/>
        <v>0</v>
      </c>
      <c r="AX432" s="419">
        <v>0</v>
      </c>
      <c r="AY432" s="419">
        <v>0</v>
      </c>
      <c r="AZ432" s="419">
        <v>0</v>
      </c>
      <c r="BA432" s="419">
        <v>0</v>
      </c>
      <c r="BB432" s="419">
        <v>0</v>
      </c>
      <c r="BC432" s="419">
        <v>0</v>
      </c>
      <c r="BD432" s="419">
        <v>0</v>
      </c>
      <c r="BE432" s="419">
        <v>0</v>
      </c>
      <c r="BF432" s="419">
        <f t="shared" si="655"/>
        <v>0</v>
      </c>
      <c r="BG432" s="419">
        <f t="shared" si="656"/>
        <v>0</v>
      </c>
      <c r="BH432" s="421">
        <f t="shared" si="657"/>
        <v>0</v>
      </c>
      <c r="BI432" s="780">
        <f t="shared" si="714"/>
        <v>2959428</v>
      </c>
      <c r="BJ432" s="418">
        <f t="shared" si="715"/>
        <v>2195421</v>
      </c>
      <c r="BK432" s="418">
        <f t="shared" si="716"/>
        <v>2195421</v>
      </c>
      <c r="BL432" s="418">
        <f t="shared" si="716"/>
        <v>0</v>
      </c>
      <c r="BM432" s="418">
        <f t="shared" si="717"/>
        <v>0</v>
      </c>
      <c r="BN432" s="418">
        <f t="shared" si="718"/>
        <v>0</v>
      </c>
      <c r="BO432" s="418">
        <f t="shared" si="718"/>
        <v>0</v>
      </c>
      <c r="BP432" s="418">
        <f t="shared" si="719"/>
        <v>742053</v>
      </c>
      <c r="BQ432" s="418">
        <f t="shared" si="719"/>
        <v>21954</v>
      </c>
      <c r="BR432" s="418">
        <f t="shared" si="720"/>
        <v>0</v>
      </c>
      <c r="BS432" s="419">
        <f t="shared" si="721"/>
        <v>5.53</v>
      </c>
      <c r="BT432" s="419">
        <f t="shared" si="722"/>
        <v>5.53</v>
      </c>
      <c r="BU432" s="421">
        <f t="shared" si="722"/>
        <v>0</v>
      </c>
      <c r="BV432" s="420"/>
      <c r="BW432" s="415"/>
      <c r="BX432" s="415"/>
      <c r="BY432" s="415"/>
      <c r="BZ432" s="415"/>
      <c r="CA432" s="510"/>
    </row>
    <row r="433" spans="1:79" ht="14.1" customHeight="1" x14ac:dyDescent="0.2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695</v>
      </c>
      <c r="F433" s="66">
        <v>3141</v>
      </c>
      <c r="G433" s="65" t="s">
        <v>294</v>
      </c>
      <c r="H433" s="67" t="s">
        <v>272</v>
      </c>
      <c r="I433" s="420">
        <v>1645403</v>
      </c>
      <c r="J433" s="415">
        <v>1213867</v>
      </c>
      <c r="K433" s="415">
        <v>0</v>
      </c>
      <c r="L433" s="750">
        <v>1213867</v>
      </c>
      <c r="M433" s="415">
        <v>0</v>
      </c>
      <c r="N433" s="204">
        <v>0</v>
      </c>
      <c r="O433" s="204">
        <v>0</v>
      </c>
      <c r="P433" s="599">
        <v>410287</v>
      </c>
      <c r="Q433" s="599">
        <v>12139</v>
      </c>
      <c r="R433" s="605">
        <v>9110</v>
      </c>
      <c r="S433" s="416">
        <v>3.6399999999999997</v>
      </c>
      <c r="T433" s="607">
        <v>0</v>
      </c>
      <c r="U433" s="737">
        <v>3.6399999999999997</v>
      </c>
      <c r="V433" s="424">
        <f t="shared" si="642"/>
        <v>0</v>
      </c>
      <c r="W433" s="418">
        <f t="shared" si="643"/>
        <v>0</v>
      </c>
      <c r="X433" s="418">
        <v>0</v>
      </c>
      <c r="Y433" s="418">
        <v>0</v>
      </c>
      <c r="Z433" s="418">
        <v>0</v>
      </c>
      <c r="AA433" s="418">
        <v>606659</v>
      </c>
      <c r="AB433" s="418">
        <v>0</v>
      </c>
      <c r="AC433" s="418">
        <v>0</v>
      </c>
      <c r="AD433" s="418">
        <f t="shared" si="712"/>
        <v>0</v>
      </c>
      <c r="AE433" s="418">
        <f t="shared" si="713"/>
        <v>606659</v>
      </c>
      <c r="AF433" s="418">
        <f t="shared" si="644"/>
        <v>606659</v>
      </c>
      <c r="AG433" s="418">
        <v>0</v>
      </c>
      <c r="AH433" s="418">
        <v>0</v>
      </c>
      <c r="AI433" s="418">
        <v>0</v>
      </c>
      <c r="AJ433" s="418">
        <v>0</v>
      </c>
      <c r="AK433" s="418">
        <v>0</v>
      </c>
      <c r="AL433" s="418">
        <f t="shared" si="645"/>
        <v>0</v>
      </c>
      <c r="AM433" s="418">
        <f t="shared" si="646"/>
        <v>0</v>
      </c>
      <c r="AN433" s="418">
        <f t="shared" si="647"/>
        <v>0</v>
      </c>
      <c r="AO433" s="418">
        <f t="shared" si="648"/>
        <v>0</v>
      </c>
      <c r="AP433" s="418">
        <f t="shared" si="649"/>
        <v>606659</v>
      </c>
      <c r="AQ433" s="418">
        <f t="shared" si="650"/>
        <v>606659</v>
      </c>
      <c r="AR433" s="68">
        <f t="shared" si="651"/>
        <v>205051</v>
      </c>
      <c r="AS433" s="68">
        <f t="shared" si="652"/>
        <v>6067</v>
      </c>
      <c r="AT433" s="418">
        <v>0</v>
      </c>
      <c r="AU433" s="418">
        <v>4418</v>
      </c>
      <c r="AV433" s="418">
        <f t="shared" si="653"/>
        <v>4418</v>
      </c>
      <c r="AW433" s="418">
        <f t="shared" si="654"/>
        <v>822195</v>
      </c>
      <c r="AX433" s="419">
        <v>0</v>
      </c>
      <c r="AY433" s="419">
        <v>0</v>
      </c>
      <c r="AZ433" s="419">
        <v>0</v>
      </c>
      <c r="BA433" s="419">
        <v>0</v>
      </c>
      <c r="BB433" s="419">
        <v>1.82</v>
      </c>
      <c r="BC433" s="419">
        <v>0</v>
      </c>
      <c r="BD433" s="419">
        <v>0</v>
      </c>
      <c r="BE433" s="419">
        <v>0</v>
      </c>
      <c r="BF433" s="419">
        <f t="shared" si="655"/>
        <v>0</v>
      </c>
      <c r="BG433" s="419">
        <f t="shared" si="656"/>
        <v>1.82</v>
      </c>
      <c r="BH433" s="421">
        <f t="shared" si="657"/>
        <v>1.82</v>
      </c>
      <c r="BI433" s="780">
        <f t="shared" si="714"/>
        <v>2467598</v>
      </c>
      <c r="BJ433" s="418">
        <f t="shared" si="715"/>
        <v>1820526</v>
      </c>
      <c r="BK433" s="418">
        <f t="shared" si="716"/>
        <v>0</v>
      </c>
      <c r="BL433" s="418">
        <f t="shared" si="716"/>
        <v>1820526</v>
      </c>
      <c r="BM433" s="418">
        <f t="shared" si="717"/>
        <v>0</v>
      </c>
      <c r="BN433" s="418">
        <f t="shared" si="718"/>
        <v>0</v>
      </c>
      <c r="BO433" s="418">
        <f t="shared" si="718"/>
        <v>0</v>
      </c>
      <c r="BP433" s="418">
        <f t="shared" si="719"/>
        <v>615338</v>
      </c>
      <c r="BQ433" s="418">
        <f t="shared" si="719"/>
        <v>18206</v>
      </c>
      <c r="BR433" s="418">
        <f t="shared" si="720"/>
        <v>13528</v>
      </c>
      <c r="BS433" s="419">
        <f t="shared" si="721"/>
        <v>5.46</v>
      </c>
      <c r="BT433" s="419">
        <f t="shared" si="722"/>
        <v>0</v>
      </c>
      <c r="BU433" s="421">
        <f t="shared" si="722"/>
        <v>5.46</v>
      </c>
      <c r="BV433" s="420"/>
      <c r="BW433" s="415"/>
      <c r="BX433" s="415"/>
      <c r="BY433" s="415"/>
      <c r="BZ433" s="415"/>
      <c r="CA433" s="510"/>
    </row>
    <row r="434" spans="1:79" ht="14.1" customHeight="1" x14ac:dyDescent="0.2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695</v>
      </c>
      <c r="F434" s="66">
        <v>3143</v>
      </c>
      <c r="G434" s="77" t="s">
        <v>595</v>
      </c>
      <c r="H434" s="67" t="s">
        <v>271</v>
      </c>
      <c r="I434" s="420">
        <v>2090533</v>
      </c>
      <c r="J434" s="415">
        <v>1550841</v>
      </c>
      <c r="K434" s="415">
        <v>1550841</v>
      </c>
      <c r="L434" s="415">
        <v>0</v>
      </c>
      <c r="M434" s="415">
        <v>0</v>
      </c>
      <c r="N434" s="415">
        <v>0</v>
      </c>
      <c r="O434" s="415">
        <v>0</v>
      </c>
      <c r="P434" s="599">
        <v>524184</v>
      </c>
      <c r="Q434" s="599">
        <v>15508</v>
      </c>
      <c r="R434" s="415">
        <v>0</v>
      </c>
      <c r="S434" s="416">
        <v>2.9630000000000001</v>
      </c>
      <c r="T434" s="416">
        <v>2.9630000000000001</v>
      </c>
      <c r="U434" s="423">
        <v>0</v>
      </c>
      <c r="V434" s="424">
        <f t="shared" si="642"/>
        <v>0</v>
      </c>
      <c r="W434" s="418">
        <f t="shared" si="643"/>
        <v>0</v>
      </c>
      <c r="X434" s="418">
        <v>0</v>
      </c>
      <c r="Y434" s="418">
        <v>0</v>
      </c>
      <c r="Z434" s="418">
        <v>0</v>
      </c>
      <c r="AA434" s="418">
        <v>0</v>
      </c>
      <c r="AB434" s="418">
        <v>0</v>
      </c>
      <c r="AC434" s="418">
        <v>0</v>
      </c>
      <c r="AD434" s="418">
        <f t="shared" si="712"/>
        <v>0</v>
      </c>
      <c r="AE434" s="418">
        <f t="shared" si="713"/>
        <v>0</v>
      </c>
      <c r="AF434" s="418">
        <f t="shared" si="644"/>
        <v>0</v>
      </c>
      <c r="AG434" s="418">
        <v>0</v>
      </c>
      <c r="AH434" s="418">
        <v>0</v>
      </c>
      <c r="AI434" s="418">
        <v>0</v>
      </c>
      <c r="AJ434" s="418">
        <v>0</v>
      </c>
      <c r="AK434" s="418">
        <v>0</v>
      </c>
      <c r="AL434" s="418">
        <f t="shared" si="645"/>
        <v>0</v>
      </c>
      <c r="AM434" s="418">
        <f t="shared" si="646"/>
        <v>0</v>
      </c>
      <c r="AN434" s="418">
        <f t="shared" si="647"/>
        <v>0</v>
      </c>
      <c r="AO434" s="418">
        <f t="shared" si="648"/>
        <v>0</v>
      </c>
      <c r="AP434" s="418">
        <f t="shared" si="649"/>
        <v>0</v>
      </c>
      <c r="AQ434" s="418">
        <f t="shared" si="650"/>
        <v>0</v>
      </c>
      <c r="AR434" s="68">
        <f t="shared" si="651"/>
        <v>0</v>
      </c>
      <c r="AS434" s="68">
        <f t="shared" si="652"/>
        <v>0</v>
      </c>
      <c r="AT434" s="418">
        <v>0</v>
      </c>
      <c r="AU434" s="418">
        <v>0</v>
      </c>
      <c r="AV434" s="418">
        <f t="shared" si="653"/>
        <v>0</v>
      </c>
      <c r="AW434" s="418">
        <f t="shared" si="654"/>
        <v>0</v>
      </c>
      <c r="AX434" s="419">
        <v>0</v>
      </c>
      <c r="AY434" s="419">
        <v>0</v>
      </c>
      <c r="AZ434" s="419">
        <v>0</v>
      </c>
      <c r="BA434" s="419">
        <v>0</v>
      </c>
      <c r="BB434" s="419">
        <v>0</v>
      </c>
      <c r="BC434" s="419">
        <v>0</v>
      </c>
      <c r="BD434" s="419">
        <v>0</v>
      </c>
      <c r="BE434" s="419">
        <v>0</v>
      </c>
      <c r="BF434" s="419">
        <f t="shared" si="655"/>
        <v>0</v>
      </c>
      <c r="BG434" s="419">
        <f t="shared" si="656"/>
        <v>0</v>
      </c>
      <c r="BH434" s="421">
        <f t="shared" si="657"/>
        <v>0</v>
      </c>
      <c r="BI434" s="780">
        <f t="shared" si="714"/>
        <v>2090533</v>
      </c>
      <c r="BJ434" s="418">
        <f t="shared" si="715"/>
        <v>1550841</v>
      </c>
      <c r="BK434" s="418">
        <f t="shared" si="716"/>
        <v>1550841</v>
      </c>
      <c r="BL434" s="418">
        <f t="shared" si="716"/>
        <v>0</v>
      </c>
      <c r="BM434" s="418">
        <f t="shared" si="717"/>
        <v>0</v>
      </c>
      <c r="BN434" s="418">
        <f t="shared" si="718"/>
        <v>0</v>
      </c>
      <c r="BO434" s="418">
        <f t="shared" si="718"/>
        <v>0</v>
      </c>
      <c r="BP434" s="418">
        <f t="shared" si="719"/>
        <v>524184</v>
      </c>
      <c r="BQ434" s="418">
        <f t="shared" si="719"/>
        <v>15508</v>
      </c>
      <c r="BR434" s="418">
        <f t="shared" si="720"/>
        <v>0</v>
      </c>
      <c r="BS434" s="419">
        <f t="shared" si="721"/>
        <v>2.9630000000000001</v>
      </c>
      <c r="BT434" s="419">
        <f t="shared" si="722"/>
        <v>2.9630000000000001</v>
      </c>
      <c r="BU434" s="421">
        <f t="shared" si="722"/>
        <v>0</v>
      </c>
      <c r="BV434" s="420"/>
      <c r="BW434" s="415"/>
      <c r="BX434" s="415"/>
      <c r="BY434" s="415"/>
      <c r="BZ434" s="415"/>
      <c r="CA434" s="510"/>
    </row>
    <row r="435" spans="1:79" ht="14.1" customHeight="1" x14ac:dyDescent="0.2">
      <c r="A435" s="66">
        <v>84</v>
      </c>
      <c r="B435" s="63">
        <v>2495</v>
      </c>
      <c r="C435" s="64">
        <v>600080196</v>
      </c>
      <c r="D435" s="63">
        <v>70983810</v>
      </c>
      <c r="E435" s="65" t="s">
        <v>695</v>
      </c>
      <c r="F435" s="66">
        <v>3143</v>
      </c>
      <c r="G435" s="77" t="s">
        <v>596</v>
      </c>
      <c r="H435" s="67" t="s">
        <v>272</v>
      </c>
      <c r="I435" s="420">
        <v>51231</v>
      </c>
      <c r="J435" s="415">
        <v>36670</v>
      </c>
      <c r="K435" s="415">
        <v>0</v>
      </c>
      <c r="L435" s="605">
        <v>36670</v>
      </c>
      <c r="M435" s="415">
        <v>0</v>
      </c>
      <c r="N435" s="415">
        <v>0</v>
      </c>
      <c r="O435" s="415">
        <v>0</v>
      </c>
      <c r="P435" s="599">
        <v>12394</v>
      </c>
      <c r="Q435" s="599">
        <v>367</v>
      </c>
      <c r="R435" s="606">
        <v>1800</v>
      </c>
      <c r="S435" s="416">
        <v>0.1389</v>
      </c>
      <c r="T435" s="609">
        <v>0</v>
      </c>
      <c r="U435" s="737">
        <v>0.1389</v>
      </c>
      <c r="V435" s="424">
        <f t="shared" si="642"/>
        <v>0</v>
      </c>
      <c r="W435" s="418">
        <f t="shared" si="643"/>
        <v>0</v>
      </c>
      <c r="X435" s="418">
        <v>0</v>
      </c>
      <c r="Y435" s="418">
        <v>0</v>
      </c>
      <c r="Z435" s="418">
        <v>0</v>
      </c>
      <c r="AA435" s="418">
        <v>18330</v>
      </c>
      <c r="AB435" s="418">
        <v>0</v>
      </c>
      <c r="AC435" s="418">
        <v>0</v>
      </c>
      <c r="AD435" s="418">
        <f t="shared" si="712"/>
        <v>0</v>
      </c>
      <c r="AE435" s="418">
        <f t="shared" si="713"/>
        <v>18330</v>
      </c>
      <c r="AF435" s="418">
        <f t="shared" si="644"/>
        <v>18330</v>
      </c>
      <c r="AG435" s="418">
        <v>0</v>
      </c>
      <c r="AH435" s="418">
        <v>0</v>
      </c>
      <c r="AI435" s="418">
        <v>0</v>
      </c>
      <c r="AJ435" s="418">
        <v>0</v>
      </c>
      <c r="AK435" s="418">
        <v>0</v>
      </c>
      <c r="AL435" s="418">
        <f t="shared" si="645"/>
        <v>0</v>
      </c>
      <c r="AM435" s="418">
        <f t="shared" si="646"/>
        <v>0</v>
      </c>
      <c r="AN435" s="418">
        <f t="shared" si="647"/>
        <v>0</v>
      </c>
      <c r="AO435" s="418">
        <f t="shared" si="648"/>
        <v>0</v>
      </c>
      <c r="AP435" s="418">
        <f t="shared" si="649"/>
        <v>18330</v>
      </c>
      <c r="AQ435" s="418">
        <f t="shared" si="650"/>
        <v>18330</v>
      </c>
      <c r="AR435" s="68">
        <f t="shared" si="651"/>
        <v>6196</v>
      </c>
      <c r="AS435" s="68">
        <f t="shared" si="652"/>
        <v>183</v>
      </c>
      <c r="AT435" s="418">
        <v>0</v>
      </c>
      <c r="AU435" s="418">
        <v>900</v>
      </c>
      <c r="AV435" s="418">
        <f t="shared" si="653"/>
        <v>900</v>
      </c>
      <c r="AW435" s="418">
        <f t="shared" si="654"/>
        <v>25609</v>
      </c>
      <c r="AX435" s="419">
        <v>0</v>
      </c>
      <c r="AY435" s="419">
        <v>0</v>
      </c>
      <c r="AZ435" s="419">
        <v>0</v>
      </c>
      <c r="BA435" s="419">
        <v>0</v>
      </c>
      <c r="BB435" s="419">
        <v>7.0000000000000007E-2</v>
      </c>
      <c r="BC435" s="419">
        <v>0</v>
      </c>
      <c r="BD435" s="419">
        <v>0</v>
      </c>
      <c r="BE435" s="419">
        <v>0</v>
      </c>
      <c r="BF435" s="419">
        <f t="shared" si="655"/>
        <v>0</v>
      </c>
      <c r="BG435" s="419">
        <f t="shared" si="656"/>
        <v>7.0000000000000007E-2</v>
      </c>
      <c r="BH435" s="421">
        <f t="shared" si="657"/>
        <v>7.0000000000000007E-2</v>
      </c>
      <c r="BI435" s="780">
        <f t="shared" si="714"/>
        <v>76840</v>
      </c>
      <c r="BJ435" s="418">
        <f t="shared" si="715"/>
        <v>55000</v>
      </c>
      <c r="BK435" s="418">
        <f t="shared" si="716"/>
        <v>0</v>
      </c>
      <c r="BL435" s="418">
        <f t="shared" si="716"/>
        <v>55000</v>
      </c>
      <c r="BM435" s="418">
        <f t="shared" si="717"/>
        <v>0</v>
      </c>
      <c r="BN435" s="418">
        <f t="shared" si="718"/>
        <v>0</v>
      </c>
      <c r="BO435" s="418">
        <f t="shared" si="718"/>
        <v>0</v>
      </c>
      <c r="BP435" s="418">
        <f t="shared" si="719"/>
        <v>18590</v>
      </c>
      <c r="BQ435" s="418">
        <f t="shared" si="719"/>
        <v>550</v>
      </c>
      <c r="BR435" s="418">
        <f t="shared" si="720"/>
        <v>2700</v>
      </c>
      <c r="BS435" s="419">
        <f t="shared" si="721"/>
        <v>0.2089</v>
      </c>
      <c r="BT435" s="419">
        <f t="shared" si="722"/>
        <v>0</v>
      </c>
      <c r="BU435" s="421">
        <f t="shared" si="722"/>
        <v>0.2089</v>
      </c>
      <c r="BV435" s="420"/>
      <c r="BW435" s="415"/>
      <c r="BX435" s="415"/>
      <c r="BY435" s="415"/>
      <c r="BZ435" s="415"/>
      <c r="CA435" s="510"/>
    </row>
    <row r="436" spans="1:79" ht="14.1" customHeight="1" x14ac:dyDescent="0.2">
      <c r="A436" s="72">
        <v>84</v>
      </c>
      <c r="B436" s="69">
        <v>2495</v>
      </c>
      <c r="C436" s="70">
        <v>600080196</v>
      </c>
      <c r="D436" s="69">
        <v>70983810</v>
      </c>
      <c r="E436" s="71" t="s">
        <v>696</v>
      </c>
      <c r="F436" s="72"/>
      <c r="G436" s="71"/>
      <c r="H436" s="73"/>
      <c r="I436" s="517">
        <v>26854871</v>
      </c>
      <c r="J436" s="74">
        <v>19745792</v>
      </c>
      <c r="K436" s="74">
        <v>17236835</v>
      </c>
      <c r="L436" s="74">
        <v>2508957</v>
      </c>
      <c r="M436" s="74">
        <v>0</v>
      </c>
      <c r="N436" s="74">
        <v>0</v>
      </c>
      <c r="O436" s="74">
        <v>0</v>
      </c>
      <c r="P436" s="74">
        <v>6674078</v>
      </c>
      <c r="Q436" s="74">
        <v>197458</v>
      </c>
      <c r="R436" s="74">
        <v>237543</v>
      </c>
      <c r="S436" s="75">
        <v>35.67</v>
      </c>
      <c r="T436" s="75">
        <v>27.964400000000001</v>
      </c>
      <c r="U436" s="658">
        <v>7.7055999999999996</v>
      </c>
      <c r="V436" s="517">
        <f t="shared" ref="V436:BU436" si="723">SUM(V430:V435)</f>
        <v>0</v>
      </c>
      <c r="W436" s="74">
        <f t="shared" si="723"/>
        <v>0</v>
      </c>
      <c r="X436" s="74">
        <f t="shared" si="723"/>
        <v>0</v>
      </c>
      <c r="Y436" s="74">
        <f t="shared" si="723"/>
        <v>0</v>
      </c>
      <c r="Z436" s="74">
        <f t="shared" si="723"/>
        <v>0</v>
      </c>
      <c r="AA436" s="74">
        <f t="shared" si="723"/>
        <v>624989</v>
      </c>
      <c r="AB436" s="74">
        <f t="shared" si="723"/>
        <v>0</v>
      </c>
      <c r="AC436" s="74">
        <f t="shared" si="723"/>
        <v>0</v>
      </c>
      <c r="AD436" s="74">
        <f t="shared" si="723"/>
        <v>0</v>
      </c>
      <c r="AE436" s="74">
        <f t="shared" si="723"/>
        <v>624989</v>
      </c>
      <c r="AF436" s="74">
        <f t="shared" si="723"/>
        <v>624989</v>
      </c>
      <c r="AG436" s="74">
        <f t="shared" si="723"/>
        <v>0</v>
      </c>
      <c r="AH436" s="74">
        <f t="shared" si="723"/>
        <v>0</v>
      </c>
      <c r="AI436" s="74">
        <f t="shared" si="723"/>
        <v>0</v>
      </c>
      <c r="AJ436" s="74">
        <f t="shared" si="723"/>
        <v>0</v>
      </c>
      <c r="AK436" s="74">
        <f t="shared" si="723"/>
        <v>0</v>
      </c>
      <c r="AL436" s="74">
        <f t="shared" si="723"/>
        <v>0</v>
      </c>
      <c r="AM436" s="74">
        <f t="shared" si="723"/>
        <v>0</v>
      </c>
      <c r="AN436" s="74">
        <f t="shared" si="723"/>
        <v>0</v>
      </c>
      <c r="AO436" s="74">
        <f t="shared" si="723"/>
        <v>0</v>
      </c>
      <c r="AP436" s="74">
        <f t="shared" si="723"/>
        <v>624989</v>
      </c>
      <c r="AQ436" s="74">
        <f t="shared" si="723"/>
        <v>624989</v>
      </c>
      <c r="AR436" s="74">
        <f t="shared" si="723"/>
        <v>211247</v>
      </c>
      <c r="AS436" s="74">
        <f t="shared" si="723"/>
        <v>6250</v>
      </c>
      <c r="AT436" s="74">
        <f t="shared" si="723"/>
        <v>0</v>
      </c>
      <c r="AU436" s="74">
        <f t="shared" si="723"/>
        <v>5318</v>
      </c>
      <c r="AV436" s="74">
        <f t="shared" si="723"/>
        <v>5318</v>
      </c>
      <c r="AW436" s="74">
        <f t="shared" si="723"/>
        <v>847804</v>
      </c>
      <c r="AX436" s="75">
        <f t="shared" si="723"/>
        <v>0</v>
      </c>
      <c r="AY436" s="75">
        <f t="shared" si="723"/>
        <v>0</v>
      </c>
      <c r="AZ436" s="75">
        <f t="shared" si="723"/>
        <v>0</v>
      </c>
      <c r="BA436" s="75">
        <f t="shared" si="723"/>
        <v>0</v>
      </c>
      <c r="BB436" s="75">
        <f t="shared" si="723"/>
        <v>1.8900000000000001</v>
      </c>
      <c r="BC436" s="75">
        <f t="shared" si="723"/>
        <v>0</v>
      </c>
      <c r="BD436" s="75">
        <f t="shared" si="723"/>
        <v>0</v>
      </c>
      <c r="BE436" s="75">
        <f t="shared" si="723"/>
        <v>0</v>
      </c>
      <c r="BF436" s="75">
        <f t="shared" si="723"/>
        <v>0</v>
      </c>
      <c r="BG436" s="75">
        <f t="shared" si="723"/>
        <v>1.8900000000000001</v>
      </c>
      <c r="BH436" s="76">
        <f t="shared" si="723"/>
        <v>1.8900000000000001</v>
      </c>
      <c r="BI436" s="799">
        <f t="shared" si="723"/>
        <v>27702675</v>
      </c>
      <c r="BJ436" s="74">
        <f t="shared" si="723"/>
        <v>20370781</v>
      </c>
      <c r="BK436" s="74">
        <f t="shared" si="723"/>
        <v>17236835</v>
      </c>
      <c r="BL436" s="74">
        <f t="shared" si="723"/>
        <v>3133946</v>
      </c>
      <c r="BM436" s="74">
        <f t="shared" si="723"/>
        <v>0</v>
      </c>
      <c r="BN436" s="74">
        <f t="shared" si="723"/>
        <v>0</v>
      </c>
      <c r="BO436" s="74">
        <f t="shared" si="723"/>
        <v>0</v>
      </c>
      <c r="BP436" s="74">
        <f t="shared" si="723"/>
        <v>6885325</v>
      </c>
      <c r="BQ436" s="74">
        <f t="shared" si="723"/>
        <v>203708</v>
      </c>
      <c r="BR436" s="74">
        <f t="shared" si="723"/>
        <v>242861</v>
      </c>
      <c r="BS436" s="75">
        <f t="shared" si="723"/>
        <v>37.56</v>
      </c>
      <c r="BT436" s="75">
        <f t="shared" si="723"/>
        <v>27.964400000000001</v>
      </c>
      <c r="BU436" s="76">
        <f t="shared" si="723"/>
        <v>9.595600000000001</v>
      </c>
      <c r="BV436" s="809">
        <f t="shared" ref="BV436:CA436" si="724">SUM(BV430:BV435)</f>
        <v>0</v>
      </c>
      <c r="BW436" s="684">
        <f t="shared" si="724"/>
        <v>0</v>
      </c>
      <c r="BX436" s="684">
        <f t="shared" si="724"/>
        <v>0</v>
      </c>
      <c r="BY436" s="684">
        <f t="shared" si="724"/>
        <v>0</v>
      </c>
      <c r="BZ436" s="684">
        <f t="shared" si="724"/>
        <v>0</v>
      </c>
      <c r="CA436" s="810">
        <f t="shared" si="724"/>
        <v>0</v>
      </c>
    </row>
    <row r="437" spans="1:79" ht="14.1" customHeight="1" x14ac:dyDescent="0.2">
      <c r="A437" s="66">
        <v>85</v>
      </c>
      <c r="B437" s="63">
        <v>2305</v>
      </c>
      <c r="C437" s="64">
        <v>650026080</v>
      </c>
      <c r="D437" s="63">
        <v>72741686</v>
      </c>
      <c r="E437" s="65" t="s">
        <v>697</v>
      </c>
      <c r="F437" s="66">
        <v>3111</v>
      </c>
      <c r="G437" s="65" t="s">
        <v>290</v>
      </c>
      <c r="H437" s="67" t="s">
        <v>271</v>
      </c>
      <c r="I437" s="420">
        <v>3180445</v>
      </c>
      <c r="J437" s="415">
        <v>2351061</v>
      </c>
      <c r="K437" s="415">
        <v>2217925</v>
      </c>
      <c r="L437" s="415">
        <v>133136</v>
      </c>
      <c r="M437" s="415">
        <v>0</v>
      </c>
      <c r="N437" s="415">
        <v>0</v>
      </c>
      <c r="O437" s="415">
        <v>0</v>
      </c>
      <c r="P437" s="599">
        <v>794659</v>
      </c>
      <c r="Q437" s="599">
        <v>23511</v>
      </c>
      <c r="R437" s="415">
        <v>11214</v>
      </c>
      <c r="S437" s="416">
        <v>4.4043999999999999</v>
      </c>
      <c r="T437" s="416">
        <v>3.871</v>
      </c>
      <c r="U437" s="423">
        <v>0.53339999999999999</v>
      </c>
      <c r="V437" s="424">
        <f t="shared" si="642"/>
        <v>0</v>
      </c>
      <c r="W437" s="418">
        <f t="shared" si="643"/>
        <v>0</v>
      </c>
      <c r="X437" s="418">
        <v>0</v>
      </c>
      <c r="Y437" s="418">
        <v>0</v>
      </c>
      <c r="Z437" s="418">
        <v>0</v>
      </c>
      <c r="AA437" s="418">
        <v>0</v>
      </c>
      <c r="AB437" s="418">
        <v>0</v>
      </c>
      <c r="AC437" s="418">
        <v>0</v>
      </c>
      <c r="AD437" s="418">
        <f t="shared" ref="AD437:AD442" si="725">V437+X437+Y437+Z437+AB437</f>
        <v>0</v>
      </c>
      <c r="AE437" s="418">
        <f t="shared" ref="AE437:AE442" si="726">W437+AA437+AC437</f>
        <v>0</v>
      </c>
      <c r="AF437" s="418">
        <f t="shared" si="644"/>
        <v>0</v>
      </c>
      <c r="AG437" s="418">
        <v>0</v>
      </c>
      <c r="AH437" s="418">
        <v>0</v>
      </c>
      <c r="AI437" s="418">
        <v>0</v>
      </c>
      <c r="AJ437" s="418">
        <v>0</v>
      </c>
      <c r="AK437" s="418">
        <v>0</v>
      </c>
      <c r="AL437" s="418">
        <f t="shared" si="645"/>
        <v>0</v>
      </c>
      <c r="AM437" s="418">
        <f t="shared" si="646"/>
        <v>0</v>
      </c>
      <c r="AN437" s="418">
        <f t="shared" si="647"/>
        <v>0</v>
      </c>
      <c r="AO437" s="418">
        <f t="shared" si="648"/>
        <v>0</v>
      </c>
      <c r="AP437" s="418">
        <f t="shared" si="649"/>
        <v>0</v>
      </c>
      <c r="AQ437" s="418">
        <f t="shared" si="650"/>
        <v>0</v>
      </c>
      <c r="AR437" s="68">
        <f t="shared" si="651"/>
        <v>0</v>
      </c>
      <c r="AS437" s="68">
        <f t="shared" si="652"/>
        <v>0</v>
      </c>
      <c r="AT437" s="418">
        <v>0</v>
      </c>
      <c r="AU437" s="418">
        <v>0</v>
      </c>
      <c r="AV437" s="418">
        <f t="shared" si="653"/>
        <v>0</v>
      </c>
      <c r="AW437" s="418">
        <f t="shared" si="654"/>
        <v>0</v>
      </c>
      <c r="AX437" s="419">
        <v>0</v>
      </c>
      <c r="AY437" s="419">
        <v>0</v>
      </c>
      <c r="AZ437" s="419">
        <v>0</v>
      </c>
      <c r="BA437" s="419">
        <v>0</v>
      </c>
      <c r="BB437" s="419">
        <v>0</v>
      </c>
      <c r="BC437" s="419">
        <v>0</v>
      </c>
      <c r="BD437" s="419">
        <v>0</v>
      </c>
      <c r="BE437" s="419">
        <v>0</v>
      </c>
      <c r="BF437" s="419">
        <f t="shared" si="655"/>
        <v>0</v>
      </c>
      <c r="BG437" s="419">
        <f t="shared" si="656"/>
        <v>0</v>
      </c>
      <c r="BH437" s="421">
        <f t="shared" si="657"/>
        <v>0</v>
      </c>
      <c r="BI437" s="780">
        <f t="shared" ref="BI437:BI442" si="727">I437+AW437</f>
        <v>3180445</v>
      </c>
      <c r="BJ437" s="418">
        <f t="shared" ref="BJ437:BJ442" si="728">J437+AF437</f>
        <v>2351061</v>
      </c>
      <c r="BK437" s="418">
        <f t="shared" ref="BK437:BL442" si="729">K437+AD437</f>
        <v>2217925</v>
      </c>
      <c r="BL437" s="418">
        <f t="shared" si="729"/>
        <v>133136</v>
      </c>
      <c r="BM437" s="418">
        <f t="shared" ref="BM437:BM442" si="730">M437+AN437</f>
        <v>0</v>
      </c>
      <c r="BN437" s="418">
        <f t="shared" ref="BN437:BO442" si="731">N437+AL437</f>
        <v>0</v>
      </c>
      <c r="BO437" s="418">
        <f t="shared" si="731"/>
        <v>0</v>
      </c>
      <c r="BP437" s="418">
        <f t="shared" ref="BP437:BQ442" si="732">P437+AR437</f>
        <v>794659</v>
      </c>
      <c r="BQ437" s="418">
        <f t="shared" si="732"/>
        <v>23511</v>
      </c>
      <c r="BR437" s="418">
        <f t="shared" ref="BR437:BR442" si="733">R437+AV437</f>
        <v>11214</v>
      </c>
      <c r="BS437" s="419">
        <f t="shared" ref="BS437:BS442" si="734">S437+BH437</f>
        <v>4.4043999999999999</v>
      </c>
      <c r="BT437" s="419">
        <f t="shared" ref="BT437:BU442" si="735">T437+BF437</f>
        <v>3.871</v>
      </c>
      <c r="BU437" s="421">
        <f t="shared" si="735"/>
        <v>0.53339999999999999</v>
      </c>
      <c r="BV437" s="420"/>
      <c r="BW437" s="415"/>
      <c r="BX437" s="415"/>
      <c r="BY437" s="415"/>
      <c r="BZ437" s="415"/>
      <c r="CA437" s="510"/>
    </row>
    <row r="438" spans="1:79" ht="14.1" customHeight="1" x14ac:dyDescent="0.2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697</v>
      </c>
      <c r="F438" s="66">
        <v>3117</v>
      </c>
      <c r="G438" s="65" t="s">
        <v>293</v>
      </c>
      <c r="H438" s="67" t="s">
        <v>271</v>
      </c>
      <c r="I438" s="420">
        <v>6817520</v>
      </c>
      <c r="J438" s="415">
        <v>4939389</v>
      </c>
      <c r="K438" s="415">
        <v>4351789</v>
      </c>
      <c r="L438" s="415">
        <v>587600</v>
      </c>
      <c r="M438" s="415">
        <v>50000</v>
      </c>
      <c r="N438" s="415">
        <v>50000</v>
      </c>
      <c r="O438" s="415">
        <v>0</v>
      </c>
      <c r="P438" s="599">
        <v>1686413</v>
      </c>
      <c r="Q438" s="599">
        <v>49394</v>
      </c>
      <c r="R438" s="415">
        <v>92324</v>
      </c>
      <c r="S438" s="416">
        <v>8.3732000000000006</v>
      </c>
      <c r="T438" s="416">
        <v>6.7844000000000007</v>
      </c>
      <c r="U438" s="423">
        <v>1.5888</v>
      </c>
      <c r="V438" s="424">
        <f t="shared" si="642"/>
        <v>0</v>
      </c>
      <c r="W438" s="418">
        <f t="shared" si="643"/>
        <v>0</v>
      </c>
      <c r="X438" s="418">
        <v>0</v>
      </c>
      <c r="Y438" s="418">
        <v>0</v>
      </c>
      <c r="Z438" s="418">
        <v>0</v>
      </c>
      <c r="AA438" s="418">
        <v>0</v>
      </c>
      <c r="AB438" s="418">
        <v>0</v>
      </c>
      <c r="AC438" s="418">
        <v>0</v>
      </c>
      <c r="AD438" s="418">
        <f t="shared" si="725"/>
        <v>0</v>
      </c>
      <c r="AE438" s="418">
        <f t="shared" si="726"/>
        <v>0</v>
      </c>
      <c r="AF438" s="418">
        <f t="shared" si="644"/>
        <v>0</v>
      </c>
      <c r="AG438" s="418">
        <v>0</v>
      </c>
      <c r="AH438" s="418">
        <v>0</v>
      </c>
      <c r="AI438" s="418">
        <v>0</v>
      </c>
      <c r="AJ438" s="418">
        <v>0</v>
      </c>
      <c r="AK438" s="418">
        <v>0</v>
      </c>
      <c r="AL438" s="418">
        <f t="shared" si="645"/>
        <v>0</v>
      </c>
      <c r="AM438" s="418">
        <f t="shared" si="646"/>
        <v>0</v>
      </c>
      <c r="AN438" s="418">
        <f t="shared" si="647"/>
        <v>0</v>
      </c>
      <c r="AO438" s="418">
        <f t="shared" si="648"/>
        <v>0</v>
      </c>
      <c r="AP438" s="418">
        <f t="shared" si="649"/>
        <v>0</v>
      </c>
      <c r="AQ438" s="418">
        <f t="shared" si="650"/>
        <v>0</v>
      </c>
      <c r="AR438" s="68">
        <f t="shared" si="651"/>
        <v>0</v>
      </c>
      <c r="AS438" s="68">
        <f t="shared" si="652"/>
        <v>0</v>
      </c>
      <c r="AT438" s="418">
        <v>0</v>
      </c>
      <c r="AU438" s="418">
        <v>0</v>
      </c>
      <c r="AV438" s="418">
        <f t="shared" si="653"/>
        <v>0</v>
      </c>
      <c r="AW438" s="418">
        <f t="shared" si="654"/>
        <v>0</v>
      </c>
      <c r="AX438" s="419">
        <v>0</v>
      </c>
      <c r="AY438" s="419">
        <v>0</v>
      </c>
      <c r="AZ438" s="419">
        <v>0</v>
      </c>
      <c r="BA438" s="419">
        <v>0</v>
      </c>
      <c r="BB438" s="419">
        <v>0</v>
      </c>
      <c r="BC438" s="419">
        <v>0</v>
      </c>
      <c r="BD438" s="419">
        <v>0</v>
      </c>
      <c r="BE438" s="419">
        <v>0</v>
      </c>
      <c r="BF438" s="419">
        <f t="shared" si="655"/>
        <v>0</v>
      </c>
      <c r="BG438" s="419">
        <f t="shared" si="656"/>
        <v>0</v>
      </c>
      <c r="BH438" s="421">
        <f t="shared" si="657"/>
        <v>0</v>
      </c>
      <c r="BI438" s="780">
        <f t="shared" si="727"/>
        <v>6817520</v>
      </c>
      <c r="BJ438" s="418">
        <f t="shared" si="728"/>
        <v>4939389</v>
      </c>
      <c r="BK438" s="418">
        <f t="shared" si="729"/>
        <v>4351789</v>
      </c>
      <c r="BL438" s="418">
        <f t="shared" si="729"/>
        <v>587600</v>
      </c>
      <c r="BM438" s="418">
        <f t="shared" si="730"/>
        <v>50000</v>
      </c>
      <c r="BN438" s="418">
        <f t="shared" si="731"/>
        <v>50000</v>
      </c>
      <c r="BO438" s="418">
        <f t="shared" si="731"/>
        <v>0</v>
      </c>
      <c r="BP438" s="418">
        <f t="shared" si="732"/>
        <v>1686413</v>
      </c>
      <c r="BQ438" s="418">
        <f t="shared" si="732"/>
        <v>49394</v>
      </c>
      <c r="BR438" s="418">
        <f t="shared" si="733"/>
        <v>92324</v>
      </c>
      <c r="BS438" s="419">
        <f t="shared" si="734"/>
        <v>8.3732000000000006</v>
      </c>
      <c r="BT438" s="419">
        <f t="shared" si="735"/>
        <v>6.7844000000000007</v>
      </c>
      <c r="BU438" s="421">
        <f t="shared" si="735"/>
        <v>1.5888</v>
      </c>
      <c r="BV438" s="420"/>
      <c r="BW438" s="415"/>
      <c r="BX438" s="415"/>
      <c r="BY438" s="415"/>
      <c r="BZ438" s="415"/>
      <c r="CA438" s="510"/>
    </row>
    <row r="439" spans="1:79" ht="14.1" customHeight="1" x14ac:dyDescent="0.2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697</v>
      </c>
      <c r="F439" s="66">
        <v>3117</v>
      </c>
      <c r="G439" s="77" t="s">
        <v>291</v>
      </c>
      <c r="H439" s="67" t="s">
        <v>272</v>
      </c>
      <c r="I439" s="420">
        <v>1734361</v>
      </c>
      <c r="J439" s="415">
        <v>1286618</v>
      </c>
      <c r="K439" s="415">
        <v>1286618</v>
      </c>
      <c r="L439" s="415">
        <v>0</v>
      </c>
      <c r="M439" s="415">
        <v>0</v>
      </c>
      <c r="N439" s="415">
        <v>0</v>
      </c>
      <c r="O439" s="415">
        <v>0</v>
      </c>
      <c r="P439" s="599">
        <v>434877</v>
      </c>
      <c r="Q439" s="599">
        <v>12866</v>
      </c>
      <c r="R439" s="415">
        <v>0</v>
      </c>
      <c r="S439" s="416">
        <v>3.41</v>
      </c>
      <c r="T439" s="417">
        <v>3.41</v>
      </c>
      <c r="U439" s="423">
        <v>0</v>
      </c>
      <c r="V439" s="424">
        <f t="shared" si="642"/>
        <v>0</v>
      </c>
      <c r="W439" s="418">
        <f t="shared" si="643"/>
        <v>0</v>
      </c>
      <c r="X439" s="418">
        <v>0</v>
      </c>
      <c r="Y439" s="418">
        <v>0</v>
      </c>
      <c r="Z439" s="418">
        <v>0</v>
      </c>
      <c r="AA439" s="418">
        <v>0</v>
      </c>
      <c r="AB439" s="418">
        <v>0</v>
      </c>
      <c r="AC439" s="418">
        <v>0</v>
      </c>
      <c r="AD439" s="418">
        <f t="shared" si="725"/>
        <v>0</v>
      </c>
      <c r="AE439" s="418">
        <f t="shared" si="726"/>
        <v>0</v>
      </c>
      <c r="AF439" s="418">
        <f t="shared" si="644"/>
        <v>0</v>
      </c>
      <c r="AG439" s="418">
        <v>0</v>
      </c>
      <c r="AH439" s="418">
        <v>0</v>
      </c>
      <c r="AI439" s="418">
        <v>0</v>
      </c>
      <c r="AJ439" s="418">
        <v>0</v>
      </c>
      <c r="AK439" s="418">
        <v>0</v>
      </c>
      <c r="AL439" s="418">
        <f t="shared" si="645"/>
        <v>0</v>
      </c>
      <c r="AM439" s="418">
        <f t="shared" si="646"/>
        <v>0</v>
      </c>
      <c r="AN439" s="418">
        <f t="shared" si="647"/>
        <v>0</v>
      </c>
      <c r="AO439" s="418">
        <f t="shared" si="648"/>
        <v>0</v>
      </c>
      <c r="AP439" s="418">
        <f t="shared" si="649"/>
        <v>0</v>
      </c>
      <c r="AQ439" s="418">
        <f t="shared" si="650"/>
        <v>0</v>
      </c>
      <c r="AR439" s="68">
        <f t="shared" si="651"/>
        <v>0</v>
      </c>
      <c r="AS439" s="68">
        <f t="shared" si="652"/>
        <v>0</v>
      </c>
      <c r="AT439" s="418">
        <v>0</v>
      </c>
      <c r="AU439" s="418">
        <v>0</v>
      </c>
      <c r="AV439" s="418">
        <f t="shared" si="653"/>
        <v>0</v>
      </c>
      <c r="AW439" s="418">
        <f t="shared" si="654"/>
        <v>0</v>
      </c>
      <c r="AX439" s="419">
        <v>0</v>
      </c>
      <c r="AY439" s="419">
        <v>0</v>
      </c>
      <c r="AZ439" s="419">
        <v>0</v>
      </c>
      <c r="BA439" s="419">
        <v>0</v>
      </c>
      <c r="BB439" s="419">
        <v>0</v>
      </c>
      <c r="BC439" s="419">
        <v>0</v>
      </c>
      <c r="BD439" s="419">
        <v>0</v>
      </c>
      <c r="BE439" s="419">
        <v>0</v>
      </c>
      <c r="BF439" s="419">
        <f t="shared" si="655"/>
        <v>0</v>
      </c>
      <c r="BG439" s="419">
        <f t="shared" si="656"/>
        <v>0</v>
      </c>
      <c r="BH439" s="421">
        <f t="shared" si="657"/>
        <v>0</v>
      </c>
      <c r="BI439" s="780">
        <f t="shared" si="727"/>
        <v>1734361</v>
      </c>
      <c r="BJ439" s="418">
        <f t="shared" si="728"/>
        <v>1286618</v>
      </c>
      <c r="BK439" s="418">
        <f t="shared" si="729"/>
        <v>1286618</v>
      </c>
      <c r="BL439" s="418">
        <f t="shared" si="729"/>
        <v>0</v>
      </c>
      <c r="BM439" s="418">
        <f t="shared" si="730"/>
        <v>0</v>
      </c>
      <c r="BN439" s="418">
        <f t="shared" si="731"/>
        <v>0</v>
      </c>
      <c r="BO439" s="418">
        <f t="shared" si="731"/>
        <v>0</v>
      </c>
      <c r="BP439" s="418">
        <f t="shared" si="732"/>
        <v>434877</v>
      </c>
      <c r="BQ439" s="418">
        <f t="shared" si="732"/>
        <v>12866</v>
      </c>
      <c r="BR439" s="418">
        <f t="shared" si="733"/>
        <v>0</v>
      </c>
      <c r="BS439" s="419">
        <f t="shared" si="734"/>
        <v>3.41</v>
      </c>
      <c r="BT439" s="419">
        <f t="shared" si="735"/>
        <v>3.41</v>
      </c>
      <c r="BU439" s="421">
        <f t="shared" si="735"/>
        <v>0</v>
      </c>
      <c r="BV439" s="420"/>
      <c r="BW439" s="415"/>
      <c r="BX439" s="415"/>
      <c r="BY439" s="415"/>
      <c r="BZ439" s="415"/>
      <c r="CA439" s="510"/>
    </row>
    <row r="440" spans="1:79" ht="14.1" customHeight="1" x14ac:dyDescent="0.2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697</v>
      </c>
      <c r="F440" s="66">
        <v>3141</v>
      </c>
      <c r="G440" s="65" t="s">
        <v>294</v>
      </c>
      <c r="H440" s="67" t="s">
        <v>272</v>
      </c>
      <c r="I440" s="420">
        <v>882601</v>
      </c>
      <c r="J440" s="415">
        <v>651420</v>
      </c>
      <c r="K440" s="415">
        <v>0</v>
      </c>
      <c r="L440" s="750">
        <v>651420</v>
      </c>
      <c r="M440" s="415">
        <v>0</v>
      </c>
      <c r="N440" s="204">
        <v>0</v>
      </c>
      <c r="O440" s="204">
        <v>0</v>
      </c>
      <c r="P440" s="599">
        <v>220180</v>
      </c>
      <c r="Q440" s="599">
        <v>6514</v>
      </c>
      <c r="R440" s="605">
        <v>4487</v>
      </c>
      <c r="S440" s="416">
        <v>1.9534</v>
      </c>
      <c r="T440" s="607">
        <v>0</v>
      </c>
      <c r="U440" s="737">
        <v>1.9534</v>
      </c>
      <c r="V440" s="424">
        <f t="shared" si="642"/>
        <v>0</v>
      </c>
      <c r="W440" s="418">
        <f t="shared" si="643"/>
        <v>0</v>
      </c>
      <c r="X440" s="418">
        <v>0</v>
      </c>
      <c r="Y440" s="418">
        <v>0</v>
      </c>
      <c r="Z440" s="418">
        <v>0</v>
      </c>
      <c r="AA440" s="418">
        <v>323793</v>
      </c>
      <c r="AB440" s="418">
        <v>0</v>
      </c>
      <c r="AC440" s="418">
        <v>0</v>
      </c>
      <c r="AD440" s="418">
        <f t="shared" si="725"/>
        <v>0</v>
      </c>
      <c r="AE440" s="418">
        <f t="shared" si="726"/>
        <v>323793</v>
      </c>
      <c r="AF440" s="418">
        <f t="shared" si="644"/>
        <v>323793</v>
      </c>
      <c r="AG440" s="418">
        <v>0</v>
      </c>
      <c r="AH440" s="418">
        <v>0</v>
      </c>
      <c r="AI440" s="418">
        <v>0</v>
      </c>
      <c r="AJ440" s="418">
        <v>0</v>
      </c>
      <c r="AK440" s="418">
        <v>0</v>
      </c>
      <c r="AL440" s="418">
        <f t="shared" si="645"/>
        <v>0</v>
      </c>
      <c r="AM440" s="418">
        <f t="shared" si="646"/>
        <v>0</v>
      </c>
      <c r="AN440" s="418">
        <f t="shared" si="647"/>
        <v>0</v>
      </c>
      <c r="AO440" s="418">
        <f t="shared" si="648"/>
        <v>0</v>
      </c>
      <c r="AP440" s="418">
        <f t="shared" si="649"/>
        <v>323793</v>
      </c>
      <c r="AQ440" s="418">
        <f t="shared" si="650"/>
        <v>323793</v>
      </c>
      <c r="AR440" s="68">
        <f t="shared" si="651"/>
        <v>109442</v>
      </c>
      <c r="AS440" s="68">
        <f t="shared" si="652"/>
        <v>3238</v>
      </c>
      <c r="AT440" s="418">
        <v>0</v>
      </c>
      <c r="AU440" s="418">
        <v>2165</v>
      </c>
      <c r="AV440" s="418">
        <f t="shared" si="653"/>
        <v>2165</v>
      </c>
      <c r="AW440" s="418">
        <f t="shared" si="654"/>
        <v>438638</v>
      </c>
      <c r="AX440" s="419">
        <v>0</v>
      </c>
      <c r="AY440" s="419">
        <v>0</v>
      </c>
      <c r="AZ440" s="419">
        <v>0</v>
      </c>
      <c r="BA440" s="419">
        <v>0</v>
      </c>
      <c r="BB440" s="419">
        <v>0.98</v>
      </c>
      <c r="BC440" s="419">
        <v>0</v>
      </c>
      <c r="BD440" s="419">
        <v>0</v>
      </c>
      <c r="BE440" s="419">
        <v>0</v>
      </c>
      <c r="BF440" s="419">
        <f t="shared" si="655"/>
        <v>0</v>
      </c>
      <c r="BG440" s="419">
        <f t="shared" si="656"/>
        <v>0.98</v>
      </c>
      <c r="BH440" s="421">
        <f t="shared" si="657"/>
        <v>0.98</v>
      </c>
      <c r="BI440" s="780">
        <f t="shared" si="727"/>
        <v>1321239</v>
      </c>
      <c r="BJ440" s="418">
        <f t="shared" si="728"/>
        <v>975213</v>
      </c>
      <c r="BK440" s="418">
        <f t="shared" si="729"/>
        <v>0</v>
      </c>
      <c r="BL440" s="418">
        <f t="shared" si="729"/>
        <v>975213</v>
      </c>
      <c r="BM440" s="418">
        <f t="shared" si="730"/>
        <v>0</v>
      </c>
      <c r="BN440" s="418">
        <f t="shared" si="731"/>
        <v>0</v>
      </c>
      <c r="BO440" s="418">
        <f t="shared" si="731"/>
        <v>0</v>
      </c>
      <c r="BP440" s="418">
        <f t="shared" si="732"/>
        <v>329622</v>
      </c>
      <c r="BQ440" s="418">
        <f t="shared" si="732"/>
        <v>9752</v>
      </c>
      <c r="BR440" s="418">
        <f t="shared" si="733"/>
        <v>6652</v>
      </c>
      <c r="BS440" s="419">
        <f t="shared" si="734"/>
        <v>2.9333999999999998</v>
      </c>
      <c r="BT440" s="419">
        <f t="shared" si="735"/>
        <v>0</v>
      </c>
      <c r="BU440" s="421">
        <f t="shared" si="735"/>
        <v>2.9333999999999998</v>
      </c>
      <c r="BV440" s="420"/>
      <c r="BW440" s="415"/>
      <c r="BX440" s="415"/>
      <c r="BY440" s="415"/>
      <c r="BZ440" s="415"/>
      <c r="CA440" s="510"/>
    </row>
    <row r="441" spans="1:79" ht="14.1" customHeight="1" x14ac:dyDescent="0.2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697</v>
      </c>
      <c r="F441" s="66">
        <v>3143</v>
      </c>
      <c r="G441" s="77" t="s">
        <v>595</v>
      </c>
      <c r="H441" s="67" t="s">
        <v>271</v>
      </c>
      <c r="I441" s="420">
        <v>1455341</v>
      </c>
      <c r="J441" s="415">
        <v>1079630</v>
      </c>
      <c r="K441" s="415">
        <v>1079630</v>
      </c>
      <c r="L441" s="415">
        <v>0</v>
      </c>
      <c r="M441" s="415">
        <v>0</v>
      </c>
      <c r="N441" s="415">
        <v>0</v>
      </c>
      <c r="O441" s="415">
        <v>0</v>
      </c>
      <c r="P441" s="599">
        <v>364915</v>
      </c>
      <c r="Q441" s="599">
        <v>10796</v>
      </c>
      <c r="R441" s="415">
        <v>0</v>
      </c>
      <c r="S441" s="416">
        <v>2</v>
      </c>
      <c r="T441" s="416">
        <v>2</v>
      </c>
      <c r="U441" s="423">
        <v>0</v>
      </c>
      <c r="V441" s="424">
        <f t="shared" si="642"/>
        <v>0</v>
      </c>
      <c r="W441" s="418">
        <f t="shared" si="643"/>
        <v>0</v>
      </c>
      <c r="X441" s="418">
        <v>0</v>
      </c>
      <c r="Y441" s="418">
        <v>0</v>
      </c>
      <c r="Z441" s="418">
        <v>0</v>
      </c>
      <c r="AA441" s="418">
        <v>0</v>
      </c>
      <c r="AB441" s="418">
        <v>0</v>
      </c>
      <c r="AC441" s="418">
        <v>0</v>
      </c>
      <c r="AD441" s="418">
        <f t="shared" si="725"/>
        <v>0</v>
      </c>
      <c r="AE441" s="418">
        <f t="shared" si="726"/>
        <v>0</v>
      </c>
      <c r="AF441" s="418">
        <f t="shared" si="644"/>
        <v>0</v>
      </c>
      <c r="AG441" s="418">
        <v>0</v>
      </c>
      <c r="AH441" s="418">
        <v>0</v>
      </c>
      <c r="AI441" s="418">
        <v>0</v>
      </c>
      <c r="AJ441" s="418">
        <v>0</v>
      </c>
      <c r="AK441" s="418">
        <v>0</v>
      </c>
      <c r="AL441" s="418">
        <f t="shared" si="645"/>
        <v>0</v>
      </c>
      <c r="AM441" s="418">
        <f t="shared" si="646"/>
        <v>0</v>
      </c>
      <c r="AN441" s="418">
        <f t="shared" si="647"/>
        <v>0</v>
      </c>
      <c r="AO441" s="418">
        <f t="shared" si="648"/>
        <v>0</v>
      </c>
      <c r="AP441" s="418">
        <f t="shared" si="649"/>
        <v>0</v>
      </c>
      <c r="AQ441" s="418">
        <f t="shared" si="650"/>
        <v>0</v>
      </c>
      <c r="AR441" s="68">
        <f t="shared" si="651"/>
        <v>0</v>
      </c>
      <c r="AS441" s="68">
        <f t="shared" si="652"/>
        <v>0</v>
      </c>
      <c r="AT441" s="418">
        <v>0</v>
      </c>
      <c r="AU441" s="418">
        <v>0</v>
      </c>
      <c r="AV441" s="418">
        <f t="shared" si="653"/>
        <v>0</v>
      </c>
      <c r="AW441" s="418">
        <f t="shared" si="654"/>
        <v>0</v>
      </c>
      <c r="AX441" s="419">
        <v>0</v>
      </c>
      <c r="AY441" s="419">
        <v>0</v>
      </c>
      <c r="AZ441" s="419">
        <v>0</v>
      </c>
      <c r="BA441" s="419">
        <v>0</v>
      </c>
      <c r="BB441" s="419">
        <v>0</v>
      </c>
      <c r="BC441" s="419">
        <v>0</v>
      </c>
      <c r="BD441" s="419">
        <v>0</v>
      </c>
      <c r="BE441" s="419">
        <v>0</v>
      </c>
      <c r="BF441" s="419">
        <f t="shared" si="655"/>
        <v>0</v>
      </c>
      <c r="BG441" s="419">
        <f t="shared" si="656"/>
        <v>0</v>
      </c>
      <c r="BH441" s="421">
        <f t="shared" si="657"/>
        <v>0</v>
      </c>
      <c r="BI441" s="780">
        <f t="shared" si="727"/>
        <v>1455341</v>
      </c>
      <c r="BJ441" s="418">
        <f t="shared" si="728"/>
        <v>1079630</v>
      </c>
      <c r="BK441" s="418">
        <f t="shared" si="729"/>
        <v>1079630</v>
      </c>
      <c r="BL441" s="418">
        <f t="shared" si="729"/>
        <v>0</v>
      </c>
      <c r="BM441" s="418">
        <f t="shared" si="730"/>
        <v>0</v>
      </c>
      <c r="BN441" s="418">
        <f t="shared" si="731"/>
        <v>0</v>
      </c>
      <c r="BO441" s="418">
        <f t="shared" si="731"/>
        <v>0</v>
      </c>
      <c r="BP441" s="418">
        <f t="shared" si="732"/>
        <v>364915</v>
      </c>
      <c r="BQ441" s="418">
        <f t="shared" si="732"/>
        <v>10796</v>
      </c>
      <c r="BR441" s="418">
        <f t="shared" si="733"/>
        <v>0</v>
      </c>
      <c r="BS441" s="419">
        <f t="shared" si="734"/>
        <v>2</v>
      </c>
      <c r="BT441" s="419">
        <f t="shared" si="735"/>
        <v>2</v>
      </c>
      <c r="BU441" s="421">
        <f t="shared" si="735"/>
        <v>0</v>
      </c>
      <c r="BV441" s="420"/>
      <c r="BW441" s="415"/>
      <c r="BX441" s="415"/>
      <c r="BY441" s="415"/>
      <c r="BZ441" s="415"/>
      <c r="CA441" s="510"/>
    </row>
    <row r="442" spans="1:79" ht="14.1" customHeight="1" x14ac:dyDescent="0.2">
      <c r="A442" s="66">
        <v>85</v>
      </c>
      <c r="B442" s="63">
        <v>2305</v>
      </c>
      <c r="C442" s="64">
        <v>650026080</v>
      </c>
      <c r="D442" s="63">
        <v>72741686</v>
      </c>
      <c r="E442" s="65" t="s">
        <v>697</v>
      </c>
      <c r="F442" s="66">
        <v>3143</v>
      </c>
      <c r="G442" s="77" t="s">
        <v>596</v>
      </c>
      <c r="H442" s="67" t="s">
        <v>272</v>
      </c>
      <c r="I442" s="420">
        <v>30724</v>
      </c>
      <c r="J442" s="415">
        <v>21991</v>
      </c>
      <c r="K442" s="415">
        <v>0</v>
      </c>
      <c r="L442" s="605">
        <v>21991</v>
      </c>
      <c r="M442" s="415">
        <v>0</v>
      </c>
      <c r="N442" s="415">
        <v>0</v>
      </c>
      <c r="O442" s="415">
        <v>0</v>
      </c>
      <c r="P442" s="599">
        <v>7433</v>
      </c>
      <c r="Q442" s="599">
        <v>220</v>
      </c>
      <c r="R442" s="606">
        <v>1080</v>
      </c>
      <c r="S442" s="416">
        <v>8.3299999999999999E-2</v>
      </c>
      <c r="T442" s="609">
        <v>0</v>
      </c>
      <c r="U442" s="737">
        <v>8.3299999999999999E-2</v>
      </c>
      <c r="V442" s="424">
        <f t="shared" si="642"/>
        <v>0</v>
      </c>
      <c r="W442" s="418">
        <f t="shared" si="643"/>
        <v>0</v>
      </c>
      <c r="X442" s="418">
        <v>0</v>
      </c>
      <c r="Y442" s="418">
        <v>0</v>
      </c>
      <c r="Z442" s="418">
        <v>0</v>
      </c>
      <c r="AA442" s="418">
        <v>11009</v>
      </c>
      <c r="AB442" s="418">
        <v>0</v>
      </c>
      <c r="AC442" s="418">
        <v>0</v>
      </c>
      <c r="AD442" s="418">
        <f t="shared" si="725"/>
        <v>0</v>
      </c>
      <c r="AE442" s="418">
        <f t="shared" si="726"/>
        <v>11009</v>
      </c>
      <c r="AF442" s="418">
        <f t="shared" si="644"/>
        <v>11009</v>
      </c>
      <c r="AG442" s="418">
        <v>0</v>
      </c>
      <c r="AH442" s="418">
        <v>0</v>
      </c>
      <c r="AI442" s="418">
        <v>0</v>
      </c>
      <c r="AJ442" s="418">
        <v>0</v>
      </c>
      <c r="AK442" s="418">
        <v>0</v>
      </c>
      <c r="AL442" s="418">
        <f t="shared" si="645"/>
        <v>0</v>
      </c>
      <c r="AM442" s="418">
        <f t="shared" si="646"/>
        <v>0</v>
      </c>
      <c r="AN442" s="418">
        <f t="shared" si="647"/>
        <v>0</v>
      </c>
      <c r="AO442" s="418">
        <f t="shared" si="648"/>
        <v>0</v>
      </c>
      <c r="AP442" s="418">
        <f t="shared" si="649"/>
        <v>11009</v>
      </c>
      <c r="AQ442" s="418">
        <f t="shared" si="650"/>
        <v>11009</v>
      </c>
      <c r="AR442" s="68">
        <f t="shared" si="651"/>
        <v>3721</v>
      </c>
      <c r="AS442" s="68">
        <f t="shared" si="652"/>
        <v>110</v>
      </c>
      <c r="AT442" s="418">
        <v>0</v>
      </c>
      <c r="AU442" s="418">
        <v>540</v>
      </c>
      <c r="AV442" s="418">
        <f t="shared" si="653"/>
        <v>540</v>
      </c>
      <c r="AW442" s="418">
        <f t="shared" si="654"/>
        <v>15380</v>
      </c>
      <c r="AX442" s="419">
        <v>0</v>
      </c>
      <c r="AY442" s="419">
        <v>0</v>
      </c>
      <c r="AZ442" s="419">
        <v>0</v>
      </c>
      <c r="BA442" s="419">
        <v>0</v>
      </c>
      <c r="BB442" s="419">
        <v>0.04</v>
      </c>
      <c r="BC442" s="419">
        <v>0</v>
      </c>
      <c r="BD442" s="419">
        <v>0</v>
      </c>
      <c r="BE442" s="419">
        <v>0</v>
      </c>
      <c r="BF442" s="419">
        <f t="shared" si="655"/>
        <v>0</v>
      </c>
      <c r="BG442" s="419">
        <f t="shared" si="656"/>
        <v>0.04</v>
      </c>
      <c r="BH442" s="421">
        <f t="shared" si="657"/>
        <v>0.04</v>
      </c>
      <c r="BI442" s="780">
        <f t="shared" si="727"/>
        <v>46104</v>
      </c>
      <c r="BJ442" s="418">
        <f t="shared" si="728"/>
        <v>33000</v>
      </c>
      <c r="BK442" s="418">
        <f t="shared" si="729"/>
        <v>0</v>
      </c>
      <c r="BL442" s="418">
        <f t="shared" si="729"/>
        <v>33000</v>
      </c>
      <c r="BM442" s="418">
        <f t="shared" si="730"/>
        <v>0</v>
      </c>
      <c r="BN442" s="418">
        <f t="shared" si="731"/>
        <v>0</v>
      </c>
      <c r="BO442" s="418">
        <f t="shared" si="731"/>
        <v>0</v>
      </c>
      <c r="BP442" s="418">
        <f t="shared" si="732"/>
        <v>11154</v>
      </c>
      <c r="BQ442" s="418">
        <f t="shared" si="732"/>
        <v>330</v>
      </c>
      <c r="BR442" s="418">
        <f t="shared" si="733"/>
        <v>1620</v>
      </c>
      <c r="BS442" s="419">
        <f t="shared" si="734"/>
        <v>0.12329999999999999</v>
      </c>
      <c r="BT442" s="419">
        <f t="shared" si="735"/>
        <v>0</v>
      </c>
      <c r="BU442" s="421">
        <f t="shared" si="735"/>
        <v>0.12329999999999999</v>
      </c>
      <c r="BV442" s="420"/>
      <c r="BW442" s="415"/>
      <c r="BX442" s="415"/>
      <c r="BY442" s="415"/>
      <c r="BZ442" s="415"/>
      <c r="CA442" s="510"/>
    </row>
    <row r="443" spans="1:79" ht="14.1" customHeight="1" x14ac:dyDescent="0.2">
      <c r="A443" s="72">
        <v>85</v>
      </c>
      <c r="B443" s="69">
        <v>2305</v>
      </c>
      <c r="C443" s="70">
        <v>650026080</v>
      </c>
      <c r="D443" s="69">
        <v>72741686</v>
      </c>
      <c r="E443" s="71" t="s">
        <v>698</v>
      </c>
      <c r="F443" s="72"/>
      <c r="G443" s="71"/>
      <c r="H443" s="73"/>
      <c r="I443" s="517">
        <v>14100992</v>
      </c>
      <c r="J443" s="74">
        <v>10330109</v>
      </c>
      <c r="K443" s="74">
        <v>8935962</v>
      </c>
      <c r="L443" s="74">
        <v>1394147</v>
      </c>
      <c r="M443" s="74">
        <v>50000</v>
      </c>
      <c r="N443" s="74">
        <v>50000</v>
      </c>
      <c r="O443" s="74">
        <v>0</v>
      </c>
      <c r="P443" s="74">
        <v>3508477</v>
      </c>
      <c r="Q443" s="74">
        <v>103301</v>
      </c>
      <c r="R443" s="74">
        <v>109105</v>
      </c>
      <c r="S443" s="75">
        <v>20.224299999999999</v>
      </c>
      <c r="T443" s="75">
        <v>16.0654</v>
      </c>
      <c r="U443" s="658">
        <v>4.1589</v>
      </c>
      <c r="V443" s="517">
        <f t="shared" ref="V443:BU443" si="736">SUM(V437:V442)</f>
        <v>0</v>
      </c>
      <c r="W443" s="74">
        <f t="shared" si="736"/>
        <v>0</v>
      </c>
      <c r="X443" s="74">
        <f t="shared" si="736"/>
        <v>0</v>
      </c>
      <c r="Y443" s="74">
        <f t="shared" si="736"/>
        <v>0</v>
      </c>
      <c r="Z443" s="74">
        <f t="shared" si="736"/>
        <v>0</v>
      </c>
      <c r="AA443" s="74">
        <f t="shared" si="736"/>
        <v>334802</v>
      </c>
      <c r="AB443" s="74">
        <f t="shared" si="736"/>
        <v>0</v>
      </c>
      <c r="AC443" s="74">
        <f t="shared" si="736"/>
        <v>0</v>
      </c>
      <c r="AD443" s="74">
        <f t="shared" si="736"/>
        <v>0</v>
      </c>
      <c r="AE443" s="74">
        <f t="shared" si="736"/>
        <v>334802</v>
      </c>
      <c r="AF443" s="74">
        <f t="shared" si="736"/>
        <v>334802</v>
      </c>
      <c r="AG443" s="74">
        <f t="shared" si="736"/>
        <v>0</v>
      </c>
      <c r="AH443" s="74">
        <f t="shared" si="736"/>
        <v>0</v>
      </c>
      <c r="AI443" s="74">
        <f t="shared" si="736"/>
        <v>0</v>
      </c>
      <c r="AJ443" s="74">
        <f t="shared" si="736"/>
        <v>0</v>
      </c>
      <c r="AK443" s="74">
        <f t="shared" si="736"/>
        <v>0</v>
      </c>
      <c r="AL443" s="74">
        <f t="shared" si="736"/>
        <v>0</v>
      </c>
      <c r="AM443" s="74">
        <f t="shared" si="736"/>
        <v>0</v>
      </c>
      <c r="AN443" s="74">
        <f t="shared" si="736"/>
        <v>0</v>
      </c>
      <c r="AO443" s="74">
        <f t="shared" si="736"/>
        <v>0</v>
      </c>
      <c r="AP443" s="74">
        <f t="shared" si="736"/>
        <v>334802</v>
      </c>
      <c r="AQ443" s="74">
        <f t="shared" si="736"/>
        <v>334802</v>
      </c>
      <c r="AR443" s="74">
        <f t="shared" si="736"/>
        <v>113163</v>
      </c>
      <c r="AS443" s="74">
        <f t="shared" si="736"/>
        <v>3348</v>
      </c>
      <c r="AT443" s="74">
        <f t="shared" si="736"/>
        <v>0</v>
      </c>
      <c r="AU443" s="74">
        <f t="shared" si="736"/>
        <v>2705</v>
      </c>
      <c r="AV443" s="74">
        <f t="shared" si="736"/>
        <v>2705</v>
      </c>
      <c r="AW443" s="74">
        <f t="shared" si="736"/>
        <v>454018</v>
      </c>
      <c r="AX443" s="75">
        <f t="shared" si="736"/>
        <v>0</v>
      </c>
      <c r="AY443" s="75">
        <f t="shared" si="736"/>
        <v>0</v>
      </c>
      <c r="AZ443" s="75">
        <f t="shared" si="736"/>
        <v>0</v>
      </c>
      <c r="BA443" s="75">
        <f t="shared" si="736"/>
        <v>0</v>
      </c>
      <c r="BB443" s="75">
        <f t="shared" si="736"/>
        <v>1.02</v>
      </c>
      <c r="BC443" s="75">
        <f t="shared" si="736"/>
        <v>0</v>
      </c>
      <c r="BD443" s="75">
        <f t="shared" si="736"/>
        <v>0</v>
      </c>
      <c r="BE443" s="75">
        <f t="shared" si="736"/>
        <v>0</v>
      </c>
      <c r="BF443" s="75">
        <f t="shared" si="736"/>
        <v>0</v>
      </c>
      <c r="BG443" s="75">
        <f t="shared" si="736"/>
        <v>1.02</v>
      </c>
      <c r="BH443" s="76">
        <f t="shared" si="736"/>
        <v>1.02</v>
      </c>
      <c r="BI443" s="799">
        <f t="shared" si="736"/>
        <v>14555010</v>
      </c>
      <c r="BJ443" s="74">
        <f t="shared" si="736"/>
        <v>10664911</v>
      </c>
      <c r="BK443" s="74">
        <f t="shared" si="736"/>
        <v>8935962</v>
      </c>
      <c r="BL443" s="74">
        <f t="shared" si="736"/>
        <v>1728949</v>
      </c>
      <c r="BM443" s="74">
        <f t="shared" si="736"/>
        <v>50000</v>
      </c>
      <c r="BN443" s="74">
        <f t="shared" si="736"/>
        <v>50000</v>
      </c>
      <c r="BO443" s="74">
        <f t="shared" si="736"/>
        <v>0</v>
      </c>
      <c r="BP443" s="74">
        <f t="shared" si="736"/>
        <v>3621640</v>
      </c>
      <c r="BQ443" s="74">
        <f t="shared" si="736"/>
        <v>106649</v>
      </c>
      <c r="BR443" s="74">
        <f t="shared" si="736"/>
        <v>111810</v>
      </c>
      <c r="BS443" s="75">
        <f t="shared" si="736"/>
        <v>21.244299999999999</v>
      </c>
      <c r="BT443" s="75">
        <f t="shared" si="736"/>
        <v>16.0654</v>
      </c>
      <c r="BU443" s="76">
        <f t="shared" si="736"/>
        <v>5.1789000000000005</v>
      </c>
      <c r="BV443" s="809">
        <f t="shared" ref="BV443:CA443" si="737">SUM(BV437:BV442)</f>
        <v>0</v>
      </c>
      <c r="BW443" s="684">
        <f t="shared" si="737"/>
        <v>0</v>
      </c>
      <c r="BX443" s="684">
        <f t="shared" si="737"/>
        <v>0</v>
      </c>
      <c r="BY443" s="684">
        <f t="shared" si="737"/>
        <v>0</v>
      </c>
      <c r="BZ443" s="684">
        <f t="shared" si="737"/>
        <v>0</v>
      </c>
      <c r="CA443" s="810">
        <f t="shared" si="737"/>
        <v>0</v>
      </c>
    </row>
    <row r="444" spans="1:79" ht="14.1" customHeight="1" x14ac:dyDescent="0.2">
      <c r="A444" s="66">
        <v>86</v>
      </c>
      <c r="B444" s="63">
        <v>2498</v>
      </c>
      <c r="C444" s="64">
        <v>650021576</v>
      </c>
      <c r="D444" s="63">
        <v>70695539</v>
      </c>
      <c r="E444" s="65" t="s">
        <v>699</v>
      </c>
      <c r="F444" s="66">
        <v>3111</v>
      </c>
      <c r="G444" s="65" t="s">
        <v>290</v>
      </c>
      <c r="H444" s="67" t="s">
        <v>271</v>
      </c>
      <c r="I444" s="420">
        <v>5247322</v>
      </c>
      <c r="J444" s="415">
        <v>3819649</v>
      </c>
      <c r="K444" s="415">
        <v>3619945</v>
      </c>
      <c r="L444" s="415">
        <v>199704</v>
      </c>
      <c r="M444" s="415">
        <v>60000</v>
      </c>
      <c r="N444" s="415">
        <v>60000</v>
      </c>
      <c r="O444" s="415">
        <v>0</v>
      </c>
      <c r="P444" s="599">
        <v>1311321</v>
      </c>
      <c r="Q444" s="599">
        <v>38196</v>
      </c>
      <c r="R444" s="415">
        <v>18156</v>
      </c>
      <c r="S444" s="416">
        <v>6.7000999999999999</v>
      </c>
      <c r="T444" s="416">
        <v>5.8999999999999995</v>
      </c>
      <c r="U444" s="423">
        <v>0.80010000000000003</v>
      </c>
      <c r="V444" s="424">
        <f t="shared" si="642"/>
        <v>0</v>
      </c>
      <c r="W444" s="418">
        <f t="shared" si="643"/>
        <v>0</v>
      </c>
      <c r="X444" s="418">
        <v>0</v>
      </c>
      <c r="Y444" s="418">
        <v>0</v>
      </c>
      <c r="Z444" s="418">
        <v>0</v>
      </c>
      <c r="AA444" s="418">
        <v>0</v>
      </c>
      <c r="AB444" s="418">
        <v>0</v>
      </c>
      <c r="AC444" s="418">
        <v>0</v>
      </c>
      <c r="AD444" s="418">
        <f t="shared" ref="AD444:AD449" si="738">V444+X444+Y444+Z444+AB444</f>
        <v>0</v>
      </c>
      <c r="AE444" s="418">
        <f t="shared" ref="AE444:AE449" si="739">W444+AA444+AC444</f>
        <v>0</v>
      </c>
      <c r="AF444" s="418">
        <f t="shared" si="644"/>
        <v>0</v>
      </c>
      <c r="AG444" s="418">
        <v>0</v>
      </c>
      <c r="AH444" s="418">
        <v>0</v>
      </c>
      <c r="AI444" s="418">
        <v>0</v>
      </c>
      <c r="AJ444" s="418">
        <v>0</v>
      </c>
      <c r="AK444" s="418">
        <v>0</v>
      </c>
      <c r="AL444" s="418">
        <f t="shared" si="645"/>
        <v>0</v>
      </c>
      <c r="AM444" s="418">
        <f t="shared" si="646"/>
        <v>0</v>
      </c>
      <c r="AN444" s="418">
        <f t="shared" si="647"/>
        <v>0</v>
      </c>
      <c r="AO444" s="418">
        <f t="shared" si="648"/>
        <v>0</v>
      </c>
      <c r="AP444" s="418">
        <f t="shared" si="649"/>
        <v>0</v>
      </c>
      <c r="AQ444" s="418">
        <f t="shared" si="650"/>
        <v>0</v>
      </c>
      <c r="AR444" s="68">
        <f t="shared" si="651"/>
        <v>0</v>
      </c>
      <c r="AS444" s="68">
        <f t="shared" si="652"/>
        <v>0</v>
      </c>
      <c r="AT444" s="418">
        <v>0</v>
      </c>
      <c r="AU444" s="418">
        <v>0</v>
      </c>
      <c r="AV444" s="418">
        <f t="shared" si="653"/>
        <v>0</v>
      </c>
      <c r="AW444" s="418">
        <f t="shared" si="654"/>
        <v>0</v>
      </c>
      <c r="AX444" s="419">
        <v>0</v>
      </c>
      <c r="AY444" s="419">
        <v>0</v>
      </c>
      <c r="AZ444" s="419">
        <v>0</v>
      </c>
      <c r="BA444" s="419">
        <v>0</v>
      </c>
      <c r="BB444" s="419">
        <v>0</v>
      </c>
      <c r="BC444" s="419">
        <v>0</v>
      </c>
      <c r="BD444" s="419">
        <v>0</v>
      </c>
      <c r="BE444" s="419">
        <v>0</v>
      </c>
      <c r="BF444" s="419">
        <f t="shared" si="655"/>
        <v>0</v>
      </c>
      <c r="BG444" s="419">
        <f t="shared" si="656"/>
        <v>0</v>
      </c>
      <c r="BH444" s="421">
        <f t="shared" si="657"/>
        <v>0</v>
      </c>
      <c r="BI444" s="780">
        <f t="shared" ref="BI444:BI449" si="740">I444+AW444</f>
        <v>5247322</v>
      </c>
      <c r="BJ444" s="418">
        <f t="shared" ref="BJ444:BJ449" si="741">J444+AF444</f>
        <v>3819649</v>
      </c>
      <c r="BK444" s="418">
        <f t="shared" ref="BK444:BL449" si="742">K444+AD444</f>
        <v>3619945</v>
      </c>
      <c r="BL444" s="418">
        <f t="shared" si="742"/>
        <v>199704</v>
      </c>
      <c r="BM444" s="418">
        <f t="shared" ref="BM444:BM449" si="743">M444+AN444</f>
        <v>60000</v>
      </c>
      <c r="BN444" s="418">
        <f t="shared" ref="BN444:BO449" si="744">N444+AL444</f>
        <v>60000</v>
      </c>
      <c r="BO444" s="418">
        <f t="shared" si="744"/>
        <v>0</v>
      </c>
      <c r="BP444" s="418">
        <f t="shared" ref="BP444:BQ449" si="745">P444+AR444</f>
        <v>1311321</v>
      </c>
      <c r="BQ444" s="418">
        <f t="shared" si="745"/>
        <v>38196</v>
      </c>
      <c r="BR444" s="418">
        <f t="shared" ref="BR444:BR449" si="746">R444+AV444</f>
        <v>18156</v>
      </c>
      <c r="BS444" s="419">
        <f t="shared" ref="BS444:BS449" si="747">S444+BH444</f>
        <v>6.7000999999999999</v>
      </c>
      <c r="BT444" s="419">
        <f t="shared" ref="BT444:BU449" si="748">T444+BF444</f>
        <v>5.8999999999999995</v>
      </c>
      <c r="BU444" s="421">
        <f t="shared" si="748"/>
        <v>0.80010000000000003</v>
      </c>
      <c r="BV444" s="420"/>
      <c r="BW444" s="415"/>
      <c r="BX444" s="415"/>
      <c r="BY444" s="415"/>
      <c r="BZ444" s="415"/>
      <c r="CA444" s="510"/>
    </row>
    <row r="445" spans="1:79" ht="14.1" customHeight="1" x14ac:dyDescent="0.2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699</v>
      </c>
      <c r="F445" s="66">
        <v>3113</v>
      </c>
      <c r="G445" s="65" t="s">
        <v>293</v>
      </c>
      <c r="H445" s="67" t="s">
        <v>271</v>
      </c>
      <c r="I445" s="420">
        <v>19929998</v>
      </c>
      <c r="J445" s="415">
        <v>14513914</v>
      </c>
      <c r="K445" s="415">
        <v>13297111</v>
      </c>
      <c r="L445" s="415">
        <v>1216803</v>
      </c>
      <c r="M445" s="415">
        <v>80000</v>
      </c>
      <c r="N445" s="415">
        <v>30000</v>
      </c>
      <c r="O445" s="415">
        <v>50000</v>
      </c>
      <c r="P445" s="599">
        <v>4932743</v>
      </c>
      <c r="Q445" s="599">
        <v>145139</v>
      </c>
      <c r="R445" s="415">
        <v>258202</v>
      </c>
      <c r="S445" s="416">
        <v>22.844000000000001</v>
      </c>
      <c r="T445" s="416">
        <v>19.090900000000001</v>
      </c>
      <c r="U445" s="423">
        <v>3.7530999999999999</v>
      </c>
      <c r="V445" s="424">
        <f t="shared" si="642"/>
        <v>0</v>
      </c>
      <c r="W445" s="418">
        <f t="shared" si="643"/>
        <v>0</v>
      </c>
      <c r="X445" s="418">
        <v>0</v>
      </c>
      <c r="Y445" s="418">
        <v>0</v>
      </c>
      <c r="Z445" s="418">
        <v>0</v>
      </c>
      <c r="AA445" s="418">
        <v>0</v>
      </c>
      <c r="AB445" s="418">
        <v>0</v>
      </c>
      <c r="AC445" s="418">
        <v>0</v>
      </c>
      <c r="AD445" s="418">
        <f t="shared" si="738"/>
        <v>0</v>
      </c>
      <c r="AE445" s="418">
        <f t="shared" si="739"/>
        <v>0</v>
      </c>
      <c r="AF445" s="418">
        <f t="shared" si="644"/>
        <v>0</v>
      </c>
      <c r="AG445" s="418">
        <v>0</v>
      </c>
      <c r="AH445" s="418">
        <v>0</v>
      </c>
      <c r="AI445" s="418">
        <v>0</v>
      </c>
      <c r="AJ445" s="418">
        <v>0</v>
      </c>
      <c r="AK445" s="418">
        <v>0</v>
      </c>
      <c r="AL445" s="418">
        <f t="shared" si="645"/>
        <v>0</v>
      </c>
      <c r="AM445" s="418">
        <f t="shared" si="646"/>
        <v>0</v>
      </c>
      <c r="AN445" s="418">
        <f t="shared" si="647"/>
        <v>0</v>
      </c>
      <c r="AO445" s="418">
        <f t="shared" si="648"/>
        <v>0</v>
      </c>
      <c r="AP445" s="418">
        <f t="shared" si="649"/>
        <v>0</v>
      </c>
      <c r="AQ445" s="418">
        <f t="shared" si="650"/>
        <v>0</v>
      </c>
      <c r="AR445" s="68">
        <f t="shared" si="651"/>
        <v>0</v>
      </c>
      <c r="AS445" s="68">
        <f t="shared" si="652"/>
        <v>0</v>
      </c>
      <c r="AT445" s="418">
        <v>0</v>
      </c>
      <c r="AU445" s="418">
        <v>0</v>
      </c>
      <c r="AV445" s="418">
        <f t="shared" si="653"/>
        <v>0</v>
      </c>
      <c r="AW445" s="418">
        <f t="shared" si="654"/>
        <v>0</v>
      </c>
      <c r="AX445" s="419">
        <v>0</v>
      </c>
      <c r="AY445" s="419">
        <v>0</v>
      </c>
      <c r="AZ445" s="419">
        <v>0</v>
      </c>
      <c r="BA445" s="419">
        <v>0</v>
      </c>
      <c r="BB445" s="419">
        <v>0</v>
      </c>
      <c r="BC445" s="419">
        <v>0</v>
      </c>
      <c r="BD445" s="419">
        <v>0</v>
      </c>
      <c r="BE445" s="419">
        <v>0</v>
      </c>
      <c r="BF445" s="419">
        <f t="shared" si="655"/>
        <v>0</v>
      </c>
      <c r="BG445" s="419">
        <f t="shared" si="656"/>
        <v>0</v>
      </c>
      <c r="BH445" s="421">
        <f t="shared" si="657"/>
        <v>0</v>
      </c>
      <c r="BI445" s="780">
        <f t="shared" si="740"/>
        <v>19929998</v>
      </c>
      <c r="BJ445" s="418">
        <f t="shared" si="741"/>
        <v>14513914</v>
      </c>
      <c r="BK445" s="418">
        <f t="shared" si="742"/>
        <v>13297111</v>
      </c>
      <c r="BL445" s="418">
        <f t="shared" si="742"/>
        <v>1216803</v>
      </c>
      <c r="BM445" s="418">
        <f t="shared" si="743"/>
        <v>80000</v>
      </c>
      <c r="BN445" s="418">
        <f t="shared" si="744"/>
        <v>30000</v>
      </c>
      <c r="BO445" s="418">
        <f t="shared" si="744"/>
        <v>50000</v>
      </c>
      <c r="BP445" s="418">
        <f t="shared" si="745"/>
        <v>4932743</v>
      </c>
      <c r="BQ445" s="418">
        <f t="shared" si="745"/>
        <v>145139</v>
      </c>
      <c r="BR445" s="418">
        <f t="shared" si="746"/>
        <v>258202</v>
      </c>
      <c r="BS445" s="419">
        <f t="shared" si="747"/>
        <v>22.844000000000001</v>
      </c>
      <c r="BT445" s="419">
        <f t="shared" si="748"/>
        <v>19.090900000000001</v>
      </c>
      <c r="BU445" s="421">
        <f t="shared" si="748"/>
        <v>3.7530999999999999</v>
      </c>
      <c r="BV445" s="420">
        <v>380136</v>
      </c>
      <c r="BW445" s="415">
        <v>282000</v>
      </c>
      <c r="BX445" s="415">
        <v>0</v>
      </c>
      <c r="BY445" s="415">
        <v>95316</v>
      </c>
      <c r="BZ445" s="415">
        <v>2820</v>
      </c>
      <c r="CA445" s="510">
        <v>0.5</v>
      </c>
    </row>
    <row r="446" spans="1:79" ht="14.1" customHeight="1" x14ac:dyDescent="0.2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699</v>
      </c>
      <c r="F446" s="66">
        <v>3113</v>
      </c>
      <c r="G446" s="77" t="s">
        <v>291</v>
      </c>
      <c r="H446" s="67" t="s">
        <v>272</v>
      </c>
      <c r="I446" s="420">
        <v>2873166</v>
      </c>
      <c r="J446" s="415">
        <v>2128461</v>
      </c>
      <c r="K446" s="415">
        <v>2128461</v>
      </c>
      <c r="L446" s="415">
        <v>0</v>
      </c>
      <c r="M446" s="415">
        <v>0</v>
      </c>
      <c r="N446" s="415">
        <v>0</v>
      </c>
      <c r="O446" s="415">
        <v>0</v>
      </c>
      <c r="P446" s="599">
        <v>719420</v>
      </c>
      <c r="Q446" s="599">
        <v>21285</v>
      </c>
      <c r="R446" s="415">
        <v>4000</v>
      </c>
      <c r="S446" s="416">
        <v>5.52</v>
      </c>
      <c r="T446" s="417">
        <v>5.52</v>
      </c>
      <c r="U446" s="423">
        <v>0</v>
      </c>
      <c r="V446" s="424">
        <f t="shared" si="642"/>
        <v>0</v>
      </c>
      <c r="W446" s="418">
        <f t="shared" si="643"/>
        <v>0</v>
      </c>
      <c r="X446" s="418">
        <v>-118453</v>
      </c>
      <c r="Y446" s="418">
        <v>0</v>
      </c>
      <c r="Z446" s="418">
        <v>0</v>
      </c>
      <c r="AA446" s="418">
        <v>0</v>
      </c>
      <c r="AB446" s="418">
        <v>0</v>
      </c>
      <c r="AC446" s="418">
        <v>0</v>
      </c>
      <c r="AD446" s="418">
        <f t="shared" si="738"/>
        <v>-118453</v>
      </c>
      <c r="AE446" s="418">
        <f t="shared" si="739"/>
        <v>0</v>
      </c>
      <c r="AF446" s="418">
        <f t="shared" si="644"/>
        <v>-118453</v>
      </c>
      <c r="AG446" s="418">
        <v>0</v>
      </c>
      <c r="AH446" s="418">
        <v>0</v>
      </c>
      <c r="AI446" s="418">
        <v>0</v>
      </c>
      <c r="AJ446" s="418">
        <v>0</v>
      </c>
      <c r="AK446" s="418">
        <v>0</v>
      </c>
      <c r="AL446" s="418">
        <f t="shared" si="645"/>
        <v>0</v>
      </c>
      <c r="AM446" s="418">
        <f t="shared" si="646"/>
        <v>0</v>
      </c>
      <c r="AN446" s="418">
        <f t="shared" si="647"/>
        <v>0</v>
      </c>
      <c r="AO446" s="418">
        <f t="shared" si="648"/>
        <v>-118453</v>
      </c>
      <c r="AP446" s="418">
        <f t="shared" si="649"/>
        <v>0</v>
      </c>
      <c r="AQ446" s="418">
        <f t="shared" si="650"/>
        <v>-118453</v>
      </c>
      <c r="AR446" s="68">
        <f t="shared" si="651"/>
        <v>-40037</v>
      </c>
      <c r="AS446" s="68">
        <f t="shared" si="652"/>
        <v>-1185</v>
      </c>
      <c r="AT446" s="418">
        <v>0</v>
      </c>
      <c r="AU446" s="418">
        <v>0</v>
      </c>
      <c r="AV446" s="418">
        <f t="shared" si="653"/>
        <v>0</v>
      </c>
      <c r="AW446" s="418">
        <f t="shared" si="654"/>
        <v>-159675</v>
      </c>
      <c r="AX446" s="419">
        <v>0</v>
      </c>
      <c r="AY446" s="419">
        <v>0</v>
      </c>
      <c r="AZ446" s="419">
        <v>-0.32</v>
      </c>
      <c r="BA446" s="419">
        <v>0</v>
      </c>
      <c r="BB446" s="419">
        <v>0</v>
      </c>
      <c r="BC446" s="419">
        <v>0</v>
      </c>
      <c r="BD446" s="419">
        <v>0</v>
      </c>
      <c r="BE446" s="419">
        <v>0</v>
      </c>
      <c r="BF446" s="419">
        <f t="shared" si="655"/>
        <v>-0.32</v>
      </c>
      <c r="BG446" s="419">
        <f t="shared" si="656"/>
        <v>0</v>
      </c>
      <c r="BH446" s="421">
        <f t="shared" si="657"/>
        <v>-0.32</v>
      </c>
      <c r="BI446" s="780">
        <f t="shared" si="740"/>
        <v>2713491</v>
      </c>
      <c r="BJ446" s="418">
        <f t="shared" si="741"/>
        <v>2010008</v>
      </c>
      <c r="BK446" s="418">
        <f t="shared" si="742"/>
        <v>2010008</v>
      </c>
      <c r="BL446" s="418">
        <f t="shared" si="742"/>
        <v>0</v>
      </c>
      <c r="BM446" s="418">
        <f t="shared" si="743"/>
        <v>0</v>
      </c>
      <c r="BN446" s="418">
        <f t="shared" si="744"/>
        <v>0</v>
      </c>
      <c r="BO446" s="418">
        <f t="shared" si="744"/>
        <v>0</v>
      </c>
      <c r="BP446" s="418">
        <f t="shared" si="745"/>
        <v>679383</v>
      </c>
      <c r="BQ446" s="418">
        <f t="shared" si="745"/>
        <v>20100</v>
      </c>
      <c r="BR446" s="418">
        <f t="shared" si="746"/>
        <v>4000</v>
      </c>
      <c r="BS446" s="419">
        <f t="shared" si="747"/>
        <v>5.1999999999999993</v>
      </c>
      <c r="BT446" s="419">
        <f t="shared" si="748"/>
        <v>5.1999999999999993</v>
      </c>
      <c r="BU446" s="421">
        <f t="shared" si="748"/>
        <v>0</v>
      </c>
      <c r="BV446" s="420"/>
      <c r="BW446" s="415"/>
      <c r="BX446" s="415"/>
      <c r="BY446" s="415"/>
      <c r="BZ446" s="415"/>
      <c r="CA446" s="510"/>
    </row>
    <row r="447" spans="1:79" ht="14.1" customHeight="1" x14ac:dyDescent="0.2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699</v>
      </c>
      <c r="F447" s="66">
        <v>3141</v>
      </c>
      <c r="G447" s="65" t="s">
        <v>294</v>
      </c>
      <c r="H447" s="67" t="s">
        <v>272</v>
      </c>
      <c r="I447" s="420">
        <v>1838182</v>
      </c>
      <c r="J447" s="415">
        <v>1296129</v>
      </c>
      <c r="K447" s="415">
        <v>0</v>
      </c>
      <c r="L447" s="750">
        <v>1296129</v>
      </c>
      <c r="M447" s="415">
        <v>60000</v>
      </c>
      <c r="N447" s="204">
        <v>0</v>
      </c>
      <c r="O447" s="204">
        <v>60000</v>
      </c>
      <c r="P447" s="599">
        <v>458372</v>
      </c>
      <c r="Q447" s="599">
        <v>12961</v>
      </c>
      <c r="R447" s="605">
        <v>10720</v>
      </c>
      <c r="S447" s="416">
        <v>4.0666000000000002</v>
      </c>
      <c r="T447" s="607">
        <v>0</v>
      </c>
      <c r="U447" s="737">
        <v>4.0666000000000002</v>
      </c>
      <c r="V447" s="424">
        <f t="shared" si="642"/>
        <v>0</v>
      </c>
      <c r="W447" s="418">
        <f t="shared" si="643"/>
        <v>0</v>
      </c>
      <c r="X447" s="418">
        <v>0</v>
      </c>
      <c r="Y447" s="418">
        <v>0</v>
      </c>
      <c r="Z447" s="418">
        <v>0</v>
      </c>
      <c r="AA447" s="418">
        <v>675774</v>
      </c>
      <c r="AB447" s="418">
        <v>0</v>
      </c>
      <c r="AC447" s="418">
        <v>0</v>
      </c>
      <c r="AD447" s="418">
        <f t="shared" si="738"/>
        <v>0</v>
      </c>
      <c r="AE447" s="418">
        <f t="shared" si="739"/>
        <v>675774</v>
      </c>
      <c r="AF447" s="418">
        <f t="shared" si="644"/>
        <v>675774</v>
      </c>
      <c r="AG447" s="418">
        <v>0</v>
      </c>
      <c r="AH447" s="418">
        <v>0</v>
      </c>
      <c r="AI447" s="418">
        <v>0</v>
      </c>
      <c r="AJ447" s="418">
        <v>0</v>
      </c>
      <c r="AK447" s="418">
        <v>0</v>
      </c>
      <c r="AL447" s="418">
        <f t="shared" si="645"/>
        <v>0</v>
      </c>
      <c r="AM447" s="418">
        <f t="shared" si="646"/>
        <v>0</v>
      </c>
      <c r="AN447" s="418">
        <f t="shared" si="647"/>
        <v>0</v>
      </c>
      <c r="AO447" s="418">
        <f t="shared" si="648"/>
        <v>0</v>
      </c>
      <c r="AP447" s="418">
        <f t="shared" si="649"/>
        <v>675774</v>
      </c>
      <c r="AQ447" s="418">
        <f t="shared" si="650"/>
        <v>675774</v>
      </c>
      <c r="AR447" s="68">
        <f t="shared" si="651"/>
        <v>228412</v>
      </c>
      <c r="AS447" s="68">
        <f t="shared" si="652"/>
        <v>6758</v>
      </c>
      <c r="AT447" s="418">
        <v>0</v>
      </c>
      <c r="AU447" s="418">
        <v>5200</v>
      </c>
      <c r="AV447" s="418">
        <f t="shared" si="653"/>
        <v>5200</v>
      </c>
      <c r="AW447" s="418">
        <f t="shared" si="654"/>
        <v>916144</v>
      </c>
      <c r="AX447" s="419">
        <v>0</v>
      </c>
      <c r="AY447" s="419">
        <v>0</v>
      </c>
      <c r="AZ447" s="419">
        <v>0</v>
      </c>
      <c r="BA447" s="419">
        <v>0</v>
      </c>
      <c r="BB447" s="419">
        <v>2.0299999999999998</v>
      </c>
      <c r="BC447" s="419">
        <v>0</v>
      </c>
      <c r="BD447" s="419">
        <v>0</v>
      </c>
      <c r="BE447" s="419">
        <v>0</v>
      </c>
      <c r="BF447" s="419">
        <f t="shared" si="655"/>
        <v>0</v>
      </c>
      <c r="BG447" s="419">
        <f t="shared" si="656"/>
        <v>2.0299999999999998</v>
      </c>
      <c r="BH447" s="421">
        <f t="shared" si="657"/>
        <v>2.0299999999999998</v>
      </c>
      <c r="BI447" s="780">
        <f t="shared" si="740"/>
        <v>2754326</v>
      </c>
      <c r="BJ447" s="418">
        <f t="shared" si="741"/>
        <v>1971903</v>
      </c>
      <c r="BK447" s="418">
        <f t="shared" si="742"/>
        <v>0</v>
      </c>
      <c r="BL447" s="418">
        <f t="shared" si="742"/>
        <v>1971903</v>
      </c>
      <c r="BM447" s="418">
        <f t="shared" si="743"/>
        <v>60000</v>
      </c>
      <c r="BN447" s="418">
        <f t="shared" si="744"/>
        <v>0</v>
      </c>
      <c r="BO447" s="418">
        <f t="shared" si="744"/>
        <v>60000</v>
      </c>
      <c r="BP447" s="418">
        <f t="shared" si="745"/>
        <v>686784</v>
      </c>
      <c r="BQ447" s="418">
        <f t="shared" si="745"/>
        <v>19719</v>
      </c>
      <c r="BR447" s="418">
        <f t="shared" si="746"/>
        <v>15920</v>
      </c>
      <c r="BS447" s="419">
        <f t="shared" si="747"/>
        <v>6.0966000000000005</v>
      </c>
      <c r="BT447" s="419">
        <f t="shared" si="748"/>
        <v>0</v>
      </c>
      <c r="BU447" s="421">
        <f t="shared" si="748"/>
        <v>6.0966000000000005</v>
      </c>
      <c r="BV447" s="420"/>
      <c r="BW447" s="415"/>
      <c r="BX447" s="415"/>
      <c r="BY447" s="415"/>
      <c r="BZ447" s="415"/>
      <c r="CA447" s="510"/>
    </row>
    <row r="448" spans="1:79" ht="14.1" customHeight="1" x14ac:dyDescent="0.2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699</v>
      </c>
      <c r="F448" s="66">
        <v>3143</v>
      </c>
      <c r="G448" s="77" t="s">
        <v>595</v>
      </c>
      <c r="H448" s="67" t="s">
        <v>271</v>
      </c>
      <c r="I448" s="420">
        <v>1668649</v>
      </c>
      <c r="J448" s="415">
        <v>1237870</v>
      </c>
      <c r="K448" s="415">
        <v>1237870</v>
      </c>
      <c r="L448" s="415">
        <v>0</v>
      </c>
      <c r="M448" s="415">
        <v>0</v>
      </c>
      <c r="N448" s="415">
        <v>0</v>
      </c>
      <c r="O448" s="415">
        <v>0</v>
      </c>
      <c r="P448" s="599">
        <v>418400</v>
      </c>
      <c r="Q448" s="599">
        <v>12379</v>
      </c>
      <c r="R448" s="415">
        <v>0</v>
      </c>
      <c r="S448" s="416">
        <v>2.5</v>
      </c>
      <c r="T448" s="416">
        <v>2.5</v>
      </c>
      <c r="U448" s="423">
        <v>0</v>
      </c>
      <c r="V448" s="424">
        <f t="shared" si="642"/>
        <v>0</v>
      </c>
      <c r="W448" s="418">
        <f t="shared" si="643"/>
        <v>0</v>
      </c>
      <c r="X448" s="418">
        <v>0</v>
      </c>
      <c r="Y448" s="418">
        <v>0</v>
      </c>
      <c r="Z448" s="418">
        <v>0</v>
      </c>
      <c r="AA448" s="418">
        <v>0</v>
      </c>
      <c r="AB448" s="418">
        <v>0</v>
      </c>
      <c r="AC448" s="418">
        <v>0</v>
      </c>
      <c r="AD448" s="418">
        <f t="shared" si="738"/>
        <v>0</v>
      </c>
      <c r="AE448" s="418">
        <f t="shared" si="739"/>
        <v>0</v>
      </c>
      <c r="AF448" s="418">
        <f t="shared" si="644"/>
        <v>0</v>
      </c>
      <c r="AG448" s="418">
        <v>0</v>
      </c>
      <c r="AH448" s="418">
        <v>0</v>
      </c>
      <c r="AI448" s="418">
        <v>0</v>
      </c>
      <c r="AJ448" s="418">
        <v>0</v>
      </c>
      <c r="AK448" s="418">
        <v>0</v>
      </c>
      <c r="AL448" s="418">
        <f t="shared" si="645"/>
        <v>0</v>
      </c>
      <c r="AM448" s="418">
        <f t="shared" si="646"/>
        <v>0</v>
      </c>
      <c r="AN448" s="418">
        <f t="shared" si="647"/>
        <v>0</v>
      </c>
      <c r="AO448" s="418">
        <f t="shared" si="648"/>
        <v>0</v>
      </c>
      <c r="AP448" s="418">
        <f t="shared" si="649"/>
        <v>0</v>
      </c>
      <c r="AQ448" s="418">
        <f t="shared" si="650"/>
        <v>0</v>
      </c>
      <c r="AR448" s="68">
        <f t="shared" si="651"/>
        <v>0</v>
      </c>
      <c r="AS448" s="68">
        <f t="shared" si="652"/>
        <v>0</v>
      </c>
      <c r="AT448" s="418">
        <v>0</v>
      </c>
      <c r="AU448" s="418">
        <v>0</v>
      </c>
      <c r="AV448" s="418">
        <f t="shared" si="653"/>
        <v>0</v>
      </c>
      <c r="AW448" s="418">
        <f t="shared" si="654"/>
        <v>0</v>
      </c>
      <c r="AX448" s="419">
        <v>0</v>
      </c>
      <c r="AY448" s="419">
        <v>0</v>
      </c>
      <c r="AZ448" s="419">
        <v>0</v>
      </c>
      <c r="BA448" s="419">
        <v>0</v>
      </c>
      <c r="BB448" s="419">
        <v>0</v>
      </c>
      <c r="BC448" s="419">
        <v>0</v>
      </c>
      <c r="BD448" s="419">
        <v>0</v>
      </c>
      <c r="BE448" s="419">
        <v>0</v>
      </c>
      <c r="BF448" s="419">
        <f t="shared" si="655"/>
        <v>0</v>
      </c>
      <c r="BG448" s="419">
        <f t="shared" si="656"/>
        <v>0</v>
      </c>
      <c r="BH448" s="421">
        <f t="shared" si="657"/>
        <v>0</v>
      </c>
      <c r="BI448" s="780">
        <f t="shared" si="740"/>
        <v>1668649</v>
      </c>
      <c r="BJ448" s="418">
        <f t="shared" si="741"/>
        <v>1237870</v>
      </c>
      <c r="BK448" s="418">
        <f t="shared" si="742"/>
        <v>1237870</v>
      </c>
      <c r="BL448" s="418">
        <f t="shared" si="742"/>
        <v>0</v>
      </c>
      <c r="BM448" s="418">
        <f t="shared" si="743"/>
        <v>0</v>
      </c>
      <c r="BN448" s="418">
        <f t="shared" si="744"/>
        <v>0</v>
      </c>
      <c r="BO448" s="418">
        <f t="shared" si="744"/>
        <v>0</v>
      </c>
      <c r="BP448" s="418">
        <f t="shared" si="745"/>
        <v>418400</v>
      </c>
      <c r="BQ448" s="418">
        <f t="shared" si="745"/>
        <v>12379</v>
      </c>
      <c r="BR448" s="418">
        <f t="shared" si="746"/>
        <v>0</v>
      </c>
      <c r="BS448" s="419">
        <f t="shared" si="747"/>
        <v>2.5</v>
      </c>
      <c r="BT448" s="419">
        <f t="shared" si="748"/>
        <v>2.5</v>
      </c>
      <c r="BU448" s="421">
        <f t="shared" si="748"/>
        <v>0</v>
      </c>
      <c r="BV448" s="420"/>
      <c r="BW448" s="415"/>
      <c r="BX448" s="415"/>
      <c r="BY448" s="415"/>
      <c r="BZ448" s="415"/>
      <c r="CA448" s="510"/>
    </row>
    <row r="449" spans="1:79" ht="14.1" customHeight="1" x14ac:dyDescent="0.2">
      <c r="A449" s="66">
        <v>86</v>
      </c>
      <c r="B449" s="63">
        <v>2498</v>
      </c>
      <c r="C449" s="64">
        <v>650021576</v>
      </c>
      <c r="D449" s="63">
        <v>70695539</v>
      </c>
      <c r="E449" s="65" t="s">
        <v>699</v>
      </c>
      <c r="F449" s="66">
        <v>3143</v>
      </c>
      <c r="G449" s="77" t="s">
        <v>596</v>
      </c>
      <c r="H449" s="67" t="s">
        <v>272</v>
      </c>
      <c r="I449" s="420">
        <v>39429</v>
      </c>
      <c r="J449" s="415">
        <v>28222</v>
      </c>
      <c r="K449" s="415">
        <v>0</v>
      </c>
      <c r="L449" s="605">
        <v>28222</v>
      </c>
      <c r="M449" s="415">
        <v>0</v>
      </c>
      <c r="N449" s="415">
        <v>0</v>
      </c>
      <c r="O449" s="415">
        <v>0</v>
      </c>
      <c r="P449" s="599">
        <v>9539</v>
      </c>
      <c r="Q449" s="599">
        <v>282</v>
      </c>
      <c r="R449" s="606">
        <v>1386</v>
      </c>
      <c r="S449" s="416">
        <v>0.1069</v>
      </c>
      <c r="T449" s="609">
        <v>0</v>
      </c>
      <c r="U449" s="737">
        <v>0.1069</v>
      </c>
      <c r="V449" s="424">
        <f t="shared" si="642"/>
        <v>0</v>
      </c>
      <c r="W449" s="418">
        <f t="shared" si="643"/>
        <v>0</v>
      </c>
      <c r="X449" s="418">
        <v>0</v>
      </c>
      <c r="Y449" s="418">
        <v>0</v>
      </c>
      <c r="Z449" s="418">
        <v>0</v>
      </c>
      <c r="AA449" s="418">
        <v>14128</v>
      </c>
      <c r="AB449" s="418">
        <v>0</v>
      </c>
      <c r="AC449" s="418">
        <v>0</v>
      </c>
      <c r="AD449" s="418">
        <f t="shared" si="738"/>
        <v>0</v>
      </c>
      <c r="AE449" s="418">
        <f t="shared" si="739"/>
        <v>14128</v>
      </c>
      <c r="AF449" s="418">
        <f t="shared" si="644"/>
        <v>14128</v>
      </c>
      <c r="AG449" s="418">
        <v>0</v>
      </c>
      <c r="AH449" s="418">
        <v>0</v>
      </c>
      <c r="AI449" s="418">
        <v>0</v>
      </c>
      <c r="AJ449" s="418">
        <v>0</v>
      </c>
      <c r="AK449" s="418">
        <v>0</v>
      </c>
      <c r="AL449" s="418">
        <f t="shared" si="645"/>
        <v>0</v>
      </c>
      <c r="AM449" s="418">
        <f t="shared" si="646"/>
        <v>0</v>
      </c>
      <c r="AN449" s="418">
        <f t="shared" si="647"/>
        <v>0</v>
      </c>
      <c r="AO449" s="418">
        <f t="shared" si="648"/>
        <v>0</v>
      </c>
      <c r="AP449" s="418">
        <f t="shared" si="649"/>
        <v>14128</v>
      </c>
      <c r="AQ449" s="418">
        <f t="shared" si="650"/>
        <v>14128</v>
      </c>
      <c r="AR449" s="68">
        <f t="shared" si="651"/>
        <v>4775</v>
      </c>
      <c r="AS449" s="68">
        <f t="shared" si="652"/>
        <v>141</v>
      </c>
      <c r="AT449" s="418">
        <v>0</v>
      </c>
      <c r="AU449" s="418">
        <v>693</v>
      </c>
      <c r="AV449" s="418">
        <f t="shared" si="653"/>
        <v>693</v>
      </c>
      <c r="AW449" s="418">
        <f t="shared" si="654"/>
        <v>19737</v>
      </c>
      <c r="AX449" s="419">
        <v>0</v>
      </c>
      <c r="AY449" s="419">
        <v>0</v>
      </c>
      <c r="AZ449" s="419">
        <v>0</v>
      </c>
      <c r="BA449" s="419">
        <v>0</v>
      </c>
      <c r="BB449" s="419">
        <v>0.05</v>
      </c>
      <c r="BC449" s="419">
        <v>0</v>
      </c>
      <c r="BD449" s="419">
        <v>0</v>
      </c>
      <c r="BE449" s="419">
        <v>0</v>
      </c>
      <c r="BF449" s="419">
        <f t="shared" si="655"/>
        <v>0</v>
      </c>
      <c r="BG449" s="419">
        <f t="shared" si="656"/>
        <v>0.05</v>
      </c>
      <c r="BH449" s="421">
        <f t="shared" si="657"/>
        <v>0.05</v>
      </c>
      <c r="BI449" s="780">
        <f t="shared" si="740"/>
        <v>59166</v>
      </c>
      <c r="BJ449" s="418">
        <f t="shared" si="741"/>
        <v>42350</v>
      </c>
      <c r="BK449" s="418">
        <f t="shared" si="742"/>
        <v>0</v>
      </c>
      <c r="BL449" s="418">
        <f t="shared" si="742"/>
        <v>42350</v>
      </c>
      <c r="BM449" s="418">
        <f t="shared" si="743"/>
        <v>0</v>
      </c>
      <c r="BN449" s="418">
        <f t="shared" si="744"/>
        <v>0</v>
      </c>
      <c r="BO449" s="418">
        <f t="shared" si="744"/>
        <v>0</v>
      </c>
      <c r="BP449" s="418">
        <f t="shared" si="745"/>
        <v>14314</v>
      </c>
      <c r="BQ449" s="418">
        <f t="shared" si="745"/>
        <v>423</v>
      </c>
      <c r="BR449" s="418">
        <f t="shared" si="746"/>
        <v>2079</v>
      </c>
      <c r="BS449" s="419">
        <f t="shared" si="747"/>
        <v>0.15689999999999998</v>
      </c>
      <c r="BT449" s="419">
        <f t="shared" si="748"/>
        <v>0</v>
      </c>
      <c r="BU449" s="421">
        <f t="shared" si="748"/>
        <v>0.15689999999999998</v>
      </c>
      <c r="BV449" s="420"/>
      <c r="BW449" s="415"/>
      <c r="BX449" s="415"/>
      <c r="BY449" s="415"/>
      <c r="BZ449" s="415"/>
      <c r="CA449" s="510"/>
    </row>
    <row r="450" spans="1:79" ht="14.1" customHeight="1" x14ac:dyDescent="0.2">
      <c r="A450" s="72">
        <v>86</v>
      </c>
      <c r="B450" s="69">
        <v>2498</v>
      </c>
      <c r="C450" s="70">
        <v>650021576</v>
      </c>
      <c r="D450" s="69">
        <v>70695539</v>
      </c>
      <c r="E450" s="71" t="s">
        <v>700</v>
      </c>
      <c r="F450" s="72"/>
      <c r="G450" s="71"/>
      <c r="H450" s="73"/>
      <c r="I450" s="517">
        <v>31596746</v>
      </c>
      <c r="J450" s="74">
        <v>23024245</v>
      </c>
      <c r="K450" s="74">
        <v>20283387</v>
      </c>
      <c r="L450" s="74">
        <v>2740858</v>
      </c>
      <c r="M450" s="74">
        <v>200000</v>
      </c>
      <c r="N450" s="74">
        <v>90000</v>
      </c>
      <c r="O450" s="74">
        <v>110000</v>
      </c>
      <c r="P450" s="74">
        <v>7849795</v>
      </c>
      <c r="Q450" s="74">
        <v>230242</v>
      </c>
      <c r="R450" s="74">
        <v>292464</v>
      </c>
      <c r="S450" s="75">
        <v>41.7376</v>
      </c>
      <c r="T450" s="75">
        <v>33.010899999999999</v>
      </c>
      <c r="U450" s="658">
        <v>8.726700000000001</v>
      </c>
      <c r="V450" s="517">
        <f t="shared" ref="V450:BU450" si="749">SUM(V444:V449)</f>
        <v>0</v>
      </c>
      <c r="W450" s="74">
        <f t="shared" si="749"/>
        <v>0</v>
      </c>
      <c r="X450" s="74">
        <f t="shared" si="749"/>
        <v>-118453</v>
      </c>
      <c r="Y450" s="74">
        <f t="shared" si="749"/>
        <v>0</v>
      </c>
      <c r="Z450" s="74">
        <f t="shared" si="749"/>
        <v>0</v>
      </c>
      <c r="AA450" s="74">
        <f t="shared" si="749"/>
        <v>689902</v>
      </c>
      <c r="AB450" s="74">
        <f t="shared" si="749"/>
        <v>0</v>
      </c>
      <c r="AC450" s="74">
        <f t="shared" si="749"/>
        <v>0</v>
      </c>
      <c r="AD450" s="74">
        <f t="shared" si="749"/>
        <v>-118453</v>
      </c>
      <c r="AE450" s="74">
        <f t="shared" si="749"/>
        <v>689902</v>
      </c>
      <c r="AF450" s="74">
        <f t="shared" si="749"/>
        <v>571449</v>
      </c>
      <c r="AG450" s="74">
        <f t="shared" si="749"/>
        <v>0</v>
      </c>
      <c r="AH450" s="74">
        <f t="shared" si="749"/>
        <v>0</v>
      </c>
      <c r="AI450" s="74">
        <f t="shared" si="749"/>
        <v>0</v>
      </c>
      <c r="AJ450" s="74">
        <f t="shared" si="749"/>
        <v>0</v>
      </c>
      <c r="AK450" s="74">
        <f t="shared" si="749"/>
        <v>0</v>
      </c>
      <c r="AL450" s="74">
        <f t="shared" si="749"/>
        <v>0</v>
      </c>
      <c r="AM450" s="74">
        <f t="shared" si="749"/>
        <v>0</v>
      </c>
      <c r="AN450" s="74">
        <f t="shared" si="749"/>
        <v>0</v>
      </c>
      <c r="AO450" s="74">
        <f t="shared" si="749"/>
        <v>-118453</v>
      </c>
      <c r="AP450" s="74">
        <f t="shared" si="749"/>
        <v>689902</v>
      </c>
      <c r="AQ450" s="74">
        <f t="shared" si="749"/>
        <v>571449</v>
      </c>
      <c r="AR450" s="74">
        <f t="shared" si="749"/>
        <v>193150</v>
      </c>
      <c r="AS450" s="74">
        <f t="shared" si="749"/>
        <v>5714</v>
      </c>
      <c r="AT450" s="74">
        <f t="shared" si="749"/>
        <v>0</v>
      </c>
      <c r="AU450" s="74">
        <f t="shared" si="749"/>
        <v>5893</v>
      </c>
      <c r="AV450" s="74">
        <f t="shared" si="749"/>
        <v>5893</v>
      </c>
      <c r="AW450" s="74">
        <f t="shared" si="749"/>
        <v>776206</v>
      </c>
      <c r="AX450" s="75">
        <f t="shared" si="749"/>
        <v>0</v>
      </c>
      <c r="AY450" s="75">
        <f t="shared" si="749"/>
        <v>0</v>
      </c>
      <c r="AZ450" s="75">
        <f t="shared" si="749"/>
        <v>-0.32</v>
      </c>
      <c r="BA450" s="75">
        <f t="shared" si="749"/>
        <v>0</v>
      </c>
      <c r="BB450" s="75">
        <f t="shared" si="749"/>
        <v>2.0799999999999996</v>
      </c>
      <c r="BC450" s="75">
        <f t="shared" si="749"/>
        <v>0</v>
      </c>
      <c r="BD450" s="75">
        <f t="shared" si="749"/>
        <v>0</v>
      </c>
      <c r="BE450" s="75">
        <f t="shared" si="749"/>
        <v>0</v>
      </c>
      <c r="BF450" s="75">
        <f t="shared" si="749"/>
        <v>-0.32</v>
      </c>
      <c r="BG450" s="75">
        <f t="shared" si="749"/>
        <v>2.0799999999999996</v>
      </c>
      <c r="BH450" s="76">
        <f t="shared" si="749"/>
        <v>1.7599999999999998</v>
      </c>
      <c r="BI450" s="799">
        <f t="shared" si="749"/>
        <v>32372952</v>
      </c>
      <c r="BJ450" s="74">
        <f t="shared" si="749"/>
        <v>23595694</v>
      </c>
      <c r="BK450" s="74">
        <f t="shared" si="749"/>
        <v>20164934</v>
      </c>
      <c r="BL450" s="74">
        <f t="shared" si="749"/>
        <v>3430760</v>
      </c>
      <c r="BM450" s="74">
        <f t="shared" si="749"/>
        <v>200000</v>
      </c>
      <c r="BN450" s="74">
        <f t="shared" si="749"/>
        <v>90000</v>
      </c>
      <c r="BO450" s="74">
        <f t="shared" si="749"/>
        <v>110000</v>
      </c>
      <c r="BP450" s="74">
        <f t="shared" si="749"/>
        <v>8042945</v>
      </c>
      <c r="BQ450" s="74">
        <f t="shared" si="749"/>
        <v>235956</v>
      </c>
      <c r="BR450" s="74">
        <f t="shared" si="749"/>
        <v>298357</v>
      </c>
      <c r="BS450" s="75">
        <f t="shared" si="749"/>
        <v>43.497600000000006</v>
      </c>
      <c r="BT450" s="75">
        <f t="shared" si="749"/>
        <v>32.690899999999999</v>
      </c>
      <c r="BU450" s="76">
        <f t="shared" si="749"/>
        <v>10.806700000000001</v>
      </c>
      <c r="BV450" s="809">
        <f t="shared" ref="BV450:CA450" si="750">SUM(BV444:BV449)</f>
        <v>380136</v>
      </c>
      <c r="BW450" s="684">
        <f t="shared" si="750"/>
        <v>282000</v>
      </c>
      <c r="BX450" s="684">
        <f t="shared" si="750"/>
        <v>0</v>
      </c>
      <c r="BY450" s="684">
        <f t="shared" si="750"/>
        <v>95316</v>
      </c>
      <c r="BZ450" s="684">
        <f t="shared" si="750"/>
        <v>2820</v>
      </c>
      <c r="CA450" s="810">
        <f t="shared" si="750"/>
        <v>0.5</v>
      </c>
    </row>
    <row r="451" spans="1:79" ht="14.1" customHeight="1" x14ac:dyDescent="0.2">
      <c r="A451" s="66">
        <v>87</v>
      </c>
      <c r="B451" s="63">
        <v>2499</v>
      </c>
      <c r="C451" s="64">
        <v>650025288</v>
      </c>
      <c r="D451" s="63">
        <v>70983283</v>
      </c>
      <c r="E451" s="65" t="s">
        <v>701</v>
      </c>
      <c r="F451" s="66">
        <v>3111</v>
      </c>
      <c r="G451" s="65" t="s">
        <v>290</v>
      </c>
      <c r="H451" s="67" t="s">
        <v>271</v>
      </c>
      <c r="I451" s="420">
        <v>3165213</v>
      </c>
      <c r="J451" s="415">
        <v>2339121</v>
      </c>
      <c r="K451" s="415">
        <v>2219313</v>
      </c>
      <c r="L451" s="415">
        <v>119808</v>
      </c>
      <c r="M451" s="415">
        <v>0</v>
      </c>
      <c r="N451" s="415">
        <v>0</v>
      </c>
      <c r="O451" s="415">
        <v>0</v>
      </c>
      <c r="P451" s="599">
        <v>790623</v>
      </c>
      <c r="Q451" s="599">
        <v>23391</v>
      </c>
      <c r="R451" s="415">
        <v>12078</v>
      </c>
      <c r="S451" s="416">
        <v>4.4639000000000006</v>
      </c>
      <c r="T451" s="416">
        <v>3.9839000000000002</v>
      </c>
      <c r="U451" s="423">
        <v>0.48</v>
      </c>
      <c r="V451" s="424">
        <f t="shared" si="642"/>
        <v>0</v>
      </c>
      <c r="W451" s="418">
        <f t="shared" si="643"/>
        <v>0</v>
      </c>
      <c r="X451" s="418">
        <v>0</v>
      </c>
      <c r="Y451" s="418">
        <v>0</v>
      </c>
      <c r="Z451" s="418">
        <v>0</v>
      </c>
      <c r="AA451" s="418">
        <v>0</v>
      </c>
      <c r="AB451" s="418">
        <v>0</v>
      </c>
      <c r="AC451" s="418">
        <v>0</v>
      </c>
      <c r="AD451" s="418">
        <f t="shared" ref="AD451:AD456" si="751">V451+X451+Y451+Z451+AB451</f>
        <v>0</v>
      </c>
      <c r="AE451" s="418">
        <f t="shared" ref="AE451:AE456" si="752">W451+AA451+AC451</f>
        <v>0</v>
      </c>
      <c r="AF451" s="418">
        <f t="shared" si="644"/>
        <v>0</v>
      </c>
      <c r="AG451" s="418">
        <v>0</v>
      </c>
      <c r="AH451" s="418">
        <v>0</v>
      </c>
      <c r="AI451" s="418">
        <v>0</v>
      </c>
      <c r="AJ451" s="418">
        <v>0</v>
      </c>
      <c r="AK451" s="418">
        <v>0</v>
      </c>
      <c r="AL451" s="418">
        <f t="shared" si="645"/>
        <v>0</v>
      </c>
      <c r="AM451" s="418">
        <f t="shared" si="646"/>
        <v>0</v>
      </c>
      <c r="AN451" s="418">
        <f t="shared" si="647"/>
        <v>0</v>
      </c>
      <c r="AO451" s="418">
        <f t="shared" si="648"/>
        <v>0</v>
      </c>
      <c r="AP451" s="418">
        <f t="shared" si="649"/>
        <v>0</v>
      </c>
      <c r="AQ451" s="418">
        <f t="shared" si="650"/>
        <v>0</v>
      </c>
      <c r="AR451" s="68">
        <f t="shared" si="651"/>
        <v>0</v>
      </c>
      <c r="AS451" s="68">
        <f t="shared" si="652"/>
        <v>0</v>
      </c>
      <c r="AT451" s="418">
        <v>0</v>
      </c>
      <c r="AU451" s="418">
        <v>0</v>
      </c>
      <c r="AV451" s="418">
        <f t="shared" si="653"/>
        <v>0</v>
      </c>
      <c r="AW451" s="418">
        <f t="shared" si="654"/>
        <v>0</v>
      </c>
      <c r="AX451" s="419">
        <v>0</v>
      </c>
      <c r="AY451" s="419">
        <v>0</v>
      </c>
      <c r="AZ451" s="419">
        <v>0</v>
      </c>
      <c r="BA451" s="419">
        <v>0</v>
      </c>
      <c r="BB451" s="419">
        <v>0</v>
      </c>
      <c r="BC451" s="419">
        <v>0</v>
      </c>
      <c r="BD451" s="419">
        <v>0</v>
      </c>
      <c r="BE451" s="419">
        <v>0</v>
      </c>
      <c r="BF451" s="419">
        <f t="shared" si="655"/>
        <v>0</v>
      </c>
      <c r="BG451" s="419">
        <f t="shared" si="656"/>
        <v>0</v>
      </c>
      <c r="BH451" s="421">
        <f t="shared" si="657"/>
        <v>0</v>
      </c>
      <c r="BI451" s="780">
        <f t="shared" ref="BI451:BI456" si="753">I451+AW451</f>
        <v>3165213</v>
      </c>
      <c r="BJ451" s="418">
        <f t="shared" ref="BJ451:BJ456" si="754">J451+AF451</f>
        <v>2339121</v>
      </c>
      <c r="BK451" s="418">
        <f t="shared" ref="BK451:BL456" si="755">K451+AD451</f>
        <v>2219313</v>
      </c>
      <c r="BL451" s="418">
        <f t="shared" si="755"/>
        <v>119808</v>
      </c>
      <c r="BM451" s="418">
        <f t="shared" ref="BM451:BM456" si="756">M451+AN451</f>
        <v>0</v>
      </c>
      <c r="BN451" s="418">
        <f t="shared" ref="BN451:BO456" si="757">N451+AL451</f>
        <v>0</v>
      </c>
      <c r="BO451" s="418">
        <f t="shared" si="757"/>
        <v>0</v>
      </c>
      <c r="BP451" s="418">
        <f t="shared" ref="BP451:BQ456" si="758">P451+AR451</f>
        <v>790623</v>
      </c>
      <c r="BQ451" s="418">
        <f t="shared" si="758"/>
        <v>23391</v>
      </c>
      <c r="BR451" s="418">
        <f t="shared" ref="BR451:BR456" si="759">R451+AV451</f>
        <v>12078</v>
      </c>
      <c r="BS451" s="419">
        <f t="shared" ref="BS451:BS456" si="760">S451+BH451</f>
        <v>4.4639000000000006</v>
      </c>
      <c r="BT451" s="419">
        <f t="shared" ref="BT451:BU456" si="761">T451+BF451</f>
        <v>3.9839000000000002</v>
      </c>
      <c r="BU451" s="421">
        <f t="shared" si="761"/>
        <v>0.48</v>
      </c>
      <c r="BV451" s="420"/>
      <c r="BW451" s="415"/>
      <c r="BX451" s="415"/>
      <c r="BY451" s="415"/>
      <c r="BZ451" s="415"/>
      <c r="CA451" s="510"/>
    </row>
    <row r="452" spans="1:79" ht="14.1" customHeight="1" x14ac:dyDescent="0.2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701</v>
      </c>
      <c r="F452" s="66">
        <v>3117</v>
      </c>
      <c r="G452" s="65" t="s">
        <v>293</v>
      </c>
      <c r="H452" s="67" t="s">
        <v>271</v>
      </c>
      <c r="I452" s="420">
        <v>4419805</v>
      </c>
      <c r="J452" s="415">
        <v>3227326</v>
      </c>
      <c r="K452" s="415">
        <v>2758996</v>
      </c>
      <c r="L452" s="415">
        <v>468330</v>
      </c>
      <c r="M452" s="415">
        <v>0</v>
      </c>
      <c r="N452" s="415">
        <v>0</v>
      </c>
      <c r="O452" s="415">
        <v>0</v>
      </c>
      <c r="P452" s="599">
        <v>1090836</v>
      </c>
      <c r="Q452" s="599">
        <v>32274</v>
      </c>
      <c r="R452" s="415">
        <v>69369</v>
      </c>
      <c r="S452" s="416">
        <v>5.5034000000000001</v>
      </c>
      <c r="T452" s="416">
        <v>4.1368</v>
      </c>
      <c r="U452" s="423">
        <v>1.3665999999999998</v>
      </c>
      <c r="V452" s="424">
        <f t="shared" si="642"/>
        <v>0</v>
      </c>
      <c r="W452" s="418">
        <f t="shared" si="643"/>
        <v>0</v>
      </c>
      <c r="X452" s="418">
        <v>0</v>
      </c>
      <c r="Y452" s="418">
        <v>0</v>
      </c>
      <c r="Z452" s="418">
        <v>0</v>
      </c>
      <c r="AA452" s="418">
        <v>0</v>
      </c>
      <c r="AB452" s="418">
        <v>0</v>
      </c>
      <c r="AC452" s="418">
        <v>0</v>
      </c>
      <c r="AD452" s="418">
        <f t="shared" si="751"/>
        <v>0</v>
      </c>
      <c r="AE452" s="418">
        <f t="shared" si="752"/>
        <v>0</v>
      </c>
      <c r="AF452" s="418">
        <f t="shared" si="644"/>
        <v>0</v>
      </c>
      <c r="AG452" s="418">
        <v>0</v>
      </c>
      <c r="AH452" s="418">
        <v>0</v>
      </c>
      <c r="AI452" s="418">
        <v>0</v>
      </c>
      <c r="AJ452" s="418">
        <v>0</v>
      </c>
      <c r="AK452" s="418">
        <v>0</v>
      </c>
      <c r="AL452" s="418">
        <f t="shared" si="645"/>
        <v>0</v>
      </c>
      <c r="AM452" s="418">
        <f t="shared" si="646"/>
        <v>0</v>
      </c>
      <c r="AN452" s="418">
        <f t="shared" si="647"/>
        <v>0</v>
      </c>
      <c r="AO452" s="418">
        <f t="shared" si="648"/>
        <v>0</v>
      </c>
      <c r="AP452" s="418">
        <f t="shared" si="649"/>
        <v>0</v>
      </c>
      <c r="AQ452" s="418">
        <f t="shared" si="650"/>
        <v>0</v>
      </c>
      <c r="AR452" s="68">
        <f t="shared" si="651"/>
        <v>0</v>
      </c>
      <c r="AS452" s="68">
        <f t="shared" si="652"/>
        <v>0</v>
      </c>
      <c r="AT452" s="418">
        <v>0</v>
      </c>
      <c r="AU452" s="418">
        <v>0</v>
      </c>
      <c r="AV452" s="418">
        <f t="shared" si="653"/>
        <v>0</v>
      </c>
      <c r="AW452" s="418">
        <f t="shared" si="654"/>
        <v>0</v>
      </c>
      <c r="AX452" s="419">
        <v>0</v>
      </c>
      <c r="AY452" s="419">
        <v>0</v>
      </c>
      <c r="AZ452" s="419">
        <v>0</v>
      </c>
      <c r="BA452" s="419">
        <v>0</v>
      </c>
      <c r="BB452" s="419">
        <v>0</v>
      </c>
      <c r="BC452" s="419">
        <v>0</v>
      </c>
      <c r="BD452" s="419">
        <v>0</v>
      </c>
      <c r="BE452" s="419">
        <v>0</v>
      </c>
      <c r="BF452" s="419">
        <f t="shared" si="655"/>
        <v>0</v>
      </c>
      <c r="BG452" s="419">
        <f t="shared" si="656"/>
        <v>0</v>
      </c>
      <c r="BH452" s="421">
        <f t="shared" si="657"/>
        <v>0</v>
      </c>
      <c r="BI452" s="780">
        <f t="shared" si="753"/>
        <v>4419805</v>
      </c>
      <c r="BJ452" s="418">
        <f t="shared" si="754"/>
        <v>3227326</v>
      </c>
      <c r="BK452" s="418">
        <f t="shared" si="755"/>
        <v>2758996</v>
      </c>
      <c r="BL452" s="418">
        <f t="shared" si="755"/>
        <v>468330</v>
      </c>
      <c r="BM452" s="418">
        <f t="shared" si="756"/>
        <v>0</v>
      </c>
      <c r="BN452" s="418">
        <f t="shared" si="757"/>
        <v>0</v>
      </c>
      <c r="BO452" s="418">
        <f t="shared" si="757"/>
        <v>0</v>
      </c>
      <c r="BP452" s="418">
        <f t="shared" si="758"/>
        <v>1090836</v>
      </c>
      <c r="BQ452" s="418">
        <f t="shared" si="758"/>
        <v>32274</v>
      </c>
      <c r="BR452" s="418">
        <f t="shared" si="759"/>
        <v>69369</v>
      </c>
      <c r="BS452" s="419">
        <f t="shared" si="760"/>
        <v>5.5034000000000001</v>
      </c>
      <c r="BT452" s="419">
        <f t="shared" si="761"/>
        <v>4.1368</v>
      </c>
      <c r="BU452" s="421">
        <f t="shared" si="761"/>
        <v>1.3665999999999998</v>
      </c>
      <c r="BV452" s="420"/>
      <c r="BW452" s="415"/>
      <c r="BX452" s="415"/>
      <c r="BY452" s="415"/>
      <c r="BZ452" s="415"/>
      <c r="CA452" s="510"/>
    </row>
    <row r="453" spans="1:79" ht="14.1" customHeight="1" x14ac:dyDescent="0.2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701</v>
      </c>
      <c r="F453" s="66">
        <v>3117</v>
      </c>
      <c r="G453" s="65" t="s">
        <v>291</v>
      </c>
      <c r="H453" s="67" t="s">
        <v>272</v>
      </c>
      <c r="I453" s="420">
        <v>249921</v>
      </c>
      <c r="J453" s="415">
        <v>185401</v>
      </c>
      <c r="K453" s="415">
        <v>185401</v>
      </c>
      <c r="L453" s="415">
        <v>0</v>
      </c>
      <c r="M453" s="415">
        <v>0</v>
      </c>
      <c r="N453" s="415">
        <v>0</v>
      </c>
      <c r="O453" s="415">
        <v>0</v>
      </c>
      <c r="P453" s="599">
        <v>62666</v>
      </c>
      <c r="Q453" s="599">
        <v>1854</v>
      </c>
      <c r="R453" s="415">
        <v>0</v>
      </c>
      <c r="S453" s="416">
        <v>0.5</v>
      </c>
      <c r="T453" s="417">
        <v>0.5</v>
      </c>
      <c r="U453" s="423">
        <v>0</v>
      </c>
      <c r="V453" s="424">
        <f t="shared" si="642"/>
        <v>0</v>
      </c>
      <c r="W453" s="418">
        <f t="shared" si="643"/>
        <v>0</v>
      </c>
      <c r="X453" s="418">
        <v>0</v>
      </c>
      <c r="Y453" s="418">
        <v>0</v>
      </c>
      <c r="Z453" s="418">
        <v>0</v>
      </c>
      <c r="AA453" s="418">
        <v>0</v>
      </c>
      <c r="AB453" s="418">
        <v>0</v>
      </c>
      <c r="AC453" s="418">
        <v>0</v>
      </c>
      <c r="AD453" s="418">
        <f t="shared" si="751"/>
        <v>0</v>
      </c>
      <c r="AE453" s="418">
        <f t="shared" si="752"/>
        <v>0</v>
      </c>
      <c r="AF453" s="418">
        <f t="shared" si="644"/>
        <v>0</v>
      </c>
      <c r="AG453" s="418">
        <v>0</v>
      </c>
      <c r="AH453" s="418">
        <v>0</v>
      </c>
      <c r="AI453" s="418">
        <v>0</v>
      </c>
      <c r="AJ453" s="418">
        <v>0</v>
      </c>
      <c r="AK453" s="418">
        <v>0</v>
      </c>
      <c r="AL453" s="418">
        <f t="shared" si="645"/>
        <v>0</v>
      </c>
      <c r="AM453" s="418">
        <f t="shared" si="646"/>
        <v>0</v>
      </c>
      <c r="AN453" s="418">
        <f t="shared" si="647"/>
        <v>0</v>
      </c>
      <c r="AO453" s="418">
        <f t="shared" si="648"/>
        <v>0</v>
      </c>
      <c r="AP453" s="418">
        <f t="shared" si="649"/>
        <v>0</v>
      </c>
      <c r="AQ453" s="418">
        <f t="shared" si="650"/>
        <v>0</v>
      </c>
      <c r="AR453" s="68">
        <f t="shared" si="651"/>
        <v>0</v>
      </c>
      <c r="AS453" s="68">
        <f t="shared" si="652"/>
        <v>0</v>
      </c>
      <c r="AT453" s="418">
        <v>0</v>
      </c>
      <c r="AU453" s="418">
        <v>0</v>
      </c>
      <c r="AV453" s="418">
        <f t="shared" si="653"/>
        <v>0</v>
      </c>
      <c r="AW453" s="418">
        <f t="shared" si="654"/>
        <v>0</v>
      </c>
      <c r="AX453" s="419">
        <v>0</v>
      </c>
      <c r="AY453" s="419">
        <v>0</v>
      </c>
      <c r="AZ453" s="419">
        <v>0</v>
      </c>
      <c r="BA453" s="419">
        <v>0</v>
      </c>
      <c r="BB453" s="419">
        <v>0</v>
      </c>
      <c r="BC453" s="419">
        <v>0</v>
      </c>
      <c r="BD453" s="419">
        <v>0</v>
      </c>
      <c r="BE453" s="419">
        <v>0</v>
      </c>
      <c r="BF453" s="419">
        <f t="shared" si="655"/>
        <v>0</v>
      </c>
      <c r="BG453" s="419">
        <f t="shared" si="656"/>
        <v>0</v>
      </c>
      <c r="BH453" s="421">
        <f t="shared" si="657"/>
        <v>0</v>
      </c>
      <c r="BI453" s="780">
        <f t="shared" si="753"/>
        <v>249921</v>
      </c>
      <c r="BJ453" s="418">
        <f t="shared" si="754"/>
        <v>185401</v>
      </c>
      <c r="BK453" s="418">
        <f t="shared" si="755"/>
        <v>185401</v>
      </c>
      <c r="BL453" s="418">
        <f t="shared" si="755"/>
        <v>0</v>
      </c>
      <c r="BM453" s="418">
        <f t="shared" si="756"/>
        <v>0</v>
      </c>
      <c r="BN453" s="418">
        <f t="shared" si="757"/>
        <v>0</v>
      </c>
      <c r="BO453" s="418">
        <f t="shared" si="757"/>
        <v>0</v>
      </c>
      <c r="BP453" s="418">
        <f t="shared" si="758"/>
        <v>62666</v>
      </c>
      <c r="BQ453" s="418">
        <f t="shared" si="758"/>
        <v>1854</v>
      </c>
      <c r="BR453" s="418">
        <f t="shared" si="759"/>
        <v>0</v>
      </c>
      <c r="BS453" s="419">
        <f t="shared" si="760"/>
        <v>0.5</v>
      </c>
      <c r="BT453" s="419">
        <f t="shared" si="761"/>
        <v>0.5</v>
      </c>
      <c r="BU453" s="421">
        <f t="shared" si="761"/>
        <v>0</v>
      </c>
      <c r="BV453" s="420"/>
      <c r="BW453" s="415"/>
      <c r="BX453" s="415"/>
      <c r="BY453" s="415"/>
      <c r="BZ453" s="415"/>
      <c r="CA453" s="510"/>
    </row>
    <row r="454" spans="1:79" ht="14.1" customHeight="1" x14ac:dyDescent="0.2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701</v>
      </c>
      <c r="F454" s="66">
        <v>3141</v>
      </c>
      <c r="G454" s="65" t="s">
        <v>294</v>
      </c>
      <c r="H454" s="67" t="s">
        <v>272</v>
      </c>
      <c r="I454" s="420">
        <v>734368</v>
      </c>
      <c r="J454" s="415">
        <v>542472</v>
      </c>
      <c r="K454" s="415">
        <v>0</v>
      </c>
      <c r="L454" s="750">
        <v>542472</v>
      </c>
      <c r="M454" s="415">
        <v>0</v>
      </c>
      <c r="N454" s="204">
        <v>0</v>
      </c>
      <c r="O454" s="204">
        <v>0</v>
      </c>
      <c r="P454" s="599">
        <v>183356</v>
      </c>
      <c r="Q454" s="599">
        <v>5425</v>
      </c>
      <c r="R454" s="605">
        <v>3115</v>
      </c>
      <c r="S454" s="416">
        <v>1.6267</v>
      </c>
      <c r="T454" s="607">
        <v>0</v>
      </c>
      <c r="U454" s="737">
        <v>1.6267</v>
      </c>
      <c r="V454" s="424">
        <f t="shared" si="642"/>
        <v>0</v>
      </c>
      <c r="W454" s="418">
        <f t="shared" si="643"/>
        <v>0</v>
      </c>
      <c r="X454" s="418">
        <v>0</v>
      </c>
      <c r="Y454" s="418">
        <v>0</v>
      </c>
      <c r="Z454" s="418">
        <v>0</v>
      </c>
      <c r="AA454" s="418">
        <v>271235</v>
      </c>
      <c r="AB454" s="418">
        <v>0</v>
      </c>
      <c r="AC454" s="418">
        <v>0</v>
      </c>
      <c r="AD454" s="418">
        <f t="shared" si="751"/>
        <v>0</v>
      </c>
      <c r="AE454" s="418">
        <f t="shared" si="752"/>
        <v>271235</v>
      </c>
      <c r="AF454" s="418">
        <f t="shared" si="644"/>
        <v>271235</v>
      </c>
      <c r="AG454" s="418">
        <v>0</v>
      </c>
      <c r="AH454" s="418">
        <v>0</v>
      </c>
      <c r="AI454" s="418">
        <v>0</v>
      </c>
      <c r="AJ454" s="418">
        <v>0</v>
      </c>
      <c r="AK454" s="418">
        <v>0</v>
      </c>
      <c r="AL454" s="418">
        <f t="shared" si="645"/>
        <v>0</v>
      </c>
      <c r="AM454" s="418">
        <f t="shared" si="646"/>
        <v>0</v>
      </c>
      <c r="AN454" s="418">
        <f t="shared" si="647"/>
        <v>0</v>
      </c>
      <c r="AO454" s="418">
        <f t="shared" si="648"/>
        <v>0</v>
      </c>
      <c r="AP454" s="418">
        <f t="shared" si="649"/>
        <v>271235</v>
      </c>
      <c r="AQ454" s="418">
        <f t="shared" si="650"/>
        <v>271235</v>
      </c>
      <c r="AR454" s="68">
        <f t="shared" si="651"/>
        <v>91677</v>
      </c>
      <c r="AS454" s="68">
        <f t="shared" si="652"/>
        <v>2712</v>
      </c>
      <c r="AT454" s="418">
        <v>0</v>
      </c>
      <c r="AU454" s="418">
        <v>1513</v>
      </c>
      <c r="AV454" s="418">
        <f t="shared" si="653"/>
        <v>1513</v>
      </c>
      <c r="AW454" s="418">
        <f t="shared" si="654"/>
        <v>367137</v>
      </c>
      <c r="AX454" s="419">
        <v>0</v>
      </c>
      <c r="AY454" s="419">
        <v>0</v>
      </c>
      <c r="AZ454" s="419">
        <v>0</v>
      </c>
      <c r="BA454" s="419">
        <v>0</v>
      </c>
      <c r="BB454" s="419">
        <v>0.81</v>
      </c>
      <c r="BC454" s="419">
        <v>0</v>
      </c>
      <c r="BD454" s="419">
        <v>0</v>
      </c>
      <c r="BE454" s="419">
        <v>0</v>
      </c>
      <c r="BF454" s="419">
        <f t="shared" si="655"/>
        <v>0</v>
      </c>
      <c r="BG454" s="419">
        <f t="shared" si="656"/>
        <v>0.81</v>
      </c>
      <c r="BH454" s="421">
        <f t="shared" si="657"/>
        <v>0.81</v>
      </c>
      <c r="BI454" s="780">
        <f t="shared" si="753"/>
        <v>1101505</v>
      </c>
      <c r="BJ454" s="418">
        <f t="shared" si="754"/>
        <v>813707</v>
      </c>
      <c r="BK454" s="418">
        <f t="shared" si="755"/>
        <v>0</v>
      </c>
      <c r="BL454" s="418">
        <f t="shared" si="755"/>
        <v>813707</v>
      </c>
      <c r="BM454" s="418">
        <f t="shared" si="756"/>
        <v>0</v>
      </c>
      <c r="BN454" s="418">
        <f t="shared" si="757"/>
        <v>0</v>
      </c>
      <c r="BO454" s="418">
        <f t="shared" si="757"/>
        <v>0</v>
      </c>
      <c r="BP454" s="418">
        <f t="shared" si="758"/>
        <v>275033</v>
      </c>
      <c r="BQ454" s="418">
        <f t="shared" si="758"/>
        <v>8137</v>
      </c>
      <c r="BR454" s="418">
        <f t="shared" si="759"/>
        <v>4628</v>
      </c>
      <c r="BS454" s="419">
        <f t="shared" si="760"/>
        <v>2.4367000000000001</v>
      </c>
      <c r="BT454" s="419">
        <f t="shared" si="761"/>
        <v>0</v>
      </c>
      <c r="BU454" s="421">
        <f t="shared" si="761"/>
        <v>2.4367000000000001</v>
      </c>
      <c r="BV454" s="420"/>
      <c r="BW454" s="415"/>
      <c r="BX454" s="415"/>
      <c r="BY454" s="415"/>
      <c r="BZ454" s="415"/>
      <c r="CA454" s="510"/>
    </row>
    <row r="455" spans="1:79" ht="14.1" customHeight="1" x14ac:dyDescent="0.2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701</v>
      </c>
      <c r="F455" s="66">
        <v>3143</v>
      </c>
      <c r="G455" s="77" t="s">
        <v>595</v>
      </c>
      <c r="H455" s="67" t="s">
        <v>271</v>
      </c>
      <c r="I455" s="420">
        <v>1073188</v>
      </c>
      <c r="J455" s="415">
        <v>796134</v>
      </c>
      <c r="K455" s="415">
        <v>796134</v>
      </c>
      <c r="L455" s="415">
        <v>0</v>
      </c>
      <c r="M455" s="415">
        <v>0</v>
      </c>
      <c r="N455" s="415">
        <v>0</v>
      </c>
      <c r="O455" s="415">
        <v>0</v>
      </c>
      <c r="P455" s="599">
        <v>269093</v>
      </c>
      <c r="Q455" s="599">
        <v>7961</v>
      </c>
      <c r="R455" s="415">
        <v>0</v>
      </c>
      <c r="S455" s="416">
        <v>1.6106</v>
      </c>
      <c r="T455" s="416">
        <v>1.6106</v>
      </c>
      <c r="U455" s="423">
        <v>0</v>
      </c>
      <c r="V455" s="424">
        <f t="shared" si="642"/>
        <v>0</v>
      </c>
      <c r="W455" s="418">
        <f t="shared" si="643"/>
        <v>0</v>
      </c>
      <c r="X455" s="418">
        <v>0</v>
      </c>
      <c r="Y455" s="418">
        <v>0</v>
      </c>
      <c r="Z455" s="418">
        <v>0</v>
      </c>
      <c r="AA455" s="418">
        <v>0</v>
      </c>
      <c r="AB455" s="418">
        <v>0</v>
      </c>
      <c r="AC455" s="418">
        <v>0</v>
      </c>
      <c r="AD455" s="418">
        <f t="shared" si="751"/>
        <v>0</v>
      </c>
      <c r="AE455" s="418">
        <f t="shared" si="752"/>
        <v>0</v>
      </c>
      <c r="AF455" s="418">
        <f t="shared" si="644"/>
        <v>0</v>
      </c>
      <c r="AG455" s="418">
        <v>0</v>
      </c>
      <c r="AH455" s="418">
        <v>0</v>
      </c>
      <c r="AI455" s="418">
        <v>0</v>
      </c>
      <c r="AJ455" s="418">
        <v>0</v>
      </c>
      <c r="AK455" s="418">
        <v>0</v>
      </c>
      <c r="AL455" s="418">
        <f t="shared" si="645"/>
        <v>0</v>
      </c>
      <c r="AM455" s="418">
        <f t="shared" si="646"/>
        <v>0</v>
      </c>
      <c r="AN455" s="418">
        <f t="shared" si="647"/>
        <v>0</v>
      </c>
      <c r="AO455" s="418">
        <f t="shared" si="648"/>
        <v>0</v>
      </c>
      <c r="AP455" s="418">
        <f t="shared" si="649"/>
        <v>0</v>
      </c>
      <c r="AQ455" s="418">
        <f t="shared" si="650"/>
        <v>0</v>
      </c>
      <c r="AR455" s="68">
        <f t="shared" si="651"/>
        <v>0</v>
      </c>
      <c r="AS455" s="68">
        <f t="shared" si="652"/>
        <v>0</v>
      </c>
      <c r="AT455" s="418">
        <v>0</v>
      </c>
      <c r="AU455" s="418">
        <v>0</v>
      </c>
      <c r="AV455" s="418">
        <f t="shared" si="653"/>
        <v>0</v>
      </c>
      <c r="AW455" s="418">
        <f t="shared" si="654"/>
        <v>0</v>
      </c>
      <c r="AX455" s="419">
        <v>0</v>
      </c>
      <c r="AY455" s="419">
        <v>0</v>
      </c>
      <c r="AZ455" s="419">
        <v>0</v>
      </c>
      <c r="BA455" s="419">
        <v>0</v>
      </c>
      <c r="BB455" s="419">
        <v>0</v>
      </c>
      <c r="BC455" s="419">
        <v>0</v>
      </c>
      <c r="BD455" s="419">
        <v>0</v>
      </c>
      <c r="BE455" s="419">
        <v>0</v>
      </c>
      <c r="BF455" s="419">
        <f t="shared" si="655"/>
        <v>0</v>
      </c>
      <c r="BG455" s="419">
        <f t="shared" si="656"/>
        <v>0</v>
      </c>
      <c r="BH455" s="421">
        <f t="shared" si="657"/>
        <v>0</v>
      </c>
      <c r="BI455" s="780">
        <f t="shared" si="753"/>
        <v>1073188</v>
      </c>
      <c r="BJ455" s="418">
        <f t="shared" si="754"/>
        <v>796134</v>
      </c>
      <c r="BK455" s="418">
        <f t="shared" si="755"/>
        <v>796134</v>
      </c>
      <c r="BL455" s="418">
        <f t="shared" si="755"/>
        <v>0</v>
      </c>
      <c r="BM455" s="418">
        <f t="shared" si="756"/>
        <v>0</v>
      </c>
      <c r="BN455" s="418">
        <f t="shared" si="757"/>
        <v>0</v>
      </c>
      <c r="BO455" s="418">
        <f t="shared" si="757"/>
        <v>0</v>
      </c>
      <c r="BP455" s="418">
        <f t="shared" si="758"/>
        <v>269093</v>
      </c>
      <c r="BQ455" s="418">
        <f t="shared" si="758"/>
        <v>7961</v>
      </c>
      <c r="BR455" s="418">
        <f t="shared" si="759"/>
        <v>0</v>
      </c>
      <c r="BS455" s="419">
        <f t="shared" si="760"/>
        <v>1.6106</v>
      </c>
      <c r="BT455" s="419">
        <f t="shared" si="761"/>
        <v>1.6106</v>
      </c>
      <c r="BU455" s="421">
        <f t="shared" si="761"/>
        <v>0</v>
      </c>
      <c r="BV455" s="420"/>
      <c r="BW455" s="415"/>
      <c r="BX455" s="415"/>
      <c r="BY455" s="415"/>
      <c r="BZ455" s="415"/>
      <c r="CA455" s="510"/>
    </row>
    <row r="456" spans="1:79" ht="14.1" customHeight="1" x14ac:dyDescent="0.2">
      <c r="A456" s="66">
        <v>87</v>
      </c>
      <c r="B456" s="63">
        <v>2499</v>
      </c>
      <c r="C456" s="64">
        <v>650025288</v>
      </c>
      <c r="D456" s="63">
        <v>70983283</v>
      </c>
      <c r="E456" s="65" t="s">
        <v>701</v>
      </c>
      <c r="F456" s="66">
        <v>3143</v>
      </c>
      <c r="G456" s="77" t="s">
        <v>596</v>
      </c>
      <c r="H456" s="67" t="s">
        <v>272</v>
      </c>
      <c r="I456" s="420">
        <v>20506</v>
      </c>
      <c r="J456" s="415">
        <v>14678</v>
      </c>
      <c r="K456" s="415">
        <v>0</v>
      </c>
      <c r="L456" s="605">
        <v>14678</v>
      </c>
      <c r="M456" s="415">
        <v>0</v>
      </c>
      <c r="N456" s="415">
        <v>0</v>
      </c>
      <c r="O456" s="415">
        <v>0</v>
      </c>
      <c r="P456" s="599">
        <v>4961</v>
      </c>
      <c r="Q456" s="599">
        <v>147</v>
      </c>
      <c r="R456" s="606">
        <v>720</v>
      </c>
      <c r="S456" s="416">
        <v>5.5599999999999997E-2</v>
      </c>
      <c r="T456" s="609">
        <v>0</v>
      </c>
      <c r="U456" s="737">
        <v>5.5599999999999997E-2</v>
      </c>
      <c r="V456" s="424">
        <f t="shared" si="642"/>
        <v>0</v>
      </c>
      <c r="W456" s="418">
        <f t="shared" si="643"/>
        <v>0</v>
      </c>
      <c r="X456" s="418">
        <v>0</v>
      </c>
      <c r="Y456" s="418">
        <v>0</v>
      </c>
      <c r="Z456" s="418">
        <v>0</v>
      </c>
      <c r="AA456" s="418">
        <v>7322</v>
      </c>
      <c r="AB456" s="418">
        <v>0</v>
      </c>
      <c r="AC456" s="418">
        <v>0</v>
      </c>
      <c r="AD456" s="418">
        <f t="shared" si="751"/>
        <v>0</v>
      </c>
      <c r="AE456" s="418">
        <f t="shared" si="752"/>
        <v>7322</v>
      </c>
      <c r="AF456" s="418">
        <f t="shared" si="644"/>
        <v>7322</v>
      </c>
      <c r="AG456" s="418">
        <v>0</v>
      </c>
      <c r="AH456" s="418">
        <v>0</v>
      </c>
      <c r="AI456" s="418">
        <v>0</v>
      </c>
      <c r="AJ456" s="418">
        <v>0</v>
      </c>
      <c r="AK456" s="418">
        <v>0</v>
      </c>
      <c r="AL456" s="418">
        <f t="shared" si="645"/>
        <v>0</v>
      </c>
      <c r="AM456" s="418">
        <f t="shared" si="646"/>
        <v>0</v>
      </c>
      <c r="AN456" s="418">
        <f t="shared" si="647"/>
        <v>0</v>
      </c>
      <c r="AO456" s="418">
        <f t="shared" si="648"/>
        <v>0</v>
      </c>
      <c r="AP456" s="418">
        <f t="shared" si="649"/>
        <v>7322</v>
      </c>
      <c r="AQ456" s="418">
        <f t="shared" si="650"/>
        <v>7322</v>
      </c>
      <c r="AR456" s="68">
        <f t="shared" si="651"/>
        <v>2475</v>
      </c>
      <c r="AS456" s="68">
        <f t="shared" si="652"/>
        <v>73</v>
      </c>
      <c r="AT456" s="418">
        <v>0</v>
      </c>
      <c r="AU456" s="418">
        <v>360</v>
      </c>
      <c r="AV456" s="418">
        <f t="shared" si="653"/>
        <v>360</v>
      </c>
      <c r="AW456" s="418">
        <f t="shared" si="654"/>
        <v>10230</v>
      </c>
      <c r="AX456" s="419">
        <v>0</v>
      </c>
      <c r="AY456" s="419">
        <v>0</v>
      </c>
      <c r="AZ456" s="419">
        <v>0</v>
      </c>
      <c r="BA456" s="419">
        <v>0</v>
      </c>
      <c r="BB456" s="419">
        <v>0.03</v>
      </c>
      <c r="BC456" s="419">
        <v>0</v>
      </c>
      <c r="BD456" s="419">
        <v>0</v>
      </c>
      <c r="BE456" s="419">
        <v>0</v>
      </c>
      <c r="BF456" s="419">
        <f t="shared" si="655"/>
        <v>0</v>
      </c>
      <c r="BG456" s="419">
        <f t="shared" si="656"/>
        <v>0.03</v>
      </c>
      <c r="BH456" s="421">
        <f t="shared" si="657"/>
        <v>0.03</v>
      </c>
      <c r="BI456" s="780">
        <f t="shared" si="753"/>
        <v>30736</v>
      </c>
      <c r="BJ456" s="418">
        <f t="shared" si="754"/>
        <v>22000</v>
      </c>
      <c r="BK456" s="418">
        <f t="shared" si="755"/>
        <v>0</v>
      </c>
      <c r="BL456" s="418">
        <f t="shared" si="755"/>
        <v>22000</v>
      </c>
      <c r="BM456" s="418">
        <f t="shared" si="756"/>
        <v>0</v>
      </c>
      <c r="BN456" s="418">
        <f t="shared" si="757"/>
        <v>0</v>
      </c>
      <c r="BO456" s="418">
        <f t="shared" si="757"/>
        <v>0</v>
      </c>
      <c r="BP456" s="418">
        <f t="shared" si="758"/>
        <v>7436</v>
      </c>
      <c r="BQ456" s="418">
        <f t="shared" si="758"/>
        <v>220</v>
      </c>
      <c r="BR456" s="418">
        <f t="shared" si="759"/>
        <v>1080</v>
      </c>
      <c r="BS456" s="419">
        <f t="shared" si="760"/>
        <v>8.5599999999999996E-2</v>
      </c>
      <c r="BT456" s="419">
        <f t="shared" si="761"/>
        <v>0</v>
      </c>
      <c r="BU456" s="421">
        <f t="shared" si="761"/>
        <v>8.5599999999999996E-2</v>
      </c>
      <c r="BV456" s="420"/>
      <c r="BW456" s="415"/>
      <c r="BX456" s="415"/>
      <c r="BY456" s="415"/>
      <c r="BZ456" s="415"/>
      <c r="CA456" s="510"/>
    </row>
    <row r="457" spans="1:79" ht="14.1" customHeight="1" x14ac:dyDescent="0.2">
      <c r="A457" s="72">
        <v>87</v>
      </c>
      <c r="B457" s="69">
        <v>2499</v>
      </c>
      <c r="C457" s="70">
        <v>650025288</v>
      </c>
      <c r="D457" s="69">
        <v>70983283</v>
      </c>
      <c r="E457" s="71" t="s">
        <v>702</v>
      </c>
      <c r="F457" s="72"/>
      <c r="G457" s="71"/>
      <c r="H457" s="73"/>
      <c r="I457" s="517">
        <v>9663001</v>
      </c>
      <c r="J457" s="74">
        <v>7105132</v>
      </c>
      <c r="K457" s="74">
        <v>5959844</v>
      </c>
      <c r="L457" s="74">
        <v>1145288</v>
      </c>
      <c r="M457" s="74">
        <v>0</v>
      </c>
      <c r="N457" s="74">
        <v>0</v>
      </c>
      <c r="O457" s="74">
        <v>0</v>
      </c>
      <c r="P457" s="74">
        <v>2401535</v>
      </c>
      <c r="Q457" s="74">
        <v>71052</v>
      </c>
      <c r="R457" s="74">
        <v>85282</v>
      </c>
      <c r="S457" s="75">
        <v>13.760200000000001</v>
      </c>
      <c r="T457" s="75">
        <v>10.231299999999999</v>
      </c>
      <c r="U457" s="658">
        <v>3.5289000000000001</v>
      </c>
      <c r="V457" s="517">
        <f t="shared" ref="V457:BU457" si="762">SUM(V451:V456)</f>
        <v>0</v>
      </c>
      <c r="W457" s="74">
        <f t="shared" si="762"/>
        <v>0</v>
      </c>
      <c r="X457" s="74">
        <f t="shared" si="762"/>
        <v>0</v>
      </c>
      <c r="Y457" s="74">
        <f t="shared" si="762"/>
        <v>0</v>
      </c>
      <c r="Z457" s="74">
        <f t="shared" si="762"/>
        <v>0</v>
      </c>
      <c r="AA457" s="74">
        <f t="shared" si="762"/>
        <v>278557</v>
      </c>
      <c r="AB457" s="74">
        <f t="shared" si="762"/>
        <v>0</v>
      </c>
      <c r="AC457" s="74">
        <f t="shared" si="762"/>
        <v>0</v>
      </c>
      <c r="AD457" s="74">
        <f t="shared" si="762"/>
        <v>0</v>
      </c>
      <c r="AE457" s="74">
        <f t="shared" si="762"/>
        <v>278557</v>
      </c>
      <c r="AF457" s="74">
        <f t="shared" si="762"/>
        <v>278557</v>
      </c>
      <c r="AG457" s="74">
        <f t="shared" si="762"/>
        <v>0</v>
      </c>
      <c r="AH457" s="74">
        <f t="shared" si="762"/>
        <v>0</v>
      </c>
      <c r="AI457" s="74">
        <f t="shared" si="762"/>
        <v>0</v>
      </c>
      <c r="AJ457" s="74">
        <f t="shared" si="762"/>
        <v>0</v>
      </c>
      <c r="AK457" s="74">
        <f t="shared" si="762"/>
        <v>0</v>
      </c>
      <c r="AL457" s="74">
        <f t="shared" si="762"/>
        <v>0</v>
      </c>
      <c r="AM457" s="74">
        <f t="shared" si="762"/>
        <v>0</v>
      </c>
      <c r="AN457" s="74">
        <f t="shared" si="762"/>
        <v>0</v>
      </c>
      <c r="AO457" s="74">
        <f t="shared" si="762"/>
        <v>0</v>
      </c>
      <c r="AP457" s="74">
        <f t="shared" si="762"/>
        <v>278557</v>
      </c>
      <c r="AQ457" s="74">
        <f t="shared" si="762"/>
        <v>278557</v>
      </c>
      <c r="AR457" s="74">
        <f t="shared" si="762"/>
        <v>94152</v>
      </c>
      <c r="AS457" s="74">
        <f t="shared" si="762"/>
        <v>2785</v>
      </c>
      <c r="AT457" s="74">
        <f t="shared" si="762"/>
        <v>0</v>
      </c>
      <c r="AU457" s="74">
        <f t="shared" si="762"/>
        <v>1873</v>
      </c>
      <c r="AV457" s="74">
        <f t="shared" si="762"/>
        <v>1873</v>
      </c>
      <c r="AW457" s="74">
        <f t="shared" si="762"/>
        <v>377367</v>
      </c>
      <c r="AX457" s="75">
        <f t="shared" si="762"/>
        <v>0</v>
      </c>
      <c r="AY457" s="75">
        <f t="shared" si="762"/>
        <v>0</v>
      </c>
      <c r="AZ457" s="75">
        <f t="shared" si="762"/>
        <v>0</v>
      </c>
      <c r="BA457" s="75">
        <f t="shared" si="762"/>
        <v>0</v>
      </c>
      <c r="BB457" s="75">
        <f t="shared" si="762"/>
        <v>0.84000000000000008</v>
      </c>
      <c r="BC457" s="75">
        <f t="shared" si="762"/>
        <v>0</v>
      </c>
      <c r="BD457" s="75">
        <f t="shared" si="762"/>
        <v>0</v>
      </c>
      <c r="BE457" s="75">
        <f t="shared" si="762"/>
        <v>0</v>
      </c>
      <c r="BF457" s="75">
        <f t="shared" si="762"/>
        <v>0</v>
      </c>
      <c r="BG457" s="75">
        <f t="shared" si="762"/>
        <v>0.84000000000000008</v>
      </c>
      <c r="BH457" s="76">
        <f t="shared" si="762"/>
        <v>0.84000000000000008</v>
      </c>
      <c r="BI457" s="799">
        <f t="shared" si="762"/>
        <v>10040368</v>
      </c>
      <c r="BJ457" s="74">
        <f t="shared" si="762"/>
        <v>7383689</v>
      </c>
      <c r="BK457" s="74">
        <f t="shared" si="762"/>
        <v>5959844</v>
      </c>
      <c r="BL457" s="74">
        <f t="shared" si="762"/>
        <v>1423845</v>
      </c>
      <c r="BM457" s="74">
        <f t="shared" si="762"/>
        <v>0</v>
      </c>
      <c r="BN457" s="74">
        <f t="shared" si="762"/>
        <v>0</v>
      </c>
      <c r="BO457" s="74">
        <f t="shared" si="762"/>
        <v>0</v>
      </c>
      <c r="BP457" s="74">
        <f t="shared" si="762"/>
        <v>2495687</v>
      </c>
      <c r="BQ457" s="74">
        <f t="shared" si="762"/>
        <v>73837</v>
      </c>
      <c r="BR457" s="74">
        <f t="shared" si="762"/>
        <v>87155</v>
      </c>
      <c r="BS457" s="75">
        <f t="shared" si="762"/>
        <v>14.600200000000001</v>
      </c>
      <c r="BT457" s="75">
        <f t="shared" si="762"/>
        <v>10.231299999999999</v>
      </c>
      <c r="BU457" s="76">
        <f t="shared" si="762"/>
        <v>4.3689</v>
      </c>
      <c r="BV457" s="809">
        <f t="shared" ref="BV457:CA457" si="763">SUM(BV451:BV456)</f>
        <v>0</v>
      </c>
      <c r="BW457" s="684">
        <f t="shared" si="763"/>
        <v>0</v>
      </c>
      <c r="BX457" s="684">
        <f t="shared" si="763"/>
        <v>0</v>
      </c>
      <c r="BY457" s="684">
        <f t="shared" si="763"/>
        <v>0</v>
      </c>
      <c r="BZ457" s="684">
        <f t="shared" si="763"/>
        <v>0</v>
      </c>
      <c r="CA457" s="810">
        <f t="shared" si="763"/>
        <v>0</v>
      </c>
    </row>
    <row r="458" spans="1:79" ht="14.1" customHeight="1" x14ac:dyDescent="0.2">
      <c r="A458" s="66">
        <v>88</v>
      </c>
      <c r="B458" s="63">
        <v>2331</v>
      </c>
      <c r="C458" s="64">
        <v>691014302</v>
      </c>
      <c r="D458" s="63" t="s">
        <v>761</v>
      </c>
      <c r="E458" s="65" t="s">
        <v>767</v>
      </c>
      <c r="F458" s="66">
        <v>3111</v>
      </c>
      <c r="G458" s="65" t="s">
        <v>290</v>
      </c>
      <c r="H458" s="67" t="s">
        <v>271</v>
      </c>
      <c r="I458" s="420">
        <v>3290716</v>
      </c>
      <c r="J458" s="415">
        <v>2435638</v>
      </c>
      <c r="K458" s="415">
        <v>2213846</v>
      </c>
      <c r="L458" s="415">
        <v>221792</v>
      </c>
      <c r="M458" s="415">
        <v>0</v>
      </c>
      <c r="N458" s="415">
        <v>0</v>
      </c>
      <c r="O458" s="415">
        <v>0</v>
      </c>
      <c r="P458" s="599">
        <v>823246</v>
      </c>
      <c r="Q458" s="599">
        <v>24356</v>
      </c>
      <c r="R458" s="415">
        <v>7476</v>
      </c>
      <c r="S458" s="416">
        <v>4.9666999999999994</v>
      </c>
      <c r="T458" s="416">
        <v>4.22</v>
      </c>
      <c r="U458" s="423">
        <v>0.74669999999999992</v>
      </c>
      <c r="V458" s="424">
        <f t="shared" si="642"/>
        <v>0</v>
      </c>
      <c r="W458" s="418">
        <f t="shared" si="643"/>
        <v>0</v>
      </c>
      <c r="X458" s="418">
        <v>0</v>
      </c>
      <c r="Y458" s="418">
        <v>0</v>
      </c>
      <c r="Z458" s="418">
        <v>0</v>
      </c>
      <c r="AA458" s="418">
        <v>0</v>
      </c>
      <c r="AB458" s="418">
        <v>0</v>
      </c>
      <c r="AC458" s="418">
        <v>0</v>
      </c>
      <c r="AD458" s="418">
        <f>V458+X458+Y458+Z458+AB458</f>
        <v>0</v>
      </c>
      <c r="AE458" s="418">
        <f>W458+AA458+AC458</f>
        <v>0</v>
      </c>
      <c r="AF458" s="418">
        <f t="shared" si="644"/>
        <v>0</v>
      </c>
      <c r="AG458" s="418">
        <v>0</v>
      </c>
      <c r="AH458" s="418">
        <v>0</v>
      </c>
      <c r="AI458" s="418">
        <v>0</v>
      </c>
      <c r="AJ458" s="418">
        <v>0</v>
      </c>
      <c r="AK458" s="418">
        <v>0</v>
      </c>
      <c r="AL458" s="418">
        <f t="shared" si="645"/>
        <v>0</v>
      </c>
      <c r="AM458" s="418">
        <f t="shared" si="646"/>
        <v>0</v>
      </c>
      <c r="AN458" s="418">
        <f t="shared" si="647"/>
        <v>0</v>
      </c>
      <c r="AO458" s="418">
        <f t="shared" si="648"/>
        <v>0</v>
      </c>
      <c r="AP458" s="418">
        <f t="shared" si="649"/>
        <v>0</v>
      </c>
      <c r="AQ458" s="418">
        <f t="shared" si="650"/>
        <v>0</v>
      </c>
      <c r="AR458" s="68">
        <f t="shared" si="651"/>
        <v>0</v>
      </c>
      <c r="AS458" s="68">
        <f t="shared" si="652"/>
        <v>0</v>
      </c>
      <c r="AT458" s="418">
        <v>0</v>
      </c>
      <c r="AU458" s="418">
        <v>0</v>
      </c>
      <c r="AV458" s="418">
        <f t="shared" si="653"/>
        <v>0</v>
      </c>
      <c r="AW458" s="418">
        <f t="shared" si="654"/>
        <v>0</v>
      </c>
      <c r="AX458" s="419">
        <v>0</v>
      </c>
      <c r="AY458" s="419">
        <v>0</v>
      </c>
      <c r="AZ458" s="419">
        <v>0</v>
      </c>
      <c r="BA458" s="419">
        <v>0</v>
      </c>
      <c r="BB458" s="419">
        <v>0</v>
      </c>
      <c r="BC458" s="419">
        <v>0</v>
      </c>
      <c r="BD458" s="419">
        <v>0</v>
      </c>
      <c r="BE458" s="419">
        <v>0</v>
      </c>
      <c r="BF458" s="419">
        <f t="shared" si="655"/>
        <v>0</v>
      </c>
      <c r="BG458" s="419">
        <f t="shared" si="656"/>
        <v>0</v>
      </c>
      <c r="BH458" s="421">
        <f t="shared" si="657"/>
        <v>0</v>
      </c>
      <c r="BI458" s="780">
        <f>I458+AW458</f>
        <v>3290716</v>
      </c>
      <c r="BJ458" s="418">
        <f>J458+AF458</f>
        <v>2435638</v>
      </c>
      <c r="BK458" s="418">
        <f>K458+AD458</f>
        <v>2213846</v>
      </c>
      <c r="BL458" s="418">
        <f>L458+AE458</f>
        <v>221792</v>
      </c>
      <c r="BM458" s="418">
        <f>M458+AN458</f>
        <v>0</v>
      </c>
      <c r="BN458" s="418">
        <f>N458+AL458</f>
        <v>0</v>
      </c>
      <c r="BO458" s="418">
        <f>O458+AM458</f>
        <v>0</v>
      </c>
      <c r="BP458" s="418">
        <f>P458+AR458</f>
        <v>823246</v>
      </c>
      <c r="BQ458" s="418">
        <f>Q458+AS458</f>
        <v>24356</v>
      </c>
      <c r="BR458" s="418">
        <f>R458+AV458</f>
        <v>7476</v>
      </c>
      <c r="BS458" s="419">
        <f>S458+BH458</f>
        <v>4.9666999999999994</v>
      </c>
      <c r="BT458" s="419">
        <f>T458+BF458</f>
        <v>4.22</v>
      </c>
      <c r="BU458" s="421">
        <f>U458+BG458</f>
        <v>0.74669999999999992</v>
      </c>
      <c r="BV458" s="420"/>
      <c r="BW458" s="415"/>
      <c r="BX458" s="415"/>
      <c r="BY458" s="415"/>
      <c r="BZ458" s="415"/>
      <c r="CA458" s="510"/>
    </row>
    <row r="459" spans="1:79" ht="14.1" customHeight="1" x14ac:dyDescent="0.2">
      <c r="A459" s="66">
        <v>88</v>
      </c>
      <c r="B459" s="63">
        <v>2331</v>
      </c>
      <c r="C459" s="64">
        <v>691014302</v>
      </c>
      <c r="D459" s="63" t="s">
        <v>761</v>
      </c>
      <c r="E459" s="65" t="s">
        <v>767</v>
      </c>
      <c r="F459" s="66">
        <v>3141</v>
      </c>
      <c r="G459" s="65" t="s">
        <v>294</v>
      </c>
      <c r="H459" s="67" t="s">
        <v>272</v>
      </c>
      <c r="I459" s="420">
        <v>306661</v>
      </c>
      <c r="J459" s="415">
        <v>226766</v>
      </c>
      <c r="K459" s="415">
        <v>0</v>
      </c>
      <c r="L459" s="750">
        <v>226766</v>
      </c>
      <c r="M459" s="415">
        <v>0</v>
      </c>
      <c r="N459" s="204">
        <v>0</v>
      </c>
      <c r="O459" s="204">
        <v>0</v>
      </c>
      <c r="P459" s="599">
        <v>76647</v>
      </c>
      <c r="Q459" s="599">
        <v>2268</v>
      </c>
      <c r="R459" s="605">
        <v>980</v>
      </c>
      <c r="S459" s="416">
        <v>0.68</v>
      </c>
      <c r="T459" s="607">
        <v>0</v>
      </c>
      <c r="U459" s="737">
        <v>0.68</v>
      </c>
      <c r="V459" s="424">
        <f t="shared" si="642"/>
        <v>0</v>
      </c>
      <c r="W459" s="418">
        <f t="shared" si="643"/>
        <v>0</v>
      </c>
      <c r="X459" s="418">
        <v>0</v>
      </c>
      <c r="Y459" s="418">
        <v>0</v>
      </c>
      <c r="Z459" s="418">
        <v>0</v>
      </c>
      <c r="AA459" s="418">
        <v>113619</v>
      </c>
      <c r="AB459" s="418">
        <v>0</v>
      </c>
      <c r="AC459" s="418">
        <v>0</v>
      </c>
      <c r="AD459" s="418">
        <f>V459+X459+Y459+Z459+AB459</f>
        <v>0</v>
      </c>
      <c r="AE459" s="418">
        <f>W459+AA459+AC459</f>
        <v>113619</v>
      </c>
      <c r="AF459" s="418">
        <f t="shared" si="644"/>
        <v>113619</v>
      </c>
      <c r="AG459" s="418">
        <v>0</v>
      </c>
      <c r="AH459" s="418">
        <v>0</v>
      </c>
      <c r="AI459" s="418">
        <v>0</v>
      </c>
      <c r="AJ459" s="418">
        <v>0</v>
      </c>
      <c r="AK459" s="418">
        <v>0</v>
      </c>
      <c r="AL459" s="418">
        <f t="shared" si="645"/>
        <v>0</v>
      </c>
      <c r="AM459" s="418">
        <f t="shared" si="646"/>
        <v>0</v>
      </c>
      <c r="AN459" s="418">
        <f t="shared" si="647"/>
        <v>0</v>
      </c>
      <c r="AO459" s="418">
        <f t="shared" si="648"/>
        <v>0</v>
      </c>
      <c r="AP459" s="418">
        <f t="shared" si="649"/>
        <v>113619</v>
      </c>
      <c r="AQ459" s="418">
        <f t="shared" si="650"/>
        <v>113619</v>
      </c>
      <c r="AR459" s="68">
        <f t="shared" si="651"/>
        <v>38403</v>
      </c>
      <c r="AS459" s="68">
        <f t="shared" si="652"/>
        <v>1136</v>
      </c>
      <c r="AT459" s="418">
        <v>0</v>
      </c>
      <c r="AU459" s="418">
        <v>476</v>
      </c>
      <c r="AV459" s="418">
        <f t="shared" si="653"/>
        <v>476</v>
      </c>
      <c r="AW459" s="418">
        <f t="shared" si="654"/>
        <v>153634</v>
      </c>
      <c r="AX459" s="419">
        <v>0</v>
      </c>
      <c r="AY459" s="419">
        <v>0</v>
      </c>
      <c r="AZ459" s="419">
        <v>0</v>
      </c>
      <c r="BA459" s="419">
        <v>0</v>
      </c>
      <c r="BB459" s="419">
        <v>0.34</v>
      </c>
      <c r="BC459" s="419">
        <v>0</v>
      </c>
      <c r="BD459" s="419">
        <v>0</v>
      </c>
      <c r="BE459" s="419">
        <v>0</v>
      </c>
      <c r="BF459" s="419">
        <f t="shared" si="655"/>
        <v>0</v>
      </c>
      <c r="BG459" s="419">
        <f t="shared" si="656"/>
        <v>0.34</v>
      </c>
      <c r="BH459" s="421">
        <f t="shared" si="657"/>
        <v>0.34</v>
      </c>
      <c r="BI459" s="780">
        <f>I459+AW459</f>
        <v>460295</v>
      </c>
      <c r="BJ459" s="418">
        <f>J459+AF459</f>
        <v>340385</v>
      </c>
      <c r="BK459" s="418">
        <f>K459+AD459</f>
        <v>0</v>
      </c>
      <c r="BL459" s="418">
        <f>L459+AE459</f>
        <v>340385</v>
      </c>
      <c r="BM459" s="418">
        <f>M459+AN459</f>
        <v>0</v>
      </c>
      <c r="BN459" s="418">
        <f>N459+AL459</f>
        <v>0</v>
      </c>
      <c r="BO459" s="418">
        <f>O459+AM459</f>
        <v>0</v>
      </c>
      <c r="BP459" s="418">
        <f>P459+AR459</f>
        <v>115050</v>
      </c>
      <c r="BQ459" s="418">
        <f>Q459+AS459</f>
        <v>3404</v>
      </c>
      <c r="BR459" s="418">
        <f>R459+AV459</f>
        <v>1456</v>
      </c>
      <c r="BS459" s="419">
        <f>S459+BH459</f>
        <v>1.02</v>
      </c>
      <c r="BT459" s="419">
        <f>T459+BF459</f>
        <v>0</v>
      </c>
      <c r="BU459" s="421">
        <f>U459+BG459</f>
        <v>1.02</v>
      </c>
      <c r="BV459" s="420"/>
      <c r="BW459" s="415"/>
      <c r="BX459" s="415"/>
      <c r="BY459" s="415"/>
      <c r="BZ459" s="415"/>
      <c r="CA459" s="510"/>
    </row>
    <row r="460" spans="1:79" ht="14.1" customHeight="1" x14ac:dyDescent="0.2">
      <c r="A460" s="72">
        <v>88</v>
      </c>
      <c r="B460" s="69">
        <v>2331</v>
      </c>
      <c r="C460" s="70">
        <v>691014302</v>
      </c>
      <c r="D460" s="69" t="s">
        <v>761</v>
      </c>
      <c r="E460" s="71" t="s">
        <v>768</v>
      </c>
      <c r="F460" s="201"/>
      <c r="G460" s="71"/>
      <c r="H460" s="73"/>
      <c r="I460" s="517">
        <v>3597377</v>
      </c>
      <c r="J460" s="74">
        <v>2662404</v>
      </c>
      <c r="K460" s="74">
        <v>2213846</v>
      </c>
      <c r="L460" s="74">
        <v>448558</v>
      </c>
      <c r="M460" s="74">
        <v>0</v>
      </c>
      <c r="N460" s="74">
        <v>0</v>
      </c>
      <c r="O460" s="74">
        <v>0</v>
      </c>
      <c r="P460" s="74">
        <v>899893</v>
      </c>
      <c r="Q460" s="74">
        <v>26624</v>
      </c>
      <c r="R460" s="74">
        <v>8456</v>
      </c>
      <c r="S460" s="75">
        <v>5.6466999999999992</v>
      </c>
      <c r="T460" s="75">
        <v>4.22</v>
      </c>
      <c r="U460" s="658">
        <v>1.4266999999999999</v>
      </c>
      <c r="V460" s="517">
        <f t="shared" ref="V460:BU460" si="764">SUM(V458:V459)</f>
        <v>0</v>
      </c>
      <c r="W460" s="74">
        <f t="shared" si="764"/>
        <v>0</v>
      </c>
      <c r="X460" s="74">
        <f t="shared" si="764"/>
        <v>0</v>
      </c>
      <c r="Y460" s="74">
        <f t="shared" si="764"/>
        <v>0</v>
      </c>
      <c r="Z460" s="74">
        <f t="shared" si="764"/>
        <v>0</v>
      </c>
      <c r="AA460" s="74">
        <f t="shared" si="764"/>
        <v>113619</v>
      </c>
      <c r="AB460" s="74">
        <f t="shared" si="764"/>
        <v>0</v>
      </c>
      <c r="AC460" s="74">
        <f t="shared" si="764"/>
        <v>0</v>
      </c>
      <c r="AD460" s="74">
        <f t="shared" si="764"/>
        <v>0</v>
      </c>
      <c r="AE460" s="74">
        <f t="shared" si="764"/>
        <v>113619</v>
      </c>
      <c r="AF460" s="74">
        <f t="shared" si="764"/>
        <v>113619</v>
      </c>
      <c r="AG460" s="74">
        <f t="shared" si="764"/>
        <v>0</v>
      </c>
      <c r="AH460" s="74">
        <f t="shared" si="764"/>
        <v>0</v>
      </c>
      <c r="AI460" s="74">
        <f t="shared" si="764"/>
        <v>0</v>
      </c>
      <c r="AJ460" s="74">
        <f t="shared" si="764"/>
        <v>0</v>
      </c>
      <c r="AK460" s="74">
        <f t="shared" si="764"/>
        <v>0</v>
      </c>
      <c r="AL460" s="74">
        <f t="shared" si="764"/>
        <v>0</v>
      </c>
      <c r="AM460" s="74">
        <f t="shared" si="764"/>
        <v>0</v>
      </c>
      <c r="AN460" s="74">
        <f t="shared" si="764"/>
        <v>0</v>
      </c>
      <c r="AO460" s="74">
        <f t="shared" si="764"/>
        <v>0</v>
      </c>
      <c r="AP460" s="74">
        <f t="shared" si="764"/>
        <v>113619</v>
      </c>
      <c r="AQ460" s="74">
        <f t="shared" si="764"/>
        <v>113619</v>
      </c>
      <c r="AR460" s="74">
        <f t="shared" si="764"/>
        <v>38403</v>
      </c>
      <c r="AS460" s="74">
        <f t="shared" si="764"/>
        <v>1136</v>
      </c>
      <c r="AT460" s="74">
        <f t="shared" si="764"/>
        <v>0</v>
      </c>
      <c r="AU460" s="74">
        <f t="shared" si="764"/>
        <v>476</v>
      </c>
      <c r="AV460" s="74">
        <f t="shared" si="764"/>
        <v>476</v>
      </c>
      <c r="AW460" s="74">
        <f t="shared" si="764"/>
        <v>153634</v>
      </c>
      <c r="AX460" s="75">
        <f t="shared" si="764"/>
        <v>0</v>
      </c>
      <c r="AY460" s="75">
        <f t="shared" si="764"/>
        <v>0</v>
      </c>
      <c r="AZ460" s="75">
        <f t="shared" si="764"/>
        <v>0</v>
      </c>
      <c r="BA460" s="75">
        <f t="shared" si="764"/>
        <v>0</v>
      </c>
      <c r="BB460" s="75">
        <f t="shared" si="764"/>
        <v>0.34</v>
      </c>
      <c r="BC460" s="75">
        <f t="shared" si="764"/>
        <v>0</v>
      </c>
      <c r="BD460" s="75">
        <f t="shared" si="764"/>
        <v>0</v>
      </c>
      <c r="BE460" s="75">
        <f t="shared" si="764"/>
        <v>0</v>
      </c>
      <c r="BF460" s="75">
        <f t="shared" si="764"/>
        <v>0</v>
      </c>
      <c r="BG460" s="75">
        <f t="shared" si="764"/>
        <v>0.34</v>
      </c>
      <c r="BH460" s="76">
        <f t="shared" si="764"/>
        <v>0.34</v>
      </c>
      <c r="BI460" s="799">
        <f t="shared" si="764"/>
        <v>3751011</v>
      </c>
      <c r="BJ460" s="74">
        <f t="shared" si="764"/>
        <v>2776023</v>
      </c>
      <c r="BK460" s="74">
        <f t="shared" si="764"/>
        <v>2213846</v>
      </c>
      <c r="BL460" s="74">
        <f t="shared" si="764"/>
        <v>562177</v>
      </c>
      <c r="BM460" s="74">
        <f t="shared" si="764"/>
        <v>0</v>
      </c>
      <c r="BN460" s="74">
        <f t="shared" si="764"/>
        <v>0</v>
      </c>
      <c r="BO460" s="74">
        <f t="shared" si="764"/>
        <v>0</v>
      </c>
      <c r="BP460" s="74">
        <f t="shared" si="764"/>
        <v>938296</v>
      </c>
      <c r="BQ460" s="74">
        <f t="shared" si="764"/>
        <v>27760</v>
      </c>
      <c r="BR460" s="74">
        <f t="shared" si="764"/>
        <v>8932</v>
      </c>
      <c r="BS460" s="75">
        <f t="shared" si="764"/>
        <v>5.986699999999999</v>
      </c>
      <c r="BT460" s="75">
        <f t="shared" si="764"/>
        <v>4.22</v>
      </c>
      <c r="BU460" s="76">
        <f t="shared" si="764"/>
        <v>1.7666999999999999</v>
      </c>
      <c r="BV460" s="809">
        <f t="shared" ref="BV460:CA460" si="765">SUM(BV458:BV459)</f>
        <v>0</v>
      </c>
      <c r="BW460" s="684">
        <f t="shared" si="765"/>
        <v>0</v>
      </c>
      <c r="BX460" s="684">
        <f t="shared" si="765"/>
        <v>0</v>
      </c>
      <c r="BY460" s="684">
        <f t="shared" si="765"/>
        <v>0</v>
      </c>
      <c r="BZ460" s="684">
        <f t="shared" si="765"/>
        <v>0</v>
      </c>
      <c r="CA460" s="810">
        <f t="shared" si="765"/>
        <v>0</v>
      </c>
    </row>
    <row r="461" spans="1:79" ht="14.1" customHeight="1" x14ac:dyDescent="0.2">
      <c r="A461" s="66">
        <v>89</v>
      </c>
      <c r="B461" s="191">
        <v>2332</v>
      </c>
      <c r="C461" s="191">
        <v>691015295</v>
      </c>
      <c r="D461" s="192">
        <v>10988122</v>
      </c>
      <c r="E461" s="189" t="s">
        <v>779</v>
      </c>
      <c r="F461" s="202">
        <v>3111</v>
      </c>
      <c r="G461" s="203" t="s">
        <v>290</v>
      </c>
      <c r="H461" s="67" t="s">
        <v>271</v>
      </c>
      <c r="I461" s="420">
        <v>5298664</v>
      </c>
      <c r="J461" s="415">
        <v>3870352</v>
      </c>
      <c r="K461" s="415">
        <v>3582683</v>
      </c>
      <c r="L461" s="415">
        <v>287669</v>
      </c>
      <c r="M461" s="415">
        <v>45000</v>
      </c>
      <c r="N461" s="415">
        <v>0</v>
      </c>
      <c r="O461" s="415">
        <v>45000</v>
      </c>
      <c r="P461" s="599">
        <v>1323389</v>
      </c>
      <c r="Q461" s="599">
        <v>38704</v>
      </c>
      <c r="R461" s="415">
        <v>21219</v>
      </c>
      <c r="S461" s="416">
        <v>7.6474000000000002</v>
      </c>
      <c r="T461" s="416">
        <v>6.6773999999999996</v>
      </c>
      <c r="U461" s="423">
        <v>0.97</v>
      </c>
      <c r="V461" s="424">
        <f t="shared" si="642"/>
        <v>0</v>
      </c>
      <c r="W461" s="418">
        <f t="shared" si="643"/>
        <v>0</v>
      </c>
      <c r="X461" s="418">
        <v>0</v>
      </c>
      <c r="Y461" s="418">
        <v>0</v>
      </c>
      <c r="Z461" s="418">
        <v>0</v>
      </c>
      <c r="AA461" s="418">
        <v>0</v>
      </c>
      <c r="AB461" s="418">
        <v>0</v>
      </c>
      <c r="AC461" s="418">
        <v>0</v>
      </c>
      <c r="AD461" s="418">
        <f>V461+X461+Y461+Z461+AB461</f>
        <v>0</v>
      </c>
      <c r="AE461" s="418">
        <f>W461+AA461+AC461</f>
        <v>0</v>
      </c>
      <c r="AF461" s="418">
        <f t="shared" si="644"/>
        <v>0</v>
      </c>
      <c r="AG461" s="418">
        <v>0</v>
      </c>
      <c r="AH461" s="418">
        <v>0</v>
      </c>
      <c r="AI461" s="418">
        <v>0</v>
      </c>
      <c r="AJ461" s="418">
        <v>0</v>
      </c>
      <c r="AK461" s="418">
        <v>0</v>
      </c>
      <c r="AL461" s="418">
        <f t="shared" si="645"/>
        <v>0</v>
      </c>
      <c r="AM461" s="418">
        <f t="shared" si="646"/>
        <v>0</v>
      </c>
      <c r="AN461" s="418">
        <f t="shared" si="647"/>
        <v>0</v>
      </c>
      <c r="AO461" s="418">
        <f t="shared" si="648"/>
        <v>0</v>
      </c>
      <c r="AP461" s="418">
        <f t="shared" si="649"/>
        <v>0</v>
      </c>
      <c r="AQ461" s="418">
        <f t="shared" si="650"/>
        <v>0</v>
      </c>
      <c r="AR461" s="68">
        <f t="shared" si="651"/>
        <v>0</v>
      </c>
      <c r="AS461" s="68">
        <f t="shared" si="652"/>
        <v>0</v>
      </c>
      <c r="AT461" s="418">
        <v>0</v>
      </c>
      <c r="AU461" s="418">
        <v>0</v>
      </c>
      <c r="AV461" s="418">
        <f t="shared" si="653"/>
        <v>0</v>
      </c>
      <c r="AW461" s="418">
        <f t="shared" si="654"/>
        <v>0</v>
      </c>
      <c r="AX461" s="419">
        <v>0</v>
      </c>
      <c r="AY461" s="419">
        <v>0</v>
      </c>
      <c r="AZ461" s="419">
        <v>0</v>
      </c>
      <c r="BA461" s="419">
        <v>0</v>
      </c>
      <c r="BB461" s="419">
        <v>0</v>
      </c>
      <c r="BC461" s="419">
        <v>0</v>
      </c>
      <c r="BD461" s="419">
        <v>0</v>
      </c>
      <c r="BE461" s="419">
        <v>0</v>
      </c>
      <c r="BF461" s="419">
        <f t="shared" si="655"/>
        <v>0</v>
      </c>
      <c r="BG461" s="419">
        <f t="shared" si="656"/>
        <v>0</v>
      </c>
      <c r="BH461" s="421">
        <f t="shared" si="657"/>
        <v>0</v>
      </c>
      <c r="BI461" s="780">
        <f>I461+AW461</f>
        <v>5298664</v>
      </c>
      <c r="BJ461" s="418">
        <f>J461+AF461</f>
        <v>3870352</v>
      </c>
      <c r="BK461" s="418">
        <f t="shared" ref="BK461:BL463" si="766">K461+AD461</f>
        <v>3582683</v>
      </c>
      <c r="BL461" s="418">
        <f t="shared" si="766"/>
        <v>287669</v>
      </c>
      <c r="BM461" s="418">
        <f>M461+AN461</f>
        <v>45000</v>
      </c>
      <c r="BN461" s="418">
        <f t="shared" ref="BN461:BO463" si="767">N461+AL461</f>
        <v>0</v>
      </c>
      <c r="BO461" s="418">
        <f t="shared" si="767"/>
        <v>45000</v>
      </c>
      <c r="BP461" s="418">
        <f t="shared" ref="BP461:BQ463" si="768">P461+AR461</f>
        <v>1323389</v>
      </c>
      <c r="BQ461" s="418">
        <f t="shared" si="768"/>
        <v>38704</v>
      </c>
      <c r="BR461" s="418">
        <f>R461+AV461</f>
        <v>21219</v>
      </c>
      <c r="BS461" s="419">
        <f>S461+BH461</f>
        <v>7.6474000000000002</v>
      </c>
      <c r="BT461" s="419">
        <f t="shared" ref="BT461:BU463" si="769">T461+BF461</f>
        <v>6.6773999999999996</v>
      </c>
      <c r="BU461" s="421">
        <f t="shared" si="769"/>
        <v>0.97</v>
      </c>
      <c r="BV461" s="420"/>
      <c r="BW461" s="415"/>
      <c r="BX461" s="415"/>
      <c r="BY461" s="415"/>
      <c r="BZ461" s="415"/>
      <c r="CA461" s="510"/>
    </row>
    <row r="462" spans="1:79" ht="14.1" customHeight="1" x14ac:dyDescent="0.2">
      <c r="A462" s="66">
        <v>89</v>
      </c>
      <c r="B462" s="191">
        <v>2332</v>
      </c>
      <c r="C462" s="191">
        <v>691015295</v>
      </c>
      <c r="D462" s="192">
        <v>10988122</v>
      </c>
      <c r="E462" s="189" t="s">
        <v>779</v>
      </c>
      <c r="F462" s="202">
        <v>3111</v>
      </c>
      <c r="G462" s="203" t="s">
        <v>291</v>
      </c>
      <c r="H462" s="67" t="s">
        <v>272</v>
      </c>
      <c r="I462" s="420">
        <v>499840</v>
      </c>
      <c r="J462" s="415">
        <v>370801</v>
      </c>
      <c r="K462" s="415">
        <v>370801</v>
      </c>
      <c r="L462" s="415">
        <v>0</v>
      </c>
      <c r="M462" s="415">
        <v>0</v>
      </c>
      <c r="N462" s="415">
        <v>0</v>
      </c>
      <c r="O462" s="415">
        <v>0</v>
      </c>
      <c r="P462" s="599">
        <v>125331</v>
      </c>
      <c r="Q462" s="599">
        <v>3708</v>
      </c>
      <c r="R462" s="415">
        <v>0</v>
      </c>
      <c r="S462" s="416">
        <v>1</v>
      </c>
      <c r="T462" s="417">
        <v>1</v>
      </c>
      <c r="U462" s="423">
        <v>0</v>
      </c>
      <c r="V462" s="424">
        <f t="shared" ref="V462:V463" si="770">AG462*-1</f>
        <v>0</v>
      </c>
      <c r="W462" s="418">
        <f t="shared" ref="W462:W463" si="771">AH462*-1</f>
        <v>0</v>
      </c>
      <c r="X462" s="418">
        <v>0</v>
      </c>
      <c r="Y462" s="418">
        <v>0</v>
      </c>
      <c r="Z462" s="418">
        <v>0</v>
      </c>
      <c r="AA462" s="418">
        <v>0</v>
      </c>
      <c r="AB462" s="418">
        <v>0</v>
      </c>
      <c r="AC462" s="418">
        <v>0</v>
      </c>
      <c r="AD462" s="418">
        <f>V462+X462+Y462+Z462+AB462</f>
        <v>0</v>
      </c>
      <c r="AE462" s="418">
        <f>W462+AA462+AC462</f>
        <v>0</v>
      </c>
      <c r="AF462" s="418">
        <f t="shared" ref="AF462:AF463" si="772">SUM(AD462:AE462)</f>
        <v>0</v>
      </c>
      <c r="AG462" s="418">
        <v>0</v>
      </c>
      <c r="AH462" s="418">
        <v>0</v>
      </c>
      <c r="AI462" s="418">
        <v>0</v>
      </c>
      <c r="AJ462" s="418">
        <v>0</v>
      </c>
      <c r="AK462" s="418">
        <v>0</v>
      </c>
      <c r="AL462" s="418">
        <f t="shared" ref="AL462:AL463" si="773">AG462+AI462+AJ462</f>
        <v>0</v>
      </c>
      <c r="AM462" s="418">
        <f t="shared" ref="AM462:AM463" si="774">AH462+AK462</f>
        <v>0</v>
      </c>
      <c r="AN462" s="418">
        <f t="shared" ref="AN462:AN463" si="775">SUM(AL462:AM462)</f>
        <v>0</v>
      </c>
      <c r="AO462" s="418">
        <f t="shared" ref="AO462:AO463" si="776">AD462+AL462</f>
        <v>0</v>
      </c>
      <c r="AP462" s="418">
        <f t="shared" ref="AP462:AP463" si="777">AE462+AM462</f>
        <v>0</v>
      </c>
      <c r="AQ462" s="418">
        <f t="shared" ref="AQ462:AQ463" si="778">SUM(AO462:AP462)</f>
        <v>0</v>
      </c>
      <c r="AR462" s="68">
        <f t="shared" ref="AR462:AR463" si="779">ROUND((AF462+AG462+AH462+AI462)*33.8%,0)</f>
        <v>0</v>
      </c>
      <c r="AS462" s="68">
        <f t="shared" ref="AS462:AS463" si="780">ROUND(AF462*1%,0)</f>
        <v>0</v>
      </c>
      <c r="AT462" s="418">
        <v>0</v>
      </c>
      <c r="AU462" s="418">
        <v>0</v>
      </c>
      <c r="AV462" s="418">
        <f t="shared" ref="AV462:AV463" si="781">AT462+AU462</f>
        <v>0</v>
      </c>
      <c r="AW462" s="418">
        <f t="shared" ref="AW462:AW463" si="782">AQ462+AR462+AS462+AV462</f>
        <v>0</v>
      </c>
      <c r="AX462" s="419">
        <v>0</v>
      </c>
      <c r="AY462" s="419">
        <v>0</v>
      </c>
      <c r="AZ462" s="419">
        <v>0</v>
      </c>
      <c r="BA462" s="419">
        <v>0</v>
      </c>
      <c r="BB462" s="419">
        <v>0</v>
      </c>
      <c r="BC462" s="419">
        <v>0</v>
      </c>
      <c r="BD462" s="419">
        <v>0</v>
      </c>
      <c r="BE462" s="419">
        <v>0</v>
      </c>
      <c r="BF462" s="419">
        <f t="shared" ref="BF462:BF463" si="783">AX462+AZ462+BA462+BC462+BD462</f>
        <v>0</v>
      </c>
      <c r="BG462" s="419">
        <f t="shared" ref="BG462:BG463" si="784">AY462+BB462+BE462</f>
        <v>0</v>
      </c>
      <c r="BH462" s="421">
        <f t="shared" ref="BH462:BH463" si="785">SUM(BF462:BG462)</f>
        <v>0</v>
      </c>
      <c r="BI462" s="780">
        <f>I462+AW462</f>
        <v>499840</v>
      </c>
      <c r="BJ462" s="418">
        <f>J462+AF462</f>
        <v>370801</v>
      </c>
      <c r="BK462" s="418">
        <f t="shared" si="766"/>
        <v>370801</v>
      </c>
      <c r="BL462" s="418">
        <f t="shared" si="766"/>
        <v>0</v>
      </c>
      <c r="BM462" s="418">
        <f>M462+AN462</f>
        <v>0</v>
      </c>
      <c r="BN462" s="418">
        <f t="shared" si="767"/>
        <v>0</v>
      </c>
      <c r="BO462" s="418">
        <f t="shared" si="767"/>
        <v>0</v>
      </c>
      <c r="BP462" s="418">
        <f t="shared" si="768"/>
        <v>125331</v>
      </c>
      <c r="BQ462" s="418">
        <f t="shared" si="768"/>
        <v>3708</v>
      </c>
      <c r="BR462" s="418">
        <f>R462+AV462</f>
        <v>0</v>
      </c>
      <c r="BS462" s="419">
        <f>S462+BH462</f>
        <v>1</v>
      </c>
      <c r="BT462" s="419">
        <f t="shared" si="769"/>
        <v>1</v>
      </c>
      <c r="BU462" s="421">
        <f t="shared" si="769"/>
        <v>0</v>
      </c>
      <c r="BV462" s="420"/>
      <c r="BW462" s="415"/>
      <c r="BX462" s="415"/>
      <c r="BY462" s="415"/>
      <c r="BZ462" s="415"/>
      <c r="CA462" s="510"/>
    </row>
    <row r="463" spans="1:79" ht="14.1" customHeight="1" x14ac:dyDescent="0.2">
      <c r="A463" s="66">
        <v>89</v>
      </c>
      <c r="B463" s="193">
        <v>2332</v>
      </c>
      <c r="C463" s="191">
        <v>691015295</v>
      </c>
      <c r="D463" s="192">
        <v>10988122</v>
      </c>
      <c r="E463" s="189" t="s">
        <v>779</v>
      </c>
      <c r="F463" s="194">
        <v>3141</v>
      </c>
      <c r="G463" s="195" t="s">
        <v>294</v>
      </c>
      <c r="H463" s="67" t="s">
        <v>272</v>
      </c>
      <c r="I463" s="420">
        <v>202118</v>
      </c>
      <c r="J463" s="415">
        <v>148966</v>
      </c>
      <c r="K463" s="415">
        <v>0</v>
      </c>
      <c r="L463" s="750">
        <v>148966</v>
      </c>
      <c r="M463" s="415">
        <v>0</v>
      </c>
      <c r="N463" s="204">
        <v>0</v>
      </c>
      <c r="O463" s="204">
        <v>0</v>
      </c>
      <c r="P463" s="599">
        <v>50351</v>
      </c>
      <c r="Q463" s="599">
        <v>1490</v>
      </c>
      <c r="R463" s="605">
        <v>1311</v>
      </c>
      <c r="S463" s="416">
        <v>0.44669999999999999</v>
      </c>
      <c r="T463" s="607">
        <v>0</v>
      </c>
      <c r="U463" s="737">
        <v>0.44669999999999999</v>
      </c>
      <c r="V463" s="424">
        <f t="shared" si="770"/>
        <v>0</v>
      </c>
      <c r="W463" s="418">
        <f t="shared" si="771"/>
        <v>0</v>
      </c>
      <c r="X463" s="418">
        <v>0</v>
      </c>
      <c r="Y463" s="418">
        <v>0</v>
      </c>
      <c r="Z463" s="418">
        <v>0</v>
      </c>
      <c r="AA463" s="418">
        <v>75825</v>
      </c>
      <c r="AB463" s="418">
        <v>0</v>
      </c>
      <c r="AC463" s="418">
        <v>0</v>
      </c>
      <c r="AD463" s="418">
        <f>V463+X463+Y463+Z463+AB463</f>
        <v>0</v>
      </c>
      <c r="AE463" s="418">
        <f>W463+AA463+AC463</f>
        <v>75825</v>
      </c>
      <c r="AF463" s="418">
        <f t="shared" si="772"/>
        <v>75825</v>
      </c>
      <c r="AG463" s="418">
        <v>0</v>
      </c>
      <c r="AH463" s="418">
        <v>0</v>
      </c>
      <c r="AI463" s="418">
        <v>0</v>
      </c>
      <c r="AJ463" s="418">
        <v>0</v>
      </c>
      <c r="AK463" s="418">
        <v>0</v>
      </c>
      <c r="AL463" s="418">
        <f t="shared" si="773"/>
        <v>0</v>
      </c>
      <c r="AM463" s="418">
        <f t="shared" si="774"/>
        <v>0</v>
      </c>
      <c r="AN463" s="418">
        <f t="shared" si="775"/>
        <v>0</v>
      </c>
      <c r="AO463" s="418">
        <f t="shared" si="776"/>
        <v>0</v>
      </c>
      <c r="AP463" s="418">
        <f t="shared" si="777"/>
        <v>75825</v>
      </c>
      <c r="AQ463" s="418">
        <f t="shared" si="778"/>
        <v>75825</v>
      </c>
      <c r="AR463" s="68">
        <f t="shared" si="779"/>
        <v>25629</v>
      </c>
      <c r="AS463" s="68">
        <f t="shared" si="780"/>
        <v>758</v>
      </c>
      <c r="AT463" s="418">
        <v>0</v>
      </c>
      <c r="AU463" s="418">
        <v>627</v>
      </c>
      <c r="AV463" s="418">
        <f t="shared" si="781"/>
        <v>627</v>
      </c>
      <c r="AW463" s="418">
        <f t="shared" si="782"/>
        <v>102839</v>
      </c>
      <c r="AX463" s="419">
        <v>0</v>
      </c>
      <c r="AY463" s="419">
        <v>0</v>
      </c>
      <c r="AZ463" s="419">
        <v>0</v>
      </c>
      <c r="BA463" s="419">
        <v>0</v>
      </c>
      <c r="BB463" s="419">
        <v>0.22</v>
      </c>
      <c r="BC463" s="419">
        <v>0</v>
      </c>
      <c r="BD463" s="419">
        <v>0</v>
      </c>
      <c r="BE463" s="419">
        <v>0</v>
      </c>
      <c r="BF463" s="419">
        <f t="shared" si="783"/>
        <v>0</v>
      </c>
      <c r="BG463" s="419">
        <f t="shared" si="784"/>
        <v>0.22</v>
      </c>
      <c r="BH463" s="421">
        <f t="shared" si="785"/>
        <v>0.22</v>
      </c>
      <c r="BI463" s="780">
        <f>I463+AW463</f>
        <v>304957</v>
      </c>
      <c r="BJ463" s="418">
        <f>J463+AF463</f>
        <v>224791</v>
      </c>
      <c r="BK463" s="418">
        <f t="shared" si="766"/>
        <v>0</v>
      </c>
      <c r="BL463" s="418">
        <f t="shared" si="766"/>
        <v>224791</v>
      </c>
      <c r="BM463" s="418">
        <f>M463+AN463</f>
        <v>0</v>
      </c>
      <c r="BN463" s="418">
        <f t="shared" si="767"/>
        <v>0</v>
      </c>
      <c r="BO463" s="418">
        <f t="shared" si="767"/>
        <v>0</v>
      </c>
      <c r="BP463" s="418">
        <f t="shared" si="768"/>
        <v>75980</v>
      </c>
      <c r="BQ463" s="418">
        <f t="shared" si="768"/>
        <v>2248</v>
      </c>
      <c r="BR463" s="418">
        <f>R463+AV463</f>
        <v>1938</v>
      </c>
      <c r="BS463" s="419">
        <f>S463+BH463</f>
        <v>0.66669999999999996</v>
      </c>
      <c r="BT463" s="419">
        <f t="shared" si="769"/>
        <v>0</v>
      </c>
      <c r="BU463" s="421">
        <f t="shared" si="769"/>
        <v>0.66669999999999996</v>
      </c>
      <c r="BV463" s="420"/>
      <c r="BW463" s="415"/>
      <c r="BX463" s="415"/>
      <c r="BY463" s="415"/>
      <c r="BZ463" s="415"/>
      <c r="CA463" s="510"/>
    </row>
    <row r="464" spans="1:79" ht="14.1" customHeight="1" thickBot="1" x14ac:dyDescent="0.25">
      <c r="A464" s="196">
        <v>89</v>
      </c>
      <c r="B464" s="197">
        <v>2332</v>
      </c>
      <c r="C464" s="197">
        <v>691015295</v>
      </c>
      <c r="D464" s="198">
        <v>10988122</v>
      </c>
      <c r="E464" s="190" t="s">
        <v>780</v>
      </c>
      <c r="F464" s="199"/>
      <c r="G464" s="200"/>
      <c r="H464" s="200"/>
      <c r="I464" s="520">
        <v>6000622</v>
      </c>
      <c r="J464" s="521">
        <v>4390119</v>
      </c>
      <c r="K464" s="521">
        <v>3953484</v>
      </c>
      <c r="L464" s="521">
        <v>436635</v>
      </c>
      <c r="M464" s="521">
        <v>45000</v>
      </c>
      <c r="N464" s="521">
        <v>0</v>
      </c>
      <c r="O464" s="521">
        <v>45000</v>
      </c>
      <c r="P464" s="521">
        <v>1499071</v>
      </c>
      <c r="Q464" s="521">
        <v>43902</v>
      </c>
      <c r="R464" s="521">
        <v>22530</v>
      </c>
      <c r="S464" s="522">
        <v>9.094100000000001</v>
      </c>
      <c r="T464" s="522">
        <v>7.6773999999999996</v>
      </c>
      <c r="U464" s="661">
        <v>1.4167000000000001</v>
      </c>
      <c r="V464" s="520">
        <f t="shared" ref="V464:BU464" si="786">SUM(V461:V463)</f>
        <v>0</v>
      </c>
      <c r="W464" s="521">
        <f t="shared" si="786"/>
        <v>0</v>
      </c>
      <c r="X464" s="521">
        <f t="shared" si="786"/>
        <v>0</v>
      </c>
      <c r="Y464" s="521">
        <f t="shared" si="786"/>
        <v>0</v>
      </c>
      <c r="Z464" s="521">
        <f t="shared" si="786"/>
        <v>0</v>
      </c>
      <c r="AA464" s="521">
        <f t="shared" si="786"/>
        <v>75825</v>
      </c>
      <c r="AB464" s="521">
        <f t="shared" si="786"/>
        <v>0</v>
      </c>
      <c r="AC464" s="521">
        <f t="shared" si="786"/>
        <v>0</v>
      </c>
      <c r="AD464" s="521">
        <f t="shared" si="786"/>
        <v>0</v>
      </c>
      <c r="AE464" s="521">
        <f t="shared" si="786"/>
        <v>75825</v>
      </c>
      <c r="AF464" s="521">
        <f t="shared" si="786"/>
        <v>75825</v>
      </c>
      <c r="AG464" s="521">
        <f t="shared" si="786"/>
        <v>0</v>
      </c>
      <c r="AH464" s="521">
        <f t="shared" si="786"/>
        <v>0</v>
      </c>
      <c r="AI464" s="521">
        <f t="shared" si="786"/>
        <v>0</v>
      </c>
      <c r="AJ464" s="521">
        <f t="shared" si="786"/>
        <v>0</v>
      </c>
      <c r="AK464" s="521">
        <f t="shared" si="786"/>
        <v>0</v>
      </c>
      <c r="AL464" s="521">
        <f t="shared" si="786"/>
        <v>0</v>
      </c>
      <c r="AM464" s="521">
        <f t="shared" si="786"/>
        <v>0</v>
      </c>
      <c r="AN464" s="521">
        <f t="shared" si="786"/>
        <v>0</v>
      </c>
      <c r="AO464" s="521">
        <f t="shared" si="786"/>
        <v>0</v>
      </c>
      <c r="AP464" s="521">
        <f t="shared" si="786"/>
        <v>75825</v>
      </c>
      <c r="AQ464" s="521">
        <f t="shared" si="786"/>
        <v>75825</v>
      </c>
      <c r="AR464" s="521">
        <f t="shared" si="786"/>
        <v>25629</v>
      </c>
      <c r="AS464" s="521">
        <f t="shared" si="786"/>
        <v>758</v>
      </c>
      <c r="AT464" s="521">
        <f t="shared" si="786"/>
        <v>0</v>
      </c>
      <c r="AU464" s="521">
        <f t="shared" si="786"/>
        <v>627</v>
      </c>
      <c r="AV464" s="521">
        <f t="shared" si="786"/>
        <v>627</v>
      </c>
      <c r="AW464" s="521">
        <f t="shared" si="786"/>
        <v>102839</v>
      </c>
      <c r="AX464" s="522">
        <f t="shared" si="786"/>
        <v>0</v>
      </c>
      <c r="AY464" s="522">
        <f t="shared" si="786"/>
        <v>0</v>
      </c>
      <c r="AZ464" s="522">
        <f t="shared" si="786"/>
        <v>0</v>
      </c>
      <c r="BA464" s="522">
        <f t="shared" si="786"/>
        <v>0</v>
      </c>
      <c r="BB464" s="522">
        <f t="shared" si="786"/>
        <v>0.22</v>
      </c>
      <c r="BC464" s="522">
        <f t="shared" si="786"/>
        <v>0</v>
      </c>
      <c r="BD464" s="522">
        <f t="shared" si="786"/>
        <v>0</v>
      </c>
      <c r="BE464" s="522">
        <f t="shared" si="786"/>
        <v>0</v>
      </c>
      <c r="BF464" s="522">
        <f t="shared" si="786"/>
        <v>0</v>
      </c>
      <c r="BG464" s="522">
        <f t="shared" si="786"/>
        <v>0.22</v>
      </c>
      <c r="BH464" s="523">
        <f t="shared" si="786"/>
        <v>0.22</v>
      </c>
      <c r="BI464" s="802">
        <f t="shared" si="786"/>
        <v>6103461</v>
      </c>
      <c r="BJ464" s="521">
        <f t="shared" si="786"/>
        <v>4465944</v>
      </c>
      <c r="BK464" s="521">
        <f t="shared" si="786"/>
        <v>3953484</v>
      </c>
      <c r="BL464" s="521">
        <f t="shared" si="786"/>
        <v>512460</v>
      </c>
      <c r="BM464" s="521">
        <f t="shared" si="786"/>
        <v>45000</v>
      </c>
      <c r="BN464" s="521">
        <f t="shared" si="786"/>
        <v>0</v>
      </c>
      <c r="BO464" s="521">
        <f t="shared" si="786"/>
        <v>45000</v>
      </c>
      <c r="BP464" s="521">
        <f t="shared" si="786"/>
        <v>1524700</v>
      </c>
      <c r="BQ464" s="521">
        <f t="shared" si="786"/>
        <v>44660</v>
      </c>
      <c r="BR464" s="521">
        <f t="shared" si="786"/>
        <v>23157</v>
      </c>
      <c r="BS464" s="522">
        <f t="shared" si="786"/>
        <v>9.3141000000000016</v>
      </c>
      <c r="BT464" s="522">
        <f t="shared" si="786"/>
        <v>7.6773999999999996</v>
      </c>
      <c r="BU464" s="523">
        <f t="shared" si="786"/>
        <v>1.6366999999999998</v>
      </c>
      <c r="BV464" s="815">
        <f t="shared" ref="BV464:CA464" si="787">SUM(BV461:BV463)</f>
        <v>0</v>
      </c>
      <c r="BW464" s="687">
        <f t="shared" si="787"/>
        <v>0</v>
      </c>
      <c r="BX464" s="687">
        <f t="shared" si="787"/>
        <v>0</v>
      </c>
      <c r="BY464" s="687">
        <f t="shared" si="787"/>
        <v>0</v>
      </c>
      <c r="BZ464" s="687">
        <f t="shared" si="787"/>
        <v>0</v>
      </c>
      <c r="CA464" s="816">
        <f t="shared" si="787"/>
        <v>0</v>
      </c>
    </row>
    <row r="465" spans="1:79" ht="14.1" customHeight="1" thickBot="1" x14ac:dyDescent="0.25">
      <c r="A465" s="241"/>
      <c r="B465" s="242"/>
      <c r="C465" s="242"/>
      <c r="D465" s="242"/>
      <c r="E465" s="243" t="s">
        <v>703</v>
      </c>
      <c r="F465" s="242"/>
      <c r="G465" s="242"/>
      <c r="H465" s="242"/>
      <c r="I465" s="525">
        <f t="shared" ref="I465:BO465" si="788">I464+I460+I457+I450+I443+I436+I429+I422+I415+I408+I401+I394+I390+I384+I377+I375+I371+I364+I359+I352+I346+I337+I333+I329+I325+I323+I317+I313+I306+I299+I297+I289+I284+I277+I273+I267+I263+I259+I257+I250+I244+I238+I232+I226+I220+I214+I207+I201+I195+I188+I181+I175+I169+I163+I158+I152+I146+I140+I133+I126+I121+I117+I114+I110+I106+I103+I99+I95+I91+I87+I83+I79+I75+I70+I67+I63+I59+I55+I52+I49+I46+I42+I39+I35+I31+I27+I22+I18+I13</f>
        <v>1907499431</v>
      </c>
      <c r="J465" s="601">
        <f t="shared" si="788"/>
        <v>1396161105</v>
      </c>
      <c r="K465" s="601">
        <f t="shared" si="788"/>
        <v>1254091140</v>
      </c>
      <c r="L465" s="601">
        <f t="shared" si="788"/>
        <v>142069965</v>
      </c>
      <c r="M465" s="601">
        <f t="shared" si="788"/>
        <v>6878806</v>
      </c>
      <c r="N465" s="601">
        <f t="shared" si="788"/>
        <v>4536046</v>
      </c>
      <c r="O465" s="601">
        <f t="shared" si="788"/>
        <v>2342760</v>
      </c>
      <c r="P465" s="601">
        <f t="shared" si="788"/>
        <v>474192270</v>
      </c>
      <c r="Q465" s="601">
        <f t="shared" si="788"/>
        <v>13961615</v>
      </c>
      <c r="R465" s="601">
        <f t="shared" si="788"/>
        <v>16305635</v>
      </c>
      <c r="S465" s="602">
        <f t="shared" si="788"/>
        <v>2517.0570000000007</v>
      </c>
      <c r="T465" s="602">
        <f t="shared" si="788"/>
        <v>2077.3634000000006</v>
      </c>
      <c r="U465" s="679">
        <f t="shared" si="788"/>
        <v>439.69359999999995</v>
      </c>
      <c r="V465" s="776">
        <f t="shared" si="788"/>
        <v>0</v>
      </c>
      <c r="W465" s="601">
        <f t="shared" si="788"/>
        <v>0</v>
      </c>
      <c r="X465" s="601">
        <f t="shared" si="788"/>
        <v>-1250719</v>
      </c>
      <c r="Y465" s="601">
        <f t="shared" si="788"/>
        <v>0</v>
      </c>
      <c r="Z465" s="758">
        <f t="shared" si="788"/>
        <v>0</v>
      </c>
      <c r="AA465" s="758">
        <f t="shared" si="788"/>
        <v>31402204</v>
      </c>
      <c r="AB465" s="601">
        <f t="shared" si="788"/>
        <v>0</v>
      </c>
      <c r="AC465" s="601">
        <f t="shared" si="788"/>
        <v>132280</v>
      </c>
      <c r="AD465" s="601">
        <f t="shared" si="788"/>
        <v>-1250719</v>
      </c>
      <c r="AE465" s="601">
        <f t="shared" si="788"/>
        <v>31534484</v>
      </c>
      <c r="AF465" s="601">
        <f t="shared" si="788"/>
        <v>30283765</v>
      </c>
      <c r="AG465" s="601">
        <f t="shared" si="788"/>
        <v>0</v>
      </c>
      <c r="AH465" s="601">
        <f t="shared" si="788"/>
        <v>0</v>
      </c>
      <c r="AI465" s="601">
        <f t="shared" si="788"/>
        <v>0</v>
      </c>
      <c r="AJ465" s="601">
        <f t="shared" si="788"/>
        <v>0</v>
      </c>
      <c r="AK465" s="601">
        <f t="shared" si="788"/>
        <v>0</v>
      </c>
      <c r="AL465" s="601">
        <f t="shared" si="788"/>
        <v>0</v>
      </c>
      <c r="AM465" s="601">
        <f t="shared" si="788"/>
        <v>0</v>
      </c>
      <c r="AN465" s="601">
        <f t="shared" si="788"/>
        <v>0</v>
      </c>
      <c r="AO465" s="601">
        <f t="shared" si="788"/>
        <v>-1250719</v>
      </c>
      <c r="AP465" s="601">
        <f t="shared" si="788"/>
        <v>31534484</v>
      </c>
      <c r="AQ465" s="601">
        <f t="shared" si="788"/>
        <v>30283765</v>
      </c>
      <c r="AR465" s="601">
        <f t="shared" si="788"/>
        <v>10235914</v>
      </c>
      <c r="AS465" s="601">
        <f t="shared" si="788"/>
        <v>302837</v>
      </c>
      <c r="AT465" s="601">
        <f t="shared" si="788"/>
        <v>15000</v>
      </c>
      <c r="AU465" s="601">
        <f t="shared" si="788"/>
        <v>300674</v>
      </c>
      <c r="AV465" s="601">
        <f t="shared" si="788"/>
        <v>315674</v>
      </c>
      <c r="AW465" s="601">
        <f t="shared" si="788"/>
        <v>41138190</v>
      </c>
      <c r="AX465" s="602">
        <f t="shared" si="788"/>
        <v>0</v>
      </c>
      <c r="AY465" s="602">
        <f t="shared" si="788"/>
        <v>0</v>
      </c>
      <c r="AZ465" s="602">
        <f t="shared" si="788"/>
        <v>-3.3899999999999992</v>
      </c>
      <c r="BA465" s="602">
        <f>BA464+BA460+BA457+BA450+BA443+BA436+BA429+BA422+BA415+BA408+BA401+BA394+BA390+BA384+BA377+BA375+BA371+BA364+BA359+BA352+BA346+BA337+BA333+BA329+BA325+BA323+BA317+BA313+BA306+BA299+BA297+BA289+BA284+BA277+BA273+BA267+BA263+BA259+BA257+BA250+BA244+BA238+BA232+BA226+BA220+BA214+BA207+BA201+BA195+BA188+BA181+BA175+BA169+BA163+BA158+BA152+BA146+BA140+BA133+BA126+BA121+BA117+BA114+BA110+BA106+BA103+BA99+BA95+BA91+BA87+BA83+BA79+BA75+BA70+BA67+BA63+BA59+BA55+BA52+BA49+BA46+BA42+BA39+BA35+BA31+BA27+BA22+BA18+BA13</f>
        <v>0</v>
      </c>
      <c r="BB465" s="602">
        <f>BB464+BB460+BB457+BB450+BB443+BB436+BB429+BB422+BB415+BB408+BB401+BB394+BB390+BB384+BB377+BB375+BB371+BB364+BB359+BB352+BB346+BB337+BB333+BB329+BB325+BB323+BB317+BB313+BB306+BB299+BB297+BB289+BB284+BB277+BB273+BB267+BB263+BB259+BB257+BB250+BB244+BB238+BB232+BB226+BB220+BB214+BB207+BB201+BB195+BB188+BB181+BB175+BB169+BB163+BB158+BB152+BB146+BB140+BB133+BB126+BB121+BB117+BB114+BB110+BB106+BB103+BB99+BB95+BB91+BB87+BB83+BB79+BB75+BB70+BB67+BB63+BB59+BB55+BB52+BB49+BB46+BB42+BB39+BB35+BB31+BB27+BB22+BB18+BB13</f>
        <v>95.439999999999969</v>
      </c>
      <c r="BC465" s="602">
        <f t="shared" si="788"/>
        <v>0</v>
      </c>
      <c r="BD465" s="602">
        <f t="shared" si="788"/>
        <v>0</v>
      </c>
      <c r="BE465" s="602">
        <f t="shared" si="788"/>
        <v>0</v>
      </c>
      <c r="BF465" s="602">
        <f t="shared" si="788"/>
        <v>-3.3899999999999992</v>
      </c>
      <c r="BG465" s="602">
        <f t="shared" si="788"/>
        <v>95.439999999999969</v>
      </c>
      <c r="BH465" s="603">
        <f t="shared" si="788"/>
        <v>92.05</v>
      </c>
      <c r="BI465" s="549">
        <f t="shared" si="788"/>
        <v>1948637621</v>
      </c>
      <c r="BJ465" s="601">
        <f t="shared" si="788"/>
        <v>1426444870</v>
      </c>
      <c r="BK465" s="601">
        <f t="shared" si="788"/>
        <v>1252840421</v>
      </c>
      <c r="BL465" s="601">
        <f t="shared" si="788"/>
        <v>173604449</v>
      </c>
      <c r="BM465" s="601">
        <f t="shared" si="788"/>
        <v>6878806</v>
      </c>
      <c r="BN465" s="601">
        <f t="shared" si="788"/>
        <v>4536046</v>
      </c>
      <c r="BO465" s="601">
        <f t="shared" si="788"/>
        <v>2342760</v>
      </c>
      <c r="BP465" s="601">
        <f t="shared" ref="BP465:CA465" si="789">BP464+BP460+BP457+BP450+BP443+BP436+BP429+BP422+BP415+BP408+BP401+BP394+BP390+BP384+BP377+BP375+BP371+BP364+BP359+BP352+BP346+BP337+BP333+BP329+BP325+BP323+BP317+BP313+BP306+BP299+BP297+BP289+BP284+BP277+BP273+BP267+BP263+BP259+BP257+BP250+BP244+BP238+BP232+BP226+BP220+BP214+BP207+BP201+BP195+BP188+BP181+BP175+BP169+BP163+BP158+BP152+BP146+BP140+BP133+BP126+BP121+BP117+BP114+BP110+BP106+BP103+BP99+BP95+BP91+BP87+BP83+BP79+BP75+BP70+BP67+BP63+BP59+BP55+BP52+BP49+BP46+BP42+BP39+BP35+BP31+BP27+BP22+BP18+BP13</f>
        <v>484428184</v>
      </c>
      <c r="BQ465" s="601">
        <f t="shared" si="789"/>
        <v>14264452</v>
      </c>
      <c r="BR465" s="601">
        <f t="shared" si="789"/>
        <v>16621309</v>
      </c>
      <c r="BS465" s="602">
        <f t="shared" si="789"/>
        <v>2609.107</v>
      </c>
      <c r="BT465" s="602">
        <f t="shared" si="789"/>
        <v>2073.9734000000003</v>
      </c>
      <c r="BU465" s="679">
        <f t="shared" si="789"/>
        <v>535.1336</v>
      </c>
      <c r="BV465" s="690">
        <f t="shared" si="789"/>
        <v>12690902</v>
      </c>
      <c r="BW465" s="691">
        <f t="shared" si="789"/>
        <v>8854800</v>
      </c>
      <c r="BX465" s="691">
        <f t="shared" si="789"/>
        <v>564000</v>
      </c>
      <c r="BY465" s="691">
        <f t="shared" si="789"/>
        <v>3183554</v>
      </c>
      <c r="BZ465" s="691">
        <f t="shared" si="789"/>
        <v>88548</v>
      </c>
      <c r="CA465" s="680">
        <f t="shared" si="789"/>
        <v>15.7</v>
      </c>
    </row>
    <row r="466" spans="1:79" ht="14.1" customHeight="1" x14ac:dyDescent="0.2">
      <c r="I466" s="428">
        <f>J465+M465+P465+Q465+R465</f>
        <v>1907499431</v>
      </c>
      <c r="J466" s="428">
        <f>SUM(K465:L465)</f>
        <v>1396161105</v>
      </c>
      <c r="K466" s="428"/>
      <c r="L466" s="428"/>
      <c r="M466" s="428">
        <f>SUM(N465:O465)</f>
        <v>6878806</v>
      </c>
      <c r="N466" s="428"/>
      <c r="O466" s="428"/>
      <c r="P466" s="428"/>
      <c r="Q466" s="428"/>
      <c r="R466" s="428"/>
      <c r="S466" s="429">
        <f>SUM(T465:U465)</f>
        <v>2517.0570000000007</v>
      </c>
      <c r="T466" s="429"/>
      <c r="U466" s="429"/>
      <c r="V466" s="428">
        <f>AG465</f>
        <v>0</v>
      </c>
      <c r="W466" s="428">
        <f>AH465</f>
        <v>0</v>
      </c>
      <c r="X466" s="429"/>
      <c r="Y466" s="429"/>
      <c r="Z466" s="429"/>
      <c r="AA466" s="429"/>
      <c r="AB466" s="429"/>
      <c r="AC466" s="429"/>
      <c r="AD466" s="430"/>
      <c r="AE466" s="430"/>
      <c r="AF466" s="430">
        <f>SUM(AD465:AE465)</f>
        <v>30283765</v>
      </c>
      <c r="AG466" s="430">
        <f>V465</f>
        <v>0</v>
      </c>
      <c r="AH466" s="430">
        <f>W465</f>
        <v>0</v>
      </c>
      <c r="AI466" s="431"/>
      <c r="AJ466" s="431"/>
      <c r="AK466" s="431"/>
      <c r="AL466" s="430"/>
      <c r="AM466" s="430"/>
      <c r="AN466" s="430">
        <f>SUM(AL465:AM465)</f>
        <v>0</v>
      </c>
      <c r="AO466" s="430"/>
      <c r="AP466" s="430"/>
      <c r="AQ466" s="430">
        <f>SUM(AO465:AP465)</f>
        <v>30283765</v>
      </c>
      <c r="AR466" s="432"/>
      <c r="AS466" s="432"/>
      <c r="AT466" s="431"/>
      <c r="AU466" s="431"/>
      <c r="AV466" s="430">
        <f>SUM(AT465:AU465)</f>
        <v>315674</v>
      </c>
      <c r="AW466" s="430">
        <f>AF465+AN465+AR465+AS465+AV465</f>
        <v>41138190</v>
      </c>
      <c r="AX466" s="433"/>
      <c r="AY466" s="433"/>
      <c r="AZ466" s="433"/>
      <c r="BA466" s="433"/>
      <c r="BB466" s="433"/>
      <c r="BC466" s="433"/>
      <c r="BD466" s="433"/>
      <c r="BE466" s="433"/>
      <c r="BF466" s="508">
        <f>AX465+AZ465+BA465+BC465+BD465</f>
        <v>-3.3899999999999992</v>
      </c>
      <c r="BG466" s="508">
        <f>AY465+BB465+BE465</f>
        <v>95.439999999999969</v>
      </c>
      <c r="BH466" s="508">
        <f>SUM(BF465:BG465)</f>
        <v>92.049999999999969</v>
      </c>
      <c r="BI466" s="428">
        <f>BJ465+BM465+BP465+BQ465+BR465</f>
        <v>1948637621</v>
      </c>
      <c r="BJ466" s="428">
        <f>SUM(BK465:BL465)</f>
        <v>1426444870</v>
      </c>
      <c r="BK466" s="430">
        <f>K465+AD465</f>
        <v>1252840421</v>
      </c>
      <c r="BL466" s="430">
        <f>L465+AE465</f>
        <v>173604449</v>
      </c>
      <c r="BM466" s="86">
        <f>SUM(BN465:BO465)</f>
        <v>6878806</v>
      </c>
      <c r="BN466" s="430">
        <f>N465+AL465</f>
        <v>4536046</v>
      </c>
      <c r="BO466" s="430">
        <f>O465+AM465</f>
        <v>2342760</v>
      </c>
      <c r="BP466" s="430">
        <f>P465+AR465</f>
        <v>484428184</v>
      </c>
      <c r="BQ466" s="430">
        <f>Q465+AS465</f>
        <v>14264452</v>
      </c>
      <c r="BR466" s="430">
        <f>R465+AV465</f>
        <v>16621309</v>
      </c>
      <c r="BS466" s="429">
        <f>SUM(BT465:BU465)</f>
        <v>2609.1070000000004</v>
      </c>
      <c r="BT466" s="508">
        <f>T465+BF465</f>
        <v>2073.9734000000008</v>
      </c>
      <c r="BU466" s="508">
        <f>U465+BG465</f>
        <v>535.13359999999989</v>
      </c>
      <c r="BV466" s="235">
        <f>SUM(BW465:BZ465)</f>
        <v>12690902</v>
      </c>
      <c r="BW466" s="8"/>
      <c r="BX466" s="8"/>
      <c r="BY466" s="8"/>
      <c r="BZ466" s="8"/>
      <c r="CA466" s="7"/>
    </row>
    <row r="467" spans="1:79" ht="14.1" customHeight="1" thickBot="1" x14ac:dyDescent="0.25">
      <c r="H467" s="51"/>
      <c r="I467" s="428">
        <f>J468+M468+P468+Q468+R468</f>
        <v>1907499431</v>
      </c>
      <c r="J467" s="428">
        <f>SUM(K468:L468)</f>
        <v>1396161105</v>
      </c>
      <c r="K467" s="428"/>
      <c r="L467" s="428"/>
      <c r="M467" s="428">
        <f>SUM(N468:O468)</f>
        <v>6878806</v>
      </c>
      <c r="N467" s="428"/>
      <c r="O467" s="428"/>
      <c r="P467" s="428"/>
      <c r="Q467" s="428"/>
      <c r="R467" s="428"/>
      <c r="S467" s="429">
        <f>SUM(T468:U468)</f>
        <v>2517.0569999999998</v>
      </c>
      <c r="T467" s="429"/>
      <c r="U467" s="429"/>
      <c r="V467" s="428">
        <f>AG468</f>
        <v>0</v>
      </c>
      <c r="W467" s="428">
        <f>AH468</f>
        <v>0</v>
      </c>
      <c r="X467" s="429"/>
      <c r="Y467" s="429"/>
      <c r="Z467" s="429"/>
      <c r="AA467" s="429"/>
      <c r="AB467" s="429"/>
      <c r="AC467" s="429"/>
      <c r="AD467" s="430"/>
      <c r="AE467" s="430"/>
      <c r="AF467" s="430">
        <f>SUM(AD468:AE468)</f>
        <v>30283765</v>
      </c>
      <c r="AG467" s="430"/>
      <c r="AH467" s="430"/>
      <c r="AI467" s="431"/>
      <c r="AJ467" s="431"/>
      <c r="AK467" s="431"/>
      <c r="AL467" s="430"/>
      <c r="AM467" s="430"/>
      <c r="AN467" s="430">
        <f>SUM(AL468:AM468)</f>
        <v>0</v>
      </c>
      <c r="AO467" s="430"/>
      <c r="AP467" s="430"/>
      <c r="AQ467" s="430">
        <f>SUM(AO468:AP468)</f>
        <v>30283765</v>
      </c>
      <c r="AR467" s="432"/>
      <c r="AS467" s="432"/>
      <c r="AT467" s="431"/>
      <c r="AU467" s="431"/>
      <c r="AV467" s="430">
        <f>SUM(AT468:AU468)</f>
        <v>315674</v>
      </c>
      <c r="AW467" s="430">
        <f>AF468+AN468+AR468+AS468+AV468</f>
        <v>41138190</v>
      </c>
      <c r="AX467" s="433"/>
      <c r="AY467" s="433"/>
      <c r="AZ467" s="433"/>
      <c r="BA467" s="433"/>
      <c r="BB467" s="433"/>
      <c r="BC467" s="433"/>
      <c r="BD467" s="433"/>
      <c r="BE467" s="433"/>
      <c r="BF467" s="508">
        <f>AX468+AZ468+BA468+BC468+BD468</f>
        <v>-3.3900000000000006</v>
      </c>
      <c r="BG467" s="508">
        <f>AY468+BB468+BE468</f>
        <v>95.44</v>
      </c>
      <c r="BH467" s="508">
        <f>SUM(BF468:BG468)</f>
        <v>92.05</v>
      </c>
      <c r="BI467" s="428">
        <f>BJ468+BM468+BP468+BQ468+BR468</f>
        <v>1948637621</v>
      </c>
      <c r="BJ467" s="428">
        <f>SUM(BK468:BL468)</f>
        <v>1426444870</v>
      </c>
      <c r="BM467" s="86">
        <f>SUM(BN468:BO468)</f>
        <v>6878806</v>
      </c>
      <c r="BS467" s="429">
        <f>SUM(BT468:BU468)</f>
        <v>2609.107</v>
      </c>
      <c r="BV467" s="235">
        <f>SUM(BW468:BZ468)</f>
        <v>12690902</v>
      </c>
      <c r="BW467" s="8"/>
      <c r="BX467" s="8"/>
      <c r="BY467" s="8"/>
      <c r="BZ467" s="8"/>
      <c r="CA467" s="7"/>
    </row>
    <row r="468" spans="1:79" customFormat="1" ht="13.5" thickBot="1" x14ac:dyDescent="0.25">
      <c r="D468" s="23"/>
      <c r="E468" s="24"/>
      <c r="F468" s="23"/>
      <c r="G468" s="41"/>
      <c r="H468" s="22" t="s">
        <v>0</v>
      </c>
      <c r="I468" s="139">
        <f>SUM(I469:I478)</f>
        <v>1907499431</v>
      </c>
      <c r="J468" s="34">
        <f t="shared" ref="J468:BQ468" si="790">SUM(J469:J478)</f>
        <v>1396161105</v>
      </c>
      <c r="K468" s="34">
        <f t="shared" si="790"/>
        <v>1254091140</v>
      </c>
      <c r="L468" s="34">
        <f t="shared" si="790"/>
        <v>142069965</v>
      </c>
      <c r="M468" s="34">
        <f t="shared" si="790"/>
        <v>6878806</v>
      </c>
      <c r="N468" s="34">
        <f t="shared" si="790"/>
        <v>4536046</v>
      </c>
      <c r="O468" s="34">
        <f t="shared" si="790"/>
        <v>2342760</v>
      </c>
      <c r="P468" s="34">
        <f t="shared" si="790"/>
        <v>474192270</v>
      </c>
      <c r="Q468" s="34">
        <f t="shared" si="790"/>
        <v>13961615</v>
      </c>
      <c r="R468" s="34">
        <f t="shared" si="790"/>
        <v>16305635</v>
      </c>
      <c r="S468" s="35">
        <f t="shared" si="790"/>
        <v>2517.0569999999998</v>
      </c>
      <c r="T468" s="35">
        <f t="shared" si="790"/>
        <v>2077.3633999999997</v>
      </c>
      <c r="U468" s="36">
        <f t="shared" si="790"/>
        <v>439.69359999999989</v>
      </c>
      <c r="V468" s="149">
        <f t="shared" si="790"/>
        <v>0</v>
      </c>
      <c r="W468" s="34">
        <f t="shared" si="790"/>
        <v>0</v>
      </c>
      <c r="X468" s="34">
        <f t="shared" si="790"/>
        <v>-1250719</v>
      </c>
      <c r="Y468" s="34">
        <f t="shared" si="790"/>
        <v>0</v>
      </c>
      <c r="Z468" s="34">
        <f t="shared" si="790"/>
        <v>0</v>
      </c>
      <c r="AA468" s="34">
        <f t="shared" ref="AA468" si="791">SUM(AA469:AA478)</f>
        <v>31402204</v>
      </c>
      <c r="AB468" s="34">
        <f t="shared" si="790"/>
        <v>0</v>
      </c>
      <c r="AC468" s="34">
        <f t="shared" si="790"/>
        <v>132280</v>
      </c>
      <c r="AD468" s="34">
        <f t="shared" si="790"/>
        <v>-1250719</v>
      </c>
      <c r="AE468" s="34">
        <f t="shared" si="790"/>
        <v>31534484</v>
      </c>
      <c r="AF468" s="34">
        <f t="shared" si="790"/>
        <v>30283765</v>
      </c>
      <c r="AG468" s="34">
        <f t="shared" si="790"/>
        <v>0</v>
      </c>
      <c r="AH468" s="34">
        <f t="shared" si="790"/>
        <v>0</v>
      </c>
      <c r="AI468" s="34">
        <f t="shared" si="790"/>
        <v>0</v>
      </c>
      <c r="AJ468" s="34">
        <f t="shared" si="790"/>
        <v>0</v>
      </c>
      <c r="AK468" s="34">
        <f t="shared" si="790"/>
        <v>0</v>
      </c>
      <c r="AL468" s="34">
        <f t="shared" si="790"/>
        <v>0</v>
      </c>
      <c r="AM468" s="34">
        <f t="shared" si="790"/>
        <v>0</v>
      </c>
      <c r="AN468" s="34">
        <f t="shared" si="790"/>
        <v>0</v>
      </c>
      <c r="AO468" s="34">
        <f t="shared" si="790"/>
        <v>-1250719</v>
      </c>
      <c r="AP468" s="34">
        <f t="shared" si="790"/>
        <v>31534484</v>
      </c>
      <c r="AQ468" s="34">
        <f t="shared" si="790"/>
        <v>30283765</v>
      </c>
      <c r="AR468" s="34">
        <f t="shared" si="790"/>
        <v>10235914</v>
      </c>
      <c r="AS468" s="34">
        <f t="shared" si="790"/>
        <v>302837</v>
      </c>
      <c r="AT468" s="34">
        <f t="shared" si="790"/>
        <v>15000</v>
      </c>
      <c r="AU468" s="34">
        <f t="shared" ref="AU468" si="792">SUM(AU469:AU478)</f>
        <v>300674</v>
      </c>
      <c r="AV468" s="34">
        <f t="shared" si="790"/>
        <v>315674</v>
      </c>
      <c r="AW468" s="34">
        <f t="shared" si="790"/>
        <v>41138190</v>
      </c>
      <c r="AX468" s="35">
        <f t="shared" si="790"/>
        <v>0</v>
      </c>
      <c r="AY468" s="35">
        <f t="shared" si="790"/>
        <v>0</v>
      </c>
      <c r="AZ468" s="35">
        <f t="shared" si="790"/>
        <v>-3.3900000000000006</v>
      </c>
      <c r="BA468" s="35">
        <f t="shared" si="790"/>
        <v>0</v>
      </c>
      <c r="BB468" s="35">
        <f t="shared" ref="BB468" si="793">SUM(BB469:BB478)</f>
        <v>95.44</v>
      </c>
      <c r="BC468" s="35">
        <f t="shared" si="790"/>
        <v>0</v>
      </c>
      <c r="BD468" s="35">
        <f t="shared" si="790"/>
        <v>0</v>
      </c>
      <c r="BE468" s="35">
        <f t="shared" si="790"/>
        <v>0</v>
      </c>
      <c r="BF468" s="35">
        <f t="shared" si="790"/>
        <v>-3.3900000000000006</v>
      </c>
      <c r="BG468" s="35">
        <f t="shared" si="790"/>
        <v>95.44</v>
      </c>
      <c r="BH468" s="148">
        <f t="shared" si="790"/>
        <v>92.05</v>
      </c>
      <c r="BI468" s="139">
        <f t="shared" si="790"/>
        <v>1948637621</v>
      </c>
      <c r="BJ468" s="34">
        <f t="shared" si="790"/>
        <v>1426444870</v>
      </c>
      <c r="BK468" s="34">
        <f t="shared" si="790"/>
        <v>1252840421</v>
      </c>
      <c r="BL468" s="34">
        <f t="shared" si="790"/>
        <v>173604449</v>
      </c>
      <c r="BM468" s="34">
        <f t="shared" si="790"/>
        <v>6878806</v>
      </c>
      <c r="BN468" s="34">
        <f t="shared" si="790"/>
        <v>4536046</v>
      </c>
      <c r="BO468" s="34">
        <f t="shared" si="790"/>
        <v>2342760</v>
      </c>
      <c r="BP468" s="34">
        <f t="shared" si="790"/>
        <v>484428184</v>
      </c>
      <c r="BQ468" s="34">
        <f t="shared" si="790"/>
        <v>14264452</v>
      </c>
      <c r="BR468" s="34">
        <f t="shared" ref="BR468:BU468" si="794">SUM(BR469:BR478)</f>
        <v>16621309</v>
      </c>
      <c r="BS468" s="35">
        <f t="shared" si="794"/>
        <v>2609.1069999999995</v>
      </c>
      <c r="BT468" s="35">
        <f t="shared" si="794"/>
        <v>2073.9733999999999</v>
      </c>
      <c r="BU468" s="148">
        <f t="shared" si="794"/>
        <v>535.1336</v>
      </c>
      <c r="BV468" s="696">
        <f t="shared" ref="BV468:CA468" si="795">SUM(BV469:BV478)</f>
        <v>12690902</v>
      </c>
      <c r="BW468" s="695">
        <f t="shared" si="795"/>
        <v>8854800</v>
      </c>
      <c r="BX468" s="695">
        <f t="shared" si="795"/>
        <v>564000</v>
      </c>
      <c r="BY468" s="695">
        <f t="shared" si="795"/>
        <v>3183554</v>
      </c>
      <c r="BZ468" s="695">
        <f t="shared" si="795"/>
        <v>88548</v>
      </c>
      <c r="CA468" s="677">
        <f t="shared" si="795"/>
        <v>15.700000000000001</v>
      </c>
    </row>
    <row r="469" spans="1:79" customFormat="1" ht="12.75" x14ac:dyDescent="0.2">
      <c r="D469" s="23"/>
      <c r="E469" s="24"/>
      <c r="F469" s="23"/>
      <c r="G469" s="41"/>
      <c r="H469" s="1">
        <v>3111</v>
      </c>
      <c r="I469" s="31">
        <f t="shared" ref="I469:BP469" si="796">SUMIF($F$12:$F$465,"=3111",I$12:I$465)</f>
        <v>408509521</v>
      </c>
      <c r="J469" s="146">
        <f t="shared" si="796"/>
        <v>301253868</v>
      </c>
      <c r="K469" s="146">
        <f t="shared" si="796"/>
        <v>278339309</v>
      </c>
      <c r="L469" s="146">
        <f t="shared" si="796"/>
        <v>22914559</v>
      </c>
      <c r="M469" s="146">
        <f t="shared" si="796"/>
        <v>828718</v>
      </c>
      <c r="N469" s="146">
        <f t="shared" si="796"/>
        <v>415558</v>
      </c>
      <c r="O469" s="146">
        <f t="shared" si="796"/>
        <v>413160</v>
      </c>
      <c r="P469" s="146">
        <f t="shared" si="796"/>
        <v>102103920</v>
      </c>
      <c r="Q469" s="146">
        <f t="shared" si="796"/>
        <v>3012538</v>
      </c>
      <c r="R469" s="146">
        <f t="shared" si="796"/>
        <v>1310477</v>
      </c>
      <c r="S469" s="147">
        <f t="shared" si="796"/>
        <v>585.01380000000006</v>
      </c>
      <c r="T469" s="147">
        <f t="shared" si="796"/>
        <v>504.86229999999995</v>
      </c>
      <c r="U469" s="238">
        <f t="shared" si="796"/>
        <v>80.151499999999999</v>
      </c>
      <c r="V469" s="32">
        <f t="shared" si="796"/>
        <v>0</v>
      </c>
      <c r="W469" s="146">
        <f t="shared" si="796"/>
        <v>0</v>
      </c>
      <c r="X469" s="146">
        <f t="shared" si="796"/>
        <v>-66980</v>
      </c>
      <c r="Y469" s="146">
        <f t="shared" si="796"/>
        <v>0</v>
      </c>
      <c r="Z469" s="146">
        <f t="shared" si="796"/>
        <v>0</v>
      </c>
      <c r="AA469" s="146">
        <f t="shared" si="796"/>
        <v>0</v>
      </c>
      <c r="AB469" s="146">
        <f t="shared" si="796"/>
        <v>0</v>
      </c>
      <c r="AC469" s="146">
        <f t="shared" si="796"/>
        <v>0</v>
      </c>
      <c r="AD469" s="146">
        <f t="shared" si="796"/>
        <v>-66980</v>
      </c>
      <c r="AE469" s="146">
        <f t="shared" si="796"/>
        <v>0</v>
      </c>
      <c r="AF469" s="146">
        <f t="shared" si="796"/>
        <v>-66980</v>
      </c>
      <c r="AG469" s="146">
        <f t="shared" si="796"/>
        <v>0</v>
      </c>
      <c r="AH469" s="146">
        <f t="shared" si="796"/>
        <v>0</v>
      </c>
      <c r="AI469" s="146">
        <f t="shared" si="796"/>
        <v>0</v>
      </c>
      <c r="AJ469" s="146">
        <f t="shared" si="796"/>
        <v>0</v>
      </c>
      <c r="AK469" s="146">
        <f t="shared" si="796"/>
        <v>0</v>
      </c>
      <c r="AL469" s="146">
        <f t="shared" si="796"/>
        <v>0</v>
      </c>
      <c r="AM469" s="146">
        <f t="shared" si="796"/>
        <v>0</v>
      </c>
      <c r="AN469" s="146">
        <f t="shared" si="796"/>
        <v>0</v>
      </c>
      <c r="AO469" s="146">
        <f t="shared" si="796"/>
        <v>-66980</v>
      </c>
      <c r="AP469" s="146">
        <f t="shared" si="796"/>
        <v>0</v>
      </c>
      <c r="AQ469" s="146">
        <f t="shared" si="796"/>
        <v>-66980</v>
      </c>
      <c r="AR469" s="146">
        <f t="shared" si="796"/>
        <v>-22639</v>
      </c>
      <c r="AS469" s="146">
        <f t="shared" si="796"/>
        <v>-670</v>
      </c>
      <c r="AT469" s="146">
        <f t="shared" si="796"/>
        <v>4500</v>
      </c>
      <c r="AU469" s="146">
        <f t="shared" si="796"/>
        <v>0</v>
      </c>
      <c r="AV469" s="146">
        <f t="shared" si="796"/>
        <v>4500</v>
      </c>
      <c r="AW469" s="146">
        <f t="shared" si="796"/>
        <v>-85789</v>
      </c>
      <c r="AX469" s="147">
        <f t="shared" si="796"/>
        <v>0</v>
      </c>
      <c r="AY469" s="147">
        <f t="shared" si="796"/>
        <v>0</v>
      </c>
      <c r="AZ469" s="147">
        <f t="shared" si="796"/>
        <v>-0.17</v>
      </c>
      <c r="BA469" s="147">
        <f>SUMIF($F$12:$F$465,"=3111",BA$12:BA$465)</f>
        <v>0</v>
      </c>
      <c r="BB469" s="147">
        <f>SUMIF($F$12:$F$465,"=3111",BB$12:BB$465)</f>
        <v>0</v>
      </c>
      <c r="BC469" s="147">
        <f t="shared" si="796"/>
        <v>0</v>
      </c>
      <c r="BD469" s="147">
        <f t="shared" si="796"/>
        <v>0</v>
      </c>
      <c r="BE469" s="147">
        <f t="shared" si="796"/>
        <v>0</v>
      </c>
      <c r="BF469" s="147">
        <f t="shared" si="796"/>
        <v>-0.17</v>
      </c>
      <c r="BG469" s="147">
        <f t="shared" si="796"/>
        <v>0</v>
      </c>
      <c r="BH469" s="425">
        <f t="shared" si="796"/>
        <v>-0.17</v>
      </c>
      <c r="BI469" s="31">
        <f t="shared" si="796"/>
        <v>408423732</v>
      </c>
      <c r="BJ469" s="146">
        <f t="shared" si="796"/>
        <v>301186888</v>
      </c>
      <c r="BK469" s="146">
        <f t="shared" si="796"/>
        <v>278272329</v>
      </c>
      <c r="BL469" s="146">
        <f t="shared" si="796"/>
        <v>22914559</v>
      </c>
      <c r="BM469" s="146">
        <f t="shared" si="796"/>
        <v>828718</v>
      </c>
      <c r="BN469" s="146">
        <f t="shared" si="796"/>
        <v>415558</v>
      </c>
      <c r="BO469" s="146">
        <f t="shared" si="796"/>
        <v>413160</v>
      </c>
      <c r="BP469" s="146">
        <f t="shared" si="796"/>
        <v>102081281</v>
      </c>
      <c r="BQ469" s="146">
        <f t="shared" ref="BQ469:CA469" si="797">SUMIF($F$12:$F$465,"=3111",BQ$12:BQ$465)</f>
        <v>3011868</v>
      </c>
      <c r="BR469" s="146">
        <f t="shared" si="797"/>
        <v>1314977</v>
      </c>
      <c r="BS469" s="147">
        <f t="shared" si="797"/>
        <v>584.84379999999999</v>
      </c>
      <c r="BT469" s="147">
        <f t="shared" si="797"/>
        <v>504.69229999999993</v>
      </c>
      <c r="BU469" s="425">
        <f t="shared" si="797"/>
        <v>80.151499999999999</v>
      </c>
      <c r="BV469" s="697">
        <f t="shared" si="797"/>
        <v>0</v>
      </c>
      <c r="BW469" s="692">
        <f t="shared" si="797"/>
        <v>0</v>
      </c>
      <c r="BX469" s="692">
        <f t="shared" si="797"/>
        <v>0</v>
      </c>
      <c r="BY469" s="692">
        <f t="shared" si="797"/>
        <v>0</v>
      </c>
      <c r="BZ469" s="692">
        <f t="shared" si="797"/>
        <v>0</v>
      </c>
      <c r="CA469" s="238">
        <f t="shared" si="797"/>
        <v>0</v>
      </c>
    </row>
    <row r="470" spans="1:79" customFormat="1" ht="12.75" x14ac:dyDescent="0.2">
      <c r="D470" s="23"/>
      <c r="E470" s="24"/>
      <c r="F470" s="23"/>
      <c r="G470" s="41"/>
      <c r="H470" s="2">
        <v>3113</v>
      </c>
      <c r="I470" s="25">
        <f t="shared" ref="I470:BP470" si="798">SUMIF($F$12:$F$465,"=3113",I$12:I$465)</f>
        <v>1087578669</v>
      </c>
      <c r="J470" s="26">
        <f t="shared" si="798"/>
        <v>793197471</v>
      </c>
      <c r="K470" s="26">
        <f t="shared" si="798"/>
        <v>745611117</v>
      </c>
      <c r="L470" s="26">
        <f t="shared" si="798"/>
        <v>47586354</v>
      </c>
      <c r="M470" s="26">
        <f t="shared" si="798"/>
        <v>3757779</v>
      </c>
      <c r="N470" s="26">
        <f t="shared" si="798"/>
        <v>2743779</v>
      </c>
      <c r="O470" s="26">
        <f t="shared" si="798"/>
        <v>1014000</v>
      </c>
      <c r="P470" s="26">
        <f t="shared" si="798"/>
        <v>269370875</v>
      </c>
      <c r="Q470" s="26">
        <f t="shared" si="798"/>
        <v>7931978</v>
      </c>
      <c r="R470" s="26">
        <f t="shared" si="798"/>
        <v>13320566</v>
      </c>
      <c r="S470" s="27">
        <f t="shared" si="798"/>
        <v>1306.1247999999996</v>
      </c>
      <c r="T470" s="27">
        <f t="shared" si="798"/>
        <v>1162.5429999999999</v>
      </c>
      <c r="U470" s="239">
        <f t="shared" si="798"/>
        <v>143.58179999999996</v>
      </c>
      <c r="V470" s="38">
        <f t="shared" si="798"/>
        <v>0</v>
      </c>
      <c r="W470" s="26">
        <f t="shared" si="798"/>
        <v>0</v>
      </c>
      <c r="X470" s="26">
        <f t="shared" si="798"/>
        <v>-1099257</v>
      </c>
      <c r="Y470" s="26">
        <f t="shared" si="798"/>
        <v>0</v>
      </c>
      <c r="Z470" s="26">
        <f t="shared" si="798"/>
        <v>0</v>
      </c>
      <c r="AA470" s="26">
        <f t="shared" si="798"/>
        <v>0</v>
      </c>
      <c r="AB470" s="26">
        <f t="shared" si="798"/>
        <v>0</v>
      </c>
      <c r="AC470" s="26">
        <f t="shared" si="798"/>
        <v>0</v>
      </c>
      <c r="AD470" s="26">
        <f t="shared" si="798"/>
        <v>-1099257</v>
      </c>
      <c r="AE470" s="26">
        <f t="shared" si="798"/>
        <v>0</v>
      </c>
      <c r="AF470" s="26">
        <f t="shared" si="798"/>
        <v>-1099257</v>
      </c>
      <c r="AG470" s="26">
        <f t="shared" si="798"/>
        <v>0</v>
      </c>
      <c r="AH470" s="26">
        <f t="shared" si="798"/>
        <v>0</v>
      </c>
      <c r="AI470" s="26">
        <f t="shared" si="798"/>
        <v>0</v>
      </c>
      <c r="AJ470" s="26">
        <f t="shared" si="798"/>
        <v>0</v>
      </c>
      <c r="AK470" s="26">
        <f t="shared" si="798"/>
        <v>0</v>
      </c>
      <c r="AL470" s="26">
        <f t="shared" si="798"/>
        <v>0</v>
      </c>
      <c r="AM470" s="26">
        <f t="shared" si="798"/>
        <v>0</v>
      </c>
      <c r="AN470" s="26">
        <f t="shared" si="798"/>
        <v>0</v>
      </c>
      <c r="AO470" s="26">
        <f t="shared" si="798"/>
        <v>-1099257</v>
      </c>
      <c r="AP470" s="26">
        <f t="shared" si="798"/>
        <v>0</v>
      </c>
      <c r="AQ470" s="26">
        <f t="shared" si="798"/>
        <v>-1099257</v>
      </c>
      <c r="AR470" s="26">
        <f t="shared" si="798"/>
        <v>-371548</v>
      </c>
      <c r="AS470" s="26">
        <f t="shared" si="798"/>
        <v>-10993</v>
      </c>
      <c r="AT470" s="26">
        <f t="shared" si="798"/>
        <v>10500</v>
      </c>
      <c r="AU470" s="26">
        <f t="shared" si="798"/>
        <v>0</v>
      </c>
      <c r="AV470" s="26">
        <f t="shared" si="798"/>
        <v>10500</v>
      </c>
      <c r="AW470" s="26">
        <f t="shared" si="798"/>
        <v>-1471298</v>
      </c>
      <c r="AX470" s="27">
        <f t="shared" si="798"/>
        <v>0</v>
      </c>
      <c r="AY470" s="27">
        <f t="shared" si="798"/>
        <v>0</v>
      </c>
      <c r="AZ470" s="27">
        <f t="shared" si="798"/>
        <v>-3.0000000000000004</v>
      </c>
      <c r="BA470" s="27">
        <f>SUMIF($F$12:$F$465,"=3113",BA$12:BA$465)</f>
        <v>0</v>
      </c>
      <c r="BB470" s="27">
        <f>SUMIF($F$12:$F$465,"=3113",BB$12:BB$465)</f>
        <v>0</v>
      </c>
      <c r="BC470" s="27">
        <f t="shared" si="798"/>
        <v>0</v>
      </c>
      <c r="BD470" s="27">
        <f t="shared" si="798"/>
        <v>0</v>
      </c>
      <c r="BE470" s="27">
        <f t="shared" si="798"/>
        <v>0</v>
      </c>
      <c r="BF470" s="27">
        <f t="shared" si="798"/>
        <v>-3.0000000000000004</v>
      </c>
      <c r="BG470" s="27">
        <f t="shared" si="798"/>
        <v>0</v>
      </c>
      <c r="BH470" s="426">
        <f t="shared" si="798"/>
        <v>-3.0000000000000004</v>
      </c>
      <c r="BI470" s="25">
        <f t="shared" si="798"/>
        <v>1086107371</v>
      </c>
      <c r="BJ470" s="26">
        <f t="shared" si="798"/>
        <v>792098214</v>
      </c>
      <c r="BK470" s="26">
        <f t="shared" si="798"/>
        <v>744511860</v>
      </c>
      <c r="BL470" s="26">
        <f t="shared" si="798"/>
        <v>47586354</v>
      </c>
      <c r="BM470" s="26">
        <f t="shared" si="798"/>
        <v>3757779</v>
      </c>
      <c r="BN470" s="26">
        <f t="shared" si="798"/>
        <v>2743779</v>
      </c>
      <c r="BO470" s="26">
        <f t="shared" si="798"/>
        <v>1014000</v>
      </c>
      <c r="BP470" s="26">
        <f t="shared" si="798"/>
        <v>268999327</v>
      </c>
      <c r="BQ470" s="26">
        <f t="shared" ref="BQ470:CA470" si="799">SUMIF($F$12:$F$465,"=3113",BQ$12:BQ$465)</f>
        <v>7920985</v>
      </c>
      <c r="BR470" s="26">
        <f t="shared" si="799"/>
        <v>13331066</v>
      </c>
      <c r="BS470" s="27">
        <f t="shared" si="799"/>
        <v>1303.1247999999998</v>
      </c>
      <c r="BT470" s="27">
        <f t="shared" si="799"/>
        <v>1159.5430000000001</v>
      </c>
      <c r="BU470" s="426">
        <f t="shared" si="799"/>
        <v>143.58179999999996</v>
      </c>
      <c r="BV470" s="698">
        <f t="shared" si="799"/>
        <v>12538848</v>
      </c>
      <c r="BW470" s="693">
        <f t="shared" si="799"/>
        <v>8742000</v>
      </c>
      <c r="BX470" s="693">
        <f t="shared" si="799"/>
        <v>564000</v>
      </c>
      <c r="BY470" s="693">
        <f t="shared" si="799"/>
        <v>3145428</v>
      </c>
      <c r="BZ470" s="693">
        <f t="shared" si="799"/>
        <v>87420</v>
      </c>
      <c r="CA470" s="239">
        <f t="shared" si="799"/>
        <v>15.500000000000002</v>
      </c>
    </row>
    <row r="471" spans="1:79" customFormat="1" ht="12.75" x14ac:dyDescent="0.2">
      <c r="D471" s="23"/>
      <c r="E471" s="24"/>
      <c r="F471" s="23"/>
      <c r="G471" s="41"/>
      <c r="H471" s="2">
        <v>3114</v>
      </c>
      <c r="I471" s="25">
        <f t="shared" ref="I471:BP471" si="800">SUMIF($F$12:$F$465,"=3114",I$12:I$465)</f>
        <v>65027515</v>
      </c>
      <c r="J471" s="26">
        <f t="shared" si="800"/>
        <v>47853028</v>
      </c>
      <c r="K471" s="26">
        <f t="shared" si="800"/>
        <v>45173766</v>
      </c>
      <c r="L471" s="26">
        <f t="shared" si="800"/>
        <v>2679262</v>
      </c>
      <c r="M471" s="26">
        <f t="shared" si="800"/>
        <v>154000</v>
      </c>
      <c r="N471" s="26">
        <f t="shared" si="800"/>
        <v>0</v>
      </c>
      <c r="O471" s="26">
        <f t="shared" si="800"/>
        <v>154000</v>
      </c>
      <c r="P471" s="26">
        <f t="shared" si="800"/>
        <v>16226376</v>
      </c>
      <c r="Q471" s="26">
        <f t="shared" si="800"/>
        <v>478529</v>
      </c>
      <c r="R471" s="26">
        <f t="shared" si="800"/>
        <v>315582</v>
      </c>
      <c r="S471" s="27">
        <f t="shared" si="800"/>
        <v>85.103800000000007</v>
      </c>
      <c r="T471" s="27">
        <f t="shared" si="800"/>
        <v>77.030500000000004</v>
      </c>
      <c r="U471" s="239">
        <f t="shared" si="800"/>
        <v>8.0732999999999997</v>
      </c>
      <c r="V471" s="38">
        <f t="shared" si="800"/>
        <v>0</v>
      </c>
      <c r="W471" s="26">
        <f t="shared" si="800"/>
        <v>0</v>
      </c>
      <c r="X471" s="26">
        <f t="shared" si="800"/>
        <v>0</v>
      </c>
      <c r="Y471" s="26">
        <f t="shared" si="800"/>
        <v>0</v>
      </c>
      <c r="Z471" s="26">
        <f t="shared" si="800"/>
        <v>0</v>
      </c>
      <c r="AA471" s="26">
        <f t="shared" si="800"/>
        <v>0</v>
      </c>
      <c r="AB471" s="26">
        <f t="shared" si="800"/>
        <v>0</v>
      </c>
      <c r="AC471" s="26">
        <f t="shared" si="800"/>
        <v>0</v>
      </c>
      <c r="AD471" s="26">
        <f t="shared" si="800"/>
        <v>0</v>
      </c>
      <c r="AE471" s="26">
        <f t="shared" si="800"/>
        <v>0</v>
      </c>
      <c r="AF471" s="26">
        <f t="shared" si="800"/>
        <v>0</v>
      </c>
      <c r="AG471" s="26">
        <f t="shared" si="800"/>
        <v>0</v>
      </c>
      <c r="AH471" s="26">
        <f t="shared" si="800"/>
        <v>0</v>
      </c>
      <c r="AI471" s="26">
        <f t="shared" si="800"/>
        <v>0</v>
      </c>
      <c r="AJ471" s="26">
        <f t="shared" si="800"/>
        <v>0</v>
      </c>
      <c r="AK471" s="26">
        <f t="shared" si="800"/>
        <v>0</v>
      </c>
      <c r="AL471" s="26">
        <f t="shared" si="800"/>
        <v>0</v>
      </c>
      <c r="AM471" s="26">
        <f t="shared" si="800"/>
        <v>0</v>
      </c>
      <c r="AN471" s="26">
        <f t="shared" si="800"/>
        <v>0</v>
      </c>
      <c r="AO471" s="26">
        <f t="shared" si="800"/>
        <v>0</v>
      </c>
      <c r="AP471" s="26">
        <f t="shared" si="800"/>
        <v>0</v>
      </c>
      <c r="AQ471" s="26">
        <f t="shared" si="800"/>
        <v>0</v>
      </c>
      <c r="AR471" s="26">
        <f t="shared" si="800"/>
        <v>0</v>
      </c>
      <c r="AS471" s="26">
        <f t="shared" si="800"/>
        <v>0</v>
      </c>
      <c r="AT471" s="26">
        <f t="shared" si="800"/>
        <v>0</v>
      </c>
      <c r="AU471" s="26">
        <f t="shared" si="800"/>
        <v>0</v>
      </c>
      <c r="AV471" s="26">
        <f t="shared" si="800"/>
        <v>0</v>
      </c>
      <c r="AW471" s="26">
        <f t="shared" si="800"/>
        <v>0</v>
      </c>
      <c r="AX471" s="27">
        <f t="shared" si="800"/>
        <v>0</v>
      </c>
      <c r="AY471" s="27">
        <f t="shared" si="800"/>
        <v>0</v>
      </c>
      <c r="AZ471" s="27">
        <f t="shared" si="800"/>
        <v>0</v>
      </c>
      <c r="BA471" s="27">
        <f>SUMIF($F$12:$F$465,"=3114",BA$12:BA$465)</f>
        <v>0</v>
      </c>
      <c r="BB471" s="27">
        <f>SUMIF($F$12:$F$465,"=3114",BB$12:BB$465)</f>
        <v>0</v>
      </c>
      <c r="BC471" s="27">
        <f t="shared" si="800"/>
        <v>0</v>
      </c>
      <c r="BD471" s="27">
        <f t="shared" si="800"/>
        <v>0</v>
      </c>
      <c r="BE471" s="27">
        <f t="shared" si="800"/>
        <v>0</v>
      </c>
      <c r="BF471" s="27">
        <f t="shared" si="800"/>
        <v>0</v>
      </c>
      <c r="BG471" s="27">
        <f t="shared" si="800"/>
        <v>0</v>
      </c>
      <c r="BH471" s="426">
        <f t="shared" si="800"/>
        <v>0</v>
      </c>
      <c r="BI471" s="25">
        <f t="shared" si="800"/>
        <v>65027515</v>
      </c>
      <c r="BJ471" s="26">
        <f t="shared" si="800"/>
        <v>47853028</v>
      </c>
      <c r="BK471" s="26">
        <f t="shared" si="800"/>
        <v>45173766</v>
      </c>
      <c r="BL471" s="26">
        <f t="shared" si="800"/>
        <v>2679262</v>
      </c>
      <c r="BM471" s="26">
        <f t="shared" si="800"/>
        <v>154000</v>
      </c>
      <c r="BN471" s="26">
        <f t="shared" si="800"/>
        <v>0</v>
      </c>
      <c r="BO471" s="26">
        <f t="shared" si="800"/>
        <v>154000</v>
      </c>
      <c r="BP471" s="26">
        <f t="shared" si="800"/>
        <v>16226376</v>
      </c>
      <c r="BQ471" s="26">
        <f t="shared" ref="BQ471:CA471" si="801">SUMIF($F$12:$F$465,"=3114",BQ$12:BQ$465)</f>
        <v>478529</v>
      </c>
      <c r="BR471" s="26">
        <f t="shared" si="801"/>
        <v>315582</v>
      </c>
      <c r="BS471" s="27">
        <f t="shared" si="801"/>
        <v>85.103800000000007</v>
      </c>
      <c r="BT471" s="27">
        <f t="shared" si="801"/>
        <v>77.030500000000004</v>
      </c>
      <c r="BU471" s="426">
        <f t="shared" si="801"/>
        <v>8.0732999999999997</v>
      </c>
      <c r="BV471" s="698">
        <f t="shared" si="801"/>
        <v>0</v>
      </c>
      <c r="BW471" s="693">
        <f t="shared" si="801"/>
        <v>0</v>
      </c>
      <c r="BX471" s="693">
        <f t="shared" si="801"/>
        <v>0</v>
      </c>
      <c r="BY471" s="693">
        <f t="shared" si="801"/>
        <v>0</v>
      </c>
      <c r="BZ471" s="693">
        <f t="shared" si="801"/>
        <v>0</v>
      </c>
      <c r="CA471" s="239">
        <f t="shared" si="801"/>
        <v>0</v>
      </c>
    </row>
    <row r="472" spans="1:79" customFormat="1" ht="12.75" x14ac:dyDescent="0.2">
      <c r="D472" s="23"/>
      <c r="E472" s="24"/>
      <c r="F472" s="23"/>
      <c r="G472" s="41"/>
      <c r="H472" s="2">
        <v>3117</v>
      </c>
      <c r="I472" s="25">
        <f t="shared" ref="I472:BP472" si="802">SUMIF($F$12:$F$465,"=3117",I$12:I$465)</f>
        <v>50195562</v>
      </c>
      <c r="J472" s="26">
        <f t="shared" si="802"/>
        <v>36450977</v>
      </c>
      <c r="K472" s="26">
        <f t="shared" si="802"/>
        <v>32768898</v>
      </c>
      <c r="L472" s="26">
        <f t="shared" si="802"/>
        <v>3682079</v>
      </c>
      <c r="M472" s="26">
        <f t="shared" si="802"/>
        <v>336000</v>
      </c>
      <c r="N472" s="26">
        <f t="shared" si="802"/>
        <v>271000</v>
      </c>
      <c r="O472" s="26">
        <f t="shared" si="802"/>
        <v>65000</v>
      </c>
      <c r="P472" s="26">
        <f t="shared" si="802"/>
        <v>12433996</v>
      </c>
      <c r="Q472" s="26">
        <f t="shared" si="802"/>
        <v>364512</v>
      </c>
      <c r="R472" s="26">
        <f t="shared" si="802"/>
        <v>610077</v>
      </c>
      <c r="S472" s="27">
        <f t="shared" si="802"/>
        <v>67.790599999999998</v>
      </c>
      <c r="T472" s="27">
        <f t="shared" si="802"/>
        <v>57.709400000000009</v>
      </c>
      <c r="U472" s="239">
        <f t="shared" si="802"/>
        <v>10.081199999999999</v>
      </c>
      <c r="V472" s="38">
        <f t="shared" si="802"/>
        <v>0</v>
      </c>
      <c r="W472" s="26">
        <f t="shared" si="802"/>
        <v>0</v>
      </c>
      <c r="X472" s="26">
        <f t="shared" si="802"/>
        <v>-84482</v>
      </c>
      <c r="Y472" s="26">
        <f t="shared" si="802"/>
        <v>0</v>
      </c>
      <c r="Z472" s="26">
        <f t="shared" si="802"/>
        <v>0</v>
      </c>
      <c r="AA472" s="26">
        <f t="shared" si="802"/>
        <v>0</v>
      </c>
      <c r="AB472" s="26">
        <f t="shared" si="802"/>
        <v>0</v>
      </c>
      <c r="AC472" s="26">
        <f t="shared" si="802"/>
        <v>0</v>
      </c>
      <c r="AD472" s="26">
        <f t="shared" si="802"/>
        <v>-84482</v>
      </c>
      <c r="AE472" s="26">
        <f t="shared" si="802"/>
        <v>0</v>
      </c>
      <c r="AF472" s="26">
        <f t="shared" si="802"/>
        <v>-84482</v>
      </c>
      <c r="AG472" s="26">
        <f t="shared" si="802"/>
        <v>0</v>
      </c>
      <c r="AH472" s="26">
        <f t="shared" si="802"/>
        <v>0</v>
      </c>
      <c r="AI472" s="26">
        <f t="shared" si="802"/>
        <v>0</v>
      </c>
      <c r="AJ472" s="26">
        <f t="shared" si="802"/>
        <v>0</v>
      </c>
      <c r="AK472" s="26">
        <f t="shared" si="802"/>
        <v>0</v>
      </c>
      <c r="AL472" s="26">
        <f t="shared" si="802"/>
        <v>0</v>
      </c>
      <c r="AM472" s="26">
        <f t="shared" si="802"/>
        <v>0</v>
      </c>
      <c r="AN472" s="26">
        <f t="shared" si="802"/>
        <v>0</v>
      </c>
      <c r="AO472" s="26">
        <f t="shared" si="802"/>
        <v>-84482</v>
      </c>
      <c r="AP472" s="26">
        <f t="shared" si="802"/>
        <v>0</v>
      </c>
      <c r="AQ472" s="26">
        <f t="shared" si="802"/>
        <v>-84482</v>
      </c>
      <c r="AR472" s="26">
        <f t="shared" si="802"/>
        <v>-28555</v>
      </c>
      <c r="AS472" s="26">
        <f t="shared" si="802"/>
        <v>-845</v>
      </c>
      <c r="AT472" s="26">
        <f t="shared" si="802"/>
        <v>0</v>
      </c>
      <c r="AU472" s="26">
        <f t="shared" si="802"/>
        <v>0</v>
      </c>
      <c r="AV472" s="26">
        <f t="shared" si="802"/>
        <v>0</v>
      </c>
      <c r="AW472" s="26">
        <f t="shared" si="802"/>
        <v>-113882</v>
      </c>
      <c r="AX472" s="27">
        <f t="shared" si="802"/>
        <v>0</v>
      </c>
      <c r="AY472" s="27">
        <f t="shared" si="802"/>
        <v>0</v>
      </c>
      <c r="AZ472" s="27">
        <f t="shared" si="802"/>
        <v>-0.22</v>
      </c>
      <c r="BA472" s="27">
        <f>SUMIF($F$12:$F$465,"=3117",BA$12:BA$465)</f>
        <v>0</v>
      </c>
      <c r="BB472" s="27">
        <f>SUMIF($F$12:$F$465,"=3117",BB$12:BB$465)</f>
        <v>0</v>
      </c>
      <c r="BC472" s="27">
        <f t="shared" si="802"/>
        <v>0</v>
      </c>
      <c r="BD472" s="27">
        <f t="shared" si="802"/>
        <v>0</v>
      </c>
      <c r="BE472" s="27">
        <f t="shared" si="802"/>
        <v>0</v>
      </c>
      <c r="BF472" s="27">
        <f t="shared" si="802"/>
        <v>-0.22</v>
      </c>
      <c r="BG472" s="27">
        <f t="shared" si="802"/>
        <v>0</v>
      </c>
      <c r="BH472" s="426">
        <f t="shared" si="802"/>
        <v>-0.22</v>
      </c>
      <c r="BI472" s="25">
        <f t="shared" si="802"/>
        <v>50081680</v>
      </c>
      <c r="BJ472" s="26">
        <f t="shared" si="802"/>
        <v>36366495</v>
      </c>
      <c r="BK472" s="26">
        <f t="shared" si="802"/>
        <v>32684416</v>
      </c>
      <c r="BL472" s="26">
        <f t="shared" si="802"/>
        <v>3682079</v>
      </c>
      <c r="BM472" s="26">
        <f t="shared" si="802"/>
        <v>336000</v>
      </c>
      <c r="BN472" s="26">
        <f t="shared" si="802"/>
        <v>271000</v>
      </c>
      <c r="BO472" s="26">
        <f t="shared" si="802"/>
        <v>65000</v>
      </c>
      <c r="BP472" s="26">
        <f t="shared" si="802"/>
        <v>12405441</v>
      </c>
      <c r="BQ472" s="26">
        <f t="shared" ref="BQ472:CA472" si="803">SUMIF($F$12:$F$465,"=3117",BQ$12:BQ$465)</f>
        <v>363667</v>
      </c>
      <c r="BR472" s="26">
        <f t="shared" si="803"/>
        <v>610077</v>
      </c>
      <c r="BS472" s="27">
        <f t="shared" si="803"/>
        <v>67.570599999999999</v>
      </c>
      <c r="BT472" s="27">
        <f t="shared" si="803"/>
        <v>57.48940000000001</v>
      </c>
      <c r="BU472" s="426">
        <f t="shared" si="803"/>
        <v>10.081199999999999</v>
      </c>
      <c r="BV472" s="698">
        <f t="shared" si="803"/>
        <v>152054</v>
      </c>
      <c r="BW472" s="693">
        <f t="shared" si="803"/>
        <v>112800</v>
      </c>
      <c r="BX472" s="693">
        <f t="shared" si="803"/>
        <v>0</v>
      </c>
      <c r="BY472" s="693">
        <f t="shared" si="803"/>
        <v>38126</v>
      </c>
      <c r="BZ472" s="693">
        <f t="shared" si="803"/>
        <v>1128</v>
      </c>
      <c r="CA472" s="239">
        <f t="shared" si="803"/>
        <v>0.2</v>
      </c>
    </row>
    <row r="473" spans="1:79" customFormat="1" ht="12.75" x14ac:dyDescent="0.2">
      <c r="D473" s="23"/>
      <c r="E473" s="24"/>
      <c r="F473" s="23"/>
      <c r="G473" s="41"/>
      <c r="H473" s="2">
        <v>3122</v>
      </c>
      <c r="I473" s="25">
        <f t="shared" ref="I473:BP473" si="804">SUMIF($F$12:$F$465,"=3122",I$12:I$465)</f>
        <v>0</v>
      </c>
      <c r="J473" s="26">
        <f t="shared" si="804"/>
        <v>0</v>
      </c>
      <c r="K473" s="26">
        <f t="shared" si="804"/>
        <v>0</v>
      </c>
      <c r="L473" s="26">
        <f t="shared" si="804"/>
        <v>0</v>
      </c>
      <c r="M473" s="26">
        <f t="shared" si="804"/>
        <v>0</v>
      </c>
      <c r="N473" s="26">
        <f t="shared" si="804"/>
        <v>0</v>
      </c>
      <c r="O473" s="26">
        <f t="shared" si="804"/>
        <v>0</v>
      </c>
      <c r="P473" s="26">
        <f t="shared" si="804"/>
        <v>0</v>
      </c>
      <c r="Q473" s="26">
        <f t="shared" si="804"/>
        <v>0</v>
      </c>
      <c r="R473" s="26">
        <f t="shared" si="804"/>
        <v>0</v>
      </c>
      <c r="S473" s="27">
        <f t="shared" si="804"/>
        <v>0</v>
      </c>
      <c r="T473" s="27">
        <f t="shared" si="804"/>
        <v>0</v>
      </c>
      <c r="U473" s="239">
        <f t="shared" si="804"/>
        <v>0</v>
      </c>
      <c r="V473" s="38">
        <f t="shared" si="804"/>
        <v>0</v>
      </c>
      <c r="W473" s="26">
        <f t="shared" si="804"/>
        <v>0</v>
      </c>
      <c r="X473" s="26">
        <f t="shared" si="804"/>
        <v>0</v>
      </c>
      <c r="Y473" s="26">
        <f t="shared" si="804"/>
        <v>0</v>
      </c>
      <c r="Z473" s="26">
        <f t="shared" si="804"/>
        <v>0</v>
      </c>
      <c r="AA473" s="26">
        <f t="shared" si="804"/>
        <v>0</v>
      </c>
      <c r="AB473" s="26">
        <f t="shared" si="804"/>
        <v>0</v>
      </c>
      <c r="AC473" s="26">
        <f t="shared" si="804"/>
        <v>0</v>
      </c>
      <c r="AD473" s="26">
        <f t="shared" si="804"/>
        <v>0</v>
      </c>
      <c r="AE473" s="26">
        <f t="shared" si="804"/>
        <v>0</v>
      </c>
      <c r="AF473" s="26">
        <f t="shared" si="804"/>
        <v>0</v>
      </c>
      <c r="AG473" s="26">
        <f t="shared" si="804"/>
        <v>0</v>
      </c>
      <c r="AH473" s="26">
        <f t="shared" si="804"/>
        <v>0</v>
      </c>
      <c r="AI473" s="26">
        <f t="shared" si="804"/>
        <v>0</v>
      </c>
      <c r="AJ473" s="26">
        <f t="shared" si="804"/>
        <v>0</v>
      </c>
      <c r="AK473" s="26">
        <f t="shared" si="804"/>
        <v>0</v>
      </c>
      <c r="AL473" s="26">
        <f t="shared" si="804"/>
        <v>0</v>
      </c>
      <c r="AM473" s="26">
        <f t="shared" si="804"/>
        <v>0</v>
      </c>
      <c r="AN473" s="26">
        <f t="shared" si="804"/>
        <v>0</v>
      </c>
      <c r="AO473" s="26">
        <f t="shared" si="804"/>
        <v>0</v>
      </c>
      <c r="AP473" s="26">
        <f t="shared" si="804"/>
        <v>0</v>
      </c>
      <c r="AQ473" s="26">
        <f t="shared" si="804"/>
        <v>0</v>
      </c>
      <c r="AR473" s="26">
        <f t="shared" si="804"/>
        <v>0</v>
      </c>
      <c r="AS473" s="26">
        <f t="shared" si="804"/>
        <v>0</v>
      </c>
      <c r="AT473" s="26">
        <f t="shared" si="804"/>
        <v>0</v>
      </c>
      <c r="AU473" s="26">
        <f t="shared" si="804"/>
        <v>0</v>
      </c>
      <c r="AV473" s="26">
        <f t="shared" si="804"/>
        <v>0</v>
      </c>
      <c r="AW473" s="26">
        <f t="shared" si="804"/>
        <v>0</v>
      </c>
      <c r="AX473" s="27">
        <f t="shared" si="804"/>
        <v>0</v>
      </c>
      <c r="AY473" s="27">
        <f t="shared" si="804"/>
        <v>0</v>
      </c>
      <c r="AZ473" s="27">
        <f t="shared" si="804"/>
        <v>0</v>
      </c>
      <c r="BA473" s="27">
        <f>SUMIF($F$12:$F$465,"=3122",BA$12:BA$465)</f>
        <v>0</v>
      </c>
      <c r="BB473" s="27">
        <f>SUMIF($F$12:$F$465,"=3122",BB$12:BB$465)</f>
        <v>0</v>
      </c>
      <c r="BC473" s="27">
        <f t="shared" si="804"/>
        <v>0</v>
      </c>
      <c r="BD473" s="27">
        <f t="shared" si="804"/>
        <v>0</v>
      </c>
      <c r="BE473" s="27">
        <f t="shared" si="804"/>
        <v>0</v>
      </c>
      <c r="BF473" s="27">
        <f t="shared" si="804"/>
        <v>0</v>
      </c>
      <c r="BG473" s="27">
        <f t="shared" si="804"/>
        <v>0</v>
      </c>
      <c r="BH473" s="426">
        <f t="shared" si="804"/>
        <v>0</v>
      </c>
      <c r="BI473" s="25">
        <f t="shared" si="804"/>
        <v>0</v>
      </c>
      <c r="BJ473" s="26">
        <f t="shared" si="804"/>
        <v>0</v>
      </c>
      <c r="BK473" s="26">
        <f t="shared" si="804"/>
        <v>0</v>
      </c>
      <c r="BL473" s="26">
        <f t="shared" si="804"/>
        <v>0</v>
      </c>
      <c r="BM473" s="26">
        <f t="shared" si="804"/>
        <v>0</v>
      </c>
      <c r="BN473" s="26">
        <f t="shared" si="804"/>
        <v>0</v>
      </c>
      <c r="BO473" s="26">
        <f t="shared" si="804"/>
        <v>0</v>
      </c>
      <c r="BP473" s="26">
        <f t="shared" si="804"/>
        <v>0</v>
      </c>
      <c r="BQ473" s="26">
        <f t="shared" ref="BQ473:CA473" si="805">SUMIF($F$12:$F$465,"=3122",BQ$12:BQ$465)</f>
        <v>0</v>
      </c>
      <c r="BR473" s="26">
        <f t="shared" si="805"/>
        <v>0</v>
      </c>
      <c r="BS473" s="27">
        <f t="shared" si="805"/>
        <v>0</v>
      </c>
      <c r="BT473" s="27">
        <f t="shared" si="805"/>
        <v>0</v>
      </c>
      <c r="BU473" s="426">
        <f t="shared" si="805"/>
        <v>0</v>
      </c>
      <c r="BV473" s="698">
        <f t="shared" si="805"/>
        <v>0</v>
      </c>
      <c r="BW473" s="693">
        <f t="shared" si="805"/>
        <v>0</v>
      </c>
      <c r="BX473" s="693">
        <f t="shared" si="805"/>
        <v>0</v>
      </c>
      <c r="BY473" s="693">
        <f t="shared" si="805"/>
        <v>0</v>
      </c>
      <c r="BZ473" s="693">
        <f t="shared" si="805"/>
        <v>0</v>
      </c>
      <c r="CA473" s="239">
        <f t="shared" si="805"/>
        <v>0</v>
      </c>
    </row>
    <row r="474" spans="1:79" customFormat="1" ht="12.75" x14ac:dyDescent="0.2">
      <c r="D474" s="23"/>
      <c r="E474" s="24"/>
      <c r="F474" s="23"/>
      <c r="G474" s="41"/>
      <c r="H474" s="2">
        <v>3124</v>
      </c>
      <c r="I474" s="25">
        <f t="shared" ref="I474:BP474" si="806">SUMIF($F$12:$F$465,"=3124",I$12:I$465)</f>
        <v>0</v>
      </c>
      <c r="J474" s="26">
        <f t="shared" si="806"/>
        <v>0</v>
      </c>
      <c r="K474" s="26">
        <f t="shared" si="806"/>
        <v>0</v>
      </c>
      <c r="L474" s="26">
        <f t="shared" si="806"/>
        <v>0</v>
      </c>
      <c r="M474" s="26">
        <f t="shared" si="806"/>
        <v>0</v>
      </c>
      <c r="N474" s="26">
        <f t="shared" si="806"/>
        <v>0</v>
      </c>
      <c r="O474" s="26">
        <f t="shared" si="806"/>
        <v>0</v>
      </c>
      <c r="P474" s="26">
        <f t="shared" si="806"/>
        <v>0</v>
      </c>
      <c r="Q474" s="26">
        <f t="shared" si="806"/>
        <v>0</v>
      </c>
      <c r="R474" s="26">
        <f t="shared" si="806"/>
        <v>0</v>
      </c>
      <c r="S474" s="27">
        <f t="shared" si="806"/>
        <v>0</v>
      </c>
      <c r="T474" s="27">
        <f t="shared" si="806"/>
        <v>0</v>
      </c>
      <c r="U474" s="239">
        <f t="shared" si="806"/>
        <v>0</v>
      </c>
      <c r="V474" s="38">
        <f t="shared" si="806"/>
        <v>0</v>
      </c>
      <c r="W474" s="26">
        <f t="shared" si="806"/>
        <v>0</v>
      </c>
      <c r="X474" s="26">
        <f t="shared" si="806"/>
        <v>0</v>
      </c>
      <c r="Y474" s="26">
        <f t="shared" si="806"/>
        <v>0</v>
      </c>
      <c r="Z474" s="26">
        <f t="shared" si="806"/>
        <v>0</v>
      </c>
      <c r="AA474" s="26">
        <f t="shared" si="806"/>
        <v>0</v>
      </c>
      <c r="AB474" s="26">
        <f t="shared" si="806"/>
        <v>0</v>
      </c>
      <c r="AC474" s="26">
        <f t="shared" si="806"/>
        <v>0</v>
      </c>
      <c r="AD474" s="26">
        <f t="shared" si="806"/>
        <v>0</v>
      </c>
      <c r="AE474" s="26">
        <f t="shared" si="806"/>
        <v>0</v>
      </c>
      <c r="AF474" s="26">
        <f t="shared" si="806"/>
        <v>0</v>
      </c>
      <c r="AG474" s="26">
        <f t="shared" si="806"/>
        <v>0</v>
      </c>
      <c r="AH474" s="26">
        <f t="shared" si="806"/>
        <v>0</v>
      </c>
      <c r="AI474" s="26">
        <f t="shared" si="806"/>
        <v>0</v>
      </c>
      <c r="AJ474" s="26">
        <f t="shared" si="806"/>
        <v>0</v>
      </c>
      <c r="AK474" s="26">
        <f t="shared" si="806"/>
        <v>0</v>
      </c>
      <c r="AL474" s="26">
        <f t="shared" si="806"/>
        <v>0</v>
      </c>
      <c r="AM474" s="26">
        <f t="shared" si="806"/>
        <v>0</v>
      </c>
      <c r="AN474" s="26">
        <f t="shared" si="806"/>
        <v>0</v>
      </c>
      <c r="AO474" s="26">
        <f t="shared" si="806"/>
        <v>0</v>
      </c>
      <c r="AP474" s="26">
        <f t="shared" si="806"/>
        <v>0</v>
      </c>
      <c r="AQ474" s="26">
        <f t="shared" si="806"/>
        <v>0</v>
      </c>
      <c r="AR474" s="26">
        <f t="shared" si="806"/>
        <v>0</v>
      </c>
      <c r="AS474" s="26">
        <f t="shared" si="806"/>
        <v>0</v>
      </c>
      <c r="AT474" s="26">
        <f t="shared" si="806"/>
        <v>0</v>
      </c>
      <c r="AU474" s="26">
        <f t="shared" si="806"/>
        <v>0</v>
      </c>
      <c r="AV474" s="26">
        <f t="shared" si="806"/>
        <v>0</v>
      </c>
      <c r="AW474" s="26">
        <f t="shared" si="806"/>
        <v>0</v>
      </c>
      <c r="AX474" s="27">
        <f t="shared" si="806"/>
        <v>0</v>
      </c>
      <c r="AY474" s="27">
        <f t="shared" si="806"/>
        <v>0</v>
      </c>
      <c r="AZ474" s="27">
        <f t="shared" si="806"/>
        <v>0</v>
      </c>
      <c r="BA474" s="27">
        <f>SUMIF($F$12:$F$465,"=3124",BA$12:BA$465)</f>
        <v>0</v>
      </c>
      <c r="BB474" s="27">
        <f>SUMIF($F$12:$F$465,"=3124",BB$12:BB$465)</f>
        <v>0</v>
      </c>
      <c r="BC474" s="27">
        <f t="shared" si="806"/>
        <v>0</v>
      </c>
      <c r="BD474" s="27">
        <f t="shared" si="806"/>
        <v>0</v>
      </c>
      <c r="BE474" s="27">
        <f t="shared" si="806"/>
        <v>0</v>
      </c>
      <c r="BF474" s="27">
        <f t="shared" si="806"/>
        <v>0</v>
      </c>
      <c r="BG474" s="27">
        <f t="shared" si="806"/>
        <v>0</v>
      </c>
      <c r="BH474" s="426">
        <f t="shared" si="806"/>
        <v>0</v>
      </c>
      <c r="BI474" s="25">
        <f t="shared" si="806"/>
        <v>0</v>
      </c>
      <c r="BJ474" s="26">
        <f t="shared" si="806"/>
        <v>0</v>
      </c>
      <c r="BK474" s="26">
        <f t="shared" si="806"/>
        <v>0</v>
      </c>
      <c r="BL474" s="26">
        <f t="shared" si="806"/>
        <v>0</v>
      </c>
      <c r="BM474" s="26">
        <f t="shared" si="806"/>
        <v>0</v>
      </c>
      <c r="BN474" s="26">
        <f t="shared" si="806"/>
        <v>0</v>
      </c>
      <c r="BO474" s="26">
        <f t="shared" si="806"/>
        <v>0</v>
      </c>
      <c r="BP474" s="26">
        <f t="shared" si="806"/>
        <v>0</v>
      </c>
      <c r="BQ474" s="26">
        <f t="shared" ref="BQ474:CA474" si="807">SUMIF($F$12:$F$465,"=3124",BQ$12:BQ$465)</f>
        <v>0</v>
      </c>
      <c r="BR474" s="26">
        <f t="shared" si="807"/>
        <v>0</v>
      </c>
      <c r="BS474" s="27">
        <f t="shared" si="807"/>
        <v>0</v>
      </c>
      <c r="BT474" s="27">
        <f t="shared" si="807"/>
        <v>0</v>
      </c>
      <c r="BU474" s="426">
        <f t="shared" si="807"/>
        <v>0</v>
      </c>
      <c r="BV474" s="698">
        <f t="shared" si="807"/>
        <v>0</v>
      </c>
      <c r="BW474" s="693">
        <f t="shared" si="807"/>
        <v>0</v>
      </c>
      <c r="BX474" s="693">
        <f t="shared" si="807"/>
        <v>0</v>
      </c>
      <c r="BY474" s="693">
        <f t="shared" si="807"/>
        <v>0</v>
      </c>
      <c r="BZ474" s="693">
        <f t="shared" si="807"/>
        <v>0</v>
      </c>
      <c r="CA474" s="239">
        <f t="shared" si="807"/>
        <v>0</v>
      </c>
    </row>
    <row r="475" spans="1:79" customFormat="1" ht="12.75" x14ac:dyDescent="0.2">
      <c r="D475" s="23"/>
      <c r="E475" s="24"/>
      <c r="F475" s="23"/>
      <c r="G475" s="41"/>
      <c r="H475" s="2">
        <v>3141</v>
      </c>
      <c r="I475" s="25">
        <f t="shared" ref="I475:BP475" si="808">SUMIF($F$12:$F$465,"=3141",I$12:I$465)</f>
        <v>80843256</v>
      </c>
      <c r="J475" s="26">
        <f t="shared" si="808"/>
        <v>59113776</v>
      </c>
      <c r="K475" s="26">
        <f t="shared" si="808"/>
        <v>0</v>
      </c>
      <c r="L475" s="26">
        <f t="shared" si="808"/>
        <v>59113776</v>
      </c>
      <c r="M475" s="26">
        <f t="shared" si="808"/>
        <v>484600</v>
      </c>
      <c r="N475" s="26">
        <f t="shared" si="808"/>
        <v>0</v>
      </c>
      <c r="O475" s="26">
        <f t="shared" si="808"/>
        <v>484600</v>
      </c>
      <c r="P475" s="26">
        <f t="shared" si="808"/>
        <v>20133436</v>
      </c>
      <c r="Q475" s="26">
        <f t="shared" si="808"/>
        <v>591139</v>
      </c>
      <c r="R475" s="26">
        <f t="shared" si="808"/>
        <v>520305</v>
      </c>
      <c r="S475" s="27">
        <f t="shared" si="808"/>
        <v>178.08679999999998</v>
      </c>
      <c r="T475" s="27">
        <f t="shared" si="808"/>
        <v>0</v>
      </c>
      <c r="U475" s="239">
        <f t="shared" si="808"/>
        <v>178.08679999999998</v>
      </c>
      <c r="V475" s="38">
        <f t="shared" si="808"/>
        <v>0</v>
      </c>
      <c r="W475" s="26">
        <f t="shared" si="808"/>
        <v>0</v>
      </c>
      <c r="X475" s="26">
        <f t="shared" si="808"/>
        <v>0</v>
      </c>
      <c r="Y475" s="26">
        <f t="shared" si="808"/>
        <v>0</v>
      </c>
      <c r="Z475" s="26">
        <f t="shared" si="808"/>
        <v>0</v>
      </c>
      <c r="AA475" s="26">
        <f t="shared" si="808"/>
        <v>29454376</v>
      </c>
      <c r="AB475" s="26">
        <f t="shared" si="808"/>
        <v>0</v>
      </c>
      <c r="AC475" s="26">
        <f t="shared" si="808"/>
        <v>132280</v>
      </c>
      <c r="AD475" s="26">
        <f t="shared" si="808"/>
        <v>0</v>
      </c>
      <c r="AE475" s="26">
        <f t="shared" si="808"/>
        <v>29586656</v>
      </c>
      <c r="AF475" s="26">
        <f t="shared" si="808"/>
        <v>29586656</v>
      </c>
      <c r="AG475" s="26">
        <f t="shared" si="808"/>
        <v>0</v>
      </c>
      <c r="AH475" s="26">
        <f t="shared" si="808"/>
        <v>0</v>
      </c>
      <c r="AI475" s="26">
        <f t="shared" si="808"/>
        <v>0</v>
      </c>
      <c r="AJ475" s="26">
        <f t="shared" si="808"/>
        <v>0</v>
      </c>
      <c r="AK475" s="26">
        <f t="shared" si="808"/>
        <v>0</v>
      </c>
      <c r="AL475" s="26">
        <f t="shared" si="808"/>
        <v>0</v>
      </c>
      <c r="AM475" s="26">
        <f t="shared" si="808"/>
        <v>0</v>
      </c>
      <c r="AN475" s="26">
        <f t="shared" si="808"/>
        <v>0</v>
      </c>
      <c r="AO475" s="26">
        <f t="shared" si="808"/>
        <v>0</v>
      </c>
      <c r="AP475" s="26">
        <f t="shared" si="808"/>
        <v>29586656</v>
      </c>
      <c r="AQ475" s="26">
        <f t="shared" si="808"/>
        <v>29586656</v>
      </c>
      <c r="AR475" s="26">
        <f t="shared" si="808"/>
        <v>10000290</v>
      </c>
      <c r="AS475" s="26">
        <f t="shared" si="808"/>
        <v>295864</v>
      </c>
      <c r="AT475" s="26">
        <f t="shared" si="808"/>
        <v>0</v>
      </c>
      <c r="AU475" s="26">
        <f t="shared" si="808"/>
        <v>248980</v>
      </c>
      <c r="AV475" s="26">
        <f t="shared" si="808"/>
        <v>248980</v>
      </c>
      <c r="AW475" s="26">
        <f t="shared" si="808"/>
        <v>40131790</v>
      </c>
      <c r="AX475" s="27">
        <f t="shared" si="808"/>
        <v>0</v>
      </c>
      <c r="AY475" s="27">
        <f t="shared" si="808"/>
        <v>0</v>
      </c>
      <c r="AZ475" s="27">
        <f t="shared" si="808"/>
        <v>0</v>
      </c>
      <c r="BA475" s="27">
        <f>SUMIF($F$12:$F$465,"=3141",BA$12:BA$465)</f>
        <v>0</v>
      </c>
      <c r="BB475" s="27">
        <f>SUMIF($F$12:$F$465,"=3141",BB$12:BB$465)</f>
        <v>88.649999999999991</v>
      </c>
      <c r="BC475" s="27">
        <f t="shared" si="808"/>
        <v>0</v>
      </c>
      <c r="BD475" s="27">
        <f t="shared" si="808"/>
        <v>0</v>
      </c>
      <c r="BE475" s="27">
        <f t="shared" si="808"/>
        <v>0</v>
      </c>
      <c r="BF475" s="27">
        <f t="shared" si="808"/>
        <v>0</v>
      </c>
      <c r="BG475" s="27">
        <f t="shared" si="808"/>
        <v>88.649999999999991</v>
      </c>
      <c r="BH475" s="426">
        <f t="shared" si="808"/>
        <v>88.649999999999991</v>
      </c>
      <c r="BI475" s="25">
        <f t="shared" si="808"/>
        <v>120975046</v>
      </c>
      <c r="BJ475" s="26">
        <f t="shared" si="808"/>
        <v>88700432</v>
      </c>
      <c r="BK475" s="26">
        <f t="shared" si="808"/>
        <v>0</v>
      </c>
      <c r="BL475" s="26">
        <f t="shared" si="808"/>
        <v>88700432</v>
      </c>
      <c r="BM475" s="26">
        <f t="shared" si="808"/>
        <v>484600</v>
      </c>
      <c r="BN475" s="26">
        <f t="shared" si="808"/>
        <v>0</v>
      </c>
      <c r="BO475" s="26">
        <f t="shared" si="808"/>
        <v>484600</v>
      </c>
      <c r="BP475" s="26">
        <f t="shared" si="808"/>
        <v>30133726</v>
      </c>
      <c r="BQ475" s="26">
        <f t="shared" ref="BQ475:CA475" si="809">SUMIF($F$12:$F$465,"=3141",BQ$12:BQ$465)</f>
        <v>887003</v>
      </c>
      <c r="BR475" s="26">
        <f t="shared" si="809"/>
        <v>769285</v>
      </c>
      <c r="BS475" s="27">
        <f t="shared" si="809"/>
        <v>266.73680000000002</v>
      </c>
      <c r="BT475" s="27">
        <f t="shared" si="809"/>
        <v>0</v>
      </c>
      <c r="BU475" s="426">
        <f t="shared" si="809"/>
        <v>266.73680000000002</v>
      </c>
      <c r="BV475" s="698">
        <f t="shared" si="809"/>
        <v>0</v>
      </c>
      <c r="BW475" s="693">
        <f t="shared" si="809"/>
        <v>0</v>
      </c>
      <c r="BX475" s="693">
        <f t="shared" si="809"/>
        <v>0</v>
      </c>
      <c r="BY475" s="693">
        <f t="shared" si="809"/>
        <v>0</v>
      </c>
      <c r="BZ475" s="693">
        <f t="shared" si="809"/>
        <v>0</v>
      </c>
      <c r="CA475" s="239">
        <f t="shared" si="809"/>
        <v>0</v>
      </c>
    </row>
    <row r="476" spans="1:79" customFormat="1" ht="12.75" x14ac:dyDescent="0.2">
      <c r="D476" s="23"/>
      <c r="E476" s="24"/>
      <c r="F476" s="23"/>
      <c r="G476" s="41"/>
      <c r="H476" s="2">
        <v>3143</v>
      </c>
      <c r="I476" s="25">
        <f t="shared" ref="I476:BP476" si="810">SUMIF($F$12:$F$465,"=3143",I$12:I$465)</f>
        <v>112634917</v>
      </c>
      <c r="J476" s="26">
        <f t="shared" si="810"/>
        <v>83252472</v>
      </c>
      <c r="K476" s="26">
        <f t="shared" si="810"/>
        <v>81368692</v>
      </c>
      <c r="L476" s="26">
        <f t="shared" si="810"/>
        <v>1883780</v>
      </c>
      <c r="M476" s="26">
        <f t="shared" si="810"/>
        <v>257709</v>
      </c>
      <c r="N476" s="26">
        <f t="shared" si="810"/>
        <v>235709</v>
      </c>
      <c r="O476" s="26">
        <f t="shared" si="810"/>
        <v>22000</v>
      </c>
      <c r="P476" s="26">
        <f t="shared" si="810"/>
        <v>28202033</v>
      </c>
      <c r="Q476" s="26">
        <f t="shared" si="810"/>
        <v>832523</v>
      </c>
      <c r="R476" s="26">
        <f t="shared" si="810"/>
        <v>90180</v>
      </c>
      <c r="S476" s="27">
        <f t="shared" si="810"/>
        <v>168.7372</v>
      </c>
      <c r="T476" s="27">
        <f t="shared" si="810"/>
        <v>161.58820000000003</v>
      </c>
      <c r="U476" s="239">
        <f t="shared" si="810"/>
        <v>7.1489999999999974</v>
      </c>
      <c r="V476" s="38">
        <f t="shared" si="810"/>
        <v>0</v>
      </c>
      <c r="W476" s="26">
        <f t="shared" si="810"/>
        <v>0</v>
      </c>
      <c r="X476" s="26">
        <f t="shared" si="810"/>
        <v>0</v>
      </c>
      <c r="Y476" s="26">
        <f t="shared" si="810"/>
        <v>0</v>
      </c>
      <c r="Z476" s="26">
        <f t="shared" si="810"/>
        <v>0</v>
      </c>
      <c r="AA476" s="26">
        <f t="shared" si="810"/>
        <v>942870</v>
      </c>
      <c r="AB476" s="26">
        <f t="shared" si="810"/>
        <v>0</v>
      </c>
      <c r="AC476" s="26">
        <f t="shared" si="810"/>
        <v>0</v>
      </c>
      <c r="AD476" s="26">
        <f t="shared" si="810"/>
        <v>0</v>
      </c>
      <c r="AE476" s="26">
        <f t="shared" si="810"/>
        <v>942870</v>
      </c>
      <c r="AF476" s="26">
        <f t="shared" si="810"/>
        <v>942870</v>
      </c>
      <c r="AG476" s="26">
        <f t="shared" si="810"/>
        <v>0</v>
      </c>
      <c r="AH476" s="26">
        <f t="shared" si="810"/>
        <v>0</v>
      </c>
      <c r="AI476" s="26">
        <f t="shared" si="810"/>
        <v>0</v>
      </c>
      <c r="AJ476" s="26">
        <f t="shared" si="810"/>
        <v>0</v>
      </c>
      <c r="AK476" s="26">
        <f t="shared" si="810"/>
        <v>0</v>
      </c>
      <c r="AL476" s="26">
        <f t="shared" si="810"/>
        <v>0</v>
      </c>
      <c r="AM476" s="26">
        <f t="shared" si="810"/>
        <v>0</v>
      </c>
      <c r="AN476" s="26">
        <f t="shared" si="810"/>
        <v>0</v>
      </c>
      <c r="AO476" s="26">
        <f t="shared" si="810"/>
        <v>0</v>
      </c>
      <c r="AP476" s="26">
        <f t="shared" si="810"/>
        <v>942870</v>
      </c>
      <c r="AQ476" s="26">
        <f t="shared" si="810"/>
        <v>942870</v>
      </c>
      <c r="AR476" s="26">
        <f t="shared" si="810"/>
        <v>318690</v>
      </c>
      <c r="AS476" s="26">
        <f t="shared" si="810"/>
        <v>9431</v>
      </c>
      <c r="AT476" s="26">
        <f t="shared" si="810"/>
        <v>0</v>
      </c>
      <c r="AU476" s="26">
        <f t="shared" si="810"/>
        <v>45090</v>
      </c>
      <c r="AV476" s="26">
        <f t="shared" si="810"/>
        <v>45090</v>
      </c>
      <c r="AW476" s="26">
        <f t="shared" si="810"/>
        <v>1316081</v>
      </c>
      <c r="AX476" s="27">
        <f t="shared" si="810"/>
        <v>0</v>
      </c>
      <c r="AY476" s="27">
        <f t="shared" si="810"/>
        <v>0</v>
      </c>
      <c r="AZ476" s="27">
        <f t="shared" si="810"/>
        <v>0</v>
      </c>
      <c r="BA476" s="27">
        <f>SUMIF($F$12:$F$465,"=3143",BA$12:BA$465)</f>
        <v>0</v>
      </c>
      <c r="BB476" s="27">
        <f>SUMIF($F$12:$F$465,"=3143",BB$12:BB$465)</f>
        <v>3.5599999999999987</v>
      </c>
      <c r="BC476" s="27">
        <f t="shared" si="810"/>
        <v>0</v>
      </c>
      <c r="BD476" s="27">
        <f t="shared" si="810"/>
        <v>0</v>
      </c>
      <c r="BE476" s="27">
        <f t="shared" si="810"/>
        <v>0</v>
      </c>
      <c r="BF476" s="27">
        <f t="shared" si="810"/>
        <v>0</v>
      </c>
      <c r="BG476" s="27">
        <f t="shared" si="810"/>
        <v>3.5599999999999987</v>
      </c>
      <c r="BH476" s="426">
        <f t="shared" si="810"/>
        <v>3.5599999999999987</v>
      </c>
      <c r="BI476" s="25">
        <f t="shared" si="810"/>
        <v>113950998</v>
      </c>
      <c r="BJ476" s="26">
        <f t="shared" si="810"/>
        <v>84195342</v>
      </c>
      <c r="BK476" s="26">
        <f t="shared" si="810"/>
        <v>81368692</v>
      </c>
      <c r="BL476" s="26">
        <f t="shared" si="810"/>
        <v>2826650</v>
      </c>
      <c r="BM476" s="26">
        <f t="shared" si="810"/>
        <v>257709</v>
      </c>
      <c r="BN476" s="26">
        <f t="shared" si="810"/>
        <v>235709</v>
      </c>
      <c r="BO476" s="26">
        <f t="shared" si="810"/>
        <v>22000</v>
      </c>
      <c r="BP476" s="26">
        <f t="shared" si="810"/>
        <v>28520723</v>
      </c>
      <c r="BQ476" s="26">
        <f t="shared" ref="BQ476:CA476" si="811">SUMIF($F$12:$F$465,"=3143",BQ$12:BQ$465)</f>
        <v>841954</v>
      </c>
      <c r="BR476" s="26">
        <f t="shared" si="811"/>
        <v>135270</v>
      </c>
      <c r="BS476" s="27">
        <f t="shared" si="811"/>
        <v>172.29720000000003</v>
      </c>
      <c r="BT476" s="27">
        <f t="shared" si="811"/>
        <v>161.58820000000003</v>
      </c>
      <c r="BU476" s="426">
        <f t="shared" si="811"/>
        <v>10.709000000000001</v>
      </c>
      <c r="BV476" s="698">
        <f t="shared" si="811"/>
        <v>0</v>
      </c>
      <c r="BW476" s="693">
        <f t="shared" si="811"/>
        <v>0</v>
      </c>
      <c r="BX476" s="693">
        <f t="shared" si="811"/>
        <v>0</v>
      </c>
      <c r="BY476" s="693">
        <f t="shared" si="811"/>
        <v>0</v>
      </c>
      <c r="BZ476" s="693">
        <f t="shared" si="811"/>
        <v>0</v>
      </c>
      <c r="CA476" s="239">
        <f t="shared" si="811"/>
        <v>0</v>
      </c>
    </row>
    <row r="477" spans="1:79" customFormat="1" ht="12.75" x14ac:dyDescent="0.2">
      <c r="D477" s="23"/>
      <c r="E477" s="24"/>
      <c r="F477" s="23"/>
      <c r="G477" s="41"/>
      <c r="H477" s="2">
        <v>3231</v>
      </c>
      <c r="I477" s="25">
        <f t="shared" ref="I477:BP477" si="812">SUMIF($F$12:$F$465,"=3231",I$12:I$465)</f>
        <v>88998484</v>
      </c>
      <c r="J477" s="26">
        <f t="shared" si="812"/>
        <v>65803121</v>
      </c>
      <c r="K477" s="26">
        <f t="shared" si="812"/>
        <v>63412786</v>
      </c>
      <c r="L477" s="26">
        <f t="shared" si="812"/>
        <v>2390335</v>
      </c>
      <c r="M477" s="26">
        <f t="shared" si="812"/>
        <v>130000</v>
      </c>
      <c r="N477" s="26">
        <f t="shared" si="812"/>
        <v>130000</v>
      </c>
      <c r="O477" s="26">
        <f t="shared" si="812"/>
        <v>0</v>
      </c>
      <c r="P477" s="26">
        <f t="shared" si="812"/>
        <v>22285394</v>
      </c>
      <c r="Q477" s="26">
        <f t="shared" si="812"/>
        <v>658031</v>
      </c>
      <c r="R477" s="26">
        <f t="shared" si="812"/>
        <v>121938</v>
      </c>
      <c r="S477" s="27">
        <f t="shared" si="812"/>
        <v>106.91000000000001</v>
      </c>
      <c r="T477" s="27">
        <f t="shared" si="812"/>
        <v>100.2</v>
      </c>
      <c r="U477" s="239">
        <f t="shared" si="812"/>
        <v>6.7100000000000009</v>
      </c>
      <c r="V477" s="38">
        <f t="shared" si="812"/>
        <v>0</v>
      </c>
      <c r="W477" s="26">
        <f t="shared" si="812"/>
        <v>0</v>
      </c>
      <c r="X477" s="26">
        <f t="shared" si="812"/>
        <v>0</v>
      </c>
      <c r="Y477" s="26">
        <f t="shared" si="812"/>
        <v>0</v>
      </c>
      <c r="Z477" s="26">
        <f t="shared" si="812"/>
        <v>0</v>
      </c>
      <c r="AA477" s="26">
        <f t="shared" si="812"/>
        <v>0</v>
      </c>
      <c r="AB477" s="26">
        <f t="shared" si="812"/>
        <v>0</v>
      </c>
      <c r="AC477" s="26">
        <f t="shared" si="812"/>
        <v>0</v>
      </c>
      <c r="AD477" s="26">
        <f t="shared" si="812"/>
        <v>0</v>
      </c>
      <c r="AE477" s="26">
        <f t="shared" si="812"/>
        <v>0</v>
      </c>
      <c r="AF477" s="26">
        <f t="shared" si="812"/>
        <v>0</v>
      </c>
      <c r="AG477" s="26">
        <f t="shared" si="812"/>
        <v>0</v>
      </c>
      <c r="AH477" s="26">
        <f t="shared" si="812"/>
        <v>0</v>
      </c>
      <c r="AI477" s="26">
        <f t="shared" si="812"/>
        <v>0</v>
      </c>
      <c r="AJ477" s="26">
        <f t="shared" si="812"/>
        <v>0</v>
      </c>
      <c r="AK477" s="26">
        <f t="shared" si="812"/>
        <v>0</v>
      </c>
      <c r="AL477" s="26">
        <f t="shared" si="812"/>
        <v>0</v>
      </c>
      <c r="AM477" s="26">
        <f t="shared" si="812"/>
        <v>0</v>
      </c>
      <c r="AN477" s="26">
        <f t="shared" si="812"/>
        <v>0</v>
      </c>
      <c r="AO477" s="26">
        <f t="shared" si="812"/>
        <v>0</v>
      </c>
      <c r="AP477" s="26">
        <f t="shared" si="812"/>
        <v>0</v>
      </c>
      <c r="AQ477" s="26">
        <f t="shared" si="812"/>
        <v>0</v>
      </c>
      <c r="AR477" s="26">
        <f t="shared" si="812"/>
        <v>0</v>
      </c>
      <c r="AS477" s="26">
        <f t="shared" si="812"/>
        <v>0</v>
      </c>
      <c r="AT477" s="26">
        <f t="shared" si="812"/>
        <v>0</v>
      </c>
      <c r="AU477" s="26">
        <f t="shared" si="812"/>
        <v>0</v>
      </c>
      <c r="AV477" s="26">
        <f t="shared" si="812"/>
        <v>0</v>
      </c>
      <c r="AW477" s="26">
        <f t="shared" si="812"/>
        <v>0</v>
      </c>
      <c r="AX477" s="27">
        <f t="shared" si="812"/>
        <v>0</v>
      </c>
      <c r="AY477" s="27">
        <f t="shared" si="812"/>
        <v>0</v>
      </c>
      <c r="AZ477" s="27">
        <f t="shared" si="812"/>
        <v>0</v>
      </c>
      <c r="BA477" s="27">
        <f>SUMIF($F$12:$F$465,"=3231",BA$12:BA$465)</f>
        <v>0</v>
      </c>
      <c r="BB477" s="27">
        <f>SUMIF($F$12:$F$465,"=3231",BB$12:BB$465)</f>
        <v>0</v>
      </c>
      <c r="BC477" s="27">
        <f t="shared" si="812"/>
        <v>0</v>
      </c>
      <c r="BD477" s="27">
        <f t="shared" si="812"/>
        <v>0</v>
      </c>
      <c r="BE477" s="27">
        <f t="shared" si="812"/>
        <v>0</v>
      </c>
      <c r="BF477" s="27">
        <f t="shared" si="812"/>
        <v>0</v>
      </c>
      <c r="BG477" s="27">
        <f t="shared" si="812"/>
        <v>0</v>
      </c>
      <c r="BH477" s="426">
        <f t="shared" si="812"/>
        <v>0</v>
      </c>
      <c r="BI477" s="25">
        <f t="shared" si="812"/>
        <v>88998484</v>
      </c>
      <c r="BJ477" s="26">
        <f t="shared" si="812"/>
        <v>65803121</v>
      </c>
      <c r="BK477" s="26">
        <f t="shared" si="812"/>
        <v>63412786</v>
      </c>
      <c r="BL477" s="26">
        <f t="shared" si="812"/>
        <v>2390335</v>
      </c>
      <c r="BM477" s="26">
        <f t="shared" si="812"/>
        <v>130000</v>
      </c>
      <c r="BN477" s="26">
        <f t="shared" si="812"/>
        <v>130000</v>
      </c>
      <c r="BO477" s="26">
        <f t="shared" si="812"/>
        <v>0</v>
      </c>
      <c r="BP477" s="26">
        <f t="shared" si="812"/>
        <v>22285394</v>
      </c>
      <c r="BQ477" s="26">
        <f t="shared" ref="BQ477:CA477" si="813">SUMIF($F$12:$F$465,"=3231",BQ$12:BQ$465)</f>
        <v>658031</v>
      </c>
      <c r="BR477" s="26">
        <f t="shared" si="813"/>
        <v>121938</v>
      </c>
      <c r="BS477" s="27">
        <f t="shared" si="813"/>
        <v>106.91000000000001</v>
      </c>
      <c r="BT477" s="27">
        <f t="shared" si="813"/>
        <v>100.2</v>
      </c>
      <c r="BU477" s="426">
        <f t="shared" si="813"/>
        <v>6.7100000000000009</v>
      </c>
      <c r="BV477" s="698">
        <f t="shared" si="813"/>
        <v>0</v>
      </c>
      <c r="BW477" s="693">
        <f t="shared" si="813"/>
        <v>0</v>
      </c>
      <c r="BX477" s="693">
        <f t="shared" si="813"/>
        <v>0</v>
      </c>
      <c r="BY477" s="693">
        <f t="shared" si="813"/>
        <v>0</v>
      </c>
      <c r="BZ477" s="693">
        <f t="shared" si="813"/>
        <v>0</v>
      </c>
      <c r="CA477" s="239">
        <f t="shared" si="813"/>
        <v>0</v>
      </c>
    </row>
    <row r="478" spans="1:79" customFormat="1" ht="13.5" thickBot="1" x14ac:dyDescent="0.25">
      <c r="D478" s="23"/>
      <c r="E478" s="24"/>
      <c r="F478" s="23"/>
      <c r="G478" s="41"/>
      <c r="H478" s="151">
        <v>3233</v>
      </c>
      <c r="I478" s="28">
        <f t="shared" ref="I478:BP478" si="814">SUMIF($F$12:$F$465,"=3233",I$12:I$465)</f>
        <v>13711507</v>
      </c>
      <c r="J478" s="29">
        <f t="shared" si="814"/>
        <v>9236392</v>
      </c>
      <c r="K478" s="29">
        <f t="shared" si="814"/>
        <v>7416572</v>
      </c>
      <c r="L478" s="29">
        <f t="shared" si="814"/>
        <v>1819820</v>
      </c>
      <c r="M478" s="29">
        <f t="shared" si="814"/>
        <v>930000</v>
      </c>
      <c r="N478" s="29">
        <f t="shared" si="814"/>
        <v>740000</v>
      </c>
      <c r="O478" s="29">
        <f t="shared" si="814"/>
        <v>190000</v>
      </c>
      <c r="P478" s="29">
        <f t="shared" si="814"/>
        <v>3436240</v>
      </c>
      <c r="Q478" s="29">
        <f t="shared" si="814"/>
        <v>92365</v>
      </c>
      <c r="R478" s="29">
        <f t="shared" si="814"/>
        <v>16510</v>
      </c>
      <c r="S478" s="145">
        <f t="shared" si="814"/>
        <v>19.29</v>
      </c>
      <c r="T478" s="145">
        <f t="shared" si="814"/>
        <v>13.43</v>
      </c>
      <c r="U478" s="240">
        <f t="shared" si="814"/>
        <v>5.8600000000000012</v>
      </c>
      <c r="V478" s="150">
        <f t="shared" si="814"/>
        <v>0</v>
      </c>
      <c r="W478" s="29">
        <f t="shared" si="814"/>
        <v>0</v>
      </c>
      <c r="X478" s="29">
        <f t="shared" si="814"/>
        <v>0</v>
      </c>
      <c r="Y478" s="29">
        <f t="shared" si="814"/>
        <v>0</v>
      </c>
      <c r="Z478" s="29">
        <f t="shared" si="814"/>
        <v>0</v>
      </c>
      <c r="AA478" s="29">
        <f t="shared" si="814"/>
        <v>1004958</v>
      </c>
      <c r="AB478" s="29">
        <f t="shared" si="814"/>
        <v>0</v>
      </c>
      <c r="AC478" s="29">
        <f t="shared" si="814"/>
        <v>0</v>
      </c>
      <c r="AD478" s="29">
        <f t="shared" si="814"/>
        <v>0</v>
      </c>
      <c r="AE478" s="29">
        <f t="shared" si="814"/>
        <v>1004958</v>
      </c>
      <c r="AF478" s="29">
        <f t="shared" si="814"/>
        <v>1004958</v>
      </c>
      <c r="AG478" s="29">
        <f t="shared" si="814"/>
        <v>0</v>
      </c>
      <c r="AH478" s="29">
        <f t="shared" si="814"/>
        <v>0</v>
      </c>
      <c r="AI478" s="29">
        <f t="shared" si="814"/>
        <v>0</v>
      </c>
      <c r="AJ478" s="29">
        <f t="shared" si="814"/>
        <v>0</v>
      </c>
      <c r="AK478" s="29">
        <f t="shared" si="814"/>
        <v>0</v>
      </c>
      <c r="AL478" s="29">
        <f t="shared" si="814"/>
        <v>0</v>
      </c>
      <c r="AM478" s="29">
        <f t="shared" si="814"/>
        <v>0</v>
      </c>
      <c r="AN478" s="29">
        <f t="shared" si="814"/>
        <v>0</v>
      </c>
      <c r="AO478" s="29">
        <f t="shared" si="814"/>
        <v>0</v>
      </c>
      <c r="AP478" s="29">
        <f t="shared" si="814"/>
        <v>1004958</v>
      </c>
      <c r="AQ478" s="29">
        <f t="shared" si="814"/>
        <v>1004958</v>
      </c>
      <c r="AR478" s="29">
        <f t="shared" si="814"/>
        <v>339676</v>
      </c>
      <c r="AS478" s="29">
        <f t="shared" si="814"/>
        <v>10050</v>
      </c>
      <c r="AT478" s="29">
        <f t="shared" si="814"/>
        <v>0</v>
      </c>
      <c r="AU478" s="29">
        <f t="shared" si="814"/>
        <v>6604</v>
      </c>
      <c r="AV478" s="29">
        <f t="shared" si="814"/>
        <v>6604</v>
      </c>
      <c r="AW478" s="29">
        <f t="shared" si="814"/>
        <v>1361288</v>
      </c>
      <c r="AX478" s="145">
        <f t="shared" si="814"/>
        <v>0</v>
      </c>
      <c r="AY478" s="145">
        <f t="shared" si="814"/>
        <v>0</v>
      </c>
      <c r="AZ478" s="145">
        <f t="shared" si="814"/>
        <v>0</v>
      </c>
      <c r="BA478" s="145">
        <f>SUMIF($F$12:$F$465,"=3233",BA$12:BA$465)</f>
        <v>0</v>
      </c>
      <c r="BB478" s="145">
        <f>SUMIF($F$12:$F$465,"=3233",BB$12:BB$465)</f>
        <v>3.23</v>
      </c>
      <c r="BC478" s="145">
        <f t="shared" si="814"/>
        <v>0</v>
      </c>
      <c r="BD478" s="145">
        <f t="shared" si="814"/>
        <v>0</v>
      </c>
      <c r="BE478" s="145">
        <f t="shared" si="814"/>
        <v>0</v>
      </c>
      <c r="BF478" s="145">
        <f t="shared" si="814"/>
        <v>0</v>
      </c>
      <c r="BG478" s="145">
        <f t="shared" si="814"/>
        <v>3.23</v>
      </c>
      <c r="BH478" s="427">
        <f t="shared" si="814"/>
        <v>3.23</v>
      </c>
      <c r="BI478" s="28">
        <f t="shared" si="814"/>
        <v>15072795</v>
      </c>
      <c r="BJ478" s="29">
        <f t="shared" si="814"/>
        <v>10241350</v>
      </c>
      <c r="BK478" s="29">
        <f t="shared" si="814"/>
        <v>7416572</v>
      </c>
      <c r="BL478" s="29">
        <f t="shared" si="814"/>
        <v>2824778</v>
      </c>
      <c r="BM478" s="29">
        <f t="shared" si="814"/>
        <v>930000</v>
      </c>
      <c r="BN478" s="29">
        <f t="shared" si="814"/>
        <v>740000</v>
      </c>
      <c r="BO478" s="29">
        <f t="shared" si="814"/>
        <v>190000</v>
      </c>
      <c r="BP478" s="29">
        <f t="shared" si="814"/>
        <v>3775916</v>
      </c>
      <c r="BQ478" s="29">
        <f t="shared" ref="BQ478:CA478" si="815">SUMIF($F$12:$F$465,"=3233",BQ$12:BQ$465)</f>
        <v>102415</v>
      </c>
      <c r="BR478" s="29">
        <f t="shared" si="815"/>
        <v>23114</v>
      </c>
      <c r="BS478" s="145">
        <f t="shared" si="815"/>
        <v>22.52</v>
      </c>
      <c r="BT478" s="145">
        <f t="shared" si="815"/>
        <v>13.43</v>
      </c>
      <c r="BU478" s="427">
        <f t="shared" si="815"/>
        <v>9.0900000000000016</v>
      </c>
      <c r="BV478" s="699">
        <f t="shared" si="815"/>
        <v>0</v>
      </c>
      <c r="BW478" s="694">
        <f t="shared" si="815"/>
        <v>0</v>
      </c>
      <c r="BX478" s="694">
        <f t="shared" si="815"/>
        <v>0</v>
      </c>
      <c r="BY478" s="694">
        <f t="shared" si="815"/>
        <v>0</v>
      </c>
      <c r="BZ478" s="694">
        <f t="shared" si="815"/>
        <v>0</v>
      </c>
      <c r="CA478" s="240">
        <f t="shared" si="815"/>
        <v>0</v>
      </c>
    </row>
    <row r="480" spans="1:79" x14ac:dyDescent="0.2">
      <c r="E480" s="88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</row>
    <row r="481" spans="9:79" x14ac:dyDescent="0.2"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</row>
    <row r="482" spans="9:79" ht="12.95" customHeight="1" x14ac:dyDescent="0.2"/>
  </sheetData>
  <mergeCells count="54">
    <mergeCell ref="X9:X10"/>
    <mergeCell ref="Y9:Y10"/>
    <mergeCell ref="AI9:AI10"/>
    <mergeCell ref="AL9:AM9"/>
    <mergeCell ref="Z9:AA9"/>
    <mergeCell ref="AB9:AC9"/>
    <mergeCell ref="AD9:AE9"/>
    <mergeCell ref="AF9:AF10"/>
    <mergeCell ref="AJ9:AK9"/>
    <mergeCell ref="P9:P10"/>
    <mergeCell ref="Q9:Q10"/>
    <mergeCell ref="K9:L9"/>
    <mergeCell ref="N9:O9"/>
    <mergeCell ref="V9:W9"/>
    <mergeCell ref="R9:R10"/>
    <mergeCell ref="A3:E3"/>
    <mergeCell ref="AS7:AS10"/>
    <mergeCell ref="I6:U7"/>
    <mergeCell ref="V6:BH6"/>
    <mergeCell ref="J8:R8"/>
    <mergeCell ref="I8:I10"/>
    <mergeCell ref="S8:S10"/>
    <mergeCell ref="T8:U9"/>
    <mergeCell ref="J9:J10"/>
    <mergeCell ref="M9:M10"/>
    <mergeCell ref="AN9:AN10"/>
    <mergeCell ref="AG7:AN8"/>
    <mergeCell ref="V7:AF8"/>
    <mergeCell ref="AG9:AH9"/>
    <mergeCell ref="BF8:BH9"/>
    <mergeCell ref="BA8:BB8"/>
    <mergeCell ref="BV6:CA7"/>
    <mergeCell ref="BV8:CA9"/>
    <mergeCell ref="BI6:BU7"/>
    <mergeCell ref="BS8:BS10"/>
    <mergeCell ref="BJ9:BJ10"/>
    <mergeCell ref="BM9:BM10"/>
    <mergeCell ref="BJ8:BR8"/>
    <mergeCell ref="BK9:BL9"/>
    <mergeCell ref="BN9:BO9"/>
    <mergeCell ref="BP9:BP10"/>
    <mergeCell ref="BQ9:BQ10"/>
    <mergeCell ref="BR9:BR10"/>
    <mergeCell ref="BI8:BI10"/>
    <mergeCell ref="AO7:AQ9"/>
    <mergeCell ref="BT8:BU9"/>
    <mergeCell ref="BD8:BE9"/>
    <mergeCell ref="AR7:AR10"/>
    <mergeCell ref="AT7:AV9"/>
    <mergeCell ref="AW7:AW10"/>
    <mergeCell ref="AX7:BH7"/>
    <mergeCell ref="AX8:AY9"/>
    <mergeCell ref="BC8:BC9"/>
    <mergeCell ref="AZ8:AZ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A144"/>
  <sheetViews>
    <sheetView zoomScaleNormal="100" workbookViewId="0">
      <pane xSplit="8" ySplit="11" topLeftCell="AR127" activePane="bottomRight" state="frozen"/>
      <selection activeCell="E477" sqref="E477"/>
      <selection pane="topRight" activeCell="E477" sqref="E477"/>
      <selection pane="bottomLeft" activeCell="E477" sqref="E477"/>
      <selection pane="bottomRight" activeCell="BA145" sqref="BA145"/>
    </sheetView>
  </sheetViews>
  <sheetFormatPr defaultColWidth="9.140625" defaultRowHeight="15" x14ac:dyDescent="0.2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8" width="10.85546875" style="236" customWidth="1"/>
    <col min="19" max="21" width="9.28515625" style="237" customWidth="1"/>
    <col min="22" max="25" width="10.85546875" style="54" customWidth="1"/>
    <col min="26" max="26" width="10.5703125" style="54" customWidth="1"/>
    <col min="27" max="49" width="10.85546875" style="54" customWidth="1"/>
    <col min="50" max="60" width="9.28515625" style="55" customWidth="1"/>
    <col min="61" max="70" width="10.85546875" style="54" customWidth="1"/>
    <col min="71" max="73" width="9.28515625" style="55" customWidth="1"/>
    <col min="74" max="78" width="9.7109375" style="54" customWidth="1"/>
    <col min="79" max="79" width="9.7109375" style="55" customWidth="1"/>
    <col min="80" max="16384" width="9.140625" style="89"/>
  </cols>
  <sheetData>
    <row r="1" spans="1:79" s="56" customFormat="1" ht="12.75" x14ac:dyDescent="0.2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0"/>
      <c r="T1" s="180"/>
      <c r="U1" s="180"/>
      <c r="V1" s="180"/>
      <c r="W1" s="180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87"/>
      <c r="AM1" s="52"/>
      <c r="AN1" s="52"/>
      <c r="AO1" s="52"/>
      <c r="AP1" s="52"/>
      <c r="AQ1" s="52"/>
      <c r="AR1" s="52"/>
      <c r="AS1" s="87"/>
      <c r="AT1" s="52"/>
      <c r="AU1" s="52"/>
      <c r="AV1" s="87"/>
      <c r="AW1" s="87"/>
      <c r="AX1" s="87"/>
      <c r="AY1" s="87"/>
      <c r="AZ1" s="180"/>
      <c r="BA1" s="87"/>
      <c r="BB1" s="87"/>
      <c r="BC1" s="87"/>
      <c r="BD1" s="87"/>
      <c r="BE1" s="87"/>
      <c r="BF1" s="87"/>
      <c r="BG1" s="87"/>
      <c r="BH1" s="87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87"/>
      <c r="BT1" s="87"/>
      <c r="BU1" s="87"/>
      <c r="BV1" s="53"/>
      <c r="BW1" s="53"/>
      <c r="BX1" s="53"/>
      <c r="BY1" s="53"/>
      <c r="BZ1" s="53"/>
      <c r="CA1" s="87"/>
    </row>
    <row r="2" spans="1:79" ht="12.75" customHeight="1" x14ac:dyDescent="0.25">
      <c r="A2" s="50" t="s">
        <v>3</v>
      </c>
      <c r="B2" s="50"/>
      <c r="C2" s="42"/>
      <c r="D2" s="50"/>
      <c r="E2" s="50"/>
    </row>
    <row r="3" spans="1:79" ht="12.75" customHeight="1" x14ac:dyDescent="0.25">
      <c r="A3" s="1045" t="s">
        <v>4</v>
      </c>
      <c r="B3" s="1045"/>
      <c r="C3" s="1045"/>
      <c r="D3" s="1045"/>
      <c r="E3" s="1045"/>
      <c r="AU3" s="507"/>
    </row>
    <row r="4" spans="1:79" x14ac:dyDescent="0.25">
      <c r="A4" s="89"/>
      <c r="B4" s="50"/>
      <c r="C4" s="50"/>
      <c r="D4" s="50"/>
      <c r="E4" s="50"/>
      <c r="X4" s="903" t="s">
        <v>855</v>
      </c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52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90"/>
      <c r="T5" s="590"/>
      <c r="U5" s="590"/>
      <c r="V5" s="399"/>
      <c r="W5" s="399"/>
      <c r="X5" s="903" t="s">
        <v>856</v>
      </c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V5" s="506"/>
    </row>
    <row r="6" spans="1:79" ht="12" customHeight="1" x14ac:dyDescent="0.25">
      <c r="A6" s="528" t="s">
        <v>800</v>
      </c>
      <c r="B6" s="529"/>
      <c r="C6" s="530"/>
      <c r="D6" s="530"/>
      <c r="E6" s="529"/>
      <c r="F6" s="529"/>
      <c r="G6" s="52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customHeight="1" thickBot="1" x14ac:dyDescent="0.3">
      <c r="A7" s="89"/>
      <c r="B7" s="6"/>
      <c r="C7"/>
      <c r="D7" s="10"/>
      <c r="E7" s="6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s="91" customFormat="1" ht="30.75" customHeight="1" x14ac:dyDescent="0.25">
      <c r="A8" s="117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76" t="s">
        <v>851</v>
      </c>
      <c r="BB8" s="107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s="92" customFormat="1" ht="18" customHeight="1" thickBot="1" x14ac:dyDescent="0.25">
      <c r="A9" s="116" t="s">
        <v>748</v>
      </c>
      <c r="B9"/>
      <c r="C9"/>
      <c r="D9" s="12"/>
      <c r="E9"/>
      <c r="F9" s="59"/>
      <c r="G9" s="60"/>
      <c r="H9" s="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763" t="s">
        <v>805</v>
      </c>
      <c r="BB9" s="763" t="s">
        <v>806</v>
      </c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s="92" customFormat="1" ht="45.75" thickBot="1" x14ac:dyDescent="0.25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122" customFormat="1" ht="11.25" customHeight="1" thickBot="1" x14ac:dyDescent="0.25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738" t="s">
        <v>262</v>
      </c>
      <c r="J11" s="739" t="s">
        <v>263</v>
      </c>
      <c r="K11" s="739" t="s">
        <v>801</v>
      </c>
      <c r="L11" s="739" t="s">
        <v>802</v>
      </c>
      <c r="M11" s="739" t="s">
        <v>269</v>
      </c>
      <c r="N11" s="739" t="s">
        <v>803</v>
      </c>
      <c r="O11" s="739" t="s">
        <v>804</v>
      </c>
      <c r="P11" s="739" t="s">
        <v>264</v>
      </c>
      <c r="Q11" s="739" t="s">
        <v>265</v>
      </c>
      <c r="R11" s="739" t="s">
        <v>266</v>
      </c>
      <c r="S11" s="740" t="s">
        <v>267</v>
      </c>
      <c r="T11" s="741" t="s">
        <v>532</v>
      </c>
      <c r="U11" s="742" t="s">
        <v>533</v>
      </c>
      <c r="V11" s="509" t="s">
        <v>815</v>
      </c>
      <c r="W11" s="141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815</v>
      </c>
      <c r="AC11" s="141" t="s">
        <v>816</v>
      </c>
      <c r="AD11" s="141" t="s">
        <v>815</v>
      </c>
      <c r="AE11" s="141" t="s">
        <v>816</v>
      </c>
      <c r="AF11" s="141" t="s">
        <v>824</v>
      </c>
      <c r="AG11" s="141" t="s">
        <v>817</v>
      </c>
      <c r="AH11" s="141" t="s">
        <v>818</v>
      </c>
      <c r="AI11" s="141" t="s">
        <v>817</v>
      </c>
      <c r="AJ11" s="141" t="s">
        <v>817</v>
      </c>
      <c r="AK11" s="141" t="s">
        <v>818</v>
      </c>
      <c r="AL11" s="141" t="s">
        <v>817</v>
      </c>
      <c r="AM11" s="141" t="s">
        <v>818</v>
      </c>
      <c r="AN11" s="141" t="s">
        <v>825</v>
      </c>
      <c r="AO11" s="509" t="s">
        <v>819</v>
      </c>
      <c r="AP11" s="509" t="s">
        <v>820</v>
      </c>
      <c r="AQ11" s="141" t="s">
        <v>821</v>
      </c>
      <c r="AR11" s="141" t="s">
        <v>282</v>
      </c>
      <c r="AS11" s="141" t="s">
        <v>283</v>
      </c>
      <c r="AT11" s="141" t="s">
        <v>284</v>
      </c>
      <c r="AU11" s="141" t="s">
        <v>284</v>
      </c>
      <c r="AV11" s="141" t="s">
        <v>284</v>
      </c>
      <c r="AW11" s="141" t="s">
        <v>289</v>
      </c>
      <c r="AX11" s="402" t="s">
        <v>285</v>
      </c>
      <c r="AY11" s="142" t="s">
        <v>286</v>
      </c>
      <c r="AZ11" s="142" t="s">
        <v>285</v>
      </c>
      <c r="BA11" s="142" t="s">
        <v>285</v>
      </c>
      <c r="BB11" s="142" t="s">
        <v>286</v>
      </c>
      <c r="BC11" s="142" t="s">
        <v>285</v>
      </c>
      <c r="BD11" s="142" t="s">
        <v>285</v>
      </c>
      <c r="BE11" s="142" t="s">
        <v>286</v>
      </c>
      <c r="BF11" s="142" t="s">
        <v>285</v>
      </c>
      <c r="BG11" s="142" t="s">
        <v>286</v>
      </c>
      <c r="BH11" s="143" t="s">
        <v>287</v>
      </c>
      <c r="BI11" s="140" t="s">
        <v>262</v>
      </c>
      <c r="BJ11" s="141" t="s">
        <v>263</v>
      </c>
      <c r="BK11" s="141" t="s">
        <v>801</v>
      </c>
      <c r="BL11" s="141" t="s">
        <v>802</v>
      </c>
      <c r="BM11" s="141" t="s">
        <v>269</v>
      </c>
      <c r="BN11" s="141" t="s">
        <v>803</v>
      </c>
      <c r="BO11" s="141" t="s">
        <v>804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532</v>
      </c>
      <c r="BU11" s="179" t="s">
        <v>533</v>
      </c>
      <c r="BV11" s="705" t="s">
        <v>843</v>
      </c>
      <c r="BW11" s="663" t="s">
        <v>837</v>
      </c>
      <c r="BX11" s="663" t="s">
        <v>838</v>
      </c>
      <c r="BY11" s="663" t="s">
        <v>844</v>
      </c>
      <c r="BZ11" s="663" t="s">
        <v>845</v>
      </c>
      <c r="CA11" s="709" t="s">
        <v>839</v>
      </c>
    </row>
    <row r="12" spans="1:79" s="96" customFormat="1" ht="14.1" customHeight="1" x14ac:dyDescent="0.2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704</v>
      </c>
      <c r="F12" s="131">
        <v>3141</v>
      </c>
      <c r="G12" s="129" t="s">
        <v>294</v>
      </c>
      <c r="H12" s="132" t="s">
        <v>272</v>
      </c>
      <c r="I12" s="593">
        <v>3404641</v>
      </c>
      <c r="J12" s="594">
        <v>2477770</v>
      </c>
      <c r="K12" s="594">
        <v>0</v>
      </c>
      <c r="L12" s="747">
        <v>2477770</v>
      </c>
      <c r="M12" s="594">
        <v>30000</v>
      </c>
      <c r="N12" s="594">
        <v>0</v>
      </c>
      <c r="O12" s="594">
        <v>30000</v>
      </c>
      <c r="P12" s="594">
        <v>847627</v>
      </c>
      <c r="Q12" s="594">
        <v>24778</v>
      </c>
      <c r="R12" s="594">
        <v>24466</v>
      </c>
      <c r="S12" s="409">
        <v>7.49</v>
      </c>
      <c r="T12" s="409">
        <v>0</v>
      </c>
      <c r="U12" s="753">
        <v>7.49</v>
      </c>
      <c r="V12" s="412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1085419</v>
      </c>
      <c r="AB12" s="410">
        <v>0</v>
      </c>
      <c r="AC12" s="410">
        <v>170075</v>
      </c>
      <c r="AD12" s="410">
        <f>V12+X12+Y12+Z12+AB12</f>
        <v>0</v>
      </c>
      <c r="AE12" s="410">
        <f>W12+AA12+AC12</f>
        <v>1255494</v>
      </c>
      <c r="AF12" s="410">
        <f>SUM(AD12:AE12)</f>
        <v>1255494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1255494</v>
      </c>
      <c r="AQ12" s="410">
        <f>SUM(AO12:AP12)</f>
        <v>1255494</v>
      </c>
      <c r="AR12" s="144">
        <f>ROUND((AF12+AG12+AH12+AI12)*33.8%,0)</f>
        <v>424357</v>
      </c>
      <c r="AS12" s="144">
        <f>ROUND(AF12*1%,0)</f>
        <v>12555</v>
      </c>
      <c r="AT12" s="410">
        <v>0</v>
      </c>
      <c r="AU12" s="410">
        <v>11800</v>
      </c>
      <c r="AV12" s="410">
        <f>AT12+AU12</f>
        <v>11800</v>
      </c>
      <c r="AW12" s="410">
        <f>AQ12+AR12+AS12+AV12</f>
        <v>1704206</v>
      </c>
      <c r="AX12" s="411">
        <v>0</v>
      </c>
      <c r="AY12" s="411">
        <v>0</v>
      </c>
      <c r="AZ12" s="411">
        <v>0</v>
      </c>
      <c r="BA12" s="411">
        <v>0</v>
      </c>
      <c r="BB12" s="411">
        <f>3.25+0.51</f>
        <v>3.76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3.76</v>
      </c>
      <c r="BH12" s="413">
        <f>SUM(BF12:BG12)</f>
        <v>3.76</v>
      </c>
      <c r="BI12" s="779">
        <f>I12+AW12</f>
        <v>5108847</v>
      </c>
      <c r="BJ12" s="410">
        <f>J12+AF12</f>
        <v>3733264</v>
      </c>
      <c r="BK12" s="410">
        <f>K12+AD12</f>
        <v>0</v>
      </c>
      <c r="BL12" s="410">
        <f>L12+AE12</f>
        <v>3733264</v>
      </c>
      <c r="BM12" s="410">
        <f>M12+AN12</f>
        <v>30000</v>
      </c>
      <c r="BN12" s="410">
        <f>N12+AL12</f>
        <v>0</v>
      </c>
      <c r="BO12" s="410">
        <f>O12+AM12</f>
        <v>30000</v>
      </c>
      <c r="BP12" s="410">
        <f>P12+AR12</f>
        <v>1271984</v>
      </c>
      <c r="BQ12" s="410">
        <f>Q12+AS12</f>
        <v>37333</v>
      </c>
      <c r="BR12" s="410">
        <f>R12+AV12</f>
        <v>36266</v>
      </c>
      <c r="BS12" s="411">
        <f>S12+BH12</f>
        <v>11.25</v>
      </c>
      <c r="BT12" s="411">
        <f>T12+BF12</f>
        <v>0</v>
      </c>
      <c r="BU12" s="413">
        <f>U12+BG12</f>
        <v>11.25</v>
      </c>
      <c r="BV12" s="406"/>
      <c r="BW12" s="407"/>
      <c r="BX12" s="407"/>
      <c r="BY12" s="407"/>
      <c r="BZ12" s="407"/>
      <c r="CA12" s="495"/>
    </row>
    <row r="13" spans="1:79" s="96" customFormat="1" ht="14.1" customHeight="1" x14ac:dyDescent="0.2">
      <c r="A13" s="119">
        <v>1</v>
      </c>
      <c r="B13" s="97">
        <v>2323</v>
      </c>
      <c r="C13" s="98">
        <v>667000241</v>
      </c>
      <c r="D13" s="97">
        <v>71223461</v>
      </c>
      <c r="E13" s="97" t="s">
        <v>705</v>
      </c>
      <c r="F13" s="99"/>
      <c r="G13" s="100"/>
      <c r="H13" s="101"/>
      <c r="I13" s="438">
        <v>3404641</v>
      </c>
      <c r="J13" s="434">
        <v>2477770</v>
      </c>
      <c r="K13" s="434">
        <v>0</v>
      </c>
      <c r="L13" s="434">
        <v>2477770</v>
      </c>
      <c r="M13" s="434">
        <v>30000</v>
      </c>
      <c r="N13" s="434">
        <v>0</v>
      </c>
      <c r="O13" s="434">
        <v>30000</v>
      </c>
      <c r="P13" s="434">
        <v>847627</v>
      </c>
      <c r="Q13" s="434">
        <v>24778</v>
      </c>
      <c r="R13" s="434">
        <v>24466</v>
      </c>
      <c r="S13" s="435">
        <v>7.49</v>
      </c>
      <c r="T13" s="435">
        <v>0</v>
      </c>
      <c r="U13" s="700">
        <v>7.49</v>
      </c>
      <c r="V13" s="438">
        <f t="shared" ref="V13:CA13" si="0">SUM(V12)</f>
        <v>0</v>
      </c>
      <c r="W13" s="434">
        <f t="shared" si="0"/>
        <v>0</v>
      </c>
      <c r="X13" s="434">
        <f t="shared" si="0"/>
        <v>0</v>
      </c>
      <c r="Y13" s="434">
        <f t="shared" si="0"/>
        <v>0</v>
      </c>
      <c r="Z13" s="434">
        <f t="shared" si="0"/>
        <v>0</v>
      </c>
      <c r="AA13" s="434">
        <f t="shared" si="0"/>
        <v>1085419</v>
      </c>
      <c r="AB13" s="434">
        <f t="shared" si="0"/>
        <v>0</v>
      </c>
      <c r="AC13" s="434">
        <f t="shared" si="0"/>
        <v>170075</v>
      </c>
      <c r="AD13" s="434">
        <f t="shared" si="0"/>
        <v>0</v>
      </c>
      <c r="AE13" s="434">
        <f t="shared" si="0"/>
        <v>1255494</v>
      </c>
      <c r="AF13" s="434">
        <f t="shared" si="0"/>
        <v>1255494</v>
      </c>
      <c r="AG13" s="434">
        <f t="shared" si="0"/>
        <v>0</v>
      </c>
      <c r="AH13" s="434">
        <f t="shared" si="0"/>
        <v>0</v>
      </c>
      <c r="AI13" s="434">
        <f t="shared" si="0"/>
        <v>0</v>
      </c>
      <c r="AJ13" s="434">
        <f t="shared" si="0"/>
        <v>0</v>
      </c>
      <c r="AK13" s="434">
        <f t="shared" si="0"/>
        <v>0</v>
      </c>
      <c r="AL13" s="434">
        <f t="shared" si="0"/>
        <v>0</v>
      </c>
      <c r="AM13" s="434">
        <f t="shared" si="0"/>
        <v>0</v>
      </c>
      <c r="AN13" s="434">
        <f t="shared" si="0"/>
        <v>0</v>
      </c>
      <c r="AO13" s="434">
        <f t="shared" si="0"/>
        <v>0</v>
      </c>
      <c r="AP13" s="434">
        <f t="shared" si="0"/>
        <v>1255494</v>
      </c>
      <c r="AQ13" s="434">
        <f t="shared" si="0"/>
        <v>1255494</v>
      </c>
      <c r="AR13" s="434">
        <f t="shared" si="0"/>
        <v>424357</v>
      </c>
      <c r="AS13" s="434">
        <f t="shared" si="0"/>
        <v>12555</v>
      </c>
      <c r="AT13" s="434">
        <f t="shared" si="0"/>
        <v>0</v>
      </c>
      <c r="AU13" s="434">
        <f t="shared" si="0"/>
        <v>11800</v>
      </c>
      <c r="AV13" s="434">
        <f t="shared" si="0"/>
        <v>11800</v>
      </c>
      <c r="AW13" s="434">
        <f t="shared" si="0"/>
        <v>1704206</v>
      </c>
      <c r="AX13" s="435">
        <f t="shared" si="0"/>
        <v>0</v>
      </c>
      <c r="AY13" s="435">
        <f t="shared" si="0"/>
        <v>0</v>
      </c>
      <c r="AZ13" s="435">
        <f t="shared" si="0"/>
        <v>0</v>
      </c>
      <c r="BA13" s="435">
        <f t="shared" si="0"/>
        <v>0</v>
      </c>
      <c r="BB13" s="435">
        <f t="shared" si="0"/>
        <v>3.76</v>
      </c>
      <c r="BC13" s="435">
        <f t="shared" si="0"/>
        <v>0</v>
      </c>
      <c r="BD13" s="435">
        <f t="shared" si="0"/>
        <v>0</v>
      </c>
      <c r="BE13" s="435">
        <f t="shared" si="0"/>
        <v>0</v>
      </c>
      <c r="BF13" s="435">
        <f t="shared" si="0"/>
        <v>0</v>
      </c>
      <c r="BG13" s="435">
        <f t="shared" si="0"/>
        <v>3.76</v>
      </c>
      <c r="BH13" s="103">
        <f t="shared" si="0"/>
        <v>3.76</v>
      </c>
      <c r="BI13" s="803">
        <f t="shared" si="0"/>
        <v>5108847</v>
      </c>
      <c r="BJ13" s="434">
        <f t="shared" si="0"/>
        <v>3733264</v>
      </c>
      <c r="BK13" s="434">
        <f t="shared" si="0"/>
        <v>0</v>
      </c>
      <c r="BL13" s="434">
        <f t="shared" si="0"/>
        <v>3733264</v>
      </c>
      <c r="BM13" s="434">
        <f t="shared" si="0"/>
        <v>30000</v>
      </c>
      <c r="BN13" s="434">
        <f t="shared" si="0"/>
        <v>0</v>
      </c>
      <c r="BO13" s="434">
        <f t="shared" si="0"/>
        <v>30000</v>
      </c>
      <c r="BP13" s="434">
        <f t="shared" si="0"/>
        <v>1271984</v>
      </c>
      <c r="BQ13" s="434">
        <f t="shared" si="0"/>
        <v>37333</v>
      </c>
      <c r="BR13" s="434">
        <f t="shared" si="0"/>
        <v>36266</v>
      </c>
      <c r="BS13" s="435">
        <f t="shared" si="0"/>
        <v>11.25</v>
      </c>
      <c r="BT13" s="435">
        <f t="shared" si="0"/>
        <v>0</v>
      </c>
      <c r="BU13" s="103">
        <f t="shared" si="0"/>
        <v>11.25</v>
      </c>
      <c r="BV13" s="817">
        <f t="shared" si="0"/>
        <v>0</v>
      </c>
      <c r="BW13" s="703">
        <f t="shared" si="0"/>
        <v>0</v>
      </c>
      <c r="BX13" s="703">
        <f t="shared" si="0"/>
        <v>0</v>
      </c>
      <c r="BY13" s="703">
        <f t="shared" si="0"/>
        <v>0</v>
      </c>
      <c r="BZ13" s="703">
        <f t="shared" si="0"/>
        <v>0</v>
      </c>
      <c r="CA13" s="818">
        <f t="shared" si="0"/>
        <v>0</v>
      </c>
    </row>
    <row r="14" spans="1:79" s="96" customFormat="1" ht="14.1" customHeight="1" x14ac:dyDescent="0.2">
      <c r="A14" s="118">
        <v>2</v>
      </c>
      <c r="B14" s="77">
        <v>2314</v>
      </c>
      <c r="C14" s="93">
        <v>600080358</v>
      </c>
      <c r="D14" s="77">
        <v>46745751</v>
      </c>
      <c r="E14" s="77" t="s">
        <v>706</v>
      </c>
      <c r="F14" s="94">
        <v>3114</v>
      </c>
      <c r="G14" s="165" t="s">
        <v>525</v>
      </c>
      <c r="H14" s="95" t="s">
        <v>271</v>
      </c>
      <c r="I14" s="600">
        <v>12045965</v>
      </c>
      <c r="J14" s="599">
        <v>8864116</v>
      </c>
      <c r="K14" s="599">
        <v>8118130</v>
      </c>
      <c r="L14" s="599">
        <v>745986</v>
      </c>
      <c r="M14" s="599">
        <v>0</v>
      </c>
      <c r="N14" s="599">
        <v>0</v>
      </c>
      <c r="O14" s="599">
        <v>0</v>
      </c>
      <c r="P14" s="599">
        <v>2996070</v>
      </c>
      <c r="Q14" s="599">
        <v>88641</v>
      </c>
      <c r="R14" s="599">
        <v>97138</v>
      </c>
      <c r="S14" s="417">
        <v>13.1424</v>
      </c>
      <c r="T14" s="417">
        <v>11.0091</v>
      </c>
      <c r="U14" s="754">
        <v>2.1332999999999998</v>
      </c>
      <c r="V14" s="424">
        <f t="shared" ref="V14:W18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8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780">
        <f>I14+AW14</f>
        <v>12045965</v>
      </c>
      <c r="BJ14" s="418">
        <f>J14+AF14</f>
        <v>8864116</v>
      </c>
      <c r="BK14" s="418">
        <f t="shared" ref="BK14:BL18" si="3">K14+AD14</f>
        <v>8118130</v>
      </c>
      <c r="BL14" s="418">
        <f t="shared" si="3"/>
        <v>745986</v>
      </c>
      <c r="BM14" s="418">
        <f>M14+AN14</f>
        <v>0</v>
      </c>
      <c r="BN14" s="418">
        <f t="shared" ref="BN14:BO18" si="4">N14+AL14</f>
        <v>0</v>
      </c>
      <c r="BO14" s="418">
        <f t="shared" si="4"/>
        <v>0</v>
      </c>
      <c r="BP14" s="418">
        <f t="shared" ref="BP14:BQ18" si="5">P14+AR14</f>
        <v>2996070</v>
      </c>
      <c r="BQ14" s="418">
        <f t="shared" si="5"/>
        <v>88641</v>
      </c>
      <c r="BR14" s="418">
        <f>R14+AV14</f>
        <v>97138</v>
      </c>
      <c r="BS14" s="419">
        <f>S14+BH14</f>
        <v>13.1424</v>
      </c>
      <c r="BT14" s="419">
        <f t="shared" ref="BT14:BU18" si="6">T14+BF14</f>
        <v>11.0091</v>
      </c>
      <c r="BU14" s="421">
        <f t="shared" si="6"/>
        <v>2.1332999999999998</v>
      </c>
      <c r="BV14" s="420"/>
      <c r="BW14" s="415"/>
      <c r="BX14" s="415"/>
      <c r="BY14" s="415"/>
      <c r="BZ14" s="415"/>
      <c r="CA14" s="510"/>
    </row>
    <row r="15" spans="1:79" s="96" customFormat="1" ht="14.1" customHeight="1" x14ac:dyDescent="0.2">
      <c r="A15" s="118">
        <v>2</v>
      </c>
      <c r="B15" s="77">
        <v>2314</v>
      </c>
      <c r="C15" s="93">
        <v>600080358</v>
      </c>
      <c r="D15" s="77">
        <v>46745751</v>
      </c>
      <c r="E15" s="77" t="s">
        <v>706</v>
      </c>
      <c r="F15" s="94">
        <v>3114</v>
      </c>
      <c r="G15" s="43" t="s">
        <v>292</v>
      </c>
      <c r="H15" s="95" t="s">
        <v>271</v>
      </c>
      <c r="I15" s="600">
        <v>2757121</v>
      </c>
      <c r="J15" s="599">
        <v>1931981</v>
      </c>
      <c r="K15" s="599">
        <v>1931981</v>
      </c>
      <c r="L15" s="599">
        <v>0</v>
      </c>
      <c r="M15" s="599">
        <v>114208</v>
      </c>
      <c r="N15" s="599">
        <v>60000</v>
      </c>
      <c r="O15" s="599">
        <v>54208</v>
      </c>
      <c r="P15" s="599">
        <v>691612</v>
      </c>
      <c r="Q15" s="599">
        <v>19320</v>
      </c>
      <c r="R15" s="599">
        <v>0</v>
      </c>
      <c r="S15" s="417">
        <v>5.0831000000000008</v>
      </c>
      <c r="T15" s="417">
        <v>5.0831</v>
      </c>
      <c r="U15" s="754">
        <v>0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780">
        <f>I15+AW15</f>
        <v>2757121</v>
      </c>
      <c r="BJ15" s="418">
        <f>J15+AF15</f>
        <v>1931981</v>
      </c>
      <c r="BK15" s="418">
        <f t="shared" si="3"/>
        <v>1931981</v>
      </c>
      <c r="BL15" s="418">
        <f t="shared" si="3"/>
        <v>0</v>
      </c>
      <c r="BM15" s="418">
        <f>M15+AN15</f>
        <v>114208</v>
      </c>
      <c r="BN15" s="418">
        <f t="shared" si="4"/>
        <v>60000</v>
      </c>
      <c r="BO15" s="418">
        <f t="shared" si="4"/>
        <v>54208</v>
      </c>
      <c r="BP15" s="418">
        <f t="shared" si="5"/>
        <v>691612</v>
      </c>
      <c r="BQ15" s="418">
        <f t="shared" si="5"/>
        <v>19320</v>
      </c>
      <c r="BR15" s="418">
        <f>R15+AV15</f>
        <v>0</v>
      </c>
      <c r="BS15" s="419">
        <f>S15+BH15</f>
        <v>5.0831000000000008</v>
      </c>
      <c r="BT15" s="419">
        <f t="shared" si="6"/>
        <v>5.0831</v>
      </c>
      <c r="BU15" s="421">
        <f t="shared" si="6"/>
        <v>0</v>
      </c>
      <c r="BV15" s="420"/>
      <c r="BW15" s="415"/>
      <c r="BX15" s="415"/>
      <c r="BY15" s="415"/>
      <c r="BZ15" s="415"/>
      <c r="CA15" s="510"/>
    </row>
    <row r="16" spans="1:79" s="96" customFormat="1" ht="14.1" customHeight="1" x14ac:dyDescent="0.2">
      <c r="A16" s="118">
        <v>2</v>
      </c>
      <c r="B16" s="77">
        <v>2314</v>
      </c>
      <c r="C16" s="93">
        <v>600080358</v>
      </c>
      <c r="D16" s="77">
        <v>46745751</v>
      </c>
      <c r="E16" s="77" t="s">
        <v>706</v>
      </c>
      <c r="F16" s="94">
        <v>3114</v>
      </c>
      <c r="G16" s="43" t="s">
        <v>291</v>
      </c>
      <c r="H16" s="95" t="s">
        <v>272</v>
      </c>
      <c r="I16" s="600">
        <v>0</v>
      </c>
      <c r="J16" s="599">
        <v>0</v>
      </c>
      <c r="K16" s="599">
        <v>0</v>
      </c>
      <c r="L16" s="599">
        <v>0</v>
      </c>
      <c r="M16" s="599">
        <v>0</v>
      </c>
      <c r="N16" s="599">
        <v>0</v>
      </c>
      <c r="O16" s="599">
        <v>0</v>
      </c>
      <c r="P16" s="599">
        <v>0</v>
      </c>
      <c r="Q16" s="599">
        <v>0</v>
      </c>
      <c r="R16" s="599">
        <v>0</v>
      </c>
      <c r="S16" s="417">
        <v>0</v>
      </c>
      <c r="T16" s="417">
        <v>0</v>
      </c>
      <c r="U16" s="754">
        <v>0</v>
      </c>
      <c r="V16" s="424">
        <f t="shared" si="1"/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418">
        <f>SUM(AD16:AE16)</f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421">
        <f>SUM(BF16:BG16)</f>
        <v>0</v>
      </c>
      <c r="BI16" s="780">
        <f>I16+AW16</f>
        <v>0</v>
      </c>
      <c r="BJ16" s="418">
        <f>J16+AF16</f>
        <v>0</v>
      </c>
      <c r="BK16" s="418">
        <f t="shared" si="3"/>
        <v>0</v>
      </c>
      <c r="BL16" s="418">
        <f t="shared" si="3"/>
        <v>0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0</v>
      </c>
      <c r="BQ16" s="418">
        <f t="shared" si="5"/>
        <v>0</v>
      </c>
      <c r="BR16" s="418">
        <f>R16+AV16</f>
        <v>0</v>
      </c>
      <c r="BS16" s="419">
        <f>S16+BH16</f>
        <v>0</v>
      </c>
      <c r="BT16" s="419">
        <f t="shared" si="6"/>
        <v>0</v>
      </c>
      <c r="BU16" s="421">
        <f t="shared" si="6"/>
        <v>0</v>
      </c>
      <c r="BV16" s="420"/>
      <c r="BW16" s="415"/>
      <c r="BX16" s="415"/>
      <c r="BY16" s="415"/>
      <c r="BZ16" s="415"/>
      <c r="CA16" s="510"/>
    </row>
    <row r="17" spans="1:79" s="96" customFormat="1" ht="14.1" customHeight="1" x14ac:dyDescent="0.2">
      <c r="A17" s="118">
        <v>2</v>
      </c>
      <c r="B17" s="77">
        <v>2314</v>
      </c>
      <c r="C17" s="93">
        <v>600080358</v>
      </c>
      <c r="D17" s="77">
        <v>46745751</v>
      </c>
      <c r="E17" s="77" t="s">
        <v>706</v>
      </c>
      <c r="F17" s="94">
        <v>3143</v>
      </c>
      <c r="G17" s="77" t="s">
        <v>595</v>
      </c>
      <c r="H17" s="95" t="s">
        <v>271</v>
      </c>
      <c r="I17" s="600">
        <v>758025</v>
      </c>
      <c r="J17" s="599">
        <v>562333</v>
      </c>
      <c r="K17" s="599">
        <v>562333</v>
      </c>
      <c r="L17" s="599">
        <v>0</v>
      </c>
      <c r="M17" s="599">
        <v>0</v>
      </c>
      <c r="N17" s="599">
        <v>0</v>
      </c>
      <c r="O17" s="599">
        <v>0</v>
      </c>
      <c r="P17" s="599">
        <v>190069</v>
      </c>
      <c r="Q17" s="599">
        <v>5623</v>
      </c>
      <c r="R17" s="599">
        <v>0</v>
      </c>
      <c r="S17" s="417">
        <v>1.2413000000000001</v>
      </c>
      <c r="T17" s="417">
        <v>1.2413000000000001</v>
      </c>
      <c r="U17" s="754">
        <v>0</v>
      </c>
      <c r="V17" s="424">
        <f t="shared" si="1"/>
        <v>0</v>
      </c>
      <c r="W17" s="418">
        <f t="shared" si="1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418">
        <f>SUM(AD17:AE17)</f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2"/>
        <v>0</v>
      </c>
      <c r="AP17" s="418">
        <f t="shared" si="2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421">
        <f>SUM(BF17:BG17)</f>
        <v>0</v>
      </c>
      <c r="BI17" s="780">
        <f>I17+AW17</f>
        <v>758025</v>
      </c>
      <c r="BJ17" s="418">
        <f>J17+AF17</f>
        <v>562333</v>
      </c>
      <c r="BK17" s="418">
        <f t="shared" si="3"/>
        <v>562333</v>
      </c>
      <c r="BL17" s="418">
        <f t="shared" si="3"/>
        <v>0</v>
      </c>
      <c r="BM17" s="418">
        <f>M17+AN17</f>
        <v>0</v>
      </c>
      <c r="BN17" s="418">
        <f t="shared" si="4"/>
        <v>0</v>
      </c>
      <c r="BO17" s="418">
        <f t="shared" si="4"/>
        <v>0</v>
      </c>
      <c r="BP17" s="418">
        <f t="shared" si="5"/>
        <v>190069</v>
      </c>
      <c r="BQ17" s="418">
        <f t="shared" si="5"/>
        <v>5623</v>
      </c>
      <c r="BR17" s="418">
        <f>R17+AV17</f>
        <v>0</v>
      </c>
      <c r="BS17" s="419">
        <f>S17+BH17</f>
        <v>1.2413000000000001</v>
      </c>
      <c r="BT17" s="419">
        <f t="shared" si="6"/>
        <v>1.2413000000000001</v>
      </c>
      <c r="BU17" s="421">
        <f t="shared" si="6"/>
        <v>0</v>
      </c>
      <c r="BV17" s="420"/>
      <c r="BW17" s="415"/>
      <c r="BX17" s="415"/>
      <c r="BY17" s="415"/>
      <c r="BZ17" s="415"/>
      <c r="CA17" s="510"/>
    </row>
    <row r="18" spans="1:79" s="96" customFormat="1" ht="14.1" customHeight="1" x14ac:dyDescent="0.2">
      <c r="A18" s="118">
        <v>2</v>
      </c>
      <c r="B18" s="77">
        <v>2314</v>
      </c>
      <c r="C18" s="93">
        <v>600080358</v>
      </c>
      <c r="D18" s="77">
        <v>46745751</v>
      </c>
      <c r="E18" s="77" t="s">
        <v>706</v>
      </c>
      <c r="F18" s="94">
        <v>3143</v>
      </c>
      <c r="G18" s="77" t="s">
        <v>596</v>
      </c>
      <c r="H18" s="95" t="s">
        <v>272</v>
      </c>
      <c r="I18" s="600">
        <v>11767</v>
      </c>
      <c r="J18" s="599">
        <v>8422</v>
      </c>
      <c r="K18" s="599">
        <v>0</v>
      </c>
      <c r="L18" s="605">
        <v>8422</v>
      </c>
      <c r="M18" s="599">
        <v>0</v>
      </c>
      <c r="N18" s="606">
        <v>0</v>
      </c>
      <c r="O18" s="606">
        <v>0</v>
      </c>
      <c r="P18" s="599">
        <v>2847</v>
      </c>
      <c r="Q18" s="599">
        <v>84</v>
      </c>
      <c r="R18" s="606">
        <v>414</v>
      </c>
      <c r="S18" s="417">
        <v>3.1899999999999998E-2</v>
      </c>
      <c r="T18" s="609">
        <v>0</v>
      </c>
      <c r="U18" s="737">
        <v>3.1899999999999998E-2</v>
      </c>
      <c r="V18" s="424">
        <f t="shared" si="1"/>
        <v>0</v>
      </c>
      <c r="W18" s="418">
        <f t="shared" si="1"/>
        <v>0</v>
      </c>
      <c r="X18" s="418">
        <v>0</v>
      </c>
      <c r="Y18" s="418">
        <v>0</v>
      </c>
      <c r="Z18" s="418">
        <v>0</v>
      </c>
      <c r="AA18" s="418">
        <v>4228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4228</v>
      </c>
      <c r="AF18" s="418">
        <f>SUM(AD18:AE18)</f>
        <v>4228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2"/>
        <v>0</v>
      </c>
      <c r="AP18" s="418">
        <f t="shared" si="2"/>
        <v>4228</v>
      </c>
      <c r="AQ18" s="418">
        <f>SUM(AO18:AP18)</f>
        <v>4228</v>
      </c>
      <c r="AR18" s="68">
        <f>ROUND((AF18+AG18+AH18+AI18)*33.8%,0)</f>
        <v>1429</v>
      </c>
      <c r="AS18" s="68">
        <f>ROUND(AF18*1%,0)</f>
        <v>42</v>
      </c>
      <c r="AT18" s="418">
        <v>0</v>
      </c>
      <c r="AU18" s="418">
        <v>207</v>
      </c>
      <c r="AV18" s="418">
        <f>AT18+AU18</f>
        <v>207</v>
      </c>
      <c r="AW18" s="418">
        <f>AQ18+AR18+AS18+AV18</f>
        <v>5906</v>
      </c>
      <c r="AX18" s="419">
        <v>0</v>
      </c>
      <c r="AY18" s="419">
        <v>0</v>
      </c>
      <c r="AZ18" s="419">
        <v>0</v>
      </c>
      <c r="BA18" s="419">
        <v>0</v>
      </c>
      <c r="BB18" s="419">
        <v>0.02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0.02</v>
      </c>
      <c r="BH18" s="421">
        <f>SUM(BF18:BG18)</f>
        <v>0.02</v>
      </c>
      <c r="BI18" s="780">
        <f>I18+AW18</f>
        <v>17673</v>
      </c>
      <c r="BJ18" s="418">
        <f>J18+AF18</f>
        <v>12650</v>
      </c>
      <c r="BK18" s="418">
        <f t="shared" si="3"/>
        <v>0</v>
      </c>
      <c r="BL18" s="418">
        <f t="shared" si="3"/>
        <v>12650</v>
      </c>
      <c r="BM18" s="418">
        <f>M18+AN18</f>
        <v>0</v>
      </c>
      <c r="BN18" s="418">
        <f t="shared" si="4"/>
        <v>0</v>
      </c>
      <c r="BO18" s="418">
        <f t="shared" si="4"/>
        <v>0</v>
      </c>
      <c r="BP18" s="418">
        <f t="shared" si="5"/>
        <v>4276</v>
      </c>
      <c r="BQ18" s="418">
        <f t="shared" si="5"/>
        <v>126</v>
      </c>
      <c r="BR18" s="418">
        <f>R18+AV18</f>
        <v>621</v>
      </c>
      <c r="BS18" s="419">
        <f>S18+BH18</f>
        <v>5.1900000000000002E-2</v>
      </c>
      <c r="BT18" s="419">
        <f t="shared" si="6"/>
        <v>0</v>
      </c>
      <c r="BU18" s="421">
        <f t="shared" si="6"/>
        <v>5.1900000000000002E-2</v>
      </c>
      <c r="BV18" s="420"/>
      <c r="BW18" s="415"/>
      <c r="BX18" s="415"/>
      <c r="BY18" s="415"/>
      <c r="BZ18" s="415"/>
      <c r="CA18" s="510"/>
    </row>
    <row r="19" spans="1:79" s="96" customFormat="1" ht="14.1" customHeight="1" x14ac:dyDescent="0.2">
      <c r="A19" s="119">
        <v>2</v>
      </c>
      <c r="B19" s="97">
        <v>2314</v>
      </c>
      <c r="C19" s="98">
        <v>600080358</v>
      </c>
      <c r="D19" s="97">
        <v>46745751</v>
      </c>
      <c r="E19" s="97" t="s">
        <v>707</v>
      </c>
      <c r="F19" s="99"/>
      <c r="G19" s="100"/>
      <c r="H19" s="101"/>
      <c r="I19" s="438">
        <v>15572878</v>
      </c>
      <c r="J19" s="434">
        <v>11366852</v>
      </c>
      <c r="K19" s="434">
        <v>10612444</v>
      </c>
      <c r="L19" s="434">
        <v>754408</v>
      </c>
      <c r="M19" s="434">
        <v>114208</v>
      </c>
      <c r="N19" s="434">
        <v>60000</v>
      </c>
      <c r="O19" s="434">
        <v>54208</v>
      </c>
      <c r="P19" s="434">
        <v>3880598</v>
      </c>
      <c r="Q19" s="434">
        <v>113668</v>
      </c>
      <c r="R19" s="434">
        <v>97552</v>
      </c>
      <c r="S19" s="435">
        <v>19.498699999999999</v>
      </c>
      <c r="T19" s="435">
        <v>17.333499999999997</v>
      </c>
      <c r="U19" s="700">
        <v>2.1651999999999996</v>
      </c>
      <c r="V19" s="438">
        <f t="shared" ref="V19:CA19" si="7">SUM(V14:V18)</f>
        <v>0</v>
      </c>
      <c r="W19" s="434">
        <f t="shared" si="7"/>
        <v>0</v>
      </c>
      <c r="X19" s="434">
        <f t="shared" si="7"/>
        <v>0</v>
      </c>
      <c r="Y19" s="434">
        <f t="shared" si="7"/>
        <v>0</v>
      </c>
      <c r="Z19" s="434">
        <f t="shared" si="7"/>
        <v>0</v>
      </c>
      <c r="AA19" s="434">
        <f t="shared" si="7"/>
        <v>4228</v>
      </c>
      <c r="AB19" s="434">
        <f t="shared" si="7"/>
        <v>0</v>
      </c>
      <c r="AC19" s="434">
        <f t="shared" si="7"/>
        <v>0</v>
      </c>
      <c r="AD19" s="434">
        <f t="shared" si="7"/>
        <v>0</v>
      </c>
      <c r="AE19" s="434">
        <f t="shared" si="7"/>
        <v>4228</v>
      </c>
      <c r="AF19" s="434">
        <f t="shared" si="7"/>
        <v>4228</v>
      </c>
      <c r="AG19" s="434">
        <f t="shared" si="7"/>
        <v>0</v>
      </c>
      <c r="AH19" s="434">
        <f t="shared" si="7"/>
        <v>0</v>
      </c>
      <c r="AI19" s="434">
        <f t="shared" si="7"/>
        <v>0</v>
      </c>
      <c r="AJ19" s="434">
        <f t="shared" si="7"/>
        <v>0</v>
      </c>
      <c r="AK19" s="434">
        <f t="shared" si="7"/>
        <v>0</v>
      </c>
      <c r="AL19" s="434">
        <f t="shared" si="7"/>
        <v>0</v>
      </c>
      <c r="AM19" s="434">
        <f t="shared" si="7"/>
        <v>0</v>
      </c>
      <c r="AN19" s="434">
        <f t="shared" si="7"/>
        <v>0</v>
      </c>
      <c r="AO19" s="434">
        <f t="shared" si="7"/>
        <v>0</v>
      </c>
      <c r="AP19" s="434">
        <f t="shared" si="7"/>
        <v>4228</v>
      </c>
      <c r="AQ19" s="434">
        <f t="shared" si="7"/>
        <v>4228</v>
      </c>
      <c r="AR19" s="434">
        <f t="shared" si="7"/>
        <v>1429</v>
      </c>
      <c r="AS19" s="434">
        <f t="shared" si="7"/>
        <v>42</v>
      </c>
      <c r="AT19" s="434">
        <f t="shared" si="7"/>
        <v>0</v>
      </c>
      <c r="AU19" s="434">
        <f t="shared" si="7"/>
        <v>207</v>
      </c>
      <c r="AV19" s="434">
        <f t="shared" si="7"/>
        <v>207</v>
      </c>
      <c r="AW19" s="434">
        <f t="shared" si="7"/>
        <v>5906</v>
      </c>
      <c r="AX19" s="435">
        <f t="shared" si="7"/>
        <v>0</v>
      </c>
      <c r="AY19" s="435">
        <f t="shared" si="7"/>
        <v>0</v>
      </c>
      <c r="AZ19" s="435">
        <f t="shared" si="7"/>
        <v>0</v>
      </c>
      <c r="BA19" s="435">
        <f t="shared" si="7"/>
        <v>0</v>
      </c>
      <c r="BB19" s="435">
        <f t="shared" si="7"/>
        <v>0.02</v>
      </c>
      <c r="BC19" s="435">
        <f t="shared" si="7"/>
        <v>0</v>
      </c>
      <c r="BD19" s="435">
        <f t="shared" si="7"/>
        <v>0</v>
      </c>
      <c r="BE19" s="435">
        <f t="shared" si="7"/>
        <v>0</v>
      </c>
      <c r="BF19" s="435">
        <f t="shared" si="7"/>
        <v>0</v>
      </c>
      <c r="BG19" s="435">
        <f t="shared" si="7"/>
        <v>0.02</v>
      </c>
      <c r="BH19" s="103">
        <f t="shared" si="7"/>
        <v>0.02</v>
      </c>
      <c r="BI19" s="803">
        <f t="shared" si="7"/>
        <v>15578784</v>
      </c>
      <c r="BJ19" s="434">
        <f t="shared" si="7"/>
        <v>11371080</v>
      </c>
      <c r="BK19" s="434">
        <f t="shared" si="7"/>
        <v>10612444</v>
      </c>
      <c r="BL19" s="434">
        <f t="shared" si="7"/>
        <v>758636</v>
      </c>
      <c r="BM19" s="434">
        <f t="shared" si="7"/>
        <v>114208</v>
      </c>
      <c r="BN19" s="434">
        <f t="shared" si="7"/>
        <v>60000</v>
      </c>
      <c r="BO19" s="434">
        <f t="shared" si="7"/>
        <v>54208</v>
      </c>
      <c r="BP19" s="434">
        <f t="shared" si="7"/>
        <v>3882027</v>
      </c>
      <c r="BQ19" s="434">
        <f t="shared" si="7"/>
        <v>113710</v>
      </c>
      <c r="BR19" s="434">
        <f t="shared" si="7"/>
        <v>97759</v>
      </c>
      <c r="BS19" s="435">
        <f t="shared" si="7"/>
        <v>19.518699999999999</v>
      </c>
      <c r="BT19" s="435">
        <f t="shared" si="7"/>
        <v>17.333499999999997</v>
      </c>
      <c r="BU19" s="103">
        <f t="shared" si="7"/>
        <v>2.1851999999999996</v>
      </c>
      <c r="BV19" s="817">
        <f t="shared" si="7"/>
        <v>0</v>
      </c>
      <c r="BW19" s="703">
        <f t="shared" si="7"/>
        <v>0</v>
      </c>
      <c r="BX19" s="703">
        <f t="shared" si="7"/>
        <v>0</v>
      </c>
      <c r="BY19" s="703">
        <f t="shared" si="7"/>
        <v>0</v>
      </c>
      <c r="BZ19" s="703">
        <f t="shared" si="7"/>
        <v>0</v>
      </c>
      <c r="CA19" s="818">
        <f t="shared" si="7"/>
        <v>0</v>
      </c>
    </row>
    <row r="20" spans="1:79" s="96" customFormat="1" ht="14.1" customHeight="1" x14ac:dyDescent="0.2">
      <c r="A20" s="118">
        <v>3</v>
      </c>
      <c r="B20" s="102">
        <v>2448</v>
      </c>
      <c r="C20" s="93">
        <v>600080269</v>
      </c>
      <c r="D20" s="77">
        <v>63154617</v>
      </c>
      <c r="E20" s="77" t="s">
        <v>708</v>
      </c>
      <c r="F20" s="94">
        <v>3111</v>
      </c>
      <c r="G20" s="77" t="s">
        <v>290</v>
      </c>
      <c r="H20" s="95" t="s">
        <v>271</v>
      </c>
      <c r="I20" s="600">
        <v>17077257</v>
      </c>
      <c r="J20" s="599">
        <v>12474937</v>
      </c>
      <c r="K20" s="599">
        <v>11909257</v>
      </c>
      <c r="L20" s="599">
        <v>565680</v>
      </c>
      <c r="M20" s="599">
        <v>150000</v>
      </c>
      <c r="N20" s="599">
        <v>50000</v>
      </c>
      <c r="O20" s="599">
        <v>100000</v>
      </c>
      <c r="P20" s="599">
        <v>4267229</v>
      </c>
      <c r="Q20" s="599">
        <v>124749</v>
      </c>
      <c r="R20" s="599">
        <v>60342</v>
      </c>
      <c r="S20" s="417">
        <v>23.277000000000001</v>
      </c>
      <c r="T20" s="417">
        <v>20.61</v>
      </c>
      <c r="U20" s="754">
        <v>2.6669999999999998</v>
      </c>
      <c r="V20" s="424">
        <f t="shared" ref="V20:W27" si="8">AG20*-1</f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 t="shared" ref="AD20:AD27" si="9">V20+X20+Y20+Z20+AB20</f>
        <v>0</v>
      </c>
      <c r="AE20" s="418">
        <f t="shared" ref="AE20:AE27" si="10">W20+AA20+AC20</f>
        <v>0</v>
      </c>
      <c r="AF20" s="418">
        <f t="shared" ref="AF20:AF27" si="11"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ref="AL20:AL27" si="12">AG20+AI20+AJ20</f>
        <v>0</v>
      </c>
      <c r="AM20" s="418">
        <f t="shared" ref="AM20:AM27" si="13">AH20+AK20</f>
        <v>0</v>
      </c>
      <c r="AN20" s="418">
        <f t="shared" ref="AN20:AN27" si="14">SUM(AL20:AM20)</f>
        <v>0</v>
      </c>
      <c r="AO20" s="418">
        <f t="shared" ref="AO20:AP27" si="15">AD20+AL20</f>
        <v>0</v>
      </c>
      <c r="AP20" s="418">
        <f t="shared" si="15"/>
        <v>0</v>
      </c>
      <c r="AQ20" s="418">
        <f t="shared" ref="AQ20:AQ27" si="16">SUM(AO20:AP20)</f>
        <v>0</v>
      </c>
      <c r="AR20" s="68">
        <f t="shared" ref="AR20:AR27" si="17">ROUND((AF20+AG20+AH20+AI20)*33.8%,0)</f>
        <v>0</v>
      </c>
      <c r="AS20" s="68">
        <f t="shared" ref="AS20:AS27" si="18">ROUND(AF20*1%,0)</f>
        <v>0</v>
      </c>
      <c r="AT20" s="418">
        <v>0</v>
      </c>
      <c r="AU20" s="418">
        <v>0</v>
      </c>
      <c r="AV20" s="418">
        <f t="shared" ref="AV20:AV27" si="19">AT20+AU20</f>
        <v>0</v>
      </c>
      <c r="AW20" s="418">
        <f t="shared" ref="AW20:AW27" si="20"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 t="shared" ref="BF20:BF27" si="21">AX20+AZ20+BA20+BC20+BD20</f>
        <v>0</v>
      </c>
      <c r="BG20" s="419">
        <f t="shared" ref="BG20:BG27" si="22">AY20+BB20+BE20</f>
        <v>0</v>
      </c>
      <c r="BH20" s="421">
        <f t="shared" ref="BH20:BH27" si="23">SUM(BF20:BG20)</f>
        <v>0</v>
      </c>
      <c r="BI20" s="780">
        <f t="shared" ref="BI20:BI27" si="24">I20+AW20</f>
        <v>17077257</v>
      </c>
      <c r="BJ20" s="418">
        <f t="shared" ref="BJ20:BJ27" si="25">J20+AF20</f>
        <v>12474937</v>
      </c>
      <c r="BK20" s="418">
        <f t="shared" ref="BK20:BL27" si="26">K20+AD20</f>
        <v>11909257</v>
      </c>
      <c r="BL20" s="418">
        <f t="shared" si="26"/>
        <v>565680</v>
      </c>
      <c r="BM20" s="418">
        <f t="shared" ref="BM20:BM27" si="27">M20+AN20</f>
        <v>150000</v>
      </c>
      <c r="BN20" s="418">
        <f t="shared" ref="BN20:BO27" si="28">N20+AL20</f>
        <v>50000</v>
      </c>
      <c r="BO20" s="418">
        <f t="shared" si="28"/>
        <v>100000</v>
      </c>
      <c r="BP20" s="418">
        <f t="shared" ref="BP20:BQ27" si="29">P20+AR20</f>
        <v>4267229</v>
      </c>
      <c r="BQ20" s="418">
        <f t="shared" si="29"/>
        <v>124749</v>
      </c>
      <c r="BR20" s="418">
        <f t="shared" ref="BR20:BR27" si="30">R20+AV20</f>
        <v>60342</v>
      </c>
      <c r="BS20" s="419">
        <f t="shared" ref="BS20:BS27" si="31">S20+BH20</f>
        <v>23.277000000000001</v>
      </c>
      <c r="BT20" s="419">
        <f t="shared" ref="BT20:BU27" si="32">T20+BF20</f>
        <v>20.61</v>
      </c>
      <c r="BU20" s="421">
        <f t="shared" si="32"/>
        <v>2.6669999999999998</v>
      </c>
      <c r="BV20" s="420"/>
      <c r="BW20" s="415"/>
      <c r="BX20" s="415"/>
      <c r="BY20" s="415"/>
      <c r="BZ20" s="415"/>
      <c r="CA20" s="510"/>
    </row>
    <row r="21" spans="1:79" s="96" customFormat="1" ht="14.1" customHeight="1" x14ac:dyDescent="0.2">
      <c r="A21" s="118">
        <v>3</v>
      </c>
      <c r="B21" s="102">
        <v>2448</v>
      </c>
      <c r="C21" s="93">
        <v>600080269</v>
      </c>
      <c r="D21" s="77">
        <v>63154617</v>
      </c>
      <c r="E21" s="77" t="s">
        <v>708</v>
      </c>
      <c r="F21" s="94">
        <v>3113</v>
      </c>
      <c r="G21" s="77" t="s">
        <v>293</v>
      </c>
      <c r="H21" s="95" t="s">
        <v>271</v>
      </c>
      <c r="I21" s="600">
        <v>63326040</v>
      </c>
      <c r="J21" s="599">
        <v>46042351</v>
      </c>
      <c r="K21" s="599">
        <v>42996646</v>
      </c>
      <c r="L21" s="599">
        <v>3045705</v>
      </c>
      <c r="M21" s="599">
        <v>275000</v>
      </c>
      <c r="N21" s="599">
        <v>120000</v>
      </c>
      <c r="O21" s="599">
        <v>155000</v>
      </c>
      <c r="P21" s="599">
        <v>15655265</v>
      </c>
      <c r="Q21" s="599">
        <v>460424</v>
      </c>
      <c r="R21" s="599">
        <v>893000</v>
      </c>
      <c r="S21" s="417">
        <v>70.065000000000012</v>
      </c>
      <c r="T21" s="417">
        <v>59.994900000000001</v>
      </c>
      <c r="U21" s="754">
        <v>10.0701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 t="shared" si="9"/>
        <v>0</v>
      </c>
      <c r="AE21" s="418">
        <f t="shared" si="10"/>
        <v>0</v>
      </c>
      <c r="AF21" s="418">
        <f t="shared" si="11"/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12"/>
        <v>0</v>
      </c>
      <c r="AM21" s="418">
        <f t="shared" si="13"/>
        <v>0</v>
      </c>
      <c r="AN21" s="418">
        <f t="shared" si="14"/>
        <v>0</v>
      </c>
      <c r="AO21" s="418">
        <f t="shared" si="15"/>
        <v>0</v>
      </c>
      <c r="AP21" s="418">
        <f t="shared" si="15"/>
        <v>0</v>
      </c>
      <c r="AQ21" s="418">
        <f t="shared" si="16"/>
        <v>0</v>
      </c>
      <c r="AR21" s="68">
        <f t="shared" si="17"/>
        <v>0</v>
      </c>
      <c r="AS21" s="68">
        <f t="shared" si="18"/>
        <v>0</v>
      </c>
      <c r="AT21" s="418">
        <v>0</v>
      </c>
      <c r="AU21" s="418">
        <v>0</v>
      </c>
      <c r="AV21" s="418">
        <f t="shared" si="19"/>
        <v>0</v>
      </c>
      <c r="AW21" s="418">
        <f t="shared" si="20"/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 t="shared" si="21"/>
        <v>0</v>
      </c>
      <c r="BG21" s="419">
        <f t="shared" si="22"/>
        <v>0</v>
      </c>
      <c r="BH21" s="421">
        <f t="shared" si="23"/>
        <v>0</v>
      </c>
      <c r="BI21" s="780">
        <f t="shared" si="24"/>
        <v>63326040</v>
      </c>
      <c r="BJ21" s="418">
        <f t="shared" si="25"/>
        <v>46042351</v>
      </c>
      <c r="BK21" s="418">
        <f t="shared" si="26"/>
        <v>42996646</v>
      </c>
      <c r="BL21" s="418">
        <f t="shared" si="26"/>
        <v>3045705</v>
      </c>
      <c r="BM21" s="418">
        <f t="shared" si="27"/>
        <v>275000</v>
      </c>
      <c r="BN21" s="418">
        <f t="shared" si="28"/>
        <v>120000</v>
      </c>
      <c r="BO21" s="418">
        <f t="shared" si="28"/>
        <v>155000</v>
      </c>
      <c r="BP21" s="418">
        <f t="shared" si="29"/>
        <v>15655265</v>
      </c>
      <c r="BQ21" s="418">
        <f t="shared" si="29"/>
        <v>460424</v>
      </c>
      <c r="BR21" s="418">
        <f t="shared" si="30"/>
        <v>893000</v>
      </c>
      <c r="BS21" s="419">
        <f t="shared" si="31"/>
        <v>70.065000000000012</v>
      </c>
      <c r="BT21" s="419">
        <f t="shared" si="32"/>
        <v>59.994900000000001</v>
      </c>
      <c r="BU21" s="421">
        <f t="shared" si="32"/>
        <v>10.0701</v>
      </c>
      <c r="BV21" s="420">
        <v>760272</v>
      </c>
      <c r="BW21" s="415">
        <v>564000</v>
      </c>
      <c r="BX21" s="415">
        <v>0</v>
      </c>
      <c r="BY21" s="415">
        <v>190632</v>
      </c>
      <c r="BZ21" s="415">
        <v>5640</v>
      </c>
      <c r="CA21" s="510">
        <v>1</v>
      </c>
    </row>
    <row r="22" spans="1:79" s="96" customFormat="1" ht="14.1" customHeight="1" x14ac:dyDescent="0.2">
      <c r="A22" s="118">
        <v>3</v>
      </c>
      <c r="B22" s="77">
        <v>2448</v>
      </c>
      <c r="C22" s="93">
        <v>600080269</v>
      </c>
      <c r="D22" s="77">
        <v>63154617</v>
      </c>
      <c r="E22" s="77" t="s">
        <v>708</v>
      </c>
      <c r="F22" s="94">
        <v>3113</v>
      </c>
      <c r="G22" s="77" t="s">
        <v>291</v>
      </c>
      <c r="H22" s="95" t="s">
        <v>272</v>
      </c>
      <c r="I22" s="600">
        <v>8771042</v>
      </c>
      <c r="J22" s="599">
        <v>6472583</v>
      </c>
      <c r="K22" s="599">
        <v>6472583</v>
      </c>
      <c r="L22" s="599">
        <v>0</v>
      </c>
      <c r="M22" s="599">
        <v>0</v>
      </c>
      <c r="N22" s="599">
        <v>0</v>
      </c>
      <c r="O22" s="599">
        <v>0</v>
      </c>
      <c r="P22" s="599">
        <v>2187733</v>
      </c>
      <c r="Q22" s="599">
        <v>64726</v>
      </c>
      <c r="R22" s="599">
        <v>46000</v>
      </c>
      <c r="S22" s="417">
        <v>17.440000000000001</v>
      </c>
      <c r="T22" s="417">
        <v>17.440000000000001</v>
      </c>
      <c r="U22" s="754">
        <v>0</v>
      </c>
      <c r="V22" s="424">
        <f t="shared" si="8"/>
        <v>0</v>
      </c>
      <c r="W22" s="418">
        <f t="shared" si="8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 t="shared" si="9"/>
        <v>0</v>
      </c>
      <c r="AE22" s="418">
        <f t="shared" si="10"/>
        <v>0</v>
      </c>
      <c r="AF22" s="418">
        <f t="shared" si="11"/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 t="shared" si="12"/>
        <v>0</v>
      </c>
      <c r="AM22" s="418">
        <f t="shared" si="13"/>
        <v>0</v>
      </c>
      <c r="AN22" s="418">
        <f t="shared" si="14"/>
        <v>0</v>
      </c>
      <c r="AO22" s="418">
        <f t="shared" si="15"/>
        <v>0</v>
      </c>
      <c r="AP22" s="418">
        <f t="shared" si="15"/>
        <v>0</v>
      </c>
      <c r="AQ22" s="418">
        <f t="shared" si="16"/>
        <v>0</v>
      </c>
      <c r="AR22" s="68">
        <f t="shared" si="17"/>
        <v>0</v>
      </c>
      <c r="AS22" s="68">
        <f t="shared" si="18"/>
        <v>0</v>
      </c>
      <c r="AT22" s="418">
        <v>0</v>
      </c>
      <c r="AU22" s="418">
        <v>0</v>
      </c>
      <c r="AV22" s="418">
        <f t="shared" si="19"/>
        <v>0</v>
      </c>
      <c r="AW22" s="418">
        <f t="shared" si="20"/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 t="shared" si="21"/>
        <v>0</v>
      </c>
      <c r="BG22" s="419">
        <f t="shared" si="22"/>
        <v>0</v>
      </c>
      <c r="BH22" s="421">
        <f t="shared" si="23"/>
        <v>0</v>
      </c>
      <c r="BI22" s="780">
        <f t="shared" si="24"/>
        <v>8771042</v>
      </c>
      <c r="BJ22" s="418">
        <f t="shared" si="25"/>
        <v>6472583</v>
      </c>
      <c r="BK22" s="418">
        <f t="shared" si="26"/>
        <v>6472583</v>
      </c>
      <c r="BL22" s="418">
        <f t="shared" si="26"/>
        <v>0</v>
      </c>
      <c r="BM22" s="418">
        <f t="shared" si="27"/>
        <v>0</v>
      </c>
      <c r="BN22" s="418">
        <f t="shared" si="28"/>
        <v>0</v>
      </c>
      <c r="BO22" s="418">
        <f t="shared" si="28"/>
        <v>0</v>
      </c>
      <c r="BP22" s="418">
        <f t="shared" si="29"/>
        <v>2187733</v>
      </c>
      <c r="BQ22" s="418">
        <f t="shared" si="29"/>
        <v>64726</v>
      </c>
      <c r="BR22" s="418">
        <f t="shared" si="30"/>
        <v>46000</v>
      </c>
      <c r="BS22" s="419">
        <f t="shared" si="31"/>
        <v>17.440000000000001</v>
      </c>
      <c r="BT22" s="419">
        <f t="shared" si="32"/>
        <v>17.440000000000001</v>
      </c>
      <c r="BU22" s="421">
        <f t="shared" si="32"/>
        <v>0</v>
      </c>
      <c r="BV22" s="420"/>
      <c r="BW22" s="415"/>
      <c r="BX22" s="415"/>
      <c r="BY22" s="415"/>
      <c r="BZ22" s="415"/>
      <c r="CA22" s="510"/>
    </row>
    <row r="23" spans="1:79" s="96" customFormat="1" ht="14.1" customHeight="1" x14ac:dyDescent="0.2">
      <c r="A23" s="118">
        <v>3</v>
      </c>
      <c r="B23" s="102">
        <v>2448</v>
      </c>
      <c r="C23" s="93">
        <v>600080269</v>
      </c>
      <c r="D23" s="77">
        <v>63154617</v>
      </c>
      <c r="E23" s="102" t="s">
        <v>708</v>
      </c>
      <c r="F23" s="94">
        <v>3141</v>
      </c>
      <c r="G23" s="77" t="s">
        <v>294</v>
      </c>
      <c r="H23" s="95" t="s">
        <v>272</v>
      </c>
      <c r="I23" s="600">
        <v>2825301</v>
      </c>
      <c r="J23" s="599">
        <v>2023117</v>
      </c>
      <c r="K23" s="599">
        <v>0</v>
      </c>
      <c r="L23" s="605">
        <v>2023117</v>
      </c>
      <c r="M23" s="599">
        <v>60000</v>
      </c>
      <c r="N23" s="599">
        <v>0</v>
      </c>
      <c r="O23" s="599">
        <v>60000</v>
      </c>
      <c r="P23" s="599">
        <v>704094</v>
      </c>
      <c r="Q23" s="599">
        <v>20231</v>
      </c>
      <c r="R23" s="599">
        <v>17859</v>
      </c>
      <c r="S23" s="417">
        <v>6.2466000000000008</v>
      </c>
      <c r="T23" s="417">
        <v>0</v>
      </c>
      <c r="U23" s="754">
        <v>6.2466000000000008</v>
      </c>
      <c r="V23" s="424">
        <f t="shared" si="8"/>
        <v>0</v>
      </c>
      <c r="W23" s="418">
        <f t="shared" si="8"/>
        <v>0</v>
      </c>
      <c r="X23" s="418">
        <v>0</v>
      </c>
      <c r="Y23" s="418">
        <v>0</v>
      </c>
      <c r="Z23" s="418">
        <v>0</v>
      </c>
      <c r="AA23" s="418">
        <v>1041011</v>
      </c>
      <c r="AB23" s="418">
        <v>0</v>
      </c>
      <c r="AC23" s="418">
        <v>0</v>
      </c>
      <c r="AD23" s="418">
        <f t="shared" si="9"/>
        <v>0</v>
      </c>
      <c r="AE23" s="418">
        <f t="shared" si="10"/>
        <v>1041011</v>
      </c>
      <c r="AF23" s="418">
        <f t="shared" si="11"/>
        <v>1041011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 t="shared" si="12"/>
        <v>0</v>
      </c>
      <c r="AM23" s="418">
        <f t="shared" si="13"/>
        <v>0</v>
      </c>
      <c r="AN23" s="418">
        <f t="shared" si="14"/>
        <v>0</v>
      </c>
      <c r="AO23" s="418">
        <f t="shared" si="15"/>
        <v>0</v>
      </c>
      <c r="AP23" s="418">
        <f t="shared" si="15"/>
        <v>1041011</v>
      </c>
      <c r="AQ23" s="418">
        <f t="shared" si="16"/>
        <v>1041011</v>
      </c>
      <c r="AR23" s="68">
        <f t="shared" si="17"/>
        <v>351862</v>
      </c>
      <c r="AS23" s="68">
        <f t="shared" si="18"/>
        <v>10410</v>
      </c>
      <c r="AT23" s="418">
        <v>0</v>
      </c>
      <c r="AU23" s="418">
        <v>8595</v>
      </c>
      <c r="AV23" s="418">
        <f t="shared" si="19"/>
        <v>8595</v>
      </c>
      <c r="AW23" s="418">
        <f t="shared" si="20"/>
        <v>1411878</v>
      </c>
      <c r="AX23" s="419">
        <v>0</v>
      </c>
      <c r="AY23" s="419">
        <v>0</v>
      </c>
      <c r="AZ23" s="419">
        <v>0</v>
      </c>
      <c r="BA23" s="419">
        <v>0</v>
      </c>
      <c r="BB23" s="419">
        <v>3.12</v>
      </c>
      <c r="BC23" s="419">
        <v>0</v>
      </c>
      <c r="BD23" s="419">
        <v>0</v>
      </c>
      <c r="BE23" s="419">
        <v>0</v>
      </c>
      <c r="BF23" s="419">
        <f t="shared" si="21"/>
        <v>0</v>
      </c>
      <c r="BG23" s="419">
        <f t="shared" si="22"/>
        <v>3.12</v>
      </c>
      <c r="BH23" s="421">
        <f t="shared" si="23"/>
        <v>3.12</v>
      </c>
      <c r="BI23" s="780">
        <f t="shared" si="24"/>
        <v>4237179</v>
      </c>
      <c r="BJ23" s="418">
        <f t="shared" si="25"/>
        <v>3064128</v>
      </c>
      <c r="BK23" s="418">
        <f t="shared" si="26"/>
        <v>0</v>
      </c>
      <c r="BL23" s="418">
        <f t="shared" si="26"/>
        <v>3064128</v>
      </c>
      <c r="BM23" s="418">
        <f t="shared" si="27"/>
        <v>60000</v>
      </c>
      <c r="BN23" s="418">
        <f t="shared" si="28"/>
        <v>0</v>
      </c>
      <c r="BO23" s="418">
        <f t="shared" si="28"/>
        <v>60000</v>
      </c>
      <c r="BP23" s="418">
        <f t="shared" si="29"/>
        <v>1055956</v>
      </c>
      <c r="BQ23" s="418">
        <f t="shared" si="29"/>
        <v>30641</v>
      </c>
      <c r="BR23" s="418">
        <f t="shared" si="30"/>
        <v>26454</v>
      </c>
      <c r="BS23" s="419">
        <f t="shared" si="31"/>
        <v>9.3666000000000018</v>
      </c>
      <c r="BT23" s="419">
        <f t="shared" si="32"/>
        <v>0</v>
      </c>
      <c r="BU23" s="421">
        <f t="shared" si="32"/>
        <v>9.3666000000000018</v>
      </c>
      <c r="BV23" s="420"/>
      <c r="BW23" s="415"/>
      <c r="BX23" s="415"/>
      <c r="BY23" s="415"/>
      <c r="BZ23" s="415"/>
      <c r="CA23" s="510"/>
    </row>
    <row r="24" spans="1:79" s="96" customFormat="1" ht="14.1" customHeight="1" x14ac:dyDescent="0.2">
      <c r="A24" s="118">
        <v>3</v>
      </c>
      <c r="B24" s="77">
        <v>2448</v>
      </c>
      <c r="C24" s="93">
        <v>600080269</v>
      </c>
      <c r="D24" s="77">
        <v>63154617</v>
      </c>
      <c r="E24" s="77" t="s">
        <v>708</v>
      </c>
      <c r="F24" s="94">
        <v>3143</v>
      </c>
      <c r="G24" s="77" t="s">
        <v>595</v>
      </c>
      <c r="H24" s="95" t="s">
        <v>271</v>
      </c>
      <c r="I24" s="600">
        <v>4369482</v>
      </c>
      <c r="J24" s="599">
        <v>3167012</v>
      </c>
      <c r="K24" s="599">
        <v>3167012</v>
      </c>
      <c r="L24" s="599">
        <v>0</v>
      </c>
      <c r="M24" s="599">
        <v>75000</v>
      </c>
      <c r="N24" s="599">
        <v>75000</v>
      </c>
      <c r="O24" s="599">
        <v>0</v>
      </c>
      <c r="P24" s="599">
        <v>1095800</v>
      </c>
      <c r="Q24" s="599">
        <v>31670</v>
      </c>
      <c r="R24" s="599">
        <v>0</v>
      </c>
      <c r="S24" s="417">
        <v>6.1000000000000005</v>
      </c>
      <c r="T24" s="417">
        <v>6.1000000000000005</v>
      </c>
      <c r="U24" s="754">
        <v>0</v>
      </c>
      <c r="V24" s="424">
        <f t="shared" si="8"/>
        <v>0</v>
      </c>
      <c r="W24" s="418">
        <f t="shared" si="8"/>
        <v>0</v>
      </c>
      <c r="X24" s="418">
        <v>0</v>
      </c>
      <c r="Y24" s="418">
        <v>0</v>
      </c>
      <c r="Z24" s="418">
        <v>0</v>
      </c>
      <c r="AA24" s="418">
        <v>0</v>
      </c>
      <c r="AB24" s="418">
        <v>0</v>
      </c>
      <c r="AC24" s="418">
        <v>0</v>
      </c>
      <c r="AD24" s="418">
        <f t="shared" si="9"/>
        <v>0</v>
      </c>
      <c r="AE24" s="418">
        <f t="shared" si="10"/>
        <v>0</v>
      </c>
      <c r="AF24" s="418">
        <f t="shared" si="11"/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12"/>
        <v>0</v>
      </c>
      <c r="AM24" s="418">
        <f t="shared" si="13"/>
        <v>0</v>
      </c>
      <c r="AN24" s="418">
        <f t="shared" si="14"/>
        <v>0</v>
      </c>
      <c r="AO24" s="418">
        <f t="shared" si="15"/>
        <v>0</v>
      </c>
      <c r="AP24" s="418">
        <f t="shared" si="15"/>
        <v>0</v>
      </c>
      <c r="AQ24" s="418">
        <f t="shared" si="16"/>
        <v>0</v>
      </c>
      <c r="AR24" s="68">
        <f t="shared" si="17"/>
        <v>0</v>
      </c>
      <c r="AS24" s="68">
        <f t="shared" si="18"/>
        <v>0</v>
      </c>
      <c r="AT24" s="418">
        <v>0</v>
      </c>
      <c r="AU24" s="418">
        <v>0</v>
      </c>
      <c r="AV24" s="418">
        <f t="shared" si="19"/>
        <v>0</v>
      </c>
      <c r="AW24" s="418">
        <f t="shared" si="20"/>
        <v>0</v>
      </c>
      <c r="AX24" s="419">
        <v>0</v>
      </c>
      <c r="AY24" s="419">
        <v>0</v>
      </c>
      <c r="AZ24" s="419">
        <v>0</v>
      </c>
      <c r="BA24" s="419">
        <v>0</v>
      </c>
      <c r="BB24" s="419">
        <v>0</v>
      </c>
      <c r="BC24" s="419">
        <v>0</v>
      </c>
      <c r="BD24" s="419">
        <v>0</v>
      </c>
      <c r="BE24" s="419">
        <v>0</v>
      </c>
      <c r="BF24" s="419">
        <f t="shared" si="21"/>
        <v>0</v>
      </c>
      <c r="BG24" s="419">
        <f t="shared" si="22"/>
        <v>0</v>
      </c>
      <c r="BH24" s="421">
        <f t="shared" si="23"/>
        <v>0</v>
      </c>
      <c r="BI24" s="780">
        <f t="shared" si="24"/>
        <v>4369482</v>
      </c>
      <c r="BJ24" s="418">
        <f t="shared" si="25"/>
        <v>3167012</v>
      </c>
      <c r="BK24" s="418">
        <f t="shared" si="26"/>
        <v>3167012</v>
      </c>
      <c r="BL24" s="418">
        <f t="shared" si="26"/>
        <v>0</v>
      </c>
      <c r="BM24" s="418">
        <f t="shared" si="27"/>
        <v>75000</v>
      </c>
      <c r="BN24" s="418">
        <f t="shared" si="28"/>
        <v>75000</v>
      </c>
      <c r="BO24" s="418">
        <f t="shared" si="28"/>
        <v>0</v>
      </c>
      <c r="BP24" s="418">
        <f t="shared" si="29"/>
        <v>1095800</v>
      </c>
      <c r="BQ24" s="418">
        <f t="shared" si="29"/>
        <v>31670</v>
      </c>
      <c r="BR24" s="418">
        <f t="shared" si="30"/>
        <v>0</v>
      </c>
      <c r="BS24" s="419">
        <f t="shared" si="31"/>
        <v>6.1000000000000005</v>
      </c>
      <c r="BT24" s="419">
        <f t="shared" si="32"/>
        <v>6.1000000000000005</v>
      </c>
      <c r="BU24" s="421">
        <f t="shared" si="32"/>
        <v>0</v>
      </c>
      <c r="BV24" s="420"/>
      <c r="BW24" s="415"/>
      <c r="BX24" s="415"/>
      <c r="BY24" s="415"/>
      <c r="BZ24" s="415"/>
      <c r="CA24" s="510"/>
    </row>
    <row r="25" spans="1:79" s="96" customFormat="1" ht="14.1" customHeight="1" x14ac:dyDescent="0.2">
      <c r="A25" s="118">
        <v>3</v>
      </c>
      <c r="B25" s="77">
        <v>2448</v>
      </c>
      <c r="C25" s="93">
        <v>600080269</v>
      </c>
      <c r="D25" s="77">
        <v>63154617</v>
      </c>
      <c r="E25" s="77" t="s">
        <v>708</v>
      </c>
      <c r="F25" s="94">
        <v>3143</v>
      </c>
      <c r="G25" s="77" t="s">
        <v>596</v>
      </c>
      <c r="H25" s="95" t="s">
        <v>272</v>
      </c>
      <c r="I25" s="600">
        <v>110170</v>
      </c>
      <c r="J25" s="599">
        <v>78857</v>
      </c>
      <c r="K25" s="599">
        <v>0</v>
      </c>
      <c r="L25" s="605">
        <v>78857</v>
      </c>
      <c r="M25" s="599">
        <v>0</v>
      </c>
      <c r="N25" s="605">
        <v>0</v>
      </c>
      <c r="O25" s="605">
        <v>0</v>
      </c>
      <c r="P25" s="599">
        <v>26654</v>
      </c>
      <c r="Q25" s="599">
        <v>789</v>
      </c>
      <c r="R25" s="605">
        <v>3870</v>
      </c>
      <c r="S25" s="417">
        <v>0.29869999999999997</v>
      </c>
      <c r="T25" s="607">
        <v>0</v>
      </c>
      <c r="U25" s="737">
        <v>0.29869999999999997</v>
      </c>
      <c r="V25" s="424">
        <f t="shared" si="8"/>
        <v>0</v>
      </c>
      <c r="W25" s="418">
        <f t="shared" si="8"/>
        <v>0</v>
      </c>
      <c r="X25" s="418">
        <v>0</v>
      </c>
      <c r="Y25" s="418">
        <v>0</v>
      </c>
      <c r="Z25" s="418">
        <v>0</v>
      </c>
      <c r="AA25" s="418">
        <v>39393</v>
      </c>
      <c r="AB25" s="418">
        <v>0</v>
      </c>
      <c r="AC25" s="418">
        <v>0</v>
      </c>
      <c r="AD25" s="418">
        <f t="shared" si="9"/>
        <v>0</v>
      </c>
      <c r="AE25" s="418">
        <f t="shared" si="10"/>
        <v>39393</v>
      </c>
      <c r="AF25" s="418">
        <f t="shared" si="11"/>
        <v>39393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 t="shared" si="12"/>
        <v>0</v>
      </c>
      <c r="AM25" s="418">
        <f t="shared" si="13"/>
        <v>0</v>
      </c>
      <c r="AN25" s="418">
        <f t="shared" si="14"/>
        <v>0</v>
      </c>
      <c r="AO25" s="418">
        <f t="shared" si="15"/>
        <v>0</v>
      </c>
      <c r="AP25" s="418">
        <f t="shared" si="15"/>
        <v>39393</v>
      </c>
      <c r="AQ25" s="418">
        <f t="shared" si="16"/>
        <v>39393</v>
      </c>
      <c r="AR25" s="68">
        <f t="shared" si="17"/>
        <v>13315</v>
      </c>
      <c r="AS25" s="68">
        <f t="shared" si="18"/>
        <v>394</v>
      </c>
      <c r="AT25" s="418">
        <v>0</v>
      </c>
      <c r="AU25" s="418">
        <v>1935</v>
      </c>
      <c r="AV25" s="418">
        <f t="shared" si="19"/>
        <v>1935</v>
      </c>
      <c r="AW25" s="418">
        <f t="shared" si="20"/>
        <v>55037</v>
      </c>
      <c r="AX25" s="419">
        <v>0</v>
      </c>
      <c r="AY25" s="419">
        <v>0</v>
      </c>
      <c r="AZ25" s="419">
        <v>0</v>
      </c>
      <c r="BA25" s="419">
        <v>0</v>
      </c>
      <c r="BB25" s="419">
        <v>0.15</v>
      </c>
      <c r="BC25" s="419">
        <v>0</v>
      </c>
      <c r="BD25" s="419">
        <v>0</v>
      </c>
      <c r="BE25" s="419">
        <v>0</v>
      </c>
      <c r="BF25" s="419">
        <f t="shared" si="21"/>
        <v>0</v>
      </c>
      <c r="BG25" s="419">
        <f t="shared" si="22"/>
        <v>0.15</v>
      </c>
      <c r="BH25" s="421">
        <f t="shared" si="23"/>
        <v>0.15</v>
      </c>
      <c r="BI25" s="780">
        <f t="shared" si="24"/>
        <v>165207</v>
      </c>
      <c r="BJ25" s="418">
        <f t="shared" si="25"/>
        <v>118250</v>
      </c>
      <c r="BK25" s="418">
        <f t="shared" si="26"/>
        <v>0</v>
      </c>
      <c r="BL25" s="418">
        <f t="shared" si="26"/>
        <v>118250</v>
      </c>
      <c r="BM25" s="418">
        <f t="shared" si="27"/>
        <v>0</v>
      </c>
      <c r="BN25" s="418">
        <f t="shared" si="28"/>
        <v>0</v>
      </c>
      <c r="BO25" s="418">
        <f t="shared" si="28"/>
        <v>0</v>
      </c>
      <c r="BP25" s="418">
        <f t="shared" si="29"/>
        <v>39969</v>
      </c>
      <c r="BQ25" s="418">
        <f t="shared" si="29"/>
        <v>1183</v>
      </c>
      <c r="BR25" s="418">
        <f t="shared" si="30"/>
        <v>5805</v>
      </c>
      <c r="BS25" s="419">
        <f t="shared" si="31"/>
        <v>0.44869999999999999</v>
      </c>
      <c r="BT25" s="419">
        <f t="shared" si="32"/>
        <v>0</v>
      </c>
      <c r="BU25" s="421">
        <f t="shared" si="32"/>
        <v>0.44869999999999999</v>
      </c>
      <c r="BV25" s="420"/>
      <c r="BW25" s="415"/>
      <c r="BX25" s="415"/>
      <c r="BY25" s="415"/>
      <c r="BZ25" s="415"/>
      <c r="CA25" s="510"/>
    </row>
    <row r="26" spans="1:79" s="96" customFormat="1" ht="14.1" customHeight="1" x14ac:dyDescent="0.2">
      <c r="A26" s="118">
        <v>3</v>
      </c>
      <c r="B26" s="77">
        <v>2448</v>
      </c>
      <c r="C26" s="93">
        <v>600080269</v>
      </c>
      <c r="D26" s="77">
        <v>63154617</v>
      </c>
      <c r="E26" s="77" t="s">
        <v>708</v>
      </c>
      <c r="F26" s="94">
        <v>3231</v>
      </c>
      <c r="G26" s="77" t="s">
        <v>295</v>
      </c>
      <c r="H26" s="95" t="s">
        <v>271</v>
      </c>
      <c r="I26" s="600">
        <v>9380634</v>
      </c>
      <c r="J26" s="599">
        <v>6805311</v>
      </c>
      <c r="K26" s="16">
        <v>6601391</v>
      </c>
      <c r="L26" s="16">
        <v>203920</v>
      </c>
      <c r="M26" s="599">
        <v>140000</v>
      </c>
      <c r="N26" s="599">
        <v>90000</v>
      </c>
      <c r="O26" s="599">
        <v>50000</v>
      </c>
      <c r="P26" s="599">
        <v>2347515</v>
      </c>
      <c r="Q26" s="599">
        <v>68053</v>
      </c>
      <c r="R26" s="16">
        <v>19755</v>
      </c>
      <c r="S26" s="417">
        <v>10.905000000000001</v>
      </c>
      <c r="T26" s="13">
        <v>10.3325</v>
      </c>
      <c r="U26" s="169">
        <v>0.57250000000000001</v>
      </c>
      <c r="V26" s="424">
        <f t="shared" si="8"/>
        <v>0</v>
      </c>
      <c r="W26" s="418">
        <f t="shared" si="8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si="9"/>
        <v>0</v>
      </c>
      <c r="AE26" s="418">
        <f t="shared" si="10"/>
        <v>0</v>
      </c>
      <c r="AF26" s="418">
        <f t="shared" si="11"/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12"/>
        <v>0</v>
      </c>
      <c r="AM26" s="418">
        <f t="shared" si="13"/>
        <v>0</v>
      </c>
      <c r="AN26" s="418">
        <f t="shared" si="14"/>
        <v>0</v>
      </c>
      <c r="AO26" s="418">
        <f t="shared" si="15"/>
        <v>0</v>
      </c>
      <c r="AP26" s="418">
        <f t="shared" si="15"/>
        <v>0</v>
      </c>
      <c r="AQ26" s="418">
        <f t="shared" si="16"/>
        <v>0</v>
      </c>
      <c r="AR26" s="68">
        <f t="shared" si="17"/>
        <v>0</v>
      </c>
      <c r="AS26" s="68">
        <f t="shared" si="18"/>
        <v>0</v>
      </c>
      <c r="AT26" s="418">
        <v>0</v>
      </c>
      <c r="AU26" s="418">
        <v>0</v>
      </c>
      <c r="AV26" s="418">
        <f t="shared" si="19"/>
        <v>0</v>
      </c>
      <c r="AW26" s="418">
        <f t="shared" si="20"/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si="21"/>
        <v>0</v>
      </c>
      <c r="BG26" s="419">
        <f t="shared" si="22"/>
        <v>0</v>
      </c>
      <c r="BH26" s="421">
        <f t="shared" si="23"/>
        <v>0</v>
      </c>
      <c r="BI26" s="780">
        <f t="shared" si="24"/>
        <v>9380634</v>
      </c>
      <c r="BJ26" s="418">
        <f t="shared" si="25"/>
        <v>6805311</v>
      </c>
      <c r="BK26" s="418">
        <f t="shared" si="26"/>
        <v>6601391</v>
      </c>
      <c r="BL26" s="418">
        <f t="shared" si="26"/>
        <v>203920</v>
      </c>
      <c r="BM26" s="418">
        <f t="shared" si="27"/>
        <v>140000</v>
      </c>
      <c r="BN26" s="418">
        <f t="shared" si="28"/>
        <v>90000</v>
      </c>
      <c r="BO26" s="418">
        <f t="shared" si="28"/>
        <v>50000</v>
      </c>
      <c r="BP26" s="418">
        <f t="shared" si="29"/>
        <v>2347515</v>
      </c>
      <c r="BQ26" s="418">
        <f t="shared" si="29"/>
        <v>68053</v>
      </c>
      <c r="BR26" s="418">
        <f t="shared" si="30"/>
        <v>19755</v>
      </c>
      <c r="BS26" s="419">
        <f t="shared" si="31"/>
        <v>10.905000000000001</v>
      </c>
      <c r="BT26" s="419">
        <f t="shared" si="32"/>
        <v>10.3325</v>
      </c>
      <c r="BU26" s="421">
        <f t="shared" si="32"/>
        <v>0.57250000000000001</v>
      </c>
      <c r="BV26" s="420"/>
      <c r="BW26" s="415"/>
      <c r="BX26" s="415"/>
      <c r="BY26" s="415"/>
      <c r="BZ26" s="415"/>
      <c r="CA26" s="510"/>
    </row>
    <row r="27" spans="1:79" s="96" customFormat="1" ht="14.1" customHeight="1" x14ac:dyDescent="0.2">
      <c r="A27" s="118">
        <v>3</v>
      </c>
      <c r="B27" s="77">
        <v>2448</v>
      </c>
      <c r="C27" s="93">
        <v>600080269</v>
      </c>
      <c r="D27" s="77">
        <v>63154617</v>
      </c>
      <c r="E27" s="77" t="s">
        <v>708</v>
      </c>
      <c r="F27" s="94">
        <v>3233</v>
      </c>
      <c r="G27" s="77" t="s">
        <v>297</v>
      </c>
      <c r="H27" s="95" t="s">
        <v>272</v>
      </c>
      <c r="I27" s="600">
        <v>1551300</v>
      </c>
      <c r="J27" s="599">
        <v>1150119</v>
      </c>
      <c r="K27" s="599">
        <v>1000092</v>
      </c>
      <c r="L27" s="599">
        <v>150027</v>
      </c>
      <c r="M27" s="599">
        <v>0</v>
      </c>
      <c r="N27" s="599">
        <v>0</v>
      </c>
      <c r="O27" s="599">
        <v>0</v>
      </c>
      <c r="P27" s="599">
        <v>388740</v>
      </c>
      <c r="Q27" s="599">
        <v>11501</v>
      </c>
      <c r="R27" s="599">
        <v>940</v>
      </c>
      <c r="S27" s="417">
        <v>2.29</v>
      </c>
      <c r="T27" s="417">
        <v>1.81</v>
      </c>
      <c r="U27" s="754">
        <v>0.48</v>
      </c>
      <c r="V27" s="424">
        <f t="shared" si="8"/>
        <v>0</v>
      </c>
      <c r="W27" s="418">
        <f t="shared" si="8"/>
        <v>0</v>
      </c>
      <c r="X27" s="418">
        <v>0</v>
      </c>
      <c r="Y27" s="418">
        <v>0</v>
      </c>
      <c r="Z27" s="418">
        <v>0</v>
      </c>
      <c r="AA27" s="418">
        <v>75024</v>
      </c>
      <c r="AB27" s="418">
        <v>0</v>
      </c>
      <c r="AC27" s="418">
        <v>0</v>
      </c>
      <c r="AD27" s="418">
        <f t="shared" si="9"/>
        <v>0</v>
      </c>
      <c r="AE27" s="418">
        <f t="shared" si="10"/>
        <v>75024</v>
      </c>
      <c r="AF27" s="418">
        <f t="shared" si="11"/>
        <v>75024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12"/>
        <v>0</v>
      </c>
      <c r="AM27" s="418">
        <f t="shared" si="13"/>
        <v>0</v>
      </c>
      <c r="AN27" s="418">
        <f t="shared" si="14"/>
        <v>0</v>
      </c>
      <c r="AO27" s="418">
        <f t="shared" si="15"/>
        <v>0</v>
      </c>
      <c r="AP27" s="418">
        <f t="shared" si="15"/>
        <v>75024</v>
      </c>
      <c r="AQ27" s="418">
        <f t="shared" si="16"/>
        <v>75024</v>
      </c>
      <c r="AR27" s="68">
        <f t="shared" si="17"/>
        <v>25358</v>
      </c>
      <c r="AS27" s="68">
        <f t="shared" si="18"/>
        <v>750</v>
      </c>
      <c r="AT27" s="418">
        <v>0</v>
      </c>
      <c r="AU27" s="418">
        <v>376</v>
      </c>
      <c r="AV27" s="418">
        <f t="shared" si="19"/>
        <v>376</v>
      </c>
      <c r="AW27" s="418">
        <f t="shared" si="20"/>
        <v>101508</v>
      </c>
      <c r="AX27" s="419">
        <v>0</v>
      </c>
      <c r="AY27" s="419">
        <v>0</v>
      </c>
      <c r="AZ27" s="419">
        <v>0</v>
      </c>
      <c r="BA27" s="419">
        <v>0</v>
      </c>
      <c r="BB27" s="419">
        <v>0.24</v>
      </c>
      <c r="BC27" s="419">
        <v>0</v>
      </c>
      <c r="BD27" s="419">
        <v>0</v>
      </c>
      <c r="BE27" s="419">
        <v>0</v>
      </c>
      <c r="BF27" s="419">
        <f t="shared" si="21"/>
        <v>0</v>
      </c>
      <c r="BG27" s="419">
        <f t="shared" si="22"/>
        <v>0.24</v>
      </c>
      <c r="BH27" s="421">
        <f t="shared" si="23"/>
        <v>0.24</v>
      </c>
      <c r="BI27" s="780">
        <f t="shared" si="24"/>
        <v>1652808</v>
      </c>
      <c r="BJ27" s="418">
        <f t="shared" si="25"/>
        <v>1225143</v>
      </c>
      <c r="BK27" s="418">
        <f t="shared" si="26"/>
        <v>1000092</v>
      </c>
      <c r="BL27" s="418">
        <f t="shared" si="26"/>
        <v>225051</v>
      </c>
      <c r="BM27" s="418">
        <f t="shared" si="27"/>
        <v>0</v>
      </c>
      <c r="BN27" s="418">
        <f t="shared" si="28"/>
        <v>0</v>
      </c>
      <c r="BO27" s="418">
        <f t="shared" si="28"/>
        <v>0</v>
      </c>
      <c r="BP27" s="418">
        <f t="shared" si="29"/>
        <v>414098</v>
      </c>
      <c r="BQ27" s="418">
        <f t="shared" si="29"/>
        <v>12251</v>
      </c>
      <c r="BR27" s="418">
        <f t="shared" si="30"/>
        <v>1316</v>
      </c>
      <c r="BS27" s="419">
        <f t="shared" si="31"/>
        <v>2.5300000000000002</v>
      </c>
      <c r="BT27" s="419">
        <f t="shared" si="32"/>
        <v>1.81</v>
      </c>
      <c r="BU27" s="421">
        <f t="shared" si="32"/>
        <v>0.72</v>
      </c>
      <c r="BV27" s="420"/>
      <c r="BW27" s="415"/>
      <c r="BX27" s="415"/>
      <c r="BY27" s="415"/>
      <c r="BZ27" s="415"/>
      <c r="CA27" s="510"/>
    </row>
    <row r="28" spans="1:79" s="96" customFormat="1" ht="14.1" customHeight="1" x14ac:dyDescent="0.2">
      <c r="A28" s="119">
        <v>3</v>
      </c>
      <c r="B28" s="97">
        <v>2448</v>
      </c>
      <c r="C28" s="98">
        <v>600080269</v>
      </c>
      <c r="D28" s="97">
        <v>63154617</v>
      </c>
      <c r="E28" s="97" t="s">
        <v>709</v>
      </c>
      <c r="F28" s="99"/>
      <c r="G28" s="100"/>
      <c r="H28" s="101"/>
      <c r="I28" s="438">
        <v>107411226</v>
      </c>
      <c r="J28" s="434">
        <v>78214287</v>
      </c>
      <c r="K28" s="434">
        <v>72146981</v>
      </c>
      <c r="L28" s="434">
        <v>6067306</v>
      </c>
      <c r="M28" s="434">
        <v>700000</v>
      </c>
      <c r="N28" s="434">
        <v>335000</v>
      </c>
      <c r="O28" s="434">
        <v>365000</v>
      </c>
      <c r="P28" s="434">
        <v>26673030</v>
      </c>
      <c r="Q28" s="434">
        <v>782143</v>
      </c>
      <c r="R28" s="434">
        <v>1041766</v>
      </c>
      <c r="S28" s="435">
        <v>136.6223</v>
      </c>
      <c r="T28" s="435">
        <v>116.28739999999999</v>
      </c>
      <c r="U28" s="700">
        <v>20.334900000000001</v>
      </c>
      <c r="V28" s="438">
        <f t="shared" ref="V28:CA28" si="33">SUM(V20:V27)</f>
        <v>0</v>
      </c>
      <c r="W28" s="434">
        <f t="shared" si="33"/>
        <v>0</v>
      </c>
      <c r="X28" s="434">
        <f t="shared" si="33"/>
        <v>0</v>
      </c>
      <c r="Y28" s="434">
        <f t="shared" si="33"/>
        <v>0</v>
      </c>
      <c r="Z28" s="434">
        <f t="shared" si="33"/>
        <v>0</v>
      </c>
      <c r="AA28" s="434">
        <f t="shared" si="33"/>
        <v>1155428</v>
      </c>
      <c r="AB28" s="434">
        <f t="shared" si="33"/>
        <v>0</v>
      </c>
      <c r="AC28" s="434">
        <f t="shared" si="33"/>
        <v>0</v>
      </c>
      <c r="AD28" s="434">
        <f t="shared" si="33"/>
        <v>0</v>
      </c>
      <c r="AE28" s="434">
        <f t="shared" si="33"/>
        <v>1155428</v>
      </c>
      <c r="AF28" s="434">
        <f t="shared" si="33"/>
        <v>1155428</v>
      </c>
      <c r="AG28" s="434">
        <f t="shared" si="33"/>
        <v>0</v>
      </c>
      <c r="AH28" s="434">
        <f t="shared" si="33"/>
        <v>0</v>
      </c>
      <c r="AI28" s="434">
        <f t="shared" si="33"/>
        <v>0</v>
      </c>
      <c r="AJ28" s="434">
        <f t="shared" si="33"/>
        <v>0</v>
      </c>
      <c r="AK28" s="434">
        <f t="shared" si="33"/>
        <v>0</v>
      </c>
      <c r="AL28" s="434">
        <f t="shared" si="33"/>
        <v>0</v>
      </c>
      <c r="AM28" s="434">
        <f t="shared" si="33"/>
        <v>0</v>
      </c>
      <c r="AN28" s="434">
        <f t="shared" si="33"/>
        <v>0</v>
      </c>
      <c r="AO28" s="434">
        <f t="shared" si="33"/>
        <v>0</v>
      </c>
      <c r="AP28" s="434">
        <f t="shared" si="33"/>
        <v>1155428</v>
      </c>
      <c r="AQ28" s="434">
        <f t="shared" si="33"/>
        <v>1155428</v>
      </c>
      <c r="AR28" s="434">
        <f t="shared" si="33"/>
        <v>390535</v>
      </c>
      <c r="AS28" s="434">
        <f t="shared" si="33"/>
        <v>11554</v>
      </c>
      <c r="AT28" s="434">
        <f t="shared" si="33"/>
        <v>0</v>
      </c>
      <c r="AU28" s="434">
        <f t="shared" si="33"/>
        <v>10906</v>
      </c>
      <c r="AV28" s="434">
        <f t="shared" si="33"/>
        <v>10906</v>
      </c>
      <c r="AW28" s="434">
        <f t="shared" si="33"/>
        <v>1568423</v>
      </c>
      <c r="AX28" s="435">
        <f t="shared" si="33"/>
        <v>0</v>
      </c>
      <c r="AY28" s="435">
        <f t="shared" si="33"/>
        <v>0</v>
      </c>
      <c r="AZ28" s="435">
        <f t="shared" si="33"/>
        <v>0</v>
      </c>
      <c r="BA28" s="435">
        <f t="shared" si="33"/>
        <v>0</v>
      </c>
      <c r="BB28" s="435">
        <f t="shared" si="33"/>
        <v>3.51</v>
      </c>
      <c r="BC28" s="435">
        <f t="shared" si="33"/>
        <v>0</v>
      </c>
      <c r="BD28" s="435">
        <f t="shared" si="33"/>
        <v>0</v>
      </c>
      <c r="BE28" s="435">
        <f t="shared" si="33"/>
        <v>0</v>
      </c>
      <c r="BF28" s="435">
        <f t="shared" si="33"/>
        <v>0</v>
      </c>
      <c r="BG28" s="435">
        <f t="shared" si="33"/>
        <v>3.51</v>
      </c>
      <c r="BH28" s="103">
        <f t="shared" si="33"/>
        <v>3.51</v>
      </c>
      <c r="BI28" s="803">
        <f t="shared" si="33"/>
        <v>108979649</v>
      </c>
      <c r="BJ28" s="434">
        <f t="shared" si="33"/>
        <v>79369715</v>
      </c>
      <c r="BK28" s="434">
        <f t="shared" si="33"/>
        <v>72146981</v>
      </c>
      <c r="BL28" s="434">
        <f t="shared" si="33"/>
        <v>7222734</v>
      </c>
      <c r="BM28" s="434">
        <f t="shared" si="33"/>
        <v>700000</v>
      </c>
      <c r="BN28" s="434">
        <f t="shared" si="33"/>
        <v>335000</v>
      </c>
      <c r="BO28" s="434">
        <f t="shared" si="33"/>
        <v>365000</v>
      </c>
      <c r="BP28" s="434">
        <f t="shared" si="33"/>
        <v>27063565</v>
      </c>
      <c r="BQ28" s="434">
        <f t="shared" si="33"/>
        <v>793697</v>
      </c>
      <c r="BR28" s="434">
        <f t="shared" si="33"/>
        <v>1052672</v>
      </c>
      <c r="BS28" s="435">
        <f t="shared" si="33"/>
        <v>140.13230000000001</v>
      </c>
      <c r="BT28" s="435">
        <f t="shared" si="33"/>
        <v>116.28739999999999</v>
      </c>
      <c r="BU28" s="103">
        <f t="shared" si="33"/>
        <v>23.844900000000003</v>
      </c>
      <c r="BV28" s="817">
        <f t="shared" si="33"/>
        <v>760272</v>
      </c>
      <c r="BW28" s="703">
        <f t="shared" si="33"/>
        <v>564000</v>
      </c>
      <c r="BX28" s="703">
        <f t="shared" si="33"/>
        <v>0</v>
      </c>
      <c r="BY28" s="703">
        <f t="shared" si="33"/>
        <v>190632</v>
      </c>
      <c r="BZ28" s="703">
        <f t="shared" si="33"/>
        <v>5640</v>
      </c>
      <c r="CA28" s="818">
        <f t="shared" si="33"/>
        <v>1</v>
      </c>
    </row>
    <row r="29" spans="1:79" s="96" customFormat="1" ht="14.1" customHeight="1" x14ac:dyDescent="0.2">
      <c r="A29" s="118">
        <v>4</v>
      </c>
      <c r="B29" s="102">
        <v>2450</v>
      </c>
      <c r="C29" s="93">
        <v>600080234</v>
      </c>
      <c r="D29" s="77">
        <v>72745045</v>
      </c>
      <c r="E29" s="77" t="s">
        <v>710</v>
      </c>
      <c r="F29" s="94">
        <v>3111</v>
      </c>
      <c r="G29" s="77" t="s">
        <v>290</v>
      </c>
      <c r="H29" s="95" t="s">
        <v>271</v>
      </c>
      <c r="I29" s="600">
        <v>1520065</v>
      </c>
      <c r="J29" s="599">
        <v>1073017</v>
      </c>
      <c r="K29" s="599">
        <v>1013113</v>
      </c>
      <c r="L29" s="599">
        <v>59904</v>
      </c>
      <c r="M29" s="599">
        <v>50000</v>
      </c>
      <c r="N29" s="599">
        <v>50000</v>
      </c>
      <c r="O29" s="599">
        <v>0</v>
      </c>
      <c r="P29" s="599">
        <v>379580</v>
      </c>
      <c r="Q29" s="599">
        <v>10730</v>
      </c>
      <c r="R29" s="599">
        <v>6738</v>
      </c>
      <c r="S29" s="417">
        <v>2.1900000000000004</v>
      </c>
      <c r="T29" s="417">
        <v>1.95</v>
      </c>
      <c r="U29" s="754">
        <v>0.24</v>
      </c>
      <c r="V29" s="424">
        <f t="shared" ref="V29:W34" si="34">AG29*-1</f>
        <v>0</v>
      </c>
      <c r="W29" s="418">
        <f t="shared" si="34"/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f t="shared" ref="AD29:AD34" si="35">V29+X29+Y29+Z29+AB29</f>
        <v>0</v>
      </c>
      <c r="AE29" s="418">
        <f t="shared" ref="AE29:AE34" si="36">W29+AA29+AC29</f>
        <v>0</v>
      </c>
      <c r="AF29" s="418">
        <f t="shared" ref="AF29:AF34" si="37"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ref="AL29:AL34" si="38">AG29+AI29+AJ29</f>
        <v>0</v>
      </c>
      <c r="AM29" s="418">
        <f t="shared" ref="AM29:AM34" si="39">AH29+AK29</f>
        <v>0</v>
      </c>
      <c r="AN29" s="418">
        <f t="shared" ref="AN29:AN34" si="40">SUM(AL29:AM29)</f>
        <v>0</v>
      </c>
      <c r="AO29" s="418">
        <f t="shared" ref="AO29:AP34" si="41">AD29+AL29</f>
        <v>0</v>
      </c>
      <c r="AP29" s="418">
        <f t="shared" si="41"/>
        <v>0</v>
      </c>
      <c r="AQ29" s="418">
        <f t="shared" ref="AQ29:AQ34" si="42">SUM(AO29:AP29)</f>
        <v>0</v>
      </c>
      <c r="AR29" s="68">
        <f t="shared" ref="AR29:AR34" si="43">ROUND((AF29+AG29+AH29+AI29)*33.8%,0)</f>
        <v>0</v>
      </c>
      <c r="AS29" s="68">
        <f t="shared" ref="AS29:AS34" si="44">ROUND(AF29*1%,0)</f>
        <v>0</v>
      </c>
      <c r="AT29" s="418">
        <v>0</v>
      </c>
      <c r="AU29" s="418">
        <v>0</v>
      </c>
      <c r="AV29" s="418">
        <f t="shared" ref="AV29:AV34" si="45">AT29+AU29</f>
        <v>0</v>
      </c>
      <c r="AW29" s="418">
        <f t="shared" ref="AW29:AW34" si="46"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f t="shared" ref="BF29:BF34" si="47">AX29+AZ29+BA29+BC29+BD29</f>
        <v>0</v>
      </c>
      <c r="BG29" s="419">
        <f t="shared" ref="BG29:BG34" si="48">AY29+BB29+BE29</f>
        <v>0</v>
      </c>
      <c r="BH29" s="421">
        <f t="shared" ref="BH29:BH34" si="49">SUM(BF29:BG29)</f>
        <v>0</v>
      </c>
      <c r="BI29" s="780">
        <f t="shared" ref="BI29:BI34" si="50">I29+AW29</f>
        <v>1520065</v>
      </c>
      <c r="BJ29" s="418">
        <f t="shared" ref="BJ29:BJ34" si="51">J29+AF29</f>
        <v>1073017</v>
      </c>
      <c r="BK29" s="418">
        <f t="shared" ref="BK29:BL34" si="52">K29+AD29</f>
        <v>1013113</v>
      </c>
      <c r="BL29" s="418">
        <f t="shared" si="52"/>
        <v>59904</v>
      </c>
      <c r="BM29" s="418">
        <f t="shared" ref="BM29:BM34" si="53">M29+AN29</f>
        <v>50000</v>
      </c>
      <c r="BN29" s="418">
        <f t="shared" ref="BN29:BO34" si="54">N29+AL29</f>
        <v>50000</v>
      </c>
      <c r="BO29" s="418">
        <f t="shared" si="54"/>
        <v>0</v>
      </c>
      <c r="BP29" s="418">
        <f t="shared" ref="BP29:BQ34" si="55">P29+AR29</f>
        <v>379580</v>
      </c>
      <c r="BQ29" s="418">
        <f t="shared" si="55"/>
        <v>10730</v>
      </c>
      <c r="BR29" s="418">
        <f t="shared" ref="BR29:BR34" si="56">R29+AV29</f>
        <v>6738</v>
      </c>
      <c r="BS29" s="419">
        <f t="shared" ref="BS29:BS34" si="57">S29+BH29</f>
        <v>2.1900000000000004</v>
      </c>
      <c r="BT29" s="419">
        <f t="shared" ref="BT29:BU34" si="58">T29+BF29</f>
        <v>1.95</v>
      </c>
      <c r="BU29" s="421">
        <f t="shared" si="58"/>
        <v>0.24</v>
      </c>
      <c r="BV29" s="420"/>
      <c r="BW29" s="415"/>
      <c r="BX29" s="415"/>
      <c r="BY29" s="415"/>
      <c r="BZ29" s="415"/>
      <c r="CA29" s="510"/>
    </row>
    <row r="30" spans="1:79" s="96" customFormat="1" ht="14.1" customHeight="1" x14ac:dyDescent="0.2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710</v>
      </c>
      <c r="F30" s="105">
        <v>3117</v>
      </c>
      <c r="G30" s="104" t="s">
        <v>308</v>
      </c>
      <c r="H30" s="95" t="s">
        <v>271</v>
      </c>
      <c r="I30" s="600">
        <v>2464222</v>
      </c>
      <c r="J30" s="599">
        <v>1780253</v>
      </c>
      <c r="K30" s="599">
        <v>1577153</v>
      </c>
      <c r="L30" s="599">
        <v>203100</v>
      </c>
      <c r="M30" s="599">
        <v>25000</v>
      </c>
      <c r="N30" s="599">
        <v>25000</v>
      </c>
      <c r="O30" s="599">
        <v>0</v>
      </c>
      <c r="P30" s="599">
        <v>610175</v>
      </c>
      <c r="Q30" s="599">
        <v>17803</v>
      </c>
      <c r="R30" s="599">
        <v>30991</v>
      </c>
      <c r="S30" s="417">
        <v>3.0149000000000004</v>
      </c>
      <c r="T30" s="417">
        <v>2.4900000000000002</v>
      </c>
      <c r="U30" s="754">
        <v>0.52490000000000003</v>
      </c>
      <c r="V30" s="424">
        <f t="shared" si="34"/>
        <v>0</v>
      </c>
      <c r="W30" s="418">
        <f t="shared" si="34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35"/>
        <v>0</v>
      </c>
      <c r="AE30" s="418">
        <f t="shared" si="36"/>
        <v>0</v>
      </c>
      <c r="AF30" s="418">
        <f t="shared" si="37"/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38"/>
        <v>0</v>
      </c>
      <c r="AM30" s="418">
        <f t="shared" si="39"/>
        <v>0</v>
      </c>
      <c r="AN30" s="418">
        <f t="shared" si="40"/>
        <v>0</v>
      </c>
      <c r="AO30" s="418">
        <f t="shared" si="41"/>
        <v>0</v>
      </c>
      <c r="AP30" s="418">
        <f t="shared" si="41"/>
        <v>0</v>
      </c>
      <c r="AQ30" s="418">
        <f t="shared" si="42"/>
        <v>0</v>
      </c>
      <c r="AR30" s="68">
        <f t="shared" si="43"/>
        <v>0</v>
      </c>
      <c r="AS30" s="68">
        <f t="shared" si="44"/>
        <v>0</v>
      </c>
      <c r="AT30" s="418">
        <v>0</v>
      </c>
      <c r="AU30" s="418">
        <v>0</v>
      </c>
      <c r="AV30" s="418">
        <f t="shared" si="45"/>
        <v>0</v>
      </c>
      <c r="AW30" s="418">
        <f t="shared" si="46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47"/>
        <v>0</v>
      </c>
      <c r="BG30" s="419">
        <f t="shared" si="48"/>
        <v>0</v>
      </c>
      <c r="BH30" s="421">
        <f t="shared" si="49"/>
        <v>0</v>
      </c>
      <c r="BI30" s="780">
        <f t="shared" si="50"/>
        <v>2464222</v>
      </c>
      <c r="BJ30" s="418">
        <f t="shared" si="51"/>
        <v>1780253</v>
      </c>
      <c r="BK30" s="418">
        <f t="shared" si="52"/>
        <v>1577153</v>
      </c>
      <c r="BL30" s="418">
        <f t="shared" si="52"/>
        <v>203100</v>
      </c>
      <c r="BM30" s="418">
        <f t="shared" si="53"/>
        <v>25000</v>
      </c>
      <c r="BN30" s="418">
        <f t="shared" si="54"/>
        <v>25000</v>
      </c>
      <c r="BO30" s="418">
        <f t="shared" si="54"/>
        <v>0</v>
      </c>
      <c r="BP30" s="418">
        <f t="shared" si="55"/>
        <v>610175</v>
      </c>
      <c r="BQ30" s="418">
        <f t="shared" si="55"/>
        <v>17803</v>
      </c>
      <c r="BR30" s="418">
        <f t="shared" si="56"/>
        <v>30991</v>
      </c>
      <c r="BS30" s="419">
        <f t="shared" si="57"/>
        <v>3.0149000000000004</v>
      </c>
      <c r="BT30" s="419">
        <f t="shared" si="58"/>
        <v>2.4900000000000002</v>
      </c>
      <c r="BU30" s="421">
        <f t="shared" si="58"/>
        <v>0.52490000000000003</v>
      </c>
      <c r="BV30" s="420"/>
      <c r="BW30" s="415"/>
      <c r="BX30" s="415"/>
      <c r="BY30" s="415"/>
      <c r="BZ30" s="415"/>
      <c r="CA30" s="510"/>
    </row>
    <row r="31" spans="1:79" s="96" customFormat="1" ht="14.1" customHeight="1" x14ac:dyDescent="0.2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710</v>
      </c>
      <c r="F31" s="94">
        <v>3117</v>
      </c>
      <c r="G31" s="77" t="s">
        <v>291</v>
      </c>
      <c r="H31" s="95" t="s">
        <v>272</v>
      </c>
      <c r="I31" s="600">
        <v>1385772</v>
      </c>
      <c r="J31" s="599">
        <v>1028021</v>
      </c>
      <c r="K31" s="599">
        <v>1028021</v>
      </c>
      <c r="L31" s="599">
        <v>0</v>
      </c>
      <c r="M31" s="599">
        <v>0</v>
      </c>
      <c r="N31" s="599">
        <v>0</v>
      </c>
      <c r="O31" s="599">
        <v>0</v>
      </c>
      <c r="P31" s="599">
        <v>347471</v>
      </c>
      <c r="Q31" s="599">
        <v>10280</v>
      </c>
      <c r="R31" s="599">
        <v>0</v>
      </c>
      <c r="S31" s="417">
        <v>2.74</v>
      </c>
      <c r="T31" s="417">
        <v>2.74</v>
      </c>
      <c r="U31" s="754">
        <v>0</v>
      </c>
      <c r="V31" s="424">
        <f t="shared" si="34"/>
        <v>0</v>
      </c>
      <c r="W31" s="418">
        <f t="shared" si="34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 t="shared" si="35"/>
        <v>0</v>
      </c>
      <c r="AE31" s="418">
        <f t="shared" si="36"/>
        <v>0</v>
      </c>
      <c r="AF31" s="418">
        <f t="shared" si="37"/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38"/>
        <v>0</v>
      </c>
      <c r="AM31" s="418">
        <f t="shared" si="39"/>
        <v>0</v>
      </c>
      <c r="AN31" s="418">
        <f t="shared" si="40"/>
        <v>0</v>
      </c>
      <c r="AO31" s="418">
        <f t="shared" si="41"/>
        <v>0</v>
      </c>
      <c r="AP31" s="418">
        <f t="shared" si="41"/>
        <v>0</v>
      </c>
      <c r="AQ31" s="418">
        <f t="shared" si="42"/>
        <v>0</v>
      </c>
      <c r="AR31" s="68">
        <f t="shared" si="43"/>
        <v>0</v>
      </c>
      <c r="AS31" s="68">
        <f t="shared" si="44"/>
        <v>0</v>
      </c>
      <c r="AT31" s="418">
        <v>0</v>
      </c>
      <c r="AU31" s="418">
        <v>0</v>
      </c>
      <c r="AV31" s="418">
        <f t="shared" si="45"/>
        <v>0</v>
      </c>
      <c r="AW31" s="418">
        <f t="shared" si="46"/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 t="shared" si="47"/>
        <v>0</v>
      </c>
      <c r="BG31" s="419">
        <f t="shared" si="48"/>
        <v>0</v>
      </c>
      <c r="BH31" s="421">
        <f t="shared" si="49"/>
        <v>0</v>
      </c>
      <c r="BI31" s="780">
        <f t="shared" si="50"/>
        <v>1385772</v>
      </c>
      <c r="BJ31" s="418">
        <f t="shared" si="51"/>
        <v>1028021</v>
      </c>
      <c r="BK31" s="418">
        <f t="shared" si="52"/>
        <v>1028021</v>
      </c>
      <c r="BL31" s="418">
        <f t="shared" si="52"/>
        <v>0</v>
      </c>
      <c r="BM31" s="418">
        <f t="shared" si="53"/>
        <v>0</v>
      </c>
      <c r="BN31" s="418">
        <f t="shared" si="54"/>
        <v>0</v>
      </c>
      <c r="BO31" s="418">
        <f t="shared" si="54"/>
        <v>0</v>
      </c>
      <c r="BP31" s="418">
        <f t="shared" si="55"/>
        <v>347471</v>
      </c>
      <c r="BQ31" s="418">
        <f t="shared" si="55"/>
        <v>10280</v>
      </c>
      <c r="BR31" s="418">
        <f t="shared" si="56"/>
        <v>0</v>
      </c>
      <c r="BS31" s="419">
        <f t="shared" si="57"/>
        <v>2.74</v>
      </c>
      <c r="BT31" s="419">
        <f t="shared" si="58"/>
        <v>2.74</v>
      </c>
      <c r="BU31" s="421">
        <f t="shared" si="58"/>
        <v>0</v>
      </c>
      <c r="BV31" s="420"/>
      <c r="BW31" s="415"/>
      <c r="BX31" s="415"/>
      <c r="BY31" s="415"/>
      <c r="BZ31" s="415"/>
      <c r="CA31" s="510"/>
    </row>
    <row r="32" spans="1:79" s="96" customFormat="1" ht="14.1" customHeight="1" x14ac:dyDescent="0.2">
      <c r="A32" s="118">
        <v>4</v>
      </c>
      <c r="B32" s="77">
        <v>2450</v>
      </c>
      <c r="C32" s="93">
        <v>600080234</v>
      </c>
      <c r="D32" s="77">
        <v>72745045</v>
      </c>
      <c r="E32" s="77" t="s">
        <v>710</v>
      </c>
      <c r="F32" s="94">
        <v>3141</v>
      </c>
      <c r="G32" s="77" t="s">
        <v>294</v>
      </c>
      <c r="H32" s="95" t="s">
        <v>272</v>
      </c>
      <c r="I32" s="600">
        <v>360735</v>
      </c>
      <c r="J32" s="599">
        <v>251784</v>
      </c>
      <c r="K32" s="599">
        <v>0</v>
      </c>
      <c r="L32" s="605">
        <v>251784</v>
      </c>
      <c r="M32" s="599">
        <v>15000</v>
      </c>
      <c r="N32" s="599">
        <v>0</v>
      </c>
      <c r="O32" s="599">
        <v>15000</v>
      </c>
      <c r="P32" s="599">
        <v>90173</v>
      </c>
      <c r="Q32" s="599">
        <v>2518</v>
      </c>
      <c r="R32" s="599">
        <v>1260</v>
      </c>
      <c r="S32" s="417">
        <v>0.8</v>
      </c>
      <c r="T32" s="417">
        <v>0</v>
      </c>
      <c r="U32" s="754">
        <v>0.8</v>
      </c>
      <c r="V32" s="424">
        <f t="shared" si="34"/>
        <v>0</v>
      </c>
      <c r="W32" s="418">
        <f t="shared" si="34"/>
        <v>0</v>
      </c>
      <c r="X32" s="418">
        <v>0</v>
      </c>
      <c r="Y32" s="418">
        <v>0</v>
      </c>
      <c r="Z32" s="418">
        <v>0</v>
      </c>
      <c r="AA32" s="418">
        <v>133551</v>
      </c>
      <c r="AB32" s="418">
        <v>0</v>
      </c>
      <c r="AC32" s="418">
        <v>0</v>
      </c>
      <c r="AD32" s="418">
        <f t="shared" si="35"/>
        <v>0</v>
      </c>
      <c r="AE32" s="418">
        <f t="shared" si="36"/>
        <v>133551</v>
      </c>
      <c r="AF32" s="418">
        <f t="shared" si="37"/>
        <v>133551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38"/>
        <v>0</v>
      </c>
      <c r="AM32" s="418">
        <f t="shared" si="39"/>
        <v>0</v>
      </c>
      <c r="AN32" s="418">
        <f t="shared" si="40"/>
        <v>0</v>
      </c>
      <c r="AO32" s="418">
        <f t="shared" si="41"/>
        <v>0</v>
      </c>
      <c r="AP32" s="418">
        <f t="shared" si="41"/>
        <v>133551</v>
      </c>
      <c r="AQ32" s="418">
        <f t="shared" si="42"/>
        <v>133551</v>
      </c>
      <c r="AR32" s="68">
        <f t="shared" si="43"/>
        <v>45140</v>
      </c>
      <c r="AS32" s="68">
        <f t="shared" si="44"/>
        <v>1336</v>
      </c>
      <c r="AT32" s="418">
        <v>0</v>
      </c>
      <c r="AU32" s="418">
        <v>612</v>
      </c>
      <c r="AV32" s="418">
        <f t="shared" si="45"/>
        <v>612</v>
      </c>
      <c r="AW32" s="418">
        <f t="shared" si="46"/>
        <v>180639</v>
      </c>
      <c r="AX32" s="419">
        <v>0</v>
      </c>
      <c r="AY32" s="419">
        <v>0</v>
      </c>
      <c r="AZ32" s="419">
        <v>0</v>
      </c>
      <c r="BA32" s="419">
        <v>0</v>
      </c>
      <c r="BB32" s="419">
        <v>0.4</v>
      </c>
      <c r="BC32" s="419">
        <v>0</v>
      </c>
      <c r="BD32" s="419">
        <v>0</v>
      </c>
      <c r="BE32" s="419">
        <v>0</v>
      </c>
      <c r="BF32" s="419">
        <f t="shared" si="47"/>
        <v>0</v>
      </c>
      <c r="BG32" s="419">
        <f t="shared" si="48"/>
        <v>0.4</v>
      </c>
      <c r="BH32" s="421">
        <f t="shared" si="49"/>
        <v>0.4</v>
      </c>
      <c r="BI32" s="780">
        <f t="shared" si="50"/>
        <v>541374</v>
      </c>
      <c r="BJ32" s="418">
        <f t="shared" si="51"/>
        <v>385335</v>
      </c>
      <c r="BK32" s="418">
        <f t="shared" si="52"/>
        <v>0</v>
      </c>
      <c r="BL32" s="418">
        <f t="shared" si="52"/>
        <v>385335</v>
      </c>
      <c r="BM32" s="418">
        <f t="shared" si="53"/>
        <v>15000</v>
      </c>
      <c r="BN32" s="418">
        <f t="shared" si="54"/>
        <v>0</v>
      </c>
      <c r="BO32" s="418">
        <f t="shared" si="54"/>
        <v>15000</v>
      </c>
      <c r="BP32" s="418">
        <f t="shared" si="55"/>
        <v>135313</v>
      </c>
      <c r="BQ32" s="418">
        <f t="shared" si="55"/>
        <v>3854</v>
      </c>
      <c r="BR32" s="418">
        <f t="shared" si="56"/>
        <v>1872</v>
      </c>
      <c r="BS32" s="419">
        <f t="shared" si="57"/>
        <v>1.2000000000000002</v>
      </c>
      <c r="BT32" s="419">
        <f t="shared" si="58"/>
        <v>0</v>
      </c>
      <c r="BU32" s="421">
        <f t="shared" si="58"/>
        <v>1.2000000000000002</v>
      </c>
      <c r="BV32" s="420"/>
      <c r="BW32" s="415"/>
      <c r="BX32" s="415"/>
      <c r="BY32" s="415"/>
      <c r="BZ32" s="415"/>
      <c r="CA32" s="510"/>
    </row>
    <row r="33" spans="1:79" s="96" customFormat="1" ht="14.1" customHeight="1" x14ac:dyDescent="0.2">
      <c r="A33" s="118">
        <v>4</v>
      </c>
      <c r="B33" s="77">
        <v>2450</v>
      </c>
      <c r="C33" s="93">
        <v>600080234</v>
      </c>
      <c r="D33" s="77">
        <v>72745045</v>
      </c>
      <c r="E33" s="77" t="s">
        <v>710</v>
      </c>
      <c r="F33" s="94">
        <v>3143</v>
      </c>
      <c r="G33" s="77" t="s">
        <v>595</v>
      </c>
      <c r="H33" s="95" t="s">
        <v>271</v>
      </c>
      <c r="I33" s="600">
        <v>646923</v>
      </c>
      <c r="J33" s="599">
        <v>468002</v>
      </c>
      <c r="K33" s="599">
        <v>468002</v>
      </c>
      <c r="L33" s="599">
        <v>0</v>
      </c>
      <c r="M33" s="599">
        <v>12000</v>
      </c>
      <c r="N33" s="599">
        <v>12000</v>
      </c>
      <c r="O33" s="599">
        <v>0</v>
      </c>
      <c r="P33" s="599">
        <v>162241</v>
      </c>
      <c r="Q33" s="599">
        <v>4680</v>
      </c>
      <c r="R33" s="599">
        <v>0</v>
      </c>
      <c r="S33" s="417">
        <v>1</v>
      </c>
      <c r="T33" s="417">
        <v>1</v>
      </c>
      <c r="U33" s="754">
        <v>0</v>
      </c>
      <c r="V33" s="424">
        <f t="shared" si="34"/>
        <v>0</v>
      </c>
      <c r="W33" s="418">
        <f t="shared" si="34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 t="shared" si="35"/>
        <v>0</v>
      </c>
      <c r="AE33" s="418">
        <f t="shared" si="36"/>
        <v>0</v>
      </c>
      <c r="AF33" s="418">
        <f t="shared" si="37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38"/>
        <v>0</v>
      </c>
      <c r="AM33" s="418">
        <f t="shared" si="39"/>
        <v>0</v>
      </c>
      <c r="AN33" s="418">
        <f t="shared" si="40"/>
        <v>0</v>
      </c>
      <c r="AO33" s="418">
        <f t="shared" si="41"/>
        <v>0</v>
      </c>
      <c r="AP33" s="418">
        <f t="shared" si="41"/>
        <v>0</v>
      </c>
      <c r="AQ33" s="418">
        <f t="shared" si="42"/>
        <v>0</v>
      </c>
      <c r="AR33" s="68">
        <f t="shared" si="43"/>
        <v>0</v>
      </c>
      <c r="AS33" s="68">
        <f t="shared" si="44"/>
        <v>0</v>
      </c>
      <c r="AT33" s="418">
        <v>0</v>
      </c>
      <c r="AU33" s="418">
        <v>0</v>
      </c>
      <c r="AV33" s="418">
        <f t="shared" si="45"/>
        <v>0</v>
      </c>
      <c r="AW33" s="418">
        <f t="shared" si="46"/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 t="shared" si="47"/>
        <v>0</v>
      </c>
      <c r="BG33" s="419">
        <f t="shared" si="48"/>
        <v>0</v>
      </c>
      <c r="BH33" s="421">
        <f t="shared" si="49"/>
        <v>0</v>
      </c>
      <c r="BI33" s="780">
        <f t="shared" si="50"/>
        <v>646923</v>
      </c>
      <c r="BJ33" s="418">
        <f t="shared" si="51"/>
        <v>468002</v>
      </c>
      <c r="BK33" s="418">
        <f t="shared" si="52"/>
        <v>468002</v>
      </c>
      <c r="BL33" s="418">
        <f t="shared" si="52"/>
        <v>0</v>
      </c>
      <c r="BM33" s="418">
        <f t="shared" si="53"/>
        <v>12000</v>
      </c>
      <c r="BN33" s="418">
        <f t="shared" si="54"/>
        <v>12000</v>
      </c>
      <c r="BO33" s="418">
        <f t="shared" si="54"/>
        <v>0</v>
      </c>
      <c r="BP33" s="418">
        <f t="shared" si="55"/>
        <v>162241</v>
      </c>
      <c r="BQ33" s="418">
        <f t="shared" si="55"/>
        <v>4680</v>
      </c>
      <c r="BR33" s="418">
        <f t="shared" si="56"/>
        <v>0</v>
      </c>
      <c r="BS33" s="419">
        <f t="shared" si="57"/>
        <v>1</v>
      </c>
      <c r="BT33" s="419">
        <f t="shared" si="58"/>
        <v>1</v>
      </c>
      <c r="BU33" s="421">
        <f t="shared" si="58"/>
        <v>0</v>
      </c>
      <c r="BV33" s="420"/>
      <c r="BW33" s="415"/>
      <c r="BX33" s="415"/>
      <c r="BY33" s="415"/>
      <c r="BZ33" s="415"/>
      <c r="CA33" s="510"/>
    </row>
    <row r="34" spans="1:79" s="96" customFormat="1" ht="14.1" customHeight="1" x14ac:dyDescent="0.2">
      <c r="A34" s="118">
        <v>4</v>
      </c>
      <c r="B34" s="77">
        <v>2450</v>
      </c>
      <c r="C34" s="93">
        <v>600080234</v>
      </c>
      <c r="D34" s="77">
        <v>72745045</v>
      </c>
      <c r="E34" s="77" t="s">
        <v>710</v>
      </c>
      <c r="F34" s="94">
        <v>3143</v>
      </c>
      <c r="G34" s="77" t="s">
        <v>596</v>
      </c>
      <c r="H34" s="95" t="s">
        <v>272</v>
      </c>
      <c r="I34" s="600">
        <v>9738</v>
      </c>
      <c r="J34" s="599">
        <v>6970</v>
      </c>
      <c r="K34" s="599">
        <v>0</v>
      </c>
      <c r="L34" s="605">
        <v>6970</v>
      </c>
      <c r="M34" s="599">
        <v>0</v>
      </c>
      <c r="N34" s="606">
        <v>0</v>
      </c>
      <c r="O34" s="606">
        <v>0</v>
      </c>
      <c r="P34" s="599">
        <v>2356</v>
      </c>
      <c r="Q34" s="599">
        <v>70</v>
      </c>
      <c r="R34" s="606">
        <v>342</v>
      </c>
      <c r="S34" s="417">
        <v>2.64E-2</v>
      </c>
      <c r="T34" s="609">
        <v>0</v>
      </c>
      <c r="U34" s="737">
        <v>2.64E-2</v>
      </c>
      <c r="V34" s="424">
        <f t="shared" si="34"/>
        <v>0</v>
      </c>
      <c r="W34" s="418">
        <f t="shared" si="34"/>
        <v>0</v>
      </c>
      <c r="X34" s="418">
        <v>0</v>
      </c>
      <c r="Y34" s="418">
        <v>0</v>
      </c>
      <c r="Z34" s="418">
        <v>0</v>
      </c>
      <c r="AA34" s="418">
        <v>3480</v>
      </c>
      <c r="AB34" s="418">
        <v>0</v>
      </c>
      <c r="AC34" s="418">
        <v>0</v>
      </c>
      <c r="AD34" s="418">
        <f t="shared" si="35"/>
        <v>0</v>
      </c>
      <c r="AE34" s="418">
        <f t="shared" si="36"/>
        <v>3480</v>
      </c>
      <c r="AF34" s="418">
        <f t="shared" si="37"/>
        <v>3480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38"/>
        <v>0</v>
      </c>
      <c r="AM34" s="418">
        <f t="shared" si="39"/>
        <v>0</v>
      </c>
      <c r="AN34" s="418">
        <f t="shared" si="40"/>
        <v>0</v>
      </c>
      <c r="AO34" s="418">
        <f t="shared" si="41"/>
        <v>0</v>
      </c>
      <c r="AP34" s="418">
        <f t="shared" si="41"/>
        <v>3480</v>
      </c>
      <c r="AQ34" s="418">
        <f t="shared" si="42"/>
        <v>3480</v>
      </c>
      <c r="AR34" s="68">
        <f t="shared" si="43"/>
        <v>1176</v>
      </c>
      <c r="AS34" s="68">
        <f t="shared" si="44"/>
        <v>35</v>
      </c>
      <c r="AT34" s="418">
        <v>0</v>
      </c>
      <c r="AU34" s="418">
        <v>171</v>
      </c>
      <c r="AV34" s="418">
        <f t="shared" si="45"/>
        <v>171</v>
      </c>
      <c r="AW34" s="418">
        <f t="shared" si="46"/>
        <v>4862</v>
      </c>
      <c r="AX34" s="419">
        <v>0</v>
      </c>
      <c r="AY34" s="419">
        <v>0</v>
      </c>
      <c r="AZ34" s="419">
        <v>0</v>
      </c>
      <c r="BA34" s="419">
        <v>0</v>
      </c>
      <c r="BB34" s="419">
        <v>0.01</v>
      </c>
      <c r="BC34" s="419">
        <v>0</v>
      </c>
      <c r="BD34" s="419">
        <v>0</v>
      </c>
      <c r="BE34" s="419">
        <v>0</v>
      </c>
      <c r="BF34" s="419">
        <f t="shared" si="47"/>
        <v>0</v>
      </c>
      <c r="BG34" s="419">
        <f t="shared" si="48"/>
        <v>0.01</v>
      </c>
      <c r="BH34" s="421">
        <f t="shared" si="49"/>
        <v>0.01</v>
      </c>
      <c r="BI34" s="780">
        <f t="shared" si="50"/>
        <v>14600</v>
      </c>
      <c r="BJ34" s="418">
        <f t="shared" si="51"/>
        <v>10450</v>
      </c>
      <c r="BK34" s="418">
        <f t="shared" si="52"/>
        <v>0</v>
      </c>
      <c r="BL34" s="418">
        <f t="shared" si="52"/>
        <v>10450</v>
      </c>
      <c r="BM34" s="418">
        <f t="shared" si="53"/>
        <v>0</v>
      </c>
      <c r="BN34" s="418">
        <f t="shared" si="54"/>
        <v>0</v>
      </c>
      <c r="BO34" s="418">
        <f t="shared" si="54"/>
        <v>0</v>
      </c>
      <c r="BP34" s="418">
        <f t="shared" si="55"/>
        <v>3532</v>
      </c>
      <c r="BQ34" s="418">
        <f t="shared" si="55"/>
        <v>105</v>
      </c>
      <c r="BR34" s="418">
        <f t="shared" si="56"/>
        <v>513</v>
      </c>
      <c r="BS34" s="419">
        <f t="shared" si="57"/>
        <v>3.6400000000000002E-2</v>
      </c>
      <c r="BT34" s="419">
        <f t="shared" si="58"/>
        <v>0</v>
      </c>
      <c r="BU34" s="421">
        <f t="shared" si="58"/>
        <v>3.6400000000000002E-2</v>
      </c>
      <c r="BV34" s="420"/>
      <c r="BW34" s="415"/>
      <c r="BX34" s="415"/>
      <c r="BY34" s="415"/>
      <c r="BZ34" s="415"/>
      <c r="CA34" s="510"/>
    </row>
    <row r="35" spans="1:79" s="96" customFormat="1" ht="14.1" customHeight="1" x14ac:dyDescent="0.2">
      <c r="A35" s="119">
        <v>4</v>
      </c>
      <c r="B35" s="97">
        <v>2450</v>
      </c>
      <c r="C35" s="98">
        <v>600080234</v>
      </c>
      <c r="D35" s="97">
        <v>72745045</v>
      </c>
      <c r="E35" s="97" t="s">
        <v>711</v>
      </c>
      <c r="F35" s="106"/>
      <c r="G35" s="100"/>
      <c r="H35" s="101"/>
      <c r="I35" s="438">
        <v>6387455</v>
      </c>
      <c r="J35" s="434">
        <v>4608047</v>
      </c>
      <c r="K35" s="434">
        <v>4086289</v>
      </c>
      <c r="L35" s="434">
        <v>521758</v>
      </c>
      <c r="M35" s="434">
        <v>102000</v>
      </c>
      <c r="N35" s="434">
        <v>87000</v>
      </c>
      <c r="O35" s="434">
        <v>15000</v>
      </c>
      <c r="P35" s="434">
        <v>1591996</v>
      </c>
      <c r="Q35" s="434">
        <v>46081</v>
      </c>
      <c r="R35" s="434">
        <v>39331</v>
      </c>
      <c r="S35" s="435">
        <v>9.7713000000000019</v>
      </c>
      <c r="T35" s="435">
        <v>8.18</v>
      </c>
      <c r="U35" s="700">
        <v>1.5913000000000002</v>
      </c>
      <c r="V35" s="438">
        <f t="shared" ref="V35:CA35" si="59">SUM(V29:V34)</f>
        <v>0</v>
      </c>
      <c r="W35" s="434">
        <f t="shared" si="59"/>
        <v>0</v>
      </c>
      <c r="X35" s="434">
        <f t="shared" si="59"/>
        <v>0</v>
      </c>
      <c r="Y35" s="434">
        <f t="shared" si="59"/>
        <v>0</v>
      </c>
      <c r="Z35" s="434">
        <f t="shared" si="59"/>
        <v>0</v>
      </c>
      <c r="AA35" s="434">
        <f t="shared" si="59"/>
        <v>137031</v>
      </c>
      <c r="AB35" s="434">
        <f t="shared" si="59"/>
        <v>0</v>
      </c>
      <c r="AC35" s="434">
        <f t="shared" si="59"/>
        <v>0</v>
      </c>
      <c r="AD35" s="434">
        <f t="shared" si="59"/>
        <v>0</v>
      </c>
      <c r="AE35" s="434">
        <f t="shared" si="59"/>
        <v>137031</v>
      </c>
      <c r="AF35" s="434">
        <f t="shared" si="59"/>
        <v>137031</v>
      </c>
      <c r="AG35" s="434">
        <f t="shared" si="59"/>
        <v>0</v>
      </c>
      <c r="AH35" s="434">
        <f t="shared" si="59"/>
        <v>0</v>
      </c>
      <c r="AI35" s="434">
        <f t="shared" si="59"/>
        <v>0</v>
      </c>
      <c r="AJ35" s="434">
        <f t="shared" si="59"/>
        <v>0</v>
      </c>
      <c r="AK35" s="434">
        <f t="shared" si="59"/>
        <v>0</v>
      </c>
      <c r="AL35" s="434">
        <f t="shared" si="59"/>
        <v>0</v>
      </c>
      <c r="AM35" s="434">
        <f t="shared" si="59"/>
        <v>0</v>
      </c>
      <c r="AN35" s="434">
        <f t="shared" si="59"/>
        <v>0</v>
      </c>
      <c r="AO35" s="434">
        <f t="shared" si="59"/>
        <v>0</v>
      </c>
      <c r="AP35" s="434">
        <f t="shared" si="59"/>
        <v>137031</v>
      </c>
      <c r="AQ35" s="434">
        <f t="shared" si="59"/>
        <v>137031</v>
      </c>
      <c r="AR35" s="434">
        <f t="shared" si="59"/>
        <v>46316</v>
      </c>
      <c r="AS35" s="434">
        <f t="shared" si="59"/>
        <v>1371</v>
      </c>
      <c r="AT35" s="434">
        <f t="shared" si="59"/>
        <v>0</v>
      </c>
      <c r="AU35" s="434">
        <f t="shared" si="59"/>
        <v>783</v>
      </c>
      <c r="AV35" s="434">
        <f t="shared" si="59"/>
        <v>783</v>
      </c>
      <c r="AW35" s="434">
        <f t="shared" si="59"/>
        <v>185501</v>
      </c>
      <c r="AX35" s="435">
        <f t="shared" si="59"/>
        <v>0</v>
      </c>
      <c r="AY35" s="435">
        <f t="shared" si="59"/>
        <v>0</v>
      </c>
      <c r="AZ35" s="435">
        <f t="shared" si="59"/>
        <v>0</v>
      </c>
      <c r="BA35" s="435">
        <f t="shared" si="59"/>
        <v>0</v>
      </c>
      <c r="BB35" s="435">
        <f t="shared" si="59"/>
        <v>0.41000000000000003</v>
      </c>
      <c r="BC35" s="435">
        <f t="shared" si="59"/>
        <v>0</v>
      </c>
      <c r="BD35" s="435">
        <f t="shared" si="59"/>
        <v>0</v>
      </c>
      <c r="BE35" s="435">
        <f t="shared" si="59"/>
        <v>0</v>
      </c>
      <c r="BF35" s="435">
        <f t="shared" si="59"/>
        <v>0</v>
      </c>
      <c r="BG35" s="435">
        <f t="shared" si="59"/>
        <v>0.41000000000000003</v>
      </c>
      <c r="BH35" s="103">
        <f t="shared" si="59"/>
        <v>0.41000000000000003</v>
      </c>
      <c r="BI35" s="803">
        <f t="shared" si="59"/>
        <v>6572956</v>
      </c>
      <c r="BJ35" s="434">
        <f t="shared" si="59"/>
        <v>4745078</v>
      </c>
      <c r="BK35" s="434">
        <f t="shared" si="59"/>
        <v>4086289</v>
      </c>
      <c r="BL35" s="434">
        <f t="shared" si="59"/>
        <v>658789</v>
      </c>
      <c r="BM35" s="434">
        <f t="shared" si="59"/>
        <v>102000</v>
      </c>
      <c r="BN35" s="434">
        <f t="shared" si="59"/>
        <v>87000</v>
      </c>
      <c r="BO35" s="434">
        <f t="shared" si="59"/>
        <v>15000</v>
      </c>
      <c r="BP35" s="434">
        <f t="shared" si="59"/>
        <v>1638312</v>
      </c>
      <c r="BQ35" s="434">
        <f t="shared" si="59"/>
        <v>47452</v>
      </c>
      <c r="BR35" s="434">
        <f t="shared" si="59"/>
        <v>40114</v>
      </c>
      <c r="BS35" s="435">
        <f t="shared" si="59"/>
        <v>10.1813</v>
      </c>
      <c r="BT35" s="435">
        <f t="shared" si="59"/>
        <v>8.18</v>
      </c>
      <c r="BU35" s="103">
        <f t="shared" si="59"/>
        <v>2.0013000000000001</v>
      </c>
      <c r="BV35" s="817">
        <f t="shared" si="59"/>
        <v>0</v>
      </c>
      <c r="BW35" s="703">
        <f t="shared" si="59"/>
        <v>0</v>
      </c>
      <c r="BX35" s="703">
        <f t="shared" si="59"/>
        <v>0</v>
      </c>
      <c r="BY35" s="703">
        <f t="shared" si="59"/>
        <v>0</v>
      </c>
      <c r="BZ35" s="703">
        <f t="shared" si="59"/>
        <v>0</v>
      </c>
      <c r="CA35" s="818">
        <f t="shared" si="59"/>
        <v>0</v>
      </c>
    </row>
    <row r="36" spans="1:79" s="96" customFormat="1" ht="14.1" customHeight="1" x14ac:dyDescent="0.2">
      <c r="A36" s="118">
        <v>5</v>
      </c>
      <c r="B36" s="102">
        <v>2451</v>
      </c>
      <c r="C36" s="93">
        <v>650037901</v>
      </c>
      <c r="D36" s="77">
        <v>72744880</v>
      </c>
      <c r="E36" s="77" t="s">
        <v>712</v>
      </c>
      <c r="F36" s="94">
        <v>3111</v>
      </c>
      <c r="G36" s="77" t="s">
        <v>290</v>
      </c>
      <c r="H36" s="95" t="s">
        <v>271</v>
      </c>
      <c r="I36" s="600">
        <v>1649466</v>
      </c>
      <c r="J36" s="599">
        <v>1219084</v>
      </c>
      <c r="K36" s="599">
        <v>1152516</v>
      </c>
      <c r="L36" s="599">
        <v>66568</v>
      </c>
      <c r="M36" s="599">
        <v>0</v>
      </c>
      <c r="N36" s="599">
        <v>0</v>
      </c>
      <c r="O36" s="599">
        <v>0</v>
      </c>
      <c r="P36" s="599">
        <v>412050</v>
      </c>
      <c r="Q36" s="599">
        <v>12191</v>
      </c>
      <c r="R36" s="599">
        <v>6141</v>
      </c>
      <c r="S36" s="417">
        <v>2.2667000000000002</v>
      </c>
      <c r="T36" s="417">
        <v>2</v>
      </c>
      <c r="U36" s="754">
        <v>0.26669999999999999</v>
      </c>
      <c r="V36" s="424">
        <f t="shared" ref="V36:W41" si="60">AG36*-1</f>
        <v>0</v>
      </c>
      <c r="W36" s="418">
        <f t="shared" si="60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 t="shared" ref="AD36:AD41" si="61">V36+X36+Y36+Z36+AB36</f>
        <v>0</v>
      </c>
      <c r="AE36" s="418">
        <f t="shared" ref="AE36:AE41" si="62">W36+AA36+AC36</f>
        <v>0</v>
      </c>
      <c r="AF36" s="418">
        <f t="shared" ref="AF36:AF41" si="63"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ref="AL36:AL41" si="64">AG36+AI36+AJ36</f>
        <v>0</v>
      </c>
      <c r="AM36" s="418">
        <f t="shared" ref="AM36:AM41" si="65">AH36+AK36</f>
        <v>0</v>
      </c>
      <c r="AN36" s="418">
        <f t="shared" ref="AN36:AN41" si="66">SUM(AL36:AM36)</f>
        <v>0</v>
      </c>
      <c r="AO36" s="418">
        <f t="shared" ref="AO36:AP41" si="67">AD36+AL36</f>
        <v>0</v>
      </c>
      <c r="AP36" s="418">
        <f t="shared" si="67"/>
        <v>0</v>
      </c>
      <c r="AQ36" s="418">
        <f t="shared" ref="AQ36:AQ41" si="68">SUM(AO36:AP36)</f>
        <v>0</v>
      </c>
      <c r="AR36" s="68">
        <f t="shared" ref="AR36:AR41" si="69">ROUND((AF36+AG36+AH36+AI36)*33.8%,0)</f>
        <v>0</v>
      </c>
      <c r="AS36" s="68">
        <f t="shared" ref="AS36:AS41" si="70">ROUND(AF36*1%,0)</f>
        <v>0</v>
      </c>
      <c r="AT36" s="418">
        <v>0</v>
      </c>
      <c r="AU36" s="418">
        <v>0</v>
      </c>
      <c r="AV36" s="418">
        <f t="shared" ref="AV36:AV41" si="71">AT36+AU36</f>
        <v>0</v>
      </c>
      <c r="AW36" s="418">
        <f t="shared" ref="AW36:AW41" si="72"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 t="shared" ref="BF36:BF41" si="73">AX36+AZ36+BA36+BC36+BD36</f>
        <v>0</v>
      </c>
      <c r="BG36" s="419">
        <f t="shared" ref="BG36:BG41" si="74">AY36+BB36+BE36</f>
        <v>0</v>
      </c>
      <c r="BH36" s="421">
        <f t="shared" ref="BH36:BH41" si="75">SUM(BF36:BG36)</f>
        <v>0</v>
      </c>
      <c r="BI36" s="780">
        <f t="shared" ref="BI36:BI41" si="76">I36+AW36</f>
        <v>1649466</v>
      </c>
      <c r="BJ36" s="418">
        <f t="shared" ref="BJ36:BJ41" si="77">J36+AF36</f>
        <v>1219084</v>
      </c>
      <c r="BK36" s="418">
        <f t="shared" ref="BK36:BL41" si="78">K36+AD36</f>
        <v>1152516</v>
      </c>
      <c r="BL36" s="418">
        <f t="shared" si="78"/>
        <v>66568</v>
      </c>
      <c r="BM36" s="418">
        <f t="shared" ref="BM36:BM41" si="79">M36+AN36</f>
        <v>0</v>
      </c>
      <c r="BN36" s="418">
        <f t="shared" ref="BN36:BO41" si="80">N36+AL36</f>
        <v>0</v>
      </c>
      <c r="BO36" s="418">
        <f t="shared" si="80"/>
        <v>0</v>
      </c>
      <c r="BP36" s="418">
        <f t="shared" ref="BP36:BQ41" si="81">P36+AR36</f>
        <v>412050</v>
      </c>
      <c r="BQ36" s="418">
        <f t="shared" si="81"/>
        <v>12191</v>
      </c>
      <c r="BR36" s="418">
        <f t="shared" ref="BR36:BR41" si="82">R36+AV36</f>
        <v>6141</v>
      </c>
      <c r="BS36" s="419">
        <f t="shared" ref="BS36:BS41" si="83">S36+BH36</f>
        <v>2.2667000000000002</v>
      </c>
      <c r="BT36" s="419">
        <f t="shared" ref="BT36:BU41" si="84">T36+BF36</f>
        <v>2</v>
      </c>
      <c r="BU36" s="421">
        <f t="shared" si="84"/>
        <v>0.26669999999999999</v>
      </c>
      <c r="BV36" s="420"/>
      <c r="BW36" s="415"/>
      <c r="BX36" s="415"/>
      <c r="BY36" s="415"/>
      <c r="BZ36" s="415"/>
      <c r="CA36" s="510"/>
    </row>
    <row r="37" spans="1:79" s="96" customFormat="1" ht="14.1" customHeight="1" x14ac:dyDescent="0.2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712</v>
      </c>
      <c r="F37" s="105">
        <v>3117</v>
      </c>
      <c r="G37" s="104" t="s">
        <v>308</v>
      </c>
      <c r="H37" s="95" t="s">
        <v>271</v>
      </c>
      <c r="I37" s="600">
        <v>4200097</v>
      </c>
      <c r="J37" s="599">
        <v>3070658</v>
      </c>
      <c r="K37" s="599">
        <v>2650777</v>
      </c>
      <c r="L37" s="599">
        <v>419881</v>
      </c>
      <c r="M37" s="599">
        <v>0</v>
      </c>
      <c r="N37" s="599">
        <v>0</v>
      </c>
      <c r="O37" s="599">
        <v>0</v>
      </c>
      <c r="P37" s="599">
        <v>1037883</v>
      </c>
      <c r="Q37" s="599">
        <v>30706</v>
      </c>
      <c r="R37" s="599">
        <v>60850</v>
      </c>
      <c r="S37" s="417">
        <v>5.2399000000000004</v>
      </c>
      <c r="T37" s="417">
        <v>4</v>
      </c>
      <c r="U37" s="754">
        <v>1.2399</v>
      </c>
      <c r="V37" s="424">
        <f t="shared" si="60"/>
        <v>0</v>
      </c>
      <c r="W37" s="418">
        <f t="shared" si="60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 t="shared" si="61"/>
        <v>0</v>
      </c>
      <c r="AE37" s="418">
        <f t="shared" si="62"/>
        <v>0</v>
      </c>
      <c r="AF37" s="418">
        <f t="shared" si="63"/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64"/>
        <v>0</v>
      </c>
      <c r="AM37" s="418">
        <f t="shared" si="65"/>
        <v>0</v>
      </c>
      <c r="AN37" s="418">
        <f t="shared" si="66"/>
        <v>0</v>
      </c>
      <c r="AO37" s="418">
        <f t="shared" si="67"/>
        <v>0</v>
      </c>
      <c r="AP37" s="418">
        <f t="shared" si="67"/>
        <v>0</v>
      </c>
      <c r="AQ37" s="418">
        <f t="shared" si="68"/>
        <v>0</v>
      </c>
      <c r="AR37" s="68">
        <f t="shared" si="69"/>
        <v>0</v>
      </c>
      <c r="AS37" s="68">
        <f t="shared" si="70"/>
        <v>0</v>
      </c>
      <c r="AT37" s="418">
        <v>0</v>
      </c>
      <c r="AU37" s="418">
        <v>0</v>
      </c>
      <c r="AV37" s="418">
        <f t="shared" si="71"/>
        <v>0</v>
      </c>
      <c r="AW37" s="418">
        <f t="shared" si="72"/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 t="shared" si="73"/>
        <v>0</v>
      </c>
      <c r="BG37" s="419">
        <f t="shared" si="74"/>
        <v>0</v>
      </c>
      <c r="BH37" s="421">
        <f t="shared" si="75"/>
        <v>0</v>
      </c>
      <c r="BI37" s="780">
        <f t="shared" si="76"/>
        <v>4200097</v>
      </c>
      <c r="BJ37" s="418">
        <f t="shared" si="77"/>
        <v>3070658</v>
      </c>
      <c r="BK37" s="418">
        <f t="shared" si="78"/>
        <v>2650777</v>
      </c>
      <c r="BL37" s="418">
        <f t="shared" si="78"/>
        <v>419881</v>
      </c>
      <c r="BM37" s="418">
        <f t="shared" si="79"/>
        <v>0</v>
      </c>
      <c r="BN37" s="418">
        <f t="shared" si="80"/>
        <v>0</v>
      </c>
      <c r="BO37" s="418">
        <f t="shared" si="80"/>
        <v>0</v>
      </c>
      <c r="BP37" s="418">
        <f t="shared" si="81"/>
        <v>1037883</v>
      </c>
      <c r="BQ37" s="418">
        <f t="shared" si="81"/>
        <v>30706</v>
      </c>
      <c r="BR37" s="418">
        <f t="shared" si="82"/>
        <v>60850</v>
      </c>
      <c r="BS37" s="419">
        <f t="shared" si="83"/>
        <v>5.2399000000000004</v>
      </c>
      <c r="BT37" s="419">
        <f t="shared" si="84"/>
        <v>4</v>
      </c>
      <c r="BU37" s="421">
        <f t="shared" si="84"/>
        <v>1.2399</v>
      </c>
      <c r="BV37" s="420"/>
      <c r="BW37" s="415"/>
      <c r="BX37" s="415"/>
      <c r="BY37" s="415"/>
      <c r="BZ37" s="415"/>
      <c r="CA37" s="510"/>
    </row>
    <row r="38" spans="1:79" s="96" customFormat="1" ht="14.1" customHeight="1" x14ac:dyDescent="0.2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712</v>
      </c>
      <c r="F38" s="94">
        <v>3117</v>
      </c>
      <c r="G38" s="77" t="s">
        <v>291</v>
      </c>
      <c r="H38" s="95" t="s">
        <v>272</v>
      </c>
      <c r="I38" s="600">
        <v>1283537</v>
      </c>
      <c r="J38" s="599">
        <v>945502</v>
      </c>
      <c r="K38" s="599">
        <v>945502</v>
      </c>
      <c r="L38" s="599">
        <v>0</v>
      </c>
      <c r="M38" s="599">
        <v>0</v>
      </c>
      <c r="N38" s="599">
        <v>0</v>
      </c>
      <c r="O38" s="599">
        <v>0</v>
      </c>
      <c r="P38" s="599">
        <v>319580</v>
      </c>
      <c r="Q38" s="599">
        <v>9455</v>
      </c>
      <c r="R38" s="599">
        <v>9000</v>
      </c>
      <c r="S38" s="417">
        <v>2.34</v>
      </c>
      <c r="T38" s="417">
        <v>2.34</v>
      </c>
      <c r="U38" s="754">
        <v>0</v>
      </c>
      <c r="V38" s="424">
        <f t="shared" si="60"/>
        <v>0</v>
      </c>
      <c r="W38" s="418">
        <f t="shared" si="60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 t="shared" si="61"/>
        <v>0</v>
      </c>
      <c r="AE38" s="418">
        <f t="shared" si="62"/>
        <v>0</v>
      </c>
      <c r="AF38" s="418">
        <f t="shared" si="63"/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si="64"/>
        <v>0</v>
      </c>
      <c r="AM38" s="418">
        <f t="shared" si="65"/>
        <v>0</v>
      </c>
      <c r="AN38" s="418">
        <f t="shared" si="66"/>
        <v>0</v>
      </c>
      <c r="AO38" s="418">
        <f t="shared" si="67"/>
        <v>0</v>
      </c>
      <c r="AP38" s="418">
        <f t="shared" si="67"/>
        <v>0</v>
      </c>
      <c r="AQ38" s="418">
        <f t="shared" si="68"/>
        <v>0</v>
      </c>
      <c r="AR38" s="68">
        <f t="shared" si="69"/>
        <v>0</v>
      </c>
      <c r="AS38" s="68">
        <f t="shared" si="70"/>
        <v>0</v>
      </c>
      <c r="AT38" s="418">
        <v>0</v>
      </c>
      <c r="AU38" s="418">
        <v>0</v>
      </c>
      <c r="AV38" s="418">
        <f t="shared" si="71"/>
        <v>0</v>
      </c>
      <c r="AW38" s="418">
        <f t="shared" si="72"/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 t="shared" si="73"/>
        <v>0</v>
      </c>
      <c r="BG38" s="419">
        <f t="shared" si="74"/>
        <v>0</v>
      </c>
      <c r="BH38" s="421">
        <f t="shared" si="75"/>
        <v>0</v>
      </c>
      <c r="BI38" s="780">
        <f t="shared" si="76"/>
        <v>1283537</v>
      </c>
      <c r="BJ38" s="418">
        <f t="shared" si="77"/>
        <v>945502</v>
      </c>
      <c r="BK38" s="418">
        <f t="shared" si="78"/>
        <v>945502</v>
      </c>
      <c r="BL38" s="418">
        <f t="shared" si="78"/>
        <v>0</v>
      </c>
      <c r="BM38" s="418">
        <f t="shared" si="79"/>
        <v>0</v>
      </c>
      <c r="BN38" s="418">
        <f t="shared" si="80"/>
        <v>0</v>
      </c>
      <c r="BO38" s="418">
        <f t="shared" si="80"/>
        <v>0</v>
      </c>
      <c r="BP38" s="418">
        <f t="shared" si="81"/>
        <v>319580</v>
      </c>
      <c r="BQ38" s="418">
        <f t="shared" si="81"/>
        <v>9455</v>
      </c>
      <c r="BR38" s="418">
        <f t="shared" si="82"/>
        <v>9000</v>
      </c>
      <c r="BS38" s="419">
        <f t="shared" si="83"/>
        <v>2.34</v>
      </c>
      <c r="BT38" s="419">
        <f t="shared" si="84"/>
        <v>2.34</v>
      </c>
      <c r="BU38" s="421">
        <f t="shared" si="84"/>
        <v>0</v>
      </c>
      <c r="BV38" s="420"/>
      <c r="BW38" s="415"/>
      <c r="BX38" s="415"/>
      <c r="BY38" s="415"/>
      <c r="BZ38" s="415"/>
      <c r="CA38" s="510"/>
    </row>
    <row r="39" spans="1:79" s="96" customFormat="1" ht="14.1" customHeight="1" x14ac:dyDescent="0.2">
      <c r="A39" s="118">
        <v>5</v>
      </c>
      <c r="B39" s="77">
        <v>2451</v>
      </c>
      <c r="C39" s="93">
        <v>650037901</v>
      </c>
      <c r="D39" s="77">
        <v>72744880</v>
      </c>
      <c r="E39" s="77" t="s">
        <v>712</v>
      </c>
      <c r="F39" s="94">
        <v>3141</v>
      </c>
      <c r="G39" s="77" t="s">
        <v>294</v>
      </c>
      <c r="H39" s="95" t="s">
        <v>272</v>
      </c>
      <c r="I39" s="600">
        <v>607869</v>
      </c>
      <c r="J39" s="599">
        <v>449098</v>
      </c>
      <c r="K39" s="599">
        <v>0</v>
      </c>
      <c r="L39" s="605">
        <v>449098</v>
      </c>
      <c r="M39" s="599">
        <v>0</v>
      </c>
      <c r="N39" s="599">
        <v>0</v>
      </c>
      <c r="O39" s="599">
        <v>0</v>
      </c>
      <c r="P39" s="599">
        <v>151795</v>
      </c>
      <c r="Q39" s="599">
        <v>4491</v>
      </c>
      <c r="R39" s="599">
        <v>2485</v>
      </c>
      <c r="S39" s="417">
        <v>1.3467</v>
      </c>
      <c r="T39" s="417">
        <v>0</v>
      </c>
      <c r="U39" s="754">
        <v>1.3467</v>
      </c>
      <c r="V39" s="424">
        <f t="shared" si="60"/>
        <v>0</v>
      </c>
      <c r="W39" s="418">
        <f t="shared" si="60"/>
        <v>0</v>
      </c>
      <c r="X39" s="418">
        <v>0</v>
      </c>
      <c r="Y39" s="418">
        <v>0</v>
      </c>
      <c r="Z39" s="418">
        <v>0</v>
      </c>
      <c r="AA39" s="418">
        <v>225545</v>
      </c>
      <c r="AB39" s="418">
        <v>0</v>
      </c>
      <c r="AC39" s="418">
        <v>0</v>
      </c>
      <c r="AD39" s="418">
        <f t="shared" si="61"/>
        <v>0</v>
      </c>
      <c r="AE39" s="418">
        <f t="shared" si="62"/>
        <v>225545</v>
      </c>
      <c r="AF39" s="418">
        <f t="shared" si="63"/>
        <v>225545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64"/>
        <v>0</v>
      </c>
      <c r="AM39" s="418">
        <f t="shared" si="65"/>
        <v>0</v>
      </c>
      <c r="AN39" s="418">
        <f t="shared" si="66"/>
        <v>0</v>
      </c>
      <c r="AO39" s="418">
        <f t="shared" si="67"/>
        <v>0</v>
      </c>
      <c r="AP39" s="418">
        <f t="shared" si="67"/>
        <v>225545</v>
      </c>
      <c r="AQ39" s="418">
        <f t="shared" si="68"/>
        <v>225545</v>
      </c>
      <c r="AR39" s="68">
        <f t="shared" si="69"/>
        <v>76234</v>
      </c>
      <c r="AS39" s="68">
        <f t="shared" si="70"/>
        <v>2255</v>
      </c>
      <c r="AT39" s="418">
        <v>0</v>
      </c>
      <c r="AU39" s="418">
        <v>1207</v>
      </c>
      <c r="AV39" s="418">
        <f t="shared" si="71"/>
        <v>1207</v>
      </c>
      <c r="AW39" s="418">
        <f t="shared" si="72"/>
        <v>305241</v>
      </c>
      <c r="AX39" s="419">
        <v>0</v>
      </c>
      <c r="AY39" s="419">
        <v>0</v>
      </c>
      <c r="AZ39" s="419">
        <v>0</v>
      </c>
      <c r="BA39" s="419">
        <v>0</v>
      </c>
      <c r="BB39" s="419">
        <v>0.67</v>
      </c>
      <c r="BC39" s="419">
        <v>0</v>
      </c>
      <c r="BD39" s="419">
        <v>0</v>
      </c>
      <c r="BE39" s="419">
        <v>0</v>
      </c>
      <c r="BF39" s="419">
        <f t="shared" si="73"/>
        <v>0</v>
      </c>
      <c r="BG39" s="419">
        <f t="shared" si="74"/>
        <v>0.67</v>
      </c>
      <c r="BH39" s="421">
        <f t="shared" si="75"/>
        <v>0.67</v>
      </c>
      <c r="BI39" s="780">
        <f t="shared" si="76"/>
        <v>913110</v>
      </c>
      <c r="BJ39" s="418">
        <f t="shared" si="77"/>
        <v>674643</v>
      </c>
      <c r="BK39" s="418">
        <f t="shared" si="78"/>
        <v>0</v>
      </c>
      <c r="BL39" s="418">
        <f t="shared" si="78"/>
        <v>674643</v>
      </c>
      <c r="BM39" s="418">
        <f t="shared" si="79"/>
        <v>0</v>
      </c>
      <c r="BN39" s="418">
        <f t="shared" si="80"/>
        <v>0</v>
      </c>
      <c r="BO39" s="418">
        <f t="shared" si="80"/>
        <v>0</v>
      </c>
      <c r="BP39" s="418">
        <f t="shared" si="81"/>
        <v>228029</v>
      </c>
      <c r="BQ39" s="418">
        <f t="shared" si="81"/>
        <v>6746</v>
      </c>
      <c r="BR39" s="418">
        <f t="shared" si="82"/>
        <v>3692</v>
      </c>
      <c r="BS39" s="419">
        <f t="shared" si="83"/>
        <v>2.0167000000000002</v>
      </c>
      <c r="BT39" s="419">
        <f t="shared" si="84"/>
        <v>0</v>
      </c>
      <c r="BU39" s="421">
        <f t="shared" si="84"/>
        <v>2.0167000000000002</v>
      </c>
      <c r="BV39" s="420"/>
      <c r="BW39" s="415"/>
      <c r="BX39" s="415"/>
      <c r="BY39" s="415"/>
      <c r="BZ39" s="415"/>
      <c r="CA39" s="510"/>
    </row>
    <row r="40" spans="1:79" s="96" customFormat="1" ht="14.1" customHeight="1" x14ac:dyDescent="0.2">
      <c r="A40" s="118">
        <v>5</v>
      </c>
      <c r="B40" s="77">
        <v>2451</v>
      </c>
      <c r="C40" s="93">
        <v>650037901</v>
      </c>
      <c r="D40" s="77">
        <v>72744880</v>
      </c>
      <c r="E40" s="77" t="s">
        <v>712</v>
      </c>
      <c r="F40" s="94">
        <v>3143</v>
      </c>
      <c r="G40" s="77" t="s">
        <v>595</v>
      </c>
      <c r="H40" s="95" t="s">
        <v>271</v>
      </c>
      <c r="I40" s="600">
        <v>609529</v>
      </c>
      <c r="J40" s="599">
        <v>452173</v>
      </c>
      <c r="K40" s="599">
        <v>452173</v>
      </c>
      <c r="L40" s="599">
        <v>0</v>
      </c>
      <c r="M40" s="599">
        <v>0</v>
      </c>
      <c r="N40" s="599">
        <v>0</v>
      </c>
      <c r="O40" s="599">
        <v>0</v>
      </c>
      <c r="P40" s="599">
        <v>152834</v>
      </c>
      <c r="Q40" s="599">
        <v>4522</v>
      </c>
      <c r="R40" s="599">
        <v>0</v>
      </c>
      <c r="S40" s="417">
        <v>1</v>
      </c>
      <c r="T40" s="417">
        <v>1</v>
      </c>
      <c r="U40" s="754">
        <v>0</v>
      </c>
      <c r="V40" s="424">
        <f t="shared" si="60"/>
        <v>0</v>
      </c>
      <c r="W40" s="418">
        <f t="shared" si="60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 t="shared" si="61"/>
        <v>0</v>
      </c>
      <c r="AE40" s="418">
        <f t="shared" si="62"/>
        <v>0</v>
      </c>
      <c r="AF40" s="418">
        <f t="shared" si="63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64"/>
        <v>0</v>
      </c>
      <c r="AM40" s="418">
        <f t="shared" si="65"/>
        <v>0</v>
      </c>
      <c r="AN40" s="418">
        <f t="shared" si="66"/>
        <v>0</v>
      </c>
      <c r="AO40" s="418">
        <f t="shared" si="67"/>
        <v>0</v>
      </c>
      <c r="AP40" s="418">
        <f t="shared" si="67"/>
        <v>0</v>
      </c>
      <c r="AQ40" s="418">
        <f t="shared" si="68"/>
        <v>0</v>
      </c>
      <c r="AR40" s="68">
        <f t="shared" si="69"/>
        <v>0</v>
      </c>
      <c r="AS40" s="68">
        <f t="shared" si="70"/>
        <v>0</v>
      </c>
      <c r="AT40" s="418">
        <v>0</v>
      </c>
      <c r="AU40" s="418">
        <v>0</v>
      </c>
      <c r="AV40" s="418">
        <f t="shared" si="71"/>
        <v>0</v>
      </c>
      <c r="AW40" s="418">
        <f t="shared" si="72"/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 t="shared" si="73"/>
        <v>0</v>
      </c>
      <c r="BG40" s="419">
        <f t="shared" si="74"/>
        <v>0</v>
      </c>
      <c r="BH40" s="421">
        <f t="shared" si="75"/>
        <v>0</v>
      </c>
      <c r="BI40" s="780">
        <f t="shared" si="76"/>
        <v>609529</v>
      </c>
      <c r="BJ40" s="418">
        <f t="shared" si="77"/>
        <v>452173</v>
      </c>
      <c r="BK40" s="418">
        <f t="shared" si="78"/>
        <v>452173</v>
      </c>
      <c r="BL40" s="418">
        <f t="shared" si="78"/>
        <v>0</v>
      </c>
      <c r="BM40" s="418">
        <f t="shared" si="79"/>
        <v>0</v>
      </c>
      <c r="BN40" s="418">
        <f t="shared" si="80"/>
        <v>0</v>
      </c>
      <c r="BO40" s="418">
        <f t="shared" si="80"/>
        <v>0</v>
      </c>
      <c r="BP40" s="418">
        <f t="shared" si="81"/>
        <v>152834</v>
      </c>
      <c r="BQ40" s="418">
        <f t="shared" si="81"/>
        <v>4522</v>
      </c>
      <c r="BR40" s="418">
        <f t="shared" si="82"/>
        <v>0</v>
      </c>
      <c r="BS40" s="419">
        <f t="shared" si="83"/>
        <v>1</v>
      </c>
      <c r="BT40" s="419">
        <f t="shared" si="84"/>
        <v>1</v>
      </c>
      <c r="BU40" s="421">
        <f t="shared" si="84"/>
        <v>0</v>
      </c>
      <c r="BV40" s="420"/>
      <c r="BW40" s="415"/>
      <c r="BX40" s="415"/>
      <c r="BY40" s="415"/>
      <c r="BZ40" s="415"/>
      <c r="CA40" s="510"/>
    </row>
    <row r="41" spans="1:79" s="96" customFormat="1" ht="14.1" customHeight="1" x14ac:dyDescent="0.2">
      <c r="A41" s="118">
        <v>5</v>
      </c>
      <c r="B41" s="77">
        <v>2451</v>
      </c>
      <c r="C41" s="93">
        <v>650037901</v>
      </c>
      <c r="D41" s="77">
        <v>72744880</v>
      </c>
      <c r="E41" s="77" t="s">
        <v>712</v>
      </c>
      <c r="F41" s="94">
        <v>3143</v>
      </c>
      <c r="G41" s="77" t="s">
        <v>596</v>
      </c>
      <c r="H41" s="95" t="s">
        <v>272</v>
      </c>
      <c r="I41" s="600">
        <v>14348</v>
      </c>
      <c r="J41" s="599">
        <v>10270</v>
      </c>
      <c r="K41" s="599">
        <v>0</v>
      </c>
      <c r="L41" s="605">
        <v>10270</v>
      </c>
      <c r="M41" s="599">
        <v>0</v>
      </c>
      <c r="N41" s="606">
        <v>0</v>
      </c>
      <c r="O41" s="606">
        <v>0</v>
      </c>
      <c r="P41" s="599">
        <v>3471</v>
      </c>
      <c r="Q41" s="599">
        <v>103</v>
      </c>
      <c r="R41" s="606">
        <v>504</v>
      </c>
      <c r="S41" s="417">
        <v>3.8899999999999997E-2</v>
      </c>
      <c r="T41" s="609">
        <v>0</v>
      </c>
      <c r="U41" s="737">
        <v>3.8899999999999997E-2</v>
      </c>
      <c r="V41" s="424">
        <f t="shared" si="60"/>
        <v>0</v>
      </c>
      <c r="W41" s="418">
        <f t="shared" si="60"/>
        <v>0</v>
      </c>
      <c r="X41" s="418">
        <v>0</v>
      </c>
      <c r="Y41" s="418">
        <v>0</v>
      </c>
      <c r="Z41" s="418">
        <v>0</v>
      </c>
      <c r="AA41" s="418">
        <v>5130</v>
      </c>
      <c r="AB41" s="418">
        <v>0</v>
      </c>
      <c r="AC41" s="418">
        <v>0</v>
      </c>
      <c r="AD41" s="418">
        <f t="shared" si="61"/>
        <v>0</v>
      </c>
      <c r="AE41" s="418">
        <f t="shared" si="62"/>
        <v>5130</v>
      </c>
      <c r="AF41" s="418">
        <f t="shared" si="63"/>
        <v>5130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64"/>
        <v>0</v>
      </c>
      <c r="AM41" s="418">
        <f t="shared" si="65"/>
        <v>0</v>
      </c>
      <c r="AN41" s="418">
        <f t="shared" si="66"/>
        <v>0</v>
      </c>
      <c r="AO41" s="418">
        <f t="shared" si="67"/>
        <v>0</v>
      </c>
      <c r="AP41" s="418">
        <f t="shared" si="67"/>
        <v>5130</v>
      </c>
      <c r="AQ41" s="418">
        <f t="shared" si="68"/>
        <v>5130</v>
      </c>
      <c r="AR41" s="68">
        <f t="shared" si="69"/>
        <v>1734</v>
      </c>
      <c r="AS41" s="68">
        <f t="shared" si="70"/>
        <v>51</v>
      </c>
      <c r="AT41" s="418">
        <v>0</v>
      </c>
      <c r="AU41" s="418">
        <v>252</v>
      </c>
      <c r="AV41" s="418">
        <f t="shared" si="71"/>
        <v>252</v>
      </c>
      <c r="AW41" s="418">
        <f t="shared" si="72"/>
        <v>7167</v>
      </c>
      <c r="AX41" s="419">
        <v>0</v>
      </c>
      <c r="AY41" s="419">
        <v>0</v>
      </c>
      <c r="AZ41" s="419">
        <v>0</v>
      </c>
      <c r="BA41" s="419">
        <v>0</v>
      </c>
      <c r="BB41" s="419">
        <v>0.02</v>
      </c>
      <c r="BC41" s="419">
        <v>0</v>
      </c>
      <c r="BD41" s="419">
        <v>0</v>
      </c>
      <c r="BE41" s="419">
        <v>0</v>
      </c>
      <c r="BF41" s="419">
        <f t="shared" si="73"/>
        <v>0</v>
      </c>
      <c r="BG41" s="419">
        <f t="shared" si="74"/>
        <v>0.02</v>
      </c>
      <c r="BH41" s="421">
        <f t="shared" si="75"/>
        <v>0.02</v>
      </c>
      <c r="BI41" s="780">
        <f t="shared" si="76"/>
        <v>21515</v>
      </c>
      <c r="BJ41" s="418">
        <f t="shared" si="77"/>
        <v>15400</v>
      </c>
      <c r="BK41" s="418">
        <f t="shared" si="78"/>
        <v>0</v>
      </c>
      <c r="BL41" s="418">
        <f t="shared" si="78"/>
        <v>15400</v>
      </c>
      <c r="BM41" s="418">
        <f t="shared" si="79"/>
        <v>0</v>
      </c>
      <c r="BN41" s="418">
        <f t="shared" si="80"/>
        <v>0</v>
      </c>
      <c r="BO41" s="418">
        <f t="shared" si="80"/>
        <v>0</v>
      </c>
      <c r="BP41" s="418">
        <f t="shared" si="81"/>
        <v>5205</v>
      </c>
      <c r="BQ41" s="418">
        <f t="shared" si="81"/>
        <v>154</v>
      </c>
      <c r="BR41" s="418">
        <f t="shared" si="82"/>
        <v>756</v>
      </c>
      <c r="BS41" s="419">
        <f t="shared" si="83"/>
        <v>5.8899999999999994E-2</v>
      </c>
      <c r="BT41" s="419">
        <f t="shared" si="84"/>
        <v>0</v>
      </c>
      <c r="BU41" s="421">
        <f t="shared" si="84"/>
        <v>5.8899999999999994E-2</v>
      </c>
      <c r="BV41" s="420"/>
      <c r="BW41" s="415"/>
      <c r="BX41" s="415"/>
      <c r="BY41" s="415"/>
      <c r="BZ41" s="415"/>
      <c r="CA41" s="510"/>
    </row>
    <row r="42" spans="1:79" s="96" customFormat="1" ht="14.1" customHeight="1" x14ac:dyDescent="0.2">
      <c r="A42" s="119">
        <v>5</v>
      </c>
      <c r="B42" s="97">
        <v>2451</v>
      </c>
      <c r="C42" s="98">
        <v>650037901</v>
      </c>
      <c r="D42" s="97">
        <v>72744880</v>
      </c>
      <c r="E42" s="97" t="s">
        <v>713</v>
      </c>
      <c r="F42" s="106"/>
      <c r="G42" s="100"/>
      <c r="H42" s="101"/>
      <c r="I42" s="438">
        <v>8364846</v>
      </c>
      <c r="J42" s="434">
        <v>6146785</v>
      </c>
      <c r="K42" s="434">
        <v>5200968</v>
      </c>
      <c r="L42" s="434">
        <v>945817</v>
      </c>
      <c r="M42" s="434">
        <v>0</v>
      </c>
      <c r="N42" s="434">
        <v>0</v>
      </c>
      <c r="O42" s="434">
        <v>0</v>
      </c>
      <c r="P42" s="434">
        <v>2077613</v>
      </c>
      <c r="Q42" s="434">
        <v>61468</v>
      </c>
      <c r="R42" s="434">
        <v>78980</v>
      </c>
      <c r="S42" s="435">
        <v>12.232200000000001</v>
      </c>
      <c r="T42" s="435">
        <v>9.34</v>
      </c>
      <c r="U42" s="700">
        <v>2.8921999999999999</v>
      </c>
      <c r="V42" s="438">
        <f t="shared" ref="V42:CA42" si="85">SUM(V36:V41)</f>
        <v>0</v>
      </c>
      <c r="W42" s="434">
        <f t="shared" si="85"/>
        <v>0</v>
      </c>
      <c r="X42" s="434">
        <f t="shared" si="85"/>
        <v>0</v>
      </c>
      <c r="Y42" s="434">
        <f t="shared" si="85"/>
        <v>0</v>
      </c>
      <c r="Z42" s="434">
        <f t="shared" si="85"/>
        <v>0</v>
      </c>
      <c r="AA42" s="434">
        <f t="shared" si="85"/>
        <v>230675</v>
      </c>
      <c r="AB42" s="434">
        <f t="shared" si="85"/>
        <v>0</v>
      </c>
      <c r="AC42" s="434">
        <f t="shared" si="85"/>
        <v>0</v>
      </c>
      <c r="AD42" s="434">
        <f t="shared" si="85"/>
        <v>0</v>
      </c>
      <c r="AE42" s="434">
        <f t="shared" si="85"/>
        <v>230675</v>
      </c>
      <c r="AF42" s="434">
        <f t="shared" si="85"/>
        <v>230675</v>
      </c>
      <c r="AG42" s="434">
        <f t="shared" si="85"/>
        <v>0</v>
      </c>
      <c r="AH42" s="434">
        <f t="shared" si="85"/>
        <v>0</v>
      </c>
      <c r="AI42" s="434">
        <f t="shared" si="85"/>
        <v>0</v>
      </c>
      <c r="AJ42" s="434">
        <f t="shared" si="85"/>
        <v>0</v>
      </c>
      <c r="AK42" s="434">
        <f t="shared" si="85"/>
        <v>0</v>
      </c>
      <c r="AL42" s="434">
        <f t="shared" si="85"/>
        <v>0</v>
      </c>
      <c r="AM42" s="434">
        <f t="shared" si="85"/>
        <v>0</v>
      </c>
      <c r="AN42" s="434">
        <f t="shared" si="85"/>
        <v>0</v>
      </c>
      <c r="AO42" s="434">
        <f t="shared" si="85"/>
        <v>0</v>
      </c>
      <c r="AP42" s="434">
        <f t="shared" si="85"/>
        <v>230675</v>
      </c>
      <c r="AQ42" s="434">
        <f t="shared" si="85"/>
        <v>230675</v>
      </c>
      <c r="AR42" s="434">
        <f t="shared" si="85"/>
        <v>77968</v>
      </c>
      <c r="AS42" s="434">
        <f t="shared" si="85"/>
        <v>2306</v>
      </c>
      <c r="AT42" s="434">
        <f t="shared" si="85"/>
        <v>0</v>
      </c>
      <c r="AU42" s="434">
        <f t="shared" si="85"/>
        <v>1459</v>
      </c>
      <c r="AV42" s="434">
        <f t="shared" si="85"/>
        <v>1459</v>
      </c>
      <c r="AW42" s="434">
        <f t="shared" si="85"/>
        <v>312408</v>
      </c>
      <c r="AX42" s="435">
        <f t="shared" si="85"/>
        <v>0</v>
      </c>
      <c r="AY42" s="435">
        <f t="shared" si="85"/>
        <v>0</v>
      </c>
      <c r="AZ42" s="435">
        <f t="shared" si="85"/>
        <v>0</v>
      </c>
      <c r="BA42" s="435">
        <f t="shared" si="85"/>
        <v>0</v>
      </c>
      <c r="BB42" s="435">
        <f t="shared" si="85"/>
        <v>0.69000000000000006</v>
      </c>
      <c r="BC42" s="435">
        <f t="shared" si="85"/>
        <v>0</v>
      </c>
      <c r="BD42" s="435">
        <f t="shared" si="85"/>
        <v>0</v>
      </c>
      <c r="BE42" s="435">
        <f t="shared" si="85"/>
        <v>0</v>
      </c>
      <c r="BF42" s="435">
        <f t="shared" si="85"/>
        <v>0</v>
      </c>
      <c r="BG42" s="435">
        <f t="shared" si="85"/>
        <v>0.69000000000000006</v>
      </c>
      <c r="BH42" s="103">
        <f t="shared" si="85"/>
        <v>0.69000000000000006</v>
      </c>
      <c r="BI42" s="803">
        <f t="shared" si="85"/>
        <v>8677254</v>
      </c>
      <c r="BJ42" s="434">
        <f t="shared" si="85"/>
        <v>6377460</v>
      </c>
      <c r="BK42" s="434">
        <f t="shared" si="85"/>
        <v>5200968</v>
      </c>
      <c r="BL42" s="434">
        <f t="shared" si="85"/>
        <v>1176492</v>
      </c>
      <c r="BM42" s="434">
        <f t="shared" si="85"/>
        <v>0</v>
      </c>
      <c r="BN42" s="434">
        <f t="shared" si="85"/>
        <v>0</v>
      </c>
      <c r="BO42" s="434">
        <f t="shared" si="85"/>
        <v>0</v>
      </c>
      <c r="BP42" s="434">
        <f t="shared" si="85"/>
        <v>2155581</v>
      </c>
      <c r="BQ42" s="434">
        <f t="shared" si="85"/>
        <v>63774</v>
      </c>
      <c r="BR42" s="434">
        <f t="shared" si="85"/>
        <v>80439</v>
      </c>
      <c r="BS42" s="435">
        <f t="shared" si="85"/>
        <v>12.9222</v>
      </c>
      <c r="BT42" s="435">
        <f t="shared" si="85"/>
        <v>9.34</v>
      </c>
      <c r="BU42" s="103">
        <f t="shared" si="85"/>
        <v>3.5821999999999998</v>
      </c>
      <c r="BV42" s="817">
        <f t="shared" si="85"/>
        <v>0</v>
      </c>
      <c r="BW42" s="703">
        <f t="shared" si="85"/>
        <v>0</v>
      </c>
      <c r="BX42" s="703">
        <f t="shared" si="85"/>
        <v>0</v>
      </c>
      <c r="BY42" s="703">
        <f t="shared" si="85"/>
        <v>0</v>
      </c>
      <c r="BZ42" s="703">
        <f t="shared" si="85"/>
        <v>0</v>
      </c>
      <c r="CA42" s="818">
        <f t="shared" si="85"/>
        <v>0</v>
      </c>
    </row>
    <row r="43" spans="1:79" s="96" customFormat="1" ht="14.1" customHeight="1" x14ac:dyDescent="0.2">
      <c r="A43" s="118">
        <v>6</v>
      </c>
      <c r="B43" s="102">
        <v>2453</v>
      </c>
      <c r="C43" s="93">
        <v>600079686</v>
      </c>
      <c r="D43" s="77">
        <v>72743603</v>
      </c>
      <c r="E43" s="77" t="s">
        <v>714</v>
      </c>
      <c r="F43" s="94">
        <v>3111</v>
      </c>
      <c r="G43" s="77" t="s">
        <v>290</v>
      </c>
      <c r="H43" s="95" t="s">
        <v>271</v>
      </c>
      <c r="I43" s="600">
        <v>3615616</v>
      </c>
      <c r="J43" s="599">
        <v>2623071</v>
      </c>
      <c r="K43" s="599">
        <v>2489935</v>
      </c>
      <c r="L43" s="599">
        <v>133136</v>
      </c>
      <c r="M43" s="599">
        <v>50000</v>
      </c>
      <c r="N43" s="599">
        <v>50000</v>
      </c>
      <c r="O43" s="599">
        <v>0</v>
      </c>
      <c r="P43" s="599">
        <v>903498</v>
      </c>
      <c r="Q43" s="599">
        <v>26231</v>
      </c>
      <c r="R43" s="599">
        <v>12816</v>
      </c>
      <c r="S43" s="417">
        <v>4.6769000000000007</v>
      </c>
      <c r="T43" s="417">
        <v>4.1435000000000004</v>
      </c>
      <c r="U43" s="754">
        <v>0.53339999999999999</v>
      </c>
      <c r="V43" s="424">
        <f t="shared" ref="V43:W48" si="86">AG43*-1</f>
        <v>0</v>
      </c>
      <c r="W43" s="418">
        <f t="shared" si="86"/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 t="shared" ref="AD43:AD48" si="87">V43+X43+Y43+Z43+AB43</f>
        <v>0</v>
      </c>
      <c r="AE43" s="418">
        <f t="shared" ref="AE43:AE48" si="88">W43+AA43+AC43</f>
        <v>0</v>
      </c>
      <c r="AF43" s="418">
        <f t="shared" ref="AF43:AF48" si="89">SUM(AD43:AE43)</f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ref="AL43:AL48" si="90">AG43+AI43+AJ43</f>
        <v>0</v>
      </c>
      <c r="AM43" s="418">
        <f t="shared" ref="AM43:AM48" si="91">AH43+AK43</f>
        <v>0</v>
      </c>
      <c r="AN43" s="418">
        <f t="shared" ref="AN43:AN48" si="92">SUM(AL43:AM43)</f>
        <v>0</v>
      </c>
      <c r="AO43" s="418">
        <f t="shared" ref="AO43:AP48" si="93">AD43+AL43</f>
        <v>0</v>
      </c>
      <c r="AP43" s="418">
        <f t="shared" si="93"/>
        <v>0</v>
      </c>
      <c r="AQ43" s="418">
        <f t="shared" ref="AQ43:AQ48" si="94">SUM(AO43:AP43)</f>
        <v>0</v>
      </c>
      <c r="AR43" s="68">
        <f t="shared" ref="AR43:AR48" si="95">ROUND((AF43+AG43+AH43+AI43)*33.8%,0)</f>
        <v>0</v>
      </c>
      <c r="AS43" s="68">
        <f t="shared" ref="AS43:AS48" si="96">ROUND(AF43*1%,0)</f>
        <v>0</v>
      </c>
      <c r="AT43" s="418">
        <v>0</v>
      </c>
      <c r="AU43" s="418">
        <v>0</v>
      </c>
      <c r="AV43" s="418">
        <f t="shared" ref="AV43:AV48" si="97">AT43+AU43</f>
        <v>0</v>
      </c>
      <c r="AW43" s="418">
        <f t="shared" ref="AW43:AW48" si="98"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 t="shared" ref="BF43:BF48" si="99">AX43+AZ43+BA43+BC43+BD43</f>
        <v>0</v>
      </c>
      <c r="BG43" s="419">
        <f t="shared" ref="BG43:BG48" si="100">AY43+BB43+BE43</f>
        <v>0</v>
      </c>
      <c r="BH43" s="421">
        <f t="shared" ref="BH43:BH48" si="101">SUM(BF43:BG43)</f>
        <v>0</v>
      </c>
      <c r="BI43" s="780">
        <f t="shared" ref="BI43:BI48" si="102">I43+AW43</f>
        <v>3615616</v>
      </c>
      <c r="BJ43" s="418">
        <f t="shared" ref="BJ43:BJ48" si="103">J43+AF43</f>
        <v>2623071</v>
      </c>
      <c r="BK43" s="418">
        <f t="shared" ref="BK43:BL48" si="104">K43+AD43</f>
        <v>2489935</v>
      </c>
      <c r="BL43" s="418">
        <f t="shared" si="104"/>
        <v>133136</v>
      </c>
      <c r="BM43" s="418">
        <f t="shared" ref="BM43:BM48" si="105">M43+AN43</f>
        <v>50000</v>
      </c>
      <c r="BN43" s="418">
        <f t="shared" ref="BN43:BO48" si="106">N43+AL43</f>
        <v>50000</v>
      </c>
      <c r="BO43" s="418">
        <f t="shared" si="106"/>
        <v>0</v>
      </c>
      <c r="BP43" s="418">
        <f t="shared" ref="BP43:BQ48" si="107">P43+AR43</f>
        <v>903498</v>
      </c>
      <c r="BQ43" s="418">
        <f t="shared" si="107"/>
        <v>26231</v>
      </c>
      <c r="BR43" s="418">
        <f t="shared" ref="BR43:BR48" si="108">R43+AV43</f>
        <v>12816</v>
      </c>
      <c r="BS43" s="419">
        <f t="shared" ref="BS43:BS48" si="109">S43+BH43</f>
        <v>4.6769000000000007</v>
      </c>
      <c r="BT43" s="419">
        <f t="shared" ref="BT43:BU48" si="110">T43+BF43</f>
        <v>4.1435000000000004</v>
      </c>
      <c r="BU43" s="421">
        <f t="shared" si="110"/>
        <v>0.53339999999999999</v>
      </c>
      <c r="BV43" s="420"/>
      <c r="BW43" s="415"/>
      <c r="BX43" s="415"/>
      <c r="BY43" s="415"/>
      <c r="BZ43" s="415"/>
      <c r="CA43" s="510"/>
    </row>
    <row r="44" spans="1:79" s="96" customFormat="1" ht="14.1" customHeight="1" x14ac:dyDescent="0.2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714</v>
      </c>
      <c r="F44" s="105">
        <v>3117</v>
      </c>
      <c r="G44" s="104" t="s">
        <v>308</v>
      </c>
      <c r="H44" s="95" t="s">
        <v>271</v>
      </c>
      <c r="I44" s="600">
        <v>6524362</v>
      </c>
      <c r="J44" s="599">
        <v>4708295</v>
      </c>
      <c r="K44" s="599">
        <v>4150741</v>
      </c>
      <c r="L44" s="599">
        <v>557554</v>
      </c>
      <c r="M44" s="599">
        <v>46311</v>
      </c>
      <c r="N44" s="599">
        <v>46311</v>
      </c>
      <c r="O44" s="599">
        <v>0</v>
      </c>
      <c r="P44" s="599">
        <v>1607058</v>
      </c>
      <c r="Q44" s="599">
        <v>47083</v>
      </c>
      <c r="R44" s="599">
        <v>115615</v>
      </c>
      <c r="S44" s="417">
        <v>8.0457999999999998</v>
      </c>
      <c r="T44" s="417">
        <v>6.4727000000000006</v>
      </c>
      <c r="U44" s="754">
        <v>1.5730999999999999</v>
      </c>
      <c r="V44" s="424">
        <f t="shared" si="86"/>
        <v>0</v>
      </c>
      <c r="W44" s="418">
        <f t="shared" si="86"/>
        <v>0</v>
      </c>
      <c r="X44" s="418">
        <v>0</v>
      </c>
      <c r="Y44" s="418">
        <v>0</v>
      </c>
      <c r="Z44" s="418">
        <v>0</v>
      </c>
      <c r="AA44" s="418">
        <v>0</v>
      </c>
      <c r="AB44" s="418">
        <v>0</v>
      </c>
      <c r="AC44" s="418">
        <v>0</v>
      </c>
      <c r="AD44" s="418">
        <f t="shared" si="87"/>
        <v>0</v>
      </c>
      <c r="AE44" s="418">
        <f t="shared" si="88"/>
        <v>0</v>
      </c>
      <c r="AF44" s="418">
        <f t="shared" si="89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90"/>
        <v>0</v>
      </c>
      <c r="AM44" s="418">
        <f t="shared" si="91"/>
        <v>0</v>
      </c>
      <c r="AN44" s="418">
        <f t="shared" si="92"/>
        <v>0</v>
      </c>
      <c r="AO44" s="418">
        <f t="shared" si="93"/>
        <v>0</v>
      </c>
      <c r="AP44" s="418">
        <f t="shared" si="93"/>
        <v>0</v>
      </c>
      <c r="AQ44" s="418">
        <f t="shared" si="94"/>
        <v>0</v>
      </c>
      <c r="AR44" s="68">
        <f t="shared" si="95"/>
        <v>0</v>
      </c>
      <c r="AS44" s="68">
        <f t="shared" si="96"/>
        <v>0</v>
      </c>
      <c r="AT44" s="418">
        <v>0</v>
      </c>
      <c r="AU44" s="418">
        <v>0</v>
      </c>
      <c r="AV44" s="418">
        <f t="shared" si="97"/>
        <v>0</v>
      </c>
      <c r="AW44" s="418">
        <f t="shared" si="98"/>
        <v>0</v>
      </c>
      <c r="AX44" s="419">
        <v>0</v>
      </c>
      <c r="AY44" s="419">
        <v>0</v>
      </c>
      <c r="AZ44" s="419">
        <v>0</v>
      </c>
      <c r="BA44" s="419">
        <v>0</v>
      </c>
      <c r="BB44" s="419">
        <v>0</v>
      </c>
      <c r="BC44" s="419">
        <v>0</v>
      </c>
      <c r="BD44" s="419">
        <v>0</v>
      </c>
      <c r="BE44" s="419">
        <v>0</v>
      </c>
      <c r="BF44" s="419">
        <f t="shared" si="99"/>
        <v>0</v>
      </c>
      <c r="BG44" s="419">
        <f t="shared" si="100"/>
        <v>0</v>
      </c>
      <c r="BH44" s="421">
        <f t="shared" si="101"/>
        <v>0</v>
      </c>
      <c r="BI44" s="780">
        <f t="shared" si="102"/>
        <v>6524362</v>
      </c>
      <c r="BJ44" s="418">
        <f t="shared" si="103"/>
        <v>4708295</v>
      </c>
      <c r="BK44" s="418">
        <f t="shared" si="104"/>
        <v>4150741</v>
      </c>
      <c r="BL44" s="418">
        <f t="shared" si="104"/>
        <v>557554</v>
      </c>
      <c r="BM44" s="418">
        <f t="shared" si="105"/>
        <v>46311</v>
      </c>
      <c r="BN44" s="418">
        <f t="shared" si="106"/>
        <v>46311</v>
      </c>
      <c r="BO44" s="418">
        <f t="shared" si="106"/>
        <v>0</v>
      </c>
      <c r="BP44" s="418">
        <f t="shared" si="107"/>
        <v>1607058</v>
      </c>
      <c r="BQ44" s="418">
        <f t="shared" si="107"/>
        <v>47083</v>
      </c>
      <c r="BR44" s="418">
        <f t="shared" si="108"/>
        <v>115615</v>
      </c>
      <c r="BS44" s="419">
        <f t="shared" si="109"/>
        <v>8.0457999999999998</v>
      </c>
      <c r="BT44" s="419">
        <f t="shared" si="110"/>
        <v>6.4727000000000006</v>
      </c>
      <c r="BU44" s="421">
        <f t="shared" si="110"/>
        <v>1.5730999999999999</v>
      </c>
      <c r="BV44" s="420">
        <v>152054</v>
      </c>
      <c r="BW44" s="415">
        <v>112800</v>
      </c>
      <c r="BX44" s="415">
        <v>0</v>
      </c>
      <c r="BY44" s="415">
        <v>38126</v>
      </c>
      <c r="BZ44" s="415">
        <v>1128</v>
      </c>
      <c r="CA44" s="510">
        <v>0.2</v>
      </c>
    </row>
    <row r="45" spans="1:79" s="96" customFormat="1" ht="14.1" customHeight="1" x14ac:dyDescent="0.2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714</v>
      </c>
      <c r="F45" s="94">
        <v>3117</v>
      </c>
      <c r="G45" s="77" t="s">
        <v>291</v>
      </c>
      <c r="H45" s="95" t="s">
        <v>272</v>
      </c>
      <c r="I45" s="600">
        <v>1876684</v>
      </c>
      <c r="J45" s="599">
        <v>1392199</v>
      </c>
      <c r="K45" s="599">
        <v>1392199</v>
      </c>
      <c r="L45" s="599">
        <v>0</v>
      </c>
      <c r="M45" s="599">
        <v>0</v>
      </c>
      <c r="N45" s="599">
        <v>0</v>
      </c>
      <c r="O45" s="599">
        <v>0</v>
      </c>
      <c r="P45" s="599">
        <v>470563</v>
      </c>
      <c r="Q45" s="599">
        <v>13922</v>
      </c>
      <c r="R45" s="599">
        <v>0</v>
      </c>
      <c r="S45" s="417">
        <v>3.89</v>
      </c>
      <c r="T45" s="417">
        <v>3.89</v>
      </c>
      <c r="U45" s="754">
        <v>0</v>
      </c>
      <c r="V45" s="424">
        <f t="shared" si="86"/>
        <v>0</v>
      </c>
      <c r="W45" s="418">
        <f t="shared" si="86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si="87"/>
        <v>0</v>
      </c>
      <c r="AE45" s="418">
        <f t="shared" si="88"/>
        <v>0</v>
      </c>
      <c r="AF45" s="418">
        <f t="shared" si="89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90"/>
        <v>0</v>
      </c>
      <c r="AM45" s="418">
        <f t="shared" si="91"/>
        <v>0</v>
      </c>
      <c r="AN45" s="418">
        <f t="shared" si="92"/>
        <v>0</v>
      </c>
      <c r="AO45" s="418">
        <f t="shared" si="93"/>
        <v>0</v>
      </c>
      <c r="AP45" s="418">
        <f t="shared" si="93"/>
        <v>0</v>
      </c>
      <c r="AQ45" s="418">
        <f t="shared" si="94"/>
        <v>0</v>
      </c>
      <c r="AR45" s="68">
        <f t="shared" si="95"/>
        <v>0</v>
      </c>
      <c r="AS45" s="68">
        <f t="shared" si="96"/>
        <v>0</v>
      </c>
      <c r="AT45" s="418">
        <v>0</v>
      </c>
      <c r="AU45" s="418">
        <v>0</v>
      </c>
      <c r="AV45" s="418">
        <f t="shared" si="97"/>
        <v>0</v>
      </c>
      <c r="AW45" s="418">
        <f t="shared" si="98"/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si="99"/>
        <v>0</v>
      </c>
      <c r="BG45" s="419">
        <f t="shared" si="100"/>
        <v>0</v>
      </c>
      <c r="BH45" s="421">
        <f t="shared" si="101"/>
        <v>0</v>
      </c>
      <c r="BI45" s="780">
        <f t="shared" si="102"/>
        <v>1876684</v>
      </c>
      <c r="BJ45" s="418">
        <f t="shared" si="103"/>
        <v>1392199</v>
      </c>
      <c r="BK45" s="418">
        <f t="shared" si="104"/>
        <v>1392199</v>
      </c>
      <c r="BL45" s="418">
        <f t="shared" si="104"/>
        <v>0</v>
      </c>
      <c r="BM45" s="418">
        <f t="shared" si="105"/>
        <v>0</v>
      </c>
      <c r="BN45" s="418">
        <f t="shared" si="106"/>
        <v>0</v>
      </c>
      <c r="BO45" s="418">
        <f t="shared" si="106"/>
        <v>0</v>
      </c>
      <c r="BP45" s="418">
        <f t="shared" si="107"/>
        <v>470563</v>
      </c>
      <c r="BQ45" s="418">
        <f t="shared" si="107"/>
        <v>13922</v>
      </c>
      <c r="BR45" s="418">
        <f t="shared" si="108"/>
        <v>0</v>
      </c>
      <c r="BS45" s="419">
        <f t="shared" si="109"/>
        <v>3.89</v>
      </c>
      <c r="BT45" s="419">
        <f t="shared" si="110"/>
        <v>3.89</v>
      </c>
      <c r="BU45" s="421">
        <f t="shared" si="110"/>
        <v>0</v>
      </c>
      <c r="BV45" s="420"/>
      <c r="BW45" s="415"/>
      <c r="BX45" s="415"/>
      <c r="BY45" s="415"/>
      <c r="BZ45" s="415"/>
      <c r="CA45" s="510"/>
    </row>
    <row r="46" spans="1:79" s="96" customFormat="1" ht="14.1" customHeight="1" x14ac:dyDescent="0.2">
      <c r="A46" s="118">
        <v>6</v>
      </c>
      <c r="B46" s="77">
        <v>2453</v>
      </c>
      <c r="C46" s="93">
        <v>600079686</v>
      </c>
      <c r="D46" s="77">
        <v>72743603</v>
      </c>
      <c r="E46" s="77" t="s">
        <v>714</v>
      </c>
      <c r="F46" s="94">
        <v>3141</v>
      </c>
      <c r="G46" s="77" t="s">
        <v>294</v>
      </c>
      <c r="H46" s="95" t="s">
        <v>272</v>
      </c>
      <c r="I46" s="600">
        <v>392690</v>
      </c>
      <c r="J46" s="599">
        <v>289027</v>
      </c>
      <c r="K46" s="599">
        <v>0</v>
      </c>
      <c r="L46" s="605">
        <v>289027</v>
      </c>
      <c r="M46" s="599">
        <v>0</v>
      </c>
      <c r="N46" s="599">
        <v>0</v>
      </c>
      <c r="O46" s="599">
        <v>0</v>
      </c>
      <c r="P46" s="599">
        <v>97691</v>
      </c>
      <c r="Q46" s="599">
        <v>2890</v>
      </c>
      <c r="R46" s="599">
        <v>3082</v>
      </c>
      <c r="S46" s="417">
        <v>0.86670000000000003</v>
      </c>
      <c r="T46" s="417">
        <v>0</v>
      </c>
      <c r="U46" s="754">
        <v>0.86670000000000003</v>
      </c>
      <c r="V46" s="424">
        <f t="shared" si="86"/>
        <v>0</v>
      </c>
      <c r="W46" s="418">
        <f t="shared" si="86"/>
        <v>0</v>
      </c>
      <c r="X46" s="418">
        <v>0</v>
      </c>
      <c r="Y46" s="418">
        <v>0</v>
      </c>
      <c r="Z46" s="418">
        <v>0</v>
      </c>
      <c r="AA46" s="418">
        <v>145928</v>
      </c>
      <c r="AB46" s="418">
        <v>0</v>
      </c>
      <c r="AC46" s="418">
        <v>0</v>
      </c>
      <c r="AD46" s="418">
        <f t="shared" si="87"/>
        <v>0</v>
      </c>
      <c r="AE46" s="418">
        <f t="shared" si="88"/>
        <v>145928</v>
      </c>
      <c r="AF46" s="418">
        <f t="shared" si="89"/>
        <v>145928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90"/>
        <v>0</v>
      </c>
      <c r="AM46" s="418">
        <f t="shared" si="91"/>
        <v>0</v>
      </c>
      <c r="AN46" s="418">
        <f t="shared" si="92"/>
        <v>0</v>
      </c>
      <c r="AO46" s="418">
        <f t="shared" si="93"/>
        <v>0</v>
      </c>
      <c r="AP46" s="418">
        <f t="shared" si="93"/>
        <v>145928</v>
      </c>
      <c r="AQ46" s="418">
        <f t="shared" si="94"/>
        <v>145928</v>
      </c>
      <c r="AR46" s="68">
        <f t="shared" si="95"/>
        <v>49324</v>
      </c>
      <c r="AS46" s="68">
        <f t="shared" si="96"/>
        <v>1459</v>
      </c>
      <c r="AT46" s="418">
        <v>0</v>
      </c>
      <c r="AU46" s="418">
        <v>1474</v>
      </c>
      <c r="AV46" s="418">
        <f t="shared" si="97"/>
        <v>1474</v>
      </c>
      <c r="AW46" s="418">
        <f t="shared" si="98"/>
        <v>198185</v>
      </c>
      <c r="AX46" s="419">
        <v>0</v>
      </c>
      <c r="AY46" s="419">
        <v>0</v>
      </c>
      <c r="AZ46" s="419">
        <v>0</v>
      </c>
      <c r="BA46" s="419">
        <v>0</v>
      </c>
      <c r="BB46" s="419">
        <v>0.43</v>
      </c>
      <c r="BC46" s="419">
        <v>0</v>
      </c>
      <c r="BD46" s="419">
        <v>0</v>
      </c>
      <c r="BE46" s="419">
        <v>0</v>
      </c>
      <c r="BF46" s="419">
        <f t="shared" si="99"/>
        <v>0</v>
      </c>
      <c r="BG46" s="419">
        <f t="shared" si="100"/>
        <v>0.43</v>
      </c>
      <c r="BH46" s="421">
        <f t="shared" si="101"/>
        <v>0.43</v>
      </c>
      <c r="BI46" s="780">
        <f t="shared" si="102"/>
        <v>590875</v>
      </c>
      <c r="BJ46" s="418">
        <f t="shared" si="103"/>
        <v>434955</v>
      </c>
      <c r="BK46" s="418">
        <f t="shared" si="104"/>
        <v>0</v>
      </c>
      <c r="BL46" s="418">
        <f t="shared" si="104"/>
        <v>434955</v>
      </c>
      <c r="BM46" s="418">
        <f t="shared" si="105"/>
        <v>0</v>
      </c>
      <c r="BN46" s="418">
        <f t="shared" si="106"/>
        <v>0</v>
      </c>
      <c r="BO46" s="418">
        <f t="shared" si="106"/>
        <v>0</v>
      </c>
      <c r="BP46" s="418">
        <f t="shared" si="107"/>
        <v>147015</v>
      </c>
      <c r="BQ46" s="418">
        <f t="shared" si="107"/>
        <v>4349</v>
      </c>
      <c r="BR46" s="418">
        <f t="shared" si="108"/>
        <v>4556</v>
      </c>
      <c r="BS46" s="419">
        <f t="shared" si="109"/>
        <v>1.2967</v>
      </c>
      <c r="BT46" s="419">
        <f t="shared" si="110"/>
        <v>0</v>
      </c>
      <c r="BU46" s="421">
        <f t="shared" si="110"/>
        <v>1.2967</v>
      </c>
      <c r="BV46" s="420"/>
      <c r="BW46" s="415"/>
      <c r="BX46" s="415"/>
      <c r="BY46" s="415"/>
      <c r="BZ46" s="415"/>
      <c r="CA46" s="510"/>
    </row>
    <row r="47" spans="1:79" s="96" customFormat="1" ht="14.1" customHeight="1" x14ac:dyDescent="0.2">
      <c r="A47" s="118">
        <v>6</v>
      </c>
      <c r="B47" s="77">
        <v>2453</v>
      </c>
      <c r="C47" s="93">
        <v>600079686</v>
      </c>
      <c r="D47" s="77">
        <v>72743603</v>
      </c>
      <c r="E47" s="77" t="s">
        <v>714</v>
      </c>
      <c r="F47" s="94">
        <v>3143</v>
      </c>
      <c r="G47" s="77" t="s">
        <v>595</v>
      </c>
      <c r="H47" s="95" t="s">
        <v>271</v>
      </c>
      <c r="I47" s="600">
        <v>1349373</v>
      </c>
      <c r="J47" s="599">
        <v>1001019</v>
      </c>
      <c r="K47" s="599">
        <v>1001019</v>
      </c>
      <c r="L47" s="599">
        <v>0</v>
      </c>
      <c r="M47" s="599">
        <v>0</v>
      </c>
      <c r="N47" s="599">
        <v>0</v>
      </c>
      <c r="O47" s="599">
        <v>0</v>
      </c>
      <c r="P47" s="599">
        <v>338344</v>
      </c>
      <c r="Q47" s="599">
        <v>10010</v>
      </c>
      <c r="R47" s="599">
        <v>0</v>
      </c>
      <c r="S47" s="417">
        <v>1.9822</v>
      </c>
      <c r="T47" s="417">
        <v>1.9822</v>
      </c>
      <c r="U47" s="754">
        <v>0</v>
      </c>
      <c r="V47" s="424">
        <f t="shared" si="86"/>
        <v>0</v>
      </c>
      <c r="W47" s="418">
        <f t="shared" si="86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 t="shared" si="87"/>
        <v>0</v>
      </c>
      <c r="AE47" s="418">
        <f t="shared" si="88"/>
        <v>0</v>
      </c>
      <c r="AF47" s="418">
        <f t="shared" si="89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90"/>
        <v>0</v>
      </c>
      <c r="AM47" s="418">
        <f t="shared" si="91"/>
        <v>0</v>
      </c>
      <c r="AN47" s="418">
        <f t="shared" si="92"/>
        <v>0</v>
      </c>
      <c r="AO47" s="418">
        <f t="shared" si="93"/>
        <v>0</v>
      </c>
      <c r="AP47" s="418">
        <f t="shared" si="93"/>
        <v>0</v>
      </c>
      <c r="AQ47" s="418">
        <f t="shared" si="94"/>
        <v>0</v>
      </c>
      <c r="AR47" s="68">
        <f t="shared" si="95"/>
        <v>0</v>
      </c>
      <c r="AS47" s="68">
        <f t="shared" si="96"/>
        <v>0</v>
      </c>
      <c r="AT47" s="418">
        <v>0</v>
      </c>
      <c r="AU47" s="418">
        <v>0</v>
      </c>
      <c r="AV47" s="418">
        <f t="shared" si="97"/>
        <v>0</v>
      </c>
      <c r="AW47" s="418">
        <f t="shared" si="98"/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 t="shared" si="99"/>
        <v>0</v>
      </c>
      <c r="BG47" s="419">
        <f t="shared" si="100"/>
        <v>0</v>
      </c>
      <c r="BH47" s="421">
        <f t="shared" si="101"/>
        <v>0</v>
      </c>
      <c r="BI47" s="780">
        <f t="shared" si="102"/>
        <v>1349373</v>
      </c>
      <c r="BJ47" s="418">
        <f t="shared" si="103"/>
        <v>1001019</v>
      </c>
      <c r="BK47" s="418">
        <f t="shared" si="104"/>
        <v>1001019</v>
      </c>
      <c r="BL47" s="418">
        <f t="shared" si="104"/>
        <v>0</v>
      </c>
      <c r="BM47" s="418">
        <f t="shared" si="105"/>
        <v>0</v>
      </c>
      <c r="BN47" s="418">
        <f t="shared" si="106"/>
        <v>0</v>
      </c>
      <c r="BO47" s="418">
        <f t="shared" si="106"/>
        <v>0</v>
      </c>
      <c r="BP47" s="418">
        <f t="shared" si="107"/>
        <v>338344</v>
      </c>
      <c r="BQ47" s="418">
        <f t="shared" si="107"/>
        <v>10010</v>
      </c>
      <c r="BR47" s="418">
        <f t="shared" si="108"/>
        <v>0</v>
      </c>
      <c r="BS47" s="419">
        <f t="shared" si="109"/>
        <v>1.9822</v>
      </c>
      <c r="BT47" s="419">
        <f t="shared" si="110"/>
        <v>1.9822</v>
      </c>
      <c r="BU47" s="421">
        <f t="shared" si="110"/>
        <v>0</v>
      </c>
      <c r="BV47" s="420"/>
      <c r="BW47" s="415"/>
      <c r="BX47" s="415"/>
      <c r="BY47" s="415"/>
      <c r="BZ47" s="415"/>
      <c r="CA47" s="510"/>
    </row>
    <row r="48" spans="1:79" s="96" customFormat="1" ht="14.1" customHeight="1" x14ac:dyDescent="0.2">
      <c r="A48" s="118">
        <v>6</v>
      </c>
      <c r="B48" s="77">
        <v>2453</v>
      </c>
      <c r="C48" s="93">
        <v>600079686</v>
      </c>
      <c r="D48" s="77">
        <v>72743603</v>
      </c>
      <c r="E48" s="77" t="s">
        <v>714</v>
      </c>
      <c r="F48" s="94">
        <v>3143</v>
      </c>
      <c r="G48" s="77" t="s">
        <v>596</v>
      </c>
      <c r="H48" s="95" t="s">
        <v>272</v>
      </c>
      <c r="I48" s="600">
        <v>30724</v>
      </c>
      <c r="J48" s="599">
        <v>21991</v>
      </c>
      <c r="K48" s="599">
        <v>0</v>
      </c>
      <c r="L48" s="605">
        <v>21991</v>
      </c>
      <c r="M48" s="599">
        <v>0</v>
      </c>
      <c r="N48" s="606">
        <v>0</v>
      </c>
      <c r="O48" s="606">
        <v>0</v>
      </c>
      <c r="P48" s="599">
        <v>7433</v>
      </c>
      <c r="Q48" s="599">
        <v>220</v>
      </c>
      <c r="R48" s="606">
        <v>1080</v>
      </c>
      <c r="S48" s="417">
        <v>8.3299999999999999E-2</v>
      </c>
      <c r="T48" s="609">
        <v>0</v>
      </c>
      <c r="U48" s="737">
        <v>8.3299999999999999E-2</v>
      </c>
      <c r="V48" s="424">
        <f t="shared" si="86"/>
        <v>0</v>
      </c>
      <c r="W48" s="418">
        <f t="shared" si="86"/>
        <v>0</v>
      </c>
      <c r="X48" s="418">
        <v>0</v>
      </c>
      <c r="Y48" s="418">
        <v>0</v>
      </c>
      <c r="Z48" s="418">
        <v>0</v>
      </c>
      <c r="AA48" s="418">
        <v>11009</v>
      </c>
      <c r="AB48" s="418">
        <v>0</v>
      </c>
      <c r="AC48" s="418">
        <v>0</v>
      </c>
      <c r="AD48" s="418">
        <f t="shared" si="87"/>
        <v>0</v>
      </c>
      <c r="AE48" s="418">
        <f t="shared" si="88"/>
        <v>11009</v>
      </c>
      <c r="AF48" s="418">
        <f t="shared" si="89"/>
        <v>11009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90"/>
        <v>0</v>
      </c>
      <c r="AM48" s="418">
        <f t="shared" si="91"/>
        <v>0</v>
      </c>
      <c r="AN48" s="418">
        <f t="shared" si="92"/>
        <v>0</v>
      </c>
      <c r="AO48" s="418">
        <f t="shared" si="93"/>
        <v>0</v>
      </c>
      <c r="AP48" s="418">
        <f t="shared" si="93"/>
        <v>11009</v>
      </c>
      <c r="AQ48" s="418">
        <f t="shared" si="94"/>
        <v>11009</v>
      </c>
      <c r="AR48" s="68">
        <f t="shared" si="95"/>
        <v>3721</v>
      </c>
      <c r="AS48" s="68">
        <f t="shared" si="96"/>
        <v>110</v>
      </c>
      <c r="AT48" s="418">
        <v>0</v>
      </c>
      <c r="AU48" s="418">
        <v>540</v>
      </c>
      <c r="AV48" s="418">
        <f t="shared" si="97"/>
        <v>540</v>
      </c>
      <c r="AW48" s="418">
        <f t="shared" si="98"/>
        <v>15380</v>
      </c>
      <c r="AX48" s="419">
        <v>0</v>
      </c>
      <c r="AY48" s="419">
        <v>0</v>
      </c>
      <c r="AZ48" s="419">
        <v>0</v>
      </c>
      <c r="BA48" s="419">
        <v>0</v>
      </c>
      <c r="BB48" s="419">
        <v>0.04</v>
      </c>
      <c r="BC48" s="419">
        <v>0</v>
      </c>
      <c r="BD48" s="419">
        <v>0</v>
      </c>
      <c r="BE48" s="419">
        <v>0</v>
      </c>
      <c r="BF48" s="419">
        <f t="shared" si="99"/>
        <v>0</v>
      </c>
      <c r="BG48" s="419">
        <f t="shared" si="100"/>
        <v>0.04</v>
      </c>
      <c r="BH48" s="421">
        <f t="shared" si="101"/>
        <v>0.04</v>
      </c>
      <c r="BI48" s="780">
        <f t="shared" si="102"/>
        <v>46104</v>
      </c>
      <c r="BJ48" s="418">
        <f t="shared" si="103"/>
        <v>33000</v>
      </c>
      <c r="BK48" s="418">
        <f t="shared" si="104"/>
        <v>0</v>
      </c>
      <c r="BL48" s="418">
        <f t="shared" si="104"/>
        <v>33000</v>
      </c>
      <c r="BM48" s="418">
        <f t="shared" si="105"/>
        <v>0</v>
      </c>
      <c r="BN48" s="418">
        <f t="shared" si="106"/>
        <v>0</v>
      </c>
      <c r="BO48" s="418">
        <f t="shared" si="106"/>
        <v>0</v>
      </c>
      <c r="BP48" s="418">
        <f t="shared" si="107"/>
        <v>11154</v>
      </c>
      <c r="BQ48" s="418">
        <f t="shared" si="107"/>
        <v>330</v>
      </c>
      <c r="BR48" s="418">
        <f t="shared" si="108"/>
        <v>1620</v>
      </c>
      <c r="BS48" s="419">
        <f t="shared" si="109"/>
        <v>0.12329999999999999</v>
      </c>
      <c r="BT48" s="419">
        <f t="shared" si="110"/>
        <v>0</v>
      </c>
      <c r="BU48" s="421">
        <f t="shared" si="110"/>
        <v>0.12329999999999999</v>
      </c>
      <c r="BV48" s="420"/>
      <c r="BW48" s="415"/>
      <c r="BX48" s="415"/>
      <c r="BY48" s="415"/>
      <c r="BZ48" s="415"/>
      <c r="CA48" s="510"/>
    </row>
    <row r="49" spans="1:79" s="96" customFormat="1" ht="14.1" customHeight="1" x14ac:dyDescent="0.2">
      <c r="A49" s="119">
        <v>6</v>
      </c>
      <c r="B49" s="97">
        <v>2453</v>
      </c>
      <c r="C49" s="98">
        <v>600079686</v>
      </c>
      <c r="D49" s="97">
        <v>72743603</v>
      </c>
      <c r="E49" s="97" t="s">
        <v>715</v>
      </c>
      <c r="F49" s="106"/>
      <c r="G49" s="100"/>
      <c r="H49" s="101"/>
      <c r="I49" s="438">
        <v>13789449</v>
      </c>
      <c r="J49" s="434">
        <v>10035602</v>
      </c>
      <c r="K49" s="434">
        <v>9033894</v>
      </c>
      <c r="L49" s="434">
        <v>1001708</v>
      </c>
      <c r="M49" s="434">
        <v>96311</v>
      </c>
      <c r="N49" s="434">
        <v>96311</v>
      </c>
      <c r="O49" s="434">
        <v>0</v>
      </c>
      <c r="P49" s="434">
        <v>3424587</v>
      </c>
      <c r="Q49" s="434">
        <v>100356</v>
      </c>
      <c r="R49" s="434">
        <v>132593</v>
      </c>
      <c r="S49" s="435">
        <v>19.544900000000002</v>
      </c>
      <c r="T49" s="435">
        <v>16.488400000000002</v>
      </c>
      <c r="U49" s="700">
        <v>3.0565000000000002</v>
      </c>
      <c r="V49" s="438">
        <f t="shared" ref="V49:CA49" si="111">SUM(V43:V48)</f>
        <v>0</v>
      </c>
      <c r="W49" s="434">
        <f t="shared" si="111"/>
        <v>0</v>
      </c>
      <c r="X49" s="434">
        <f t="shared" si="111"/>
        <v>0</v>
      </c>
      <c r="Y49" s="434">
        <f t="shared" si="111"/>
        <v>0</v>
      </c>
      <c r="Z49" s="434">
        <f t="shared" si="111"/>
        <v>0</v>
      </c>
      <c r="AA49" s="434">
        <f t="shared" si="111"/>
        <v>156937</v>
      </c>
      <c r="AB49" s="434">
        <f t="shared" si="111"/>
        <v>0</v>
      </c>
      <c r="AC49" s="434">
        <f t="shared" si="111"/>
        <v>0</v>
      </c>
      <c r="AD49" s="434">
        <f t="shared" si="111"/>
        <v>0</v>
      </c>
      <c r="AE49" s="434">
        <f t="shared" si="111"/>
        <v>156937</v>
      </c>
      <c r="AF49" s="434">
        <f t="shared" si="111"/>
        <v>156937</v>
      </c>
      <c r="AG49" s="434">
        <f t="shared" si="111"/>
        <v>0</v>
      </c>
      <c r="AH49" s="434">
        <f t="shared" si="111"/>
        <v>0</v>
      </c>
      <c r="AI49" s="434">
        <f t="shared" si="111"/>
        <v>0</v>
      </c>
      <c r="AJ49" s="434">
        <f t="shared" si="111"/>
        <v>0</v>
      </c>
      <c r="AK49" s="434">
        <f t="shared" si="111"/>
        <v>0</v>
      </c>
      <c r="AL49" s="434">
        <f t="shared" si="111"/>
        <v>0</v>
      </c>
      <c r="AM49" s="434">
        <f t="shared" si="111"/>
        <v>0</v>
      </c>
      <c r="AN49" s="434">
        <f t="shared" si="111"/>
        <v>0</v>
      </c>
      <c r="AO49" s="434">
        <f t="shared" si="111"/>
        <v>0</v>
      </c>
      <c r="AP49" s="434">
        <f t="shared" si="111"/>
        <v>156937</v>
      </c>
      <c r="AQ49" s="434">
        <f t="shared" si="111"/>
        <v>156937</v>
      </c>
      <c r="AR49" s="434">
        <f t="shared" si="111"/>
        <v>53045</v>
      </c>
      <c r="AS49" s="434">
        <f t="shared" si="111"/>
        <v>1569</v>
      </c>
      <c r="AT49" s="434">
        <f t="shared" si="111"/>
        <v>0</v>
      </c>
      <c r="AU49" s="434">
        <f t="shared" si="111"/>
        <v>2014</v>
      </c>
      <c r="AV49" s="434">
        <f t="shared" si="111"/>
        <v>2014</v>
      </c>
      <c r="AW49" s="434">
        <f t="shared" si="111"/>
        <v>213565</v>
      </c>
      <c r="AX49" s="435">
        <f t="shared" si="111"/>
        <v>0</v>
      </c>
      <c r="AY49" s="435">
        <f t="shared" si="111"/>
        <v>0</v>
      </c>
      <c r="AZ49" s="435">
        <f t="shared" si="111"/>
        <v>0</v>
      </c>
      <c r="BA49" s="435">
        <f t="shared" si="111"/>
        <v>0</v>
      </c>
      <c r="BB49" s="435">
        <f t="shared" si="111"/>
        <v>0.47</v>
      </c>
      <c r="BC49" s="435">
        <f t="shared" si="111"/>
        <v>0</v>
      </c>
      <c r="BD49" s="435">
        <f t="shared" si="111"/>
        <v>0</v>
      </c>
      <c r="BE49" s="435">
        <f t="shared" si="111"/>
        <v>0</v>
      </c>
      <c r="BF49" s="435">
        <f t="shared" si="111"/>
        <v>0</v>
      </c>
      <c r="BG49" s="435">
        <f t="shared" si="111"/>
        <v>0.47</v>
      </c>
      <c r="BH49" s="103">
        <f t="shared" si="111"/>
        <v>0.47</v>
      </c>
      <c r="BI49" s="803">
        <f t="shared" si="111"/>
        <v>14003014</v>
      </c>
      <c r="BJ49" s="434">
        <f t="shared" si="111"/>
        <v>10192539</v>
      </c>
      <c r="BK49" s="434">
        <f t="shared" si="111"/>
        <v>9033894</v>
      </c>
      <c r="BL49" s="434">
        <f t="shared" si="111"/>
        <v>1158645</v>
      </c>
      <c r="BM49" s="434">
        <f t="shared" si="111"/>
        <v>96311</v>
      </c>
      <c r="BN49" s="434">
        <f t="shared" si="111"/>
        <v>96311</v>
      </c>
      <c r="BO49" s="434">
        <f t="shared" si="111"/>
        <v>0</v>
      </c>
      <c r="BP49" s="434">
        <f t="shared" si="111"/>
        <v>3477632</v>
      </c>
      <c r="BQ49" s="434">
        <f t="shared" si="111"/>
        <v>101925</v>
      </c>
      <c r="BR49" s="434">
        <f t="shared" si="111"/>
        <v>134607</v>
      </c>
      <c r="BS49" s="435">
        <f t="shared" si="111"/>
        <v>20.014900000000001</v>
      </c>
      <c r="BT49" s="435">
        <f t="shared" si="111"/>
        <v>16.488400000000002</v>
      </c>
      <c r="BU49" s="103">
        <f t="shared" si="111"/>
        <v>3.5265</v>
      </c>
      <c r="BV49" s="817">
        <f t="shared" si="111"/>
        <v>152054</v>
      </c>
      <c r="BW49" s="703">
        <f t="shared" si="111"/>
        <v>112800</v>
      </c>
      <c r="BX49" s="703">
        <f t="shared" si="111"/>
        <v>0</v>
      </c>
      <c r="BY49" s="703">
        <f t="shared" si="111"/>
        <v>38126</v>
      </c>
      <c r="BZ49" s="703">
        <f t="shared" si="111"/>
        <v>1128</v>
      </c>
      <c r="CA49" s="818">
        <f t="shared" si="111"/>
        <v>0.2</v>
      </c>
    </row>
    <row r="50" spans="1:79" s="96" customFormat="1" ht="14.1" customHeight="1" x14ac:dyDescent="0.2">
      <c r="A50" s="118">
        <v>7</v>
      </c>
      <c r="B50" s="102">
        <v>2320</v>
      </c>
      <c r="C50" s="93">
        <v>650034180</v>
      </c>
      <c r="D50" s="77">
        <v>72755369</v>
      </c>
      <c r="E50" s="77" t="s">
        <v>716</v>
      </c>
      <c r="F50" s="94">
        <v>3111</v>
      </c>
      <c r="G50" s="77" t="s">
        <v>290</v>
      </c>
      <c r="H50" s="95" t="s">
        <v>271</v>
      </c>
      <c r="I50" s="600">
        <v>3196207</v>
      </c>
      <c r="J50" s="599">
        <v>2363349</v>
      </c>
      <c r="K50" s="599">
        <v>2243541</v>
      </c>
      <c r="L50" s="599">
        <v>119808</v>
      </c>
      <c r="M50" s="599">
        <v>0</v>
      </c>
      <c r="N50" s="599">
        <v>0</v>
      </c>
      <c r="O50" s="599">
        <v>0</v>
      </c>
      <c r="P50" s="599">
        <v>798812</v>
      </c>
      <c r="Q50" s="599">
        <v>23633</v>
      </c>
      <c r="R50" s="599">
        <v>10413</v>
      </c>
      <c r="S50" s="417">
        <v>4.4800000000000004</v>
      </c>
      <c r="T50" s="417">
        <v>4</v>
      </c>
      <c r="U50" s="754">
        <v>0.48</v>
      </c>
      <c r="V50" s="424">
        <f t="shared" ref="V50:W55" si="112">AG50*-1</f>
        <v>0</v>
      </c>
      <c r="W50" s="418">
        <f t="shared" si="112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 t="shared" ref="AD50:AD55" si="113">V50+X50+Y50+Z50+AB50</f>
        <v>0</v>
      </c>
      <c r="AE50" s="418">
        <f t="shared" ref="AE50:AE55" si="114">W50+AA50+AC50</f>
        <v>0</v>
      </c>
      <c r="AF50" s="418">
        <f t="shared" ref="AF50:AF55" si="115"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ref="AL50:AL55" si="116">AG50+AI50+AJ50</f>
        <v>0</v>
      </c>
      <c r="AM50" s="418">
        <f t="shared" ref="AM50:AM55" si="117">AH50+AK50</f>
        <v>0</v>
      </c>
      <c r="AN50" s="418">
        <f t="shared" ref="AN50:AN55" si="118">SUM(AL50:AM50)</f>
        <v>0</v>
      </c>
      <c r="AO50" s="418">
        <f t="shared" ref="AO50:AP55" si="119">AD50+AL50</f>
        <v>0</v>
      </c>
      <c r="AP50" s="418">
        <f t="shared" si="119"/>
        <v>0</v>
      </c>
      <c r="AQ50" s="418">
        <f t="shared" ref="AQ50:AQ55" si="120">SUM(AO50:AP50)</f>
        <v>0</v>
      </c>
      <c r="AR50" s="68">
        <f t="shared" ref="AR50:AR55" si="121">ROUND((AF50+AG50+AH50+AI50)*33.8%,0)</f>
        <v>0</v>
      </c>
      <c r="AS50" s="68">
        <f t="shared" ref="AS50:AS55" si="122">ROUND(AF50*1%,0)</f>
        <v>0</v>
      </c>
      <c r="AT50" s="418">
        <v>0</v>
      </c>
      <c r="AU50" s="418">
        <v>0</v>
      </c>
      <c r="AV50" s="418">
        <f t="shared" ref="AV50:AV55" si="123">AT50+AU50</f>
        <v>0</v>
      </c>
      <c r="AW50" s="418">
        <f t="shared" ref="AW50:AW55" si="124"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9">
        <v>0</v>
      </c>
      <c r="BC50" s="419">
        <v>0</v>
      </c>
      <c r="BD50" s="419">
        <v>0</v>
      </c>
      <c r="BE50" s="419">
        <v>0</v>
      </c>
      <c r="BF50" s="419">
        <f t="shared" ref="BF50:BF55" si="125">AX50+AZ50+BA50+BC50+BD50</f>
        <v>0</v>
      </c>
      <c r="BG50" s="419">
        <f t="shared" ref="BG50:BG55" si="126">AY50+BB50+BE50</f>
        <v>0</v>
      </c>
      <c r="BH50" s="421">
        <f t="shared" ref="BH50:BH55" si="127">SUM(BF50:BG50)</f>
        <v>0</v>
      </c>
      <c r="BI50" s="780">
        <f t="shared" ref="BI50:BI55" si="128">I50+AW50</f>
        <v>3196207</v>
      </c>
      <c r="BJ50" s="418">
        <f t="shared" ref="BJ50:BJ55" si="129">J50+AF50</f>
        <v>2363349</v>
      </c>
      <c r="BK50" s="418">
        <f t="shared" ref="BK50:BL55" si="130">K50+AD50</f>
        <v>2243541</v>
      </c>
      <c r="BL50" s="418">
        <f t="shared" si="130"/>
        <v>119808</v>
      </c>
      <c r="BM50" s="418">
        <f t="shared" ref="BM50:BM55" si="131">M50+AN50</f>
        <v>0</v>
      </c>
      <c r="BN50" s="418">
        <f t="shared" ref="BN50:BO55" si="132">N50+AL50</f>
        <v>0</v>
      </c>
      <c r="BO50" s="418">
        <f t="shared" si="132"/>
        <v>0</v>
      </c>
      <c r="BP50" s="418">
        <f t="shared" ref="BP50:BQ55" si="133">P50+AR50</f>
        <v>798812</v>
      </c>
      <c r="BQ50" s="418">
        <f t="shared" si="133"/>
        <v>23633</v>
      </c>
      <c r="BR50" s="418">
        <f t="shared" ref="BR50:BR55" si="134">R50+AV50</f>
        <v>10413</v>
      </c>
      <c r="BS50" s="419">
        <f t="shared" ref="BS50:BS55" si="135">S50+BH50</f>
        <v>4.4800000000000004</v>
      </c>
      <c r="BT50" s="419">
        <f t="shared" ref="BT50:BU55" si="136">T50+BF50</f>
        <v>4</v>
      </c>
      <c r="BU50" s="421">
        <f t="shared" si="136"/>
        <v>0.48</v>
      </c>
      <c r="BV50" s="420"/>
      <c r="BW50" s="415"/>
      <c r="BX50" s="415"/>
      <c r="BY50" s="415"/>
      <c r="BZ50" s="415"/>
      <c r="CA50" s="510"/>
    </row>
    <row r="51" spans="1:79" s="96" customFormat="1" ht="14.1" customHeight="1" x14ac:dyDescent="0.2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716</v>
      </c>
      <c r="F51" s="105">
        <v>3117</v>
      </c>
      <c r="G51" s="104" t="s">
        <v>293</v>
      </c>
      <c r="H51" s="95" t="s">
        <v>271</v>
      </c>
      <c r="I51" s="600">
        <v>4284693</v>
      </c>
      <c r="J51" s="599">
        <v>3108151</v>
      </c>
      <c r="K51" s="599">
        <v>2706679</v>
      </c>
      <c r="L51" s="599">
        <v>401472</v>
      </c>
      <c r="M51" s="599">
        <v>30000</v>
      </c>
      <c r="N51" s="599">
        <v>0</v>
      </c>
      <c r="O51" s="599">
        <v>30000</v>
      </c>
      <c r="P51" s="599">
        <v>1060695</v>
      </c>
      <c r="Q51" s="599">
        <v>31082</v>
      </c>
      <c r="R51" s="599">
        <v>54765</v>
      </c>
      <c r="S51" s="417">
        <v>5.2277000000000005</v>
      </c>
      <c r="T51" s="417">
        <v>4.0909000000000004</v>
      </c>
      <c r="U51" s="754">
        <v>1.1367999999999998</v>
      </c>
      <c r="V51" s="424">
        <f t="shared" si="112"/>
        <v>0</v>
      </c>
      <c r="W51" s="418">
        <f t="shared" si="112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 t="shared" si="113"/>
        <v>0</v>
      </c>
      <c r="AE51" s="418">
        <f t="shared" si="114"/>
        <v>0</v>
      </c>
      <c r="AF51" s="418">
        <f t="shared" si="115"/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116"/>
        <v>0</v>
      </c>
      <c r="AM51" s="418">
        <f t="shared" si="117"/>
        <v>0</v>
      </c>
      <c r="AN51" s="418">
        <f t="shared" si="118"/>
        <v>0</v>
      </c>
      <c r="AO51" s="418">
        <f t="shared" si="119"/>
        <v>0</v>
      </c>
      <c r="AP51" s="418">
        <f t="shared" si="119"/>
        <v>0</v>
      </c>
      <c r="AQ51" s="418">
        <f t="shared" si="120"/>
        <v>0</v>
      </c>
      <c r="AR51" s="68">
        <f t="shared" si="121"/>
        <v>0</v>
      </c>
      <c r="AS51" s="68">
        <f t="shared" si="122"/>
        <v>0</v>
      </c>
      <c r="AT51" s="418">
        <v>0</v>
      </c>
      <c r="AU51" s="418">
        <v>0</v>
      </c>
      <c r="AV51" s="418">
        <f t="shared" si="123"/>
        <v>0</v>
      </c>
      <c r="AW51" s="418">
        <f t="shared" si="124"/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 t="shared" si="125"/>
        <v>0</v>
      </c>
      <c r="BG51" s="419">
        <f t="shared" si="126"/>
        <v>0</v>
      </c>
      <c r="BH51" s="421">
        <f t="shared" si="127"/>
        <v>0</v>
      </c>
      <c r="BI51" s="780">
        <f t="shared" si="128"/>
        <v>4284693</v>
      </c>
      <c r="BJ51" s="418">
        <f t="shared" si="129"/>
        <v>3108151</v>
      </c>
      <c r="BK51" s="418">
        <f t="shared" si="130"/>
        <v>2706679</v>
      </c>
      <c r="BL51" s="418">
        <f t="shared" si="130"/>
        <v>401472</v>
      </c>
      <c r="BM51" s="418">
        <f t="shared" si="131"/>
        <v>30000</v>
      </c>
      <c r="BN51" s="418">
        <f t="shared" si="132"/>
        <v>0</v>
      </c>
      <c r="BO51" s="418">
        <f t="shared" si="132"/>
        <v>30000</v>
      </c>
      <c r="BP51" s="418">
        <f t="shared" si="133"/>
        <v>1060695</v>
      </c>
      <c r="BQ51" s="418">
        <f t="shared" si="133"/>
        <v>31082</v>
      </c>
      <c r="BR51" s="418">
        <f t="shared" si="134"/>
        <v>54765</v>
      </c>
      <c r="BS51" s="419">
        <f t="shared" si="135"/>
        <v>5.2277000000000005</v>
      </c>
      <c r="BT51" s="419">
        <f t="shared" si="136"/>
        <v>4.0909000000000004</v>
      </c>
      <c r="BU51" s="421">
        <f t="shared" si="136"/>
        <v>1.1367999999999998</v>
      </c>
      <c r="BV51" s="420"/>
      <c r="BW51" s="415"/>
      <c r="BX51" s="415"/>
      <c r="BY51" s="415"/>
      <c r="BZ51" s="415"/>
      <c r="CA51" s="510"/>
    </row>
    <row r="52" spans="1:79" s="96" customFormat="1" ht="14.1" customHeight="1" x14ac:dyDescent="0.2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716</v>
      </c>
      <c r="F52" s="94">
        <v>3117</v>
      </c>
      <c r="G52" s="77" t="s">
        <v>291</v>
      </c>
      <c r="H52" s="95" t="s">
        <v>272</v>
      </c>
      <c r="I52" s="600">
        <v>319348</v>
      </c>
      <c r="J52" s="599">
        <v>236905</v>
      </c>
      <c r="K52" s="599">
        <v>236905</v>
      </c>
      <c r="L52" s="599">
        <v>0</v>
      </c>
      <c r="M52" s="599">
        <v>0</v>
      </c>
      <c r="N52" s="599">
        <v>0</v>
      </c>
      <c r="O52" s="599">
        <v>0</v>
      </c>
      <c r="P52" s="599">
        <v>80074</v>
      </c>
      <c r="Q52" s="599">
        <v>2369</v>
      </c>
      <c r="R52" s="599">
        <v>0</v>
      </c>
      <c r="S52" s="417">
        <v>0.64</v>
      </c>
      <c r="T52" s="417">
        <v>0.64</v>
      </c>
      <c r="U52" s="754">
        <v>0</v>
      </c>
      <c r="V52" s="424">
        <f t="shared" si="112"/>
        <v>0</v>
      </c>
      <c r="W52" s="418">
        <f t="shared" si="112"/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 t="shared" si="113"/>
        <v>0</v>
      </c>
      <c r="AE52" s="418">
        <f t="shared" si="114"/>
        <v>0</v>
      </c>
      <c r="AF52" s="418">
        <f t="shared" si="115"/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 t="shared" si="116"/>
        <v>0</v>
      </c>
      <c r="AM52" s="418">
        <f t="shared" si="117"/>
        <v>0</v>
      </c>
      <c r="AN52" s="418">
        <f t="shared" si="118"/>
        <v>0</v>
      </c>
      <c r="AO52" s="418">
        <f t="shared" si="119"/>
        <v>0</v>
      </c>
      <c r="AP52" s="418">
        <f t="shared" si="119"/>
        <v>0</v>
      </c>
      <c r="AQ52" s="418">
        <f t="shared" si="120"/>
        <v>0</v>
      </c>
      <c r="AR52" s="68">
        <f t="shared" si="121"/>
        <v>0</v>
      </c>
      <c r="AS52" s="68">
        <f t="shared" si="122"/>
        <v>0</v>
      </c>
      <c r="AT52" s="418">
        <v>0</v>
      </c>
      <c r="AU52" s="418">
        <v>0</v>
      </c>
      <c r="AV52" s="418">
        <f t="shared" si="123"/>
        <v>0</v>
      </c>
      <c r="AW52" s="418">
        <f t="shared" si="124"/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 t="shared" si="125"/>
        <v>0</v>
      </c>
      <c r="BG52" s="419">
        <f t="shared" si="126"/>
        <v>0</v>
      </c>
      <c r="BH52" s="421">
        <f t="shared" si="127"/>
        <v>0</v>
      </c>
      <c r="BI52" s="780">
        <f t="shared" si="128"/>
        <v>319348</v>
      </c>
      <c r="BJ52" s="418">
        <f t="shared" si="129"/>
        <v>236905</v>
      </c>
      <c r="BK52" s="418">
        <f t="shared" si="130"/>
        <v>236905</v>
      </c>
      <c r="BL52" s="418">
        <f t="shared" si="130"/>
        <v>0</v>
      </c>
      <c r="BM52" s="418">
        <f t="shared" si="131"/>
        <v>0</v>
      </c>
      <c r="BN52" s="418">
        <f t="shared" si="132"/>
        <v>0</v>
      </c>
      <c r="BO52" s="418">
        <f t="shared" si="132"/>
        <v>0</v>
      </c>
      <c r="BP52" s="418">
        <f t="shared" si="133"/>
        <v>80074</v>
      </c>
      <c r="BQ52" s="418">
        <f t="shared" si="133"/>
        <v>2369</v>
      </c>
      <c r="BR52" s="418">
        <f t="shared" si="134"/>
        <v>0</v>
      </c>
      <c r="BS52" s="419">
        <f t="shared" si="135"/>
        <v>0.64</v>
      </c>
      <c r="BT52" s="419">
        <f t="shared" si="136"/>
        <v>0.64</v>
      </c>
      <c r="BU52" s="421">
        <f t="shared" si="136"/>
        <v>0</v>
      </c>
      <c r="BV52" s="420"/>
      <c r="BW52" s="415"/>
      <c r="BX52" s="415"/>
      <c r="BY52" s="415"/>
      <c r="BZ52" s="415"/>
      <c r="CA52" s="510"/>
    </row>
    <row r="53" spans="1:79" s="96" customFormat="1" ht="14.1" customHeight="1" x14ac:dyDescent="0.2">
      <c r="A53" s="118">
        <v>7</v>
      </c>
      <c r="B53" s="77">
        <v>2320</v>
      </c>
      <c r="C53" s="93">
        <v>650034180</v>
      </c>
      <c r="D53" s="77">
        <v>72755369</v>
      </c>
      <c r="E53" s="77" t="s">
        <v>716</v>
      </c>
      <c r="F53" s="94">
        <v>3141</v>
      </c>
      <c r="G53" s="77" t="s">
        <v>294</v>
      </c>
      <c r="H53" s="95" t="s">
        <v>272</v>
      </c>
      <c r="I53" s="600">
        <v>704138</v>
      </c>
      <c r="J53" s="599">
        <v>520229</v>
      </c>
      <c r="K53" s="599">
        <v>0</v>
      </c>
      <c r="L53" s="605">
        <v>520229</v>
      </c>
      <c r="M53" s="599">
        <v>0</v>
      </c>
      <c r="N53" s="599">
        <v>0</v>
      </c>
      <c r="O53" s="599">
        <v>0</v>
      </c>
      <c r="P53" s="599">
        <v>175837</v>
      </c>
      <c r="Q53" s="599">
        <v>5202</v>
      </c>
      <c r="R53" s="599">
        <v>2870</v>
      </c>
      <c r="S53" s="417">
        <v>1.56</v>
      </c>
      <c r="T53" s="417">
        <v>0</v>
      </c>
      <c r="U53" s="754">
        <v>1.56</v>
      </c>
      <c r="V53" s="424">
        <f t="shared" si="112"/>
        <v>0</v>
      </c>
      <c r="W53" s="418">
        <f t="shared" si="112"/>
        <v>0</v>
      </c>
      <c r="X53" s="418">
        <v>0</v>
      </c>
      <c r="Y53" s="418">
        <v>0</v>
      </c>
      <c r="Z53" s="418">
        <v>0</v>
      </c>
      <c r="AA53" s="418">
        <v>263233</v>
      </c>
      <c r="AB53" s="418">
        <v>0</v>
      </c>
      <c r="AC53" s="418">
        <v>0</v>
      </c>
      <c r="AD53" s="418">
        <f t="shared" si="113"/>
        <v>0</v>
      </c>
      <c r="AE53" s="418">
        <f t="shared" si="114"/>
        <v>263233</v>
      </c>
      <c r="AF53" s="418">
        <f t="shared" si="115"/>
        <v>263233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116"/>
        <v>0</v>
      </c>
      <c r="AM53" s="418">
        <f t="shared" si="117"/>
        <v>0</v>
      </c>
      <c r="AN53" s="418">
        <f t="shared" si="118"/>
        <v>0</v>
      </c>
      <c r="AO53" s="418">
        <f t="shared" si="119"/>
        <v>0</v>
      </c>
      <c r="AP53" s="418">
        <f t="shared" si="119"/>
        <v>263233</v>
      </c>
      <c r="AQ53" s="418">
        <f t="shared" si="120"/>
        <v>263233</v>
      </c>
      <c r="AR53" s="68">
        <f t="shared" si="121"/>
        <v>88973</v>
      </c>
      <c r="AS53" s="68">
        <f t="shared" si="122"/>
        <v>2632</v>
      </c>
      <c r="AT53" s="418">
        <v>0</v>
      </c>
      <c r="AU53" s="418">
        <v>1394</v>
      </c>
      <c r="AV53" s="418">
        <f t="shared" si="123"/>
        <v>1394</v>
      </c>
      <c r="AW53" s="418">
        <f t="shared" si="124"/>
        <v>356232</v>
      </c>
      <c r="AX53" s="419">
        <v>0</v>
      </c>
      <c r="AY53" s="419">
        <v>0</v>
      </c>
      <c r="AZ53" s="419">
        <v>0</v>
      </c>
      <c r="BA53" s="419">
        <v>0</v>
      </c>
      <c r="BB53" s="419">
        <v>0.78</v>
      </c>
      <c r="BC53" s="419">
        <v>0</v>
      </c>
      <c r="BD53" s="419">
        <v>0</v>
      </c>
      <c r="BE53" s="419">
        <v>0</v>
      </c>
      <c r="BF53" s="419">
        <f t="shared" si="125"/>
        <v>0</v>
      </c>
      <c r="BG53" s="419">
        <f t="shared" si="126"/>
        <v>0.78</v>
      </c>
      <c r="BH53" s="421">
        <f t="shared" si="127"/>
        <v>0.78</v>
      </c>
      <c r="BI53" s="780">
        <f t="shared" si="128"/>
        <v>1060370</v>
      </c>
      <c r="BJ53" s="418">
        <f t="shared" si="129"/>
        <v>783462</v>
      </c>
      <c r="BK53" s="418">
        <f t="shared" si="130"/>
        <v>0</v>
      </c>
      <c r="BL53" s="418">
        <f t="shared" si="130"/>
        <v>783462</v>
      </c>
      <c r="BM53" s="418">
        <f t="shared" si="131"/>
        <v>0</v>
      </c>
      <c r="BN53" s="418">
        <f t="shared" si="132"/>
        <v>0</v>
      </c>
      <c r="BO53" s="418">
        <f t="shared" si="132"/>
        <v>0</v>
      </c>
      <c r="BP53" s="418">
        <f t="shared" si="133"/>
        <v>264810</v>
      </c>
      <c r="BQ53" s="418">
        <f t="shared" si="133"/>
        <v>7834</v>
      </c>
      <c r="BR53" s="418">
        <f t="shared" si="134"/>
        <v>4264</v>
      </c>
      <c r="BS53" s="419">
        <f t="shared" si="135"/>
        <v>2.34</v>
      </c>
      <c r="BT53" s="419">
        <f t="shared" si="136"/>
        <v>0</v>
      </c>
      <c r="BU53" s="421">
        <f t="shared" si="136"/>
        <v>2.34</v>
      </c>
      <c r="BV53" s="420"/>
      <c r="BW53" s="415"/>
      <c r="BX53" s="415"/>
      <c r="BY53" s="415"/>
      <c r="BZ53" s="415"/>
      <c r="CA53" s="510"/>
    </row>
    <row r="54" spans="1:79" s="96" customFormat="1" ht="14.1" customHeight="1" x14ac:dyDescent="0.2">
      <c r="A54" s="118">
        <v>7</v>
      </c>
      <c r="B54" s="77">
        <v>2320</v>
      </c>
      <c r="C54" s="93">
        <v>650034180</v>
      </c>
      <c r="D54" s="77">
        <v>72755369</v>
      </c>
      <c r="E54" s="77" t="s">
        <v>716</v>
      </c>
      <c r="F54" s="94">
        <v>3143</v>
      </c>
      <c r="G54" s="77" t="s">
        <v>595</v>
      </c>
      <c r="H54" s="95" t="s">
        <v>271</v>
      </c>
      <c r="I54" s="600">
        <v>891284</v>
      </c>
      <c r="J54" s="599">
        <v>661190</v>
      </c>
      <c r="K54" s="599">
        <v>661190</v>
      </c>
      <c r="L54" s="599">
        <v>0</v>
      </c>
      <c r="M54" s="599">
        <v>0</v>
      </c>
      <c r="N54" s="599">
        <v>0</v>
      </c>
      <c r="O54" s="599">
        <v>0</v>
      </c>
      <c r="P54" s="599">
        <v>223482</v>
      </c>
      <c r="Q54" s="599">
        <v>6612</v>
      </c>
      <c r="R54" s="599">
        <v>0</v>
      </c>
      <c r="S54" s="417">
        <v>1.4582999999999999</v>
      </c>
      <c r="T54" s="417">
        <v>1.4582999999999999</v>
      </c>
      <c r="U54" s="754">
        <v>0</v>
      </c>
      <c r="V54" s="424">
        <f t="shared" si="112"/>
        <v>0</v>
      </c>
      <c r="W54" s="418">
        <f t="shared" si="112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si="113"/>
        <v>0</v>
      </c>
      <c r="AE54" s="418">
        <f t="shared" si="114"/>
        <v>0</v>
      </c>
      <c r="AF54" s="418">
        <f t="shared" si="115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116"/>
        <v>0</v>
      </c>
      <c r="AM54" s="418">
        <f t="shared" si="117"/>
        <v>0</v>
      </c>
      <c r="AN54" s="418">
        <f t="shared" si="118"/>
        <v>0</v>
      </c>
      <c r="AO54" s="418">
        <f t="shared" si="119"/>
        <v>0</v>
      </c>
      <c r="AP54" s="418">
        <f t="shared" si="119"/>
        <v>0</v>
      </c>
      <c r="AQ54" s="418">
        <f t="shared" si="120"/>
        <v>0</v>
      </c>
      <c r="AR54" s="68">
        <f t="shared" si="121"/>
        <v>0</v>
      </c>
      <c r="AS54" s="68">
        <f t="shared" si="122"/>
        <v>0</v>
      </c>
      <c r="AT54" s="418">
        <v>0</v>
      </c>
      <c r="AU54" s="418">
        <v>0</v>
      </c>
      <c r="AV54" s="418">
        <f t="shared" si="123"/>
        <v>0</v>
      </c>
      <c r="AW54" s="418">
        <f t="shared" si="124"/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si="125"/>
        <v>0</v>
      </c>
      <c r="BG54" s="419">
        <f t="shared" si="126"/>
        <v>0</v>
      </c>
      <c r="BH54" s="421">
        <f t="shared" si="127"/>
        <v>0</v>
      </c>
      <c r="BI54" s="780">
        <f t="shared" si="128"/>
        <v>891284</v>
      </c>
      <c r="BJ54" s="418">
        <f t="shared" si="129"/>
        <v>661190</v>
      </c>
      <c r="BK54" s="418">
        <f t="shared" si="130"/>
        <v>661190</v>
      </c>
      <c r="BL54" s="418">
        <f t="shared" si="130"/>
        <v>0</v>
      </c>
      <c r="BM54" s="418">
        <f t="shared" si="131"/>
        <v>0</v>
      </c>
      <c r="BN54" s="418">
        <f t="shared" si="132"/>
        <v>0</v>
      </c>
      <c r="BO54" s="418">
        <f t="shared" si="132"/>
        <v>0</v>
      </c>
      <c r="BP54" s="418">
        <f t="shared" si="133"/>
        <v>223482</v>
      </c>
      <c r="BQ54" s="418">
        <f t="shared" si="133"/>
        <v>6612</v>
      </c>
      <c r="BR54" s="418">
        <f t="shared" si="134"/>
        <v>0</v>
      </c>
      <c r="BS54" s="419">
        <f t="shared" si="135"/>
        <v>1.4582999999999999</v>
      </c>
      <c r="BT54" s="419">
        <f t="shared" si="136"/>
        <v>1.4582999999999999</v>
      </c>
      <c r="BU54" s="421">
        <f t="shared" si="136"/>
        <v>0</v>
      </c>
      <c r="BV54" s="420"/>
      <c r="BW54" s="415"/>
      <c r="BX54" s="415"/>
      <c r="BY54" s="415"/>
      <c r="BZ54" s="415"/>
      <c r="CA54" s="510"/>
    </row>
    <row r="55" spans="1:79" s="96" customFormat="1" ht="14.1" customHeight="1" x14ac:dyDescent="0.2">
      <c r="A55" s="118">
        <v>7</v>
      </c>
      <c r="B55" s="77">
        <v>2320</v>
      </c>
      <c r="C55" s="93">
        <v>650034180</v>
      </c>
      <c r="D55" s="77">
        <v>72755369</v>
      </c>
      <c r="E55" s="77" t="s">
        <v>716</v>
      </c>
      <c r="F55" s="94">
        <v>3143</v>
      </c>
      <c r="G55" s="77" t="s">
        <v>596</v>
      </c>
      <c r="H55" s="95" t="s">
        <v>272</v>
      </c>
      <c r="I55" s="600">
        <v>20506</v>
      </c>
      <c r="J55" s="599">
        <v>14678</v>
      </c>
      <c r="K55" s="599">
        <v>0</v>
      </c>
      <c r="L55" s="605">
        <v>14678</v>
      </c>
      <c r="M55" s="599">
        <v>0</v>
      </c>
      <c r="N55" s="606">
        <v>0</v>
      </c>
      <c r="O55" s="606">
        <v>0</v>
      </c>
      <c r="P55" s="599">
        <v>4961</v>
      </c>
      <c r="Q55" s="599">
        <v>147</v>
      </c>
      <c r="R55" s="606">
        <v>720</v>
      </c>
      <c r="S55" s="417">
        <v>5.5599999999999997E-2</v>
      </c>
      <c r="T55" s="609">
        <v>0</v>
      </c>
      <c r="U55" s="737">
        <v>5.5599999999999997E-2</v>
      </c>
      <c r="V55" s="424">
        <f t="shared" si="112"/>
        <v>0</v>
      </c>
      <c r="W55" s="418">
        <f t="shared" si="112"/>
        <v>0</v>
      </c>
      <c r="X55" s="418">
        <v>0</v>
      </c>
      <c r="Y55" s="418">
        <v>0</v>
      </c>
      <c r="Z55" s="418">
        <v>0</v>
      </c>
      <c r="AA55" s="418">
        <v>7322</v>
      </c>
      <c r="AB55" s="418">
        <v>0</v>
      </c>
      <c r="AC55" s="418">
        <v>0</v>
      </c>
      <c r="AD55" s="418">
        <f t="shared" si="113"/>
        <v>0</v>
      </c>
      <c r="AE55" s="418">
        <f t="shared" si="114"/>
        <v>7322</v>
      </c>
      <c r="AF55" s="418">
        <f t="shared" si="115"/>
        <v>7322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16"/>
        <v>0</v>
      </c>
      <c r="AM55" s="418">
        <f t="shared" si="117"/>
        <v>0</v>
      </c>
      <c r="AN55" s="418">
        <f t="shared" si="118"/>
        <v>0</v>
      </c>
      <c r="AO55" s="418">
        <f t="shared" si="119"/>
        <v>0</v>
      </c>
      <c r="AP55" s="418">
        <f t="shared" si="119"/>
        <v>7322</v>
      </c>
      <c r="AQ55" s="418">
        <f t="shared" si="120"/>
        <v>7322</v>
      </c>
      <c r="AR55" s="68">
        <f t="shared" si="121"/>
        <v>2475</v>
      </c>
      <c r="AS55" s="68">
        <f t="shared" si="122"/>
        <v>73</v>
      </c>
      <c r="AT55" s="418">
        <v>0</v>
      </c>
      <c r="AU55" s="418">
        <v>360</v>
      </c>
      <c r="AV55" s="418">
        <f t="shared" si="123"/>
        <v>360</v>
      </c>
      <c r="AW55" s="418">
        <f t="shared" si="124"/>
        <v>10230</v>
      </c>
      <c r="AX55" s="419">
        <v>0</v>
      </c>
      <c r="AY55" s="419">
        <v>0</v>
      </c>
      <c r="AZ55" s="419">
        <v>0</v>
      </c>
      <c r="BA55" s="419">
        <v>0</v>
      </c>
      <c r="BB55" s="419">
        <v>0.03</v>
      </c>
      <c r="BC55" s="419">
        <v>0</v>
      </c>
      <c r="BD55" s="419">
        <v>0</v>
      </c>
      <c r="BE55" s="419">
        <v>0</v>
      </c>
      <c r="BF55" s="419">
        <f t="shared" si="125"/>
        <v>0</v>
      </c>
      <c r="BG55" s="419">
        <f t="shared" si="126"/>
        <v>0.03</v>
      </c>
      <c r="BH55" s="421">
        <f t="shared" si="127"/>
        <v>0.03</v>
      </c>
      <c r="BI55" s="780">
        <f t="shared" si="128"/>
        <v>30736</v>
      </c>
      <c r="BJ55" s="418">
        <f t="shared" si="129"/>
        <v>22000</v>
      </c>
      <c r="BK55" s="418">
        <f t="shared" si="130"/>
        <v>0</v>
      </c>
      <c r="BL55" s="418">
        <f t="shared" si="130"/>
        <v>22000</v>
      </c>
      <c r="BM55" s="418">
        <f t="shared" si="131"/>
        <v>0</v>
      </c>
      <c r="BN55" s="418">
        <f t="shared" si="132"/>
        <v>0</v>
      </c>
      <c r="BO55" s="418">
        <f t="shared" si="132"/>
        <v>0</v>
      </c>
      <c r="BP55" s="418">
        <f t="shared" si="133"/>
        <v>7436</v>
      </c>
      <c r="BQ55" s="418">
        <f t="shared" si="133"/>
        <v>220</v>
      </c>
      <c r="BR55" s="418">
        <f t="shared" si="134"/>
        <v>1080</v>
      </c>
      <c r="BS55" s="419">
        <f t="shared" si="135"/>
        <v>8.5599999999999996E-2</v>
      </c>
      <c r="BT55" s="419">
        <f t="shared" si="136"/>
        <v>0</v>
      </c>
      <c r="BU55" s="421">
        <f t="shared" si="136"/>
        <v>8.5599999999999996E-2</v>
      </c>
      <c r="BV55" s="420"/>
      <c r="BW55" s="415"/>
      <c r="BX55" s="415"/>
      <c r="BY55" s="415"/>
      <c r="BZ55" s="415"/>
      <c r="CA55" s="510"/>
    </row>
    <row r="56" spans="1:79" s="96" customFormat="1" ht="14.1" customHeight="1" x14ac:dyDescent="0.2">
      <c r="A56" s="119">
        <v>7</v>
      </c>
      <c r="B56" s="97">
        <v>2320</v>
      </c>
      <c r="C56" s="98">
        <v>650034180</v>
      </c>
      <c r="D56" s="97">
        <v>72755369</v>
      </c>
      <c r="E56" s="97" t="s">
        <v>717</v>
      </c>
      <c r="F56" s="106"/>
      <c r="G56" s="100"/>
      <c r="H56" s="101"/>
      <c r="I56" s="438">
        <v>9416176</v>
      </c>
      <c r="J56" s="434">
        <v>6904502</v>
      </c>
      <c r="K56" s="434">
        <v>5848315</v>
      </c>
      <c r="L56" s="434">
        <v>1056187</v>
      </c>
      <c r="M56" s="434">
        <v>30000</v>
      </c>
      <c r="N56" s="434">
        <v>0</v>
      </c>
      <c r="O56" s="434">
        <v>30000</v>
      </c>
      <c r="P56" s="434">
        <v>2343861</v>
      </c>
      <c r="Q56" s="434">
        <v>69045</v>
      </c>
      <c r="R56" s="434">
        <v>68768</v>
      </c>
      <c r="S56" s="435">
        <v>13.421600000000002</v>
      </c>
      <c r="T56" s="435">
        <v>10.189200000000001</v>
      </c>
      <c r="U56" s="700">
        <v>3.2324000000000002</v>
      </c>
      <c r="V56" s="438">
        <f t="shared" ref="V56:CA56" si="137">SUM(V50:V55)</f>
        <v>0</v>
      </c>
      <c r="W56" s="434">
        <f t="shared" si="137"/>
        <v>0</v>
      </c>
      <c r="X56" s="434">
        <f t="shared" si="137"/>
        <v>0</v>
      </c>
      <c r="Y56" s="434">
        <f t="shared" si="137"/>
        <v>0</v>
      </c>
      <c r="Z56" s="434">
        <f t="shared" si="137"/>
        <v>0</v>
      </c>
      <c r="AA56" s="434">
        <f t="shared" si="137"/>
        <v>270555</v>
      </c>
      <c r="AB56" s="434">
        <f t="shared" si="137"/>
        <v>0</v>
      </c>
      <c r="AC56" s="434">
        <f t="shared" si="137"/>
        <v>0</v>
      </c>
      <c r="AD56" s="434">
        <f t="shared" si="137"/>
        <v>0</v>
      </c>
      <c r="AE56" s="434">
        <f t="shared" si="137"/>
        <v>270555</v>
      </c>
      <c r="AF56" s="434">
        <f t="shared" si="137"/>
        <v>270555</v>
      </c>
      <c r="AG56" s="434">
        <f t="shared" si="137"/>
        <v>0</v>
      </c>
      <c r="AH56" s="434">
        <f t="shared" si="137"/>
        <v>0</v>
      </c>
      <c r="AI56" s="434">
        <f t="shared" si="137"/>
        <v>0</v>
      </c>
      <c r="AJ56" s="434">
        <f t="shared" si="137"/>
        <v>0</v>
      </c>
      <c r="AK56" s="434">
        <f t="shared" si="137"/>
        <v>0</v>
      </c>
      <c r="AL56" s="434">
        <f t="shared" si="137"/>
        <v>0</v>
      </c>
      <c r="AM56" s="434">
        <f t="shared" si="137"/>
        <v>0</v>
      </c>
      <c r="AN56" s="434">
        <f t="shared" si="137"/>
        <v>0</v>
      </c>
      <c r="AO56" s="434">
        <f t="shared" si="137"/>
        <v>0</v>
      </c>
      <c r="AP56" s="434">
        <f t="shared" si="137"/>
        <v>270555</v>
      </c>
      <c r="AQ56" s="434">
        <f t="shared" si="137"/>
        <v>270555</v>
      </c>
      <c r="AR56" s="434">
        <f t="shared" si="137"/>
        <v>91448</v>
      </c>
      <c r="AS56" s="434">
        <f t="shared" si="137"/>
        <v>2705</v>
      </c>
      <c r="AT56" s="434">
        <f t="shared" si="137"/>
        <v>0</v>
      </c>
      <c r="AU56" s="434">
        <f t="shared" si="137"/>
        <v>1754</v>
      </c>
      <c r="AV56" s="434">
        <f t="shared" si="137"/>
        <v>1754</v>
      </c>
      <c r="AW56" s="434">
        <f t="shared" si="137"/>
        <v>366462</v>
      </c>
      <c r="AX56" s="435">
        <f t="shared" si="137"/>
        <v>0</v>
      </c>
      <c r="AY56" s="435">
        <f t="shared" si="137"/>
        <v>0</v>
      </c>
      <c r="AZ56" s="435">
        <f t="shared" si="137"/>
        <v>0</v>
      </c>
      <c r="BA56" s="435">
        <f t="shared" si="137"/>
        <v>0</v>
      </c>
      <c r="BB56" s="435">
        <f t="shared" si="137"/>
        <v>0.81</v>
      </c>
      <c r="BC56" s="435">
        <f t="shared" si="137"/>
        <v>0</v>
      </c>
      <c r="BD56" s="435">
        <f t="shared" si="137"/>
        <v>0</v>
      </c>
      <c r="BE56" s="435">
        <f t="shared" si="137"/>
        <v>0</v>
      </c>
      <c r="BF56" s="435">
        <f t="shared" si="137"/>
        <v>0</v>
      </c>
      <c r="BG56" s="435">
        <f t="shared" si="137"/>
        <v>0.81</v>
      </c>
      <c r="BH56" s="103">
        <f t="shared" si="137"/>
        <v>0.81</v>
      </c>
      <c r="BI56" s="803">
        <f t="shared" si="137"/>
        <v>9782638</v>
      </c>
      <c r="BJ56" s="434">
        <f t="shared" si="137"/>
        <v>7175057</v>
      </c>
      <c r="BK56" s="434">
        <f t="shared" si="137"/>
        <v>5848315</v>
      </c>
      <c r="BL56" s="434">
        <f t="shared" si="137"/>
        <v>1326742</v>
      </c>
      <c r="BM56" s="434">
        <f t="shared" si="137"/>
        <v>30000</v>
      </c>
      <c r="BN56" s="434">
        <f t="shared" si="137"/>
        <v>0</v>
      </c>
      <c r="BO56" s="434">
        <f t="shared" si="137"/>
        <v>30000</v>
      </c>
      <c r="BP56" s="434">
        <f t="shared" si="137"/>
        <v>2435309</v>
      </c>
      <c r="BQ56" s="434">
        <f t="shared" si="137"/>
        <v>71750</v>
      </c>
      <c r="BR56" s="434">
        <f t="shared" si="137"/>
        <v>70522</v>
      </c>
      <c r="BS56" s="435">
        <f t="shared" si="137"/>
        <v>14.2316</v>
      </c>
      <c r="BT56" s="435">
        <f t="shared" si="137"/>
        <v>10.189200000000001</v>
      </c>
      <c r="BU56" s="103">
        <f t="shared" si="137"/>
        <v>4.0423999999999998</v>
      </c>
      <c r="BV56" s="817">
        <f t="shared" si="137"/>
        <v>0</v>
      </c>
      <c r="BW56" s="703">
        <f t="shared" si="137"/>
        <v>0</v>
      </c>
      <c r="BX56" s="703">
        <f t="shared" si="137"/>
        <v>0</v>
      </c>
      <c r="BY56" s="703">
        <f t="shared" si="137"/>
        <v>0</v>
      </c>
      <c r="BZ56" s="703">
        <f t="shared" si="137"/>
        <v>0</v>
      </c>
      <c r="CA56" s="818">
        <f t="shared" si="137"/>
        <v>0</v>
      </c>
    </row>
    <row r="57" spans="1:79" s="96" customFormat="1" ht="14.1" customHeight="1" x14ac:dyDescent="0.2">
      <c r="A57" s="118">
        <v>8</v>
      </c>
      <c r="B57" s="102">
        <v>2455</v>
      </c>
      <c r="C57" s="93">
        <v>600080145</v>
      </c>
      <c r="D57" s="77">
        <v>72741601</v>
      </c>
      <c r="E57" s="77" t="s">
        <v>718</v>
      </c>
      <c r="F57" s="94">
        <v>3111</v>
      </c>
      <c r="G57" s="77" t="s">
        <v>290</v>
      </c>
      <c r="H57" s="95" t="s">
        <v>271</v>
      </c>
      <c r="I57" s="600">
        <v>1628096</v>
      </c>
      <c r="J57" s="599">
        <v>1203429</v>
      </c>
      <c r="K57" s="599">
        <v>1136861</v>
      </c>
      <c r="L57" s="599">
        <v>66568</v>
      </c>
      <c r="M57" s="599">
        <v>0</v>
      </c>
      <c r="N57" s="599">
        <v>0</v>
      </c>
      <c r="O57" s="599">
        <v>0</v>
      </c>
      <c r="P57" s="599">
        <v>406759</v>
      </c>
      <c r="Q57" s="599">
        <v>12034</v>
      </c>
      <c r="R57" s="599">
        <v>5874</v>
      </c>
      <c r="S57" s="417">
        <v>2.2667000000000002</v>
      </c>
      <c r="T57" s="417">
        <v>2</v>
      </c>
      <c r="U57" s="754">
        <v>0.26669999999999999</v>
      </c>
      <c r="V57" s="424">
        <f t="shared" ref="V57:W62" si="138">AG57*-1</f>
        <v>0</v>
      </c>
      <c r="W57" s="418">
        <f t="shared" si="138"/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 t="shared" ref="AD57:AD62" si="139">V57+X57+Y57+Z57+AB57</f>
        <v>0</v>
      </c>
      <c r="AE57" s="418">
        <f t="shared" ref="AE57:AE62" si="140">W57+AA57+AC57</f>
        <v>0</v>
      </c>
      <c r="AF57" s="418">
        <f t="shared" ref="AF57:AF62" si="141"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ref="AL57:AL62" si="142">AG57+AI57+AJ57</f>
        <v>0</v>
      </c>
      <c r="AM57" s="418">
        <f t="shared" ref="AM57:AM62" si="143">AH57+AK57</f>
        <v>0</v>
      </c>
      <c r="AN57" s="418">
        <f t="shared" ref="AN57:AN62" si="144">SUM(AL57:AM57)</f>
        <v>0</v>
      </c>
      <c r="AO57" s="418">
        <f t="shared" ref="AO57:AP62" si="145">AD57+AL57</f>
        <v>0</v>
      </c>
      <c r="AP57" s="418">
        <f t="shared" si="145"/>
        <v>0</v>
      </c>
      <c r="AQ57" s="418">
        <f t="shared" ref="AQ57:AQ62" si="146">SUM(AO57:AP57)</f>
        <v>0</v>
      </c>
      <c r="AR57" s="68">
        <f t="shared" ref="AR57:AR62" si="147">ROUND((AF57+AG57+AH57+AI57)*33.8%,0)</f>
        <v>0</v>
      </c>
      <c r="AS57" s="68">
        <f t="shared" ref="AS57:AS62" si="148">ROUND(AF57*1%,0)</f>
        <v>0</v>
      </c>
      <c r="AT57" s="418">
        <v>0</v>
      </c>
      <c r="AU57" s="418">
        <v>0</v>
      </c>
      <c r="AV57" s="418">
        <f t="shared" ref="AV57:AV62" si="149">AT57+AU57</f>
        <v>0</v>
      </c>
      <c r="AW57" s="418">
        <f t="shared" ref="AW57:AW62" si="150"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 t="shared" ref="BF57:BF62" si="151">AX57+AZ57+BA57+BC57+BD57</f>
        <v>0</v>
      </c>
      <c r="BG57" s="419">
        <f t="shared" ref="BG57:BG62" si="152">AY57+BB57+BE57</f>
        <v>0</v>
      </c>
      <c r="BH57" s="421">
        <f t="shared" ref="BH57:BH62" si="153">SUM(BF57:BG57)</f>
        <v>0</v>
      </c>
      <c r="BI57" s="780">
        <f t="shared" ref="BI57:BI62" si="154">I57+AW57</f>
        <v>1628096</v>
      </c>
      <c r="BJ57" s="418">
        <f t="shared" ref="BJ57:BJ62" si="155">J57+AF57</f>
        <v>1203429</v>
      </c>
      <c r="BK57" s="418">
        <f t="shared" ref="BK57:BL62" si="156">K57+AD57</f>
        <v>1136861</v>
      </c>
      <c r="BL57" s="418">
        <f t="shared" si="156"/>
        <v>66568</v>
      </c>
      <c r="BM57" s="418">
        <f t="shared" ref="BM57:BM62" si="157">M57+AN57</f>
        <v>0</v>
      </c>
      <c r="BN57" s="418">
        <f t="shared" ref="BN57:BO62" si="158">N57+AL57</f>
        <v>0</v>
      </c>
      <c r="BO57" s="418">
        <f t="shared" si="158"/>
        <v>0</v>
      </c>
      <c r="BP57" s="418">
        <f t="shared" ref="BP57:BQ62" si="159">P57+AR57</f>
        <v>406759</v>
      </c>
      <c r="BQ57" s="418">
        <f t="shared" si="159"/>
        <v>12034</v>
      </c>
      <c r="BR57" s="418">
        <f t="shared" ref="BR57:BR62" si="160">R57+AV57</f>
        <v>5874</v>
      </c>
      <c r="BS57" s="419">
        <f t="shared" ref="BS57:BS62" si="161">S57+BH57</f>
        <v>2.2667000000000002</v>
      </c>
      <c r="BT57" s="419">
        <f t="shared" ref="BT57:BU62" si="162">T57+BF57</f>
        <v>2</v>
      </c>
      <c r="BU57" s="421">
        <f t="shared" si="162"/>
        <v>0.26669999999999999</v>
      </c>
      <c r="BV57" s="420"/>
      <c r="BW57" s="415"/>
      <c r="BX57" s="415"/>
      <c r="BY57" s="415"/>
      <c r="BZ57" s="415"/>
      <c r="CA57" s="510"/>
    </row>
    <row r="58" spans="1:79" s="96" customFormat="1" ht="14.1" customHeight="1" x14ac:dyDescent="0.2">
      <c r="A58" s="118">
        <v>8</v>
      </c>
      <c r="B58" s="104">
        <v>2455</v>
      </c>
      <c r="C58" s="93">
        <v>600080145</v>
      </c>
      <c r="D58" s="77">
        <v>72741601</v>
      </c>
      <c r="E58" s="104" t="s">
        <v>718</v>
      </c>
      <c r="F58" s="105">
        <v>3117</v>
      </c>
      <c r="G58" s="104" t="s">
        <v>308</v>
      </c>
      <c r="H58" s="95" t="s">
        <v>271</v>
      </c>
      <c r="I58" s="600">
        <v>3237787</v>
      </c>
      <c r="J58" s="599">
        <v>2351371</v>
      </c>
      <c r="K58" s="599">
        <v>2093911</v>
      </c>
      <c r="L58" s="599">
        <v>257460</v>
      </c>
      <c r="M58" s="599">
        <v>20000</v>
      </c>
      <c r="N58" s="599">
        <v>0</v>
      </c>
      <c r="O58" s="599">
        <v>20000</v>
      </c>
      <c r="P58" s="599">
        <v>801524</v>
      </c>
      <c r="Q58" s="599">
        <v>23514</v>
      </c>
      <c r="R58" s="599">
        <v>41378</v>
      </c>
      <c r="S58" s="417">
        <v>4.0777999999999999</v>
      </c>
      <c r="T58" s="417">
        <v>3.3635999999999999</v>
      </c>
      <c r="U58" s="754">
        <v>0.71419999999999995</v>
      </c>
      <c r="V58" s="424">
        <f t="shared" si="138"/>
        <v>0</v>
      </c>
      <c r="W58" s="418">
        <f t="shared" si="138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139"/>
        <v>0</v>
      </c>
      <c r="AE58" s="418">
        <f t="shared" si="140"/>
        <v>0</v>
      </c>
      <c r="AF58" s="418">
        <f t="shared" si="141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142"/>
        <v>0</v>
      </c>
      <c r="AM58" s="418">
        <f t="shared" si="143"/>
        <v>0</v>
      </c>
      <c r="AN58" s="418">
        <f t="shared" si="144"/>
        <v>0</v>
      </c>
      <c r="AO58" s="418">
        <f t="shared" si="145"/>
        <v>0</v>
      </c>
      <c r="AP58" s="418">
        <f t="shared" si="145"/>
        <v>0</v>
      </c>
      <c r="AQ58" s="418">
        <f t="shared" si="146"/>
        <v>0</v>
      </c>
      <c r="AR58" s="68">
        <f t="shared" si="147"/>
        <v>0</v>
      </c>
      <c r="AS58" s="68">
        <f t="shared" si="148"/>
        <v>0</v>
      </c>
      <c r="AT58" s="418">
        <v>0</v>
      </c>
      <c r="AU58" s="418">
        <v>0</v>
      </c>
      <c r="AV58" s="418">
        <f t="shared" si="149"/>
        <v>0</v>
      </c>
      <c r="AW58" s="418">
        <f t="shared" si="150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51"/>
        <v>0</v>
      </c>
      <c r="BG58" s="419">
        <f t="shared" si="152"/>
        <v>0</v>
      </c>
      <c r="BH58" s="421">
        <f t="shared" si="153"/>
        <v>0</v>
      </c>
      <c r="BI58" s="780">
        <f t="shared" si="154"/>
        <v>3237787</v>
      </c>
      <c r="BJ58" s="418">
        <f t="shared" si="155"/>
        <v>2351371</v>
      </c>
      <c r="BK58" s="418">
        <f t="shared" si="156"/>
        <v>2093911</v>
      </c>
      <c r="BL58" s="418">
        <f t="shared" si="156"/>
        <v>257460</v>
      </c>
      <c r="BM58" s="418">
        <f t="shared" si="157"/>
        <v>20000</v>
      </c>
      <c r="BN58" s="418">
        <f t="shared" si="158"/>
        <v>0</v>
      </c>
      <c r="BO58" s="418">
        <f t="shared" si="158"/>
        <v>20000</v>
      </c>
      <c r="BP58" s="418">
        <f t="shared" si="159"/>
        <v>801524</v>
      </c>
      <c r="BQ58" s="418">
        <f t="shared" si="159"/>
        <v>23514</v>
      </c>
      <c r="BR58" s="418">
        <f t="shared" si="160"/>
        <v>41378</v>
      </c>
      <c r="BS58" s="419">
        <f t="shared" si="161"/>
        <v>4.0777999999999999</v>
      </c>
      <c r="BT58" s="419">
        <f t="shared" si="162"/>
        <v>3.3635999999999999</v>
      </c>
      <c r="BU58" s="421">
        <f t="shared" si="162"/>
        <v>0.71419999999999995</v>
      </c>
      <c r="BV58" s="420"/>
      <c r="BW58" s="415"/>
      <c r="BX58" s="415"/>
      <c r="BY58" s="415"/>
      <c r="BZ58" s="415"/>
      <c r="CA58" s="510"/>
    </row>
    <row r="59" spans="1:79" s="96" customFormat="1" ht="14.1" customHeight="1" x14ac:dyDescent="0.2">
      <c r="A59" s="118">
        <v>8</v>
      </c>
      <c r="B59" s="102">
        <v>2455</v>
      </c>
      <c r="C59" s="93">
        <v>600080145</v>
      </c>
      <c r="D59" s="77">
        <v>72741601</v>
      </c>
      <c r="E59" s="102" t="s">
        <v>718</v>
      </c>
      <c r="F59" s="94">
        <v>3117</v>
      </c>
      <c r="G59" s="77" t="s">
        <v>291</v>
      </c>
      <c r="H59" s="95" t="s">
        <v>272</v>
      </c>
      <c r="I59" s="600">
        <v>283293</v>
      </c>
      <c r="J59" s="599">
        <v>210158</v>
      </c>
      <c r="K59" s="599">
        <v>210158</v>
      </c>
      <c r="L59" s="599">
        <v>0</v>
      </c>
      <c r="M59" s="599">
        <v>0</v>
      </c>
      <c r="N59" s="599">
        <v>0</v>
      </c>
      <c r="O59" s="599">
        <v>0</v>
      </c>
      <c r="P59" s="599">
        <v>71033</v>
      </c>
      <c r="Q59" s="599">
        <v>2102</v>
      </c>
      <c r="R59" s="599">
        <v>0</v>
      </c>
      <c r="S59" s="417">
        <v>0.55000000000000004</v>
      </c>
      <c r="T59" s="417">
        <v>0.55000000000000004</v>
      </c>
      <c r="U59" s="754">
        <v>0</v>
      </c>
      <c r="V59" s="424">
        <f t="shared" si="138"/>
        <v>0</v>
      </c>
      <c r="W59" s="418">
        <f t="shared" si="138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si="139"/>
        <v>0</v>
      </c>
      <c r="AE59" s="418">
        <f t="shared" si="140"/>
        <v>0</v>
      </c>
      <c r="AF59" s="418">
        <f t="shared" si="141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142"/>
        <v>0</v>
      </c>
      <c r="AM59" s="418">
        <f t="shared" si="143"/>
        <v>0</v>
      </c>
      <c r="AN59" s="418">
        <f t="shared" si="144"/>
        <v>0</v>
      </c>
      <c r="AO59" s="418">
        <f t="shared" si="145"/>
        <v>0</v>
      </c>
      <c r="AP59" s="418">
        <f t="shared" si="145"/>
        <v>0</v>
      </c>
      <c r="AQ59" s="418">
        <f t="shared" si="146"/>
        <v>0</v>
      </c>
      <c r="AR59" s="68">
        <f t="shared" si="147"/>
        <v>0</v>
      </c>
      <c r="AS59" s="68">
        <f t="shared" si="148"/>
        <v>0</v>
      </c>
      <c r="AT59" s="418">
        <v>0</v>
      </c>
      <c r="AU59" s="418">
        <v>0</v>
      </c>
      <c r="AV59" s="418">
        <f t="shared" si="149"/>
        <v>0</v>
      </c>
      <c r="AW59" s="418">
        <f t="shared" si="150"/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si="151"/>
        <v>0</v>
      </c>
      <c r="BG59" s="419">
        <f t="shared" si="152"/>
        <v>0</v>
      </c>
      <c r="BH59" s="421">
        <f t="shared" si="153"/>
        <v>0</v>
      </c>
      <c r="BI59" s="780">
        <f t="shared" si="154"/>
        <v>283293</v>
      </c>
      <c r="BJ59" s="418">
        <f t="shared" si="155"/>
        <v>210158</v>
      </c>
      <c r="BK59" s="418">
        <f t="shared" si="156"/>
        <v>210158</v>
      </c>
      <c r="BL59" s="418">
        <f t="shared" si="156"/>
        <v>0</v>
      </c>
      <c r="BM59" s="418">
        <f t="shared" si="157"/>
        <v>0</v>
      </c>
      <c r="BN59" s="418">
        <f t="shared" si="158"/>
        <v>0</v>
      </c>
      <c r="BO59" s="418">
        <f t="shared" si="158"/>
        <v>0</v>
      </c>
      <c r="BP59" s="418">
        <f t="shared" si="159"/>
        <v>71033</v>
      </c>
      <c r="BQ59" s="418">
        <f t="shared" si="159"/>
        <v>2102</v>
      </c>
      <c r="BR59" s="418">
        <f t="shared" si="160"/>
        <v>0</v>
      </c>
      <c r="BS59" s="419">
        <f t="shared" si="161"/>
        <v>0.55000000000000004</v>
      </c>
      <c r="BT59" s="419">
        <f t="shared" si="162"/>
        <v>0.55000000000000004</v>
      </c>
      <c r="BU59" s="421">
        <f t="shared" si="162"/>
        <v>0</v>
      </c>
      <c r="BV59" s="420"/>
      <c r="BW59" s="415"/>
      <c r="BX59" s="415"/>
      <c r="BY59" s="415"/>
      <c r="BZ59" s="415"/>
      <c r="CA59" s="510"/>
    </row>
    <row r="60" spans="1:79" s="96" customFormat="1" ht="14.1" customHeight="1" x14ac:dyDescent="0.2">
      <c r="A60" s="118">
        <v>8</v>
      </c>
      <c r="B60" s="77">
        <v>2455</v>
      </c>
      <c r="C60" s="93">
        <v>600080145</v>
      </c>
      <c r="D60" s="77">
        <v>72741601</v>
      </c>
      <c r="E60" s="77" t="s">
        <v>718</v>
      </c>
      <c r="F60" s="94">
        <v>3141</v>
      </c>
      <c r="G60" s="77" t="s">
        <v>294</v>
      </c>
      <c r="H60" s="95" t="s">
        <v>272</v>
      </c>
      <c r="I60" s="600">
        <v>526428</v>
      </c>
      <c r="J60" s="599">
        <v>389071</v>
      </c>
      <c r="K60" s="599">
        <v>0</v>
      </c>
      <c r="L60" s="605">
        <v>389071</v>
      </c>
      <c r="M60" s="599">
        <v>0</v>
      </c>
      <c r="N60" s="599">
        <v>0</v>
      </c>
      <c r="O60" s="599">
        <v>0</v>
      </c>
      <c r="P60" s="599">
        <v>131506</v>
      </c>
      <c r="Q60" s="599">
        <v>3891</v>
      </c>
      <c r="R60" s="599">
        <v>1960</v>
      </c>
      <c r="S60" s="417">
        <v>1.1667000000000001</v>
      </c>
      <c r="T60" s="417">
        <v>0</v>
      </c>
      <c r="U60" s="754">
        <v>1.1667000000000001</v>
      </c>
      <c r="V60" s="424">
        <f t="shared" si="138"/>
        <v>0</v>
      </c>
      <c r="W60" s="418">
        <f t="shared" si="138"/>
        <v>0</v>
      </c>
      <c r="X60" s="418">
        <v>0</v>
      </c>
      <c r="Y60" s="418">
        <v>0</v>
      </c>
      <c r="Z60" s="418">
        <v>0</v>
      </c>
      <c r="AA60" s="418">
        <v>192997</v>
      </c>
      <c r="AB60" s="418">
        <v>0</v>
      </c>
      <c r="AC60" s="418">
        <v>0</v>
      </c>
      <c r="AD60" s="418">
        <f t="shared" si="139"/>
        <v>0</v>
      </c>
      <c r="AE60" s="418">
        <f t="shared" si="140"/>
        <v>192997</v>
      </c>
      <c r="AF60" s="418">
        <f t="shared" si="141"/>
        <v>192997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142"/>
        <v>0</v>
      </c>
      <c r="AM60" s="418">
        <f t="shared" si="143"/>
        <v>0</v>
      </c>
      <c r="AN60" s="418">
        <f t="shared" si="144"/>
        <v>0</v>
      </c>
      <c r="AO60" s="418">
        <f t="shared" si="145"/>
        <v>0</v>
      </c>
      <c r="AP60" s="418">
        <f t="shared" si="145"/>
        <v>192997</v>
      </c>
      <c r="AQ60" s="418">
        <f t="shared" si="146"/>
        <v>192997</v>
      </c>
      <c r="AR60" s="68">
        <f t="shared" si="147"/>
        <v>65233</v>
      </c>
      <c r="AS60" s="68">
        <f t="shared" si="148"/>
        <v>1930</v>
      </c>
      <c r="AT60" s="418">
        <v>0</v>
      </c>
      <c r="AU60" s="418">
        <v>952</v>
      </c>
      <c r="AV60" s="418">
        <f t="shared" si="149"/>
        <v>952</v>
      </c>
      <c r="AW60" s="418">
        <f t="shared" si="150"/>
        <v>261112</v>
      </c>
      <c r="AX60" s="419">
        <v>0</v>
      </c>
      <c r="AY60" s="419">
        <v>0</v>
      </c>
      <c r="AZ60" s="419">
        <v>0</v>
      </c>
      <c r="BA60" s="419">
        <v>0</v>
      </c>
      <c r="BB60" s="419">
        <v>0.57999999999999996</v>
      </c>
      <c r="BC60" s="419">
        <v>0</v>
      </c>
      <c r="BD60" s="419">
        <v>0</v>
      </c>
      <c r="BE60" s="419">
        <v>0</v>
      </c>
      <c r="BF60" s="419">
        <f t="shared" si="151"/>
        <v>0</v>
      </c>
      <c r="BG60" s="419">
        <f t="shared" si="152"/>
        <v>0.57999999999999996</v>
      </c>
      <c r="BH60" s="421">
        <f t="shared" si="153"/>
        <v>0.57999999999999996</v>
      </c>
      <c r="BI60" s="780">
        <f t="shared" si="154"/>
        <v>787540</v>
      </c>
      <c r="BJ60" s="418">
        <f t="shared" si="155"/>
        <v>582068</v>
      </c>
      <c r="BK60" s="418">
        <f t="shared" si="156"/>
        <v>0</v>
      </c>
      <c r="BL60" s="418">
        <f t="shared" si="156"/>
        <v>582068</v>
      </c>
      <c r="BM60" s="418">
        <f t="shared" si="157"/>
        <v>0</v>
      </c>
      <c r="BN60" s="418">
        <f t="shared" si="158"/>
        <v>0</v>
      </c>
      <c r="BO60" s="418">
        <f t="shared" si="158"/>
        <v>0</v>
      </c>
      <c r="BP60" s="418">
        <f t="shared" si="159"/>
        <v>196739</v>
      </c>
      <c r="BQ60" s="418">
        <f t="shared" si="159"/>
        <v>5821</v>
      </c>
      <c r="BR60" s="418">
        <f t="shared" si="160"/>
        <v>2912</v>
      </c>
      <c r="BS60" s="419">
        <f t="shared" si="161"/>
        <v>1.7467000000000001</v>
      </c>
      <c r="BT60" s="419">
        <f t="shared" si="162"/>
        <v>0</v>
      </c>
      <c r="BU60" s="421">
        <f t="shared" si="162"/>
        <v>1.7467000000000001</v>
      </c>
      <c r="BV60" s="420"/>
      <c r="BW60" s="415"/>
      <c r="BX60" s="415"/>
      <c r="BY60" s="415"/>
      <c r="BZ60" s="415"/>
      <c r="CA60" s="510"/>
    </row>
    <row r="61" spans="1:79" s="96" customFormat="1" ht="14.1" customHeight="1" x14ac:dyDescent="0.2">
      <c r="A61" s="118">
        <v>8</v>
      </c>
      <c r="B61" s="77">
        <v>2455</v>
      </c>
      <c r="C61" s="93">
        <v>600080145</v>
      </c>
      <c r="D61" s="77">
        <v>72741601</v>
      </c>
      <c r="E61" s="77" t="s">
        <v>718</v>
      </c>
      <c r="F61" s="94">
        <v>3143</v>
      </c>
      <c r="G61" s="77" t="s">
        <v>595</v>
      </c>
      <c r="H61" s="95" t="s">
        <v>271</v>
      </c>
      <c r="I61" s="600">
        <v>977130</v>
      </c>
      <c r="J61" s="599">
        <v>724874</v>
      </c>
      <c r="K61" s="599">
        <v>724874</v>
      </c>
      <c r="L61" s="599">
        <v>0</v>
      </c>
      <c r="M61" s="599">
        <v>0</v>
      </c>
      <c r="N61" s="599">
        <v>0</v>
      </c>
      <c r="O61" s="599">
        <v>0</v>
      </c>
      <c r="P61" s="599">
        <v>245007</v>
      </c>
      <c r="Q61" s="599">
        <v>7249</v>
      </c>
      <c r="R61" s="599">
        <v>0</v>
      </c>
      <c r="S61" s="417">
        <v>1.5712999999999999</v>
      </c>
      <c r="T61" s="417">
        <v>1.5712999999999999</v>
      </c>
      <c r="U61" s="754">
        <v>0</v>
      </c>
      <c r="V61" s="424">
        <f t="shared" si="138"/>
        <v>0</v>
      </c>
      <c r="W61" s="418">
        <f t="shared" si="138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139"/>
        <v>0</v>
      </c>
      <c r="AE61" s="418">
        <f t="shared" si="140"/>
        <v>0</v>
      </c>
      <c r="AF61" s="418">
        <f t="shared" si="141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142"/>
        <v>0</v>
      </c>
      <c r="AM61" s="418">
        <f t="shared" si="143"/>
        <v>0</v>
      </c>
      <c r="AN61" s="418">
        <f t="shared" si="144"/>
        <v>0</v>
      </c>
      <c r="AO61" s="418">
        <f t="shared" si="145"/>
        <v>0</v>
      </c>
      <c r="AP61" s="418">
        <f t="shared" si="145"/>
        <v>0</v>
      </c>
      <c r="AQ61" s="418">
        <f t="shared" si="146"/>
        <v>0</v>
      </c>
      <c r="AR61" s="68">
        <f t="shared" si="147"/>
        <v>0</v>
      </c>
      <c r="AS61" s="68">
        <f t="shared" si="148"/>
        <v>0</v>
      </c>
      <c r="AT61" s="418">
        <v>0</v>
      </c>
      <c r="AU61" s="418">
        <v>0</v>
      </c>
      <c r="AV61" s="418">
        <f t="shared" si="149"/>
        <v>0</v>
      </c>
      <c r="AW61" s="418">
        <f t="shared" si="150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151"/>
        <v>0</v>
      </c>
      <c r="BG61" s="419">
        <f t="shared" si="152"/>
        <v>0</v>
      </c>
      <c r="BH61" s="421">
        <f t="shared" si="153"/>
        <v>0</v>
      </c>
      <c r="BI61" s="780">
        <f t="shared" si="154"/>
        <v>977130</v>
      </c>
      <c r="BJ61" s="418">
        <f t="shared" si="155"/>
        <v>724874</v>
      </c>
      <c r="BK61" s="418">
        <f t="shared" si="156"/>
        <v>724874</v>
      </c>
      <c r="BL61" s="418">
        <f t="shared" si="156"/>
        <v>0</v>
      </c>
      <c r="BM61" s="418">
        <f t="shared" si="157"/>
        <v>0</v>
      </c>
      <c r="BN61" s="418">
        <f t="shared" si="158"/>
        <v>0</v>
      </c>
      <c r="BO61" s="418">
        <f t="shared" si="158"/>
        <v>0</v>
      </c>
      <c r="BP61" s="418">
        <f t="shared" si="159"/>
        <v>245007</v>
      </c>
      <c r="BQ61" s="418">
        <f t="shared" si="159"/>
        <v>7249</v>
      </c>
      <c r="BR61" s="418">
        <f t="shared" si="160"/>
        <v>0</v>
      </c>
      <c r="BS61" s="419">
        <f t="shared" si="161"/>
        <v>1.5712999999999999</v>
      </c>
      <c r="BT61" s="419">
        <f t="shared" si="162"/>
        <v>1.5712999999999999</v>
      </c>
      <c r="BU61" s="421">
        <f t="shared" si="162"/>
        <v>0</v>
      </c>
      <c r="BV61" s="420"/>
      <c r="BW61" s="415"/>
      <c r="BX61" s="415"/>
      <c r="BY61" s="415"/>
      <c r="BZ61" s="415"/>
      <c r="CA61" s="510"/>
    </row>
    <row r="62" spans="1:79" s="96" customFormat="1" ht="14.1" customHeight="1" x14ac:dyDescent="0.2">
      <c r="A62" s="118">
        <v>8</v>
      </c>
      <c r="B62" s="77">
        <v>2455</v>
      </c>
      <c r="C62" s="93">
        <v>600080145</v>
      </c>
      <c r="D62" s="77">
        <v>72741601</v>
      </c>
      <c r="E62" s="77" t="s">
        <v>718</v>
      </c>
      <c r="F62" s="94">
        <v>3143</v>
      </c>
      <c r="G62" s="77" t="s">
        <v>596</v>
      </c>
      <c r="H62" s="95" t="s">
        <v>272</v>
      </c>
      <c r="I62" s="600">
        <v>15896</v>
      </c>
      <c r="J62" s="599">
        <v>11378</v>
      </c>
      <c r="K62" s="599">
        <v>0</v>
      </c>
      <c r="L62" s="605">
        <v>11378</v>
      </c>
      <c r="M62" s="599">
        <v>0</v>
      </c>
      <c r="N62" s="606">
        <v>0</v>
      </c>
      <c r="O62" s="606">
        <v>0</v>
      </c>
      <c r="P62" s="599">
        <v>3846</v>
      </c>
      <c r="Q62" s="599">
        <v>114</v>
      </c>
      <c r="R62" s="606">
        <v>558</v>
      </c>
      <c r="S62" s="417">
        <v>4.3099999999999999E-2</v>
      </c>
      <c r="T62" s="609">
        <v>0</v>
      </c>
      <c r="U62" s="737">
        <v>4.3099999999999999E-2</v>
      </c>
      <c r="V62" s="424">
        <f t="shared" si="138"/>
        <v>0</v>
      </c>
      <c r="W62" s="418">
        <f t="shared" si="138"/>
        <v>0</v>
      </c>
      <c r="X62" s="418">
        <v>0</v>
      </c>
      <c r="Y62" s="418">
        <v>0</v>
      </c>
      <c r="Z62" s="418">
        <v>0</v>
      </c>
      <c r="AA62" s="418">
        <v>5672</v>
      </c>
      <c r="AB62" s="418">
        <v>0</v>
      </c>
      <c r="AC62" s="418">
        <v>0</v>
      </c>
      <c r="AD62" s="418">
        <f t="shared" si="139"/>
        <v>0</v>
      </c>
      <c r="AE62" s="418">
        <f t="shared" si="140"/>
        <v>5672</v>
      </c>
      <c r="AF62" s="418">
        <f t="shared" si="141"/>
        <v>5672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142"/>
        <v>0</v>
      </c>
      <c r="AM62" s="418">
        <f t="shared" si="143"/>
        <v>0</v>
      </c>
      <c r="AN62" s="418">
        <f t="shared" si="144"/>
        <v>0</v>
      </c>
      <c r="AO62" s="418">
        <f t="shared" si="145"/>
        <v>0</v>
      </c>
      <c r="AP62" s="418">
        <f t="shared" si="145"/>
        <v>5672</v>
      </c>
      <c r="AQ62" s="418">
        <f t="shared" si="146"/>
        <v>5672</v>
      </c>
      <c r="AR62" s="68">
        <f t="shared" si="147"/>
        <v>1917</v>
      </c>
      <c r="AS62" s="68">
        <f t="shared" si="148"/>
        <v>57</v>
      </c>
      <c r="AT62" s="418">
        <v>0</v>
      </c>
      <c r="AU62" s="418">
        <v>279</v>
      </c>
      <c r="AV62" s="418">
        <f t="shared" si="149"/>
        <v>279</v>
      </c>
      <c r="AW62" s="418">
        <f t="shared" si="150"/>
        <v>7925</v>
      </c>
      <c r="AX62" s="419">
        <v>0</v>
      </c>
      <c r="AY62" s="419">
        <v>0</v>
      </c>
      <c r="AZ62" s="419">
        <v>0</v>
      </c>
      <c r="BA62" s="419">
        <v>0</v>
      </c>
      <c r="BB62" s="419">
        <v>0.02</v>
      </c>
      <c r="BC62" s="419">
        <v>0</v>
      </c>
      <c r="BD62" s="419">
        <v>0</v>
      </c>
      <c r="BE62" s="419">
        <v>0</v>
      </c>
      <c r="BF62" s="419">
        <f t="shared" si="151"/>
        <v>0</v>
      </c>
      <c r="BG62" s="419">
        <f t="shared" si="152"/>
        <v>0.02</v>
      </c>
      <c r="BH62" s="421">
        <f t="shared" si="153"/>
        <v>0.02</v>
      </c>
      <c r="BI62" s="780">
        <f t="shared" si="154"/>
        <v>23821</v>
      </c>
      <c r="BJ62" s="418">
        <f t="shared" si="155"/>
        <v>17050</v>
      </c>
      <c r="BK62" s="418">
        <f t="shared" si="156"/>
        <v>0</v>
      </c>
      <c r="BL62" s="418">
        <f t="shared" si="156"/>
        <v>17050</v>
      </c>
      <c r="BM62" s="418">
        <f t="shared" si="157"/>
        <v>0</v>
      </c>
      <c r="BN62" s="418">
        <f t="shared" si="158"/>
        <v>0</v>
      </c>
      <c r="BO62" s="418">
        <f t="shared" si="158"/>
        <v>0</v>
      </c>
      <c r="BP62" s="418">
        <f t="shared" si="159"/>
        <v>5763</v>
      </c>
      <c r="BQ62" s="418">
        <f t="shared" si="159"/>
        <v>171</v>
      </c>
      <c r="BR62" s="418">
        <f t="shared" si="160"/>
        <v>837</v>
      </c>
      <c r="BS62" s="419">
        <f t="shared" si="161"/>
        <v>6.3100000000000003E-2</v>
      </c>
      <c r="BT62" s="419">
        <f t="shared" si="162"/>
        <v>0</v>
      </c>
      <c r="BU62" s="421">
        <f t="shared" si="162"/>
        <v>6.3100000000000003E-2</v>
      </c>
      <c r="BV62" s="420"/>
      <c r="BW62" s="415"/>
      <c r="BX62" s="415"/>
      <c r="BY62" s="415"/>
      <c r="BZ62" s="415"/>
      <c r="CA62" s="510"/>
    </row>
    <row r="63" spans="1:79" s="96" customFormat="1" ht="14.1" customHeight="1" x14ac:dyDescent="0.2">
      <c r="A63" s="119">
        <v>8</v>
      </c>
      <c r="B63" s="97">
        <v>2455</v>
      </c>
      <c r="C63" s="98">
        <v>600080145</v>
      </c>
      <c r="D63" s="97">
        <v>72741601</v>
      </c>
      <c r="E63" s="97" t="s">
        <v>719</v>
      </c>
      <c r="F63" s="106"/>
      <c r="G63" s="100"/>
      <c r="H63" s="101"/>
      <c r="I63" s="438">
        <v>6668630</v>
      </c>
      <c r="J63" s="434">
        <v>4890281</v>
      </c>
      <c r="K63" s="434">
        <v>4165804</v>
      </c>
      <c r="L63" s="434">
        <v>724477</v>
      </c>
      <c r="M63" s="434">
        <v>20000</v>
      </c>
      <c r="N63" s="434">
        <v>0</v>
      </c>
      <c r="O63" s="434">
        <v>20000</v>
      </c>
      <c r="P63" s="434">
        <v>1659675</v>
      </c>
      <c r="Q63" s="434">
        <v>48904</v>
      </c>
      <c r="R63" s="434">
        <v>49770</v>
      </c>
      <c r="S63" s="435">
        <v>9.6756000000000011</v>
      </c>
      <c r="T63" s="435">
        <v>7.4848999999999997</v>
      </c>
      <c r="U63" s="700">
        <v>2.1906999999999996</v>
      </c>
      <c r="V63" s="438">
        <f t="shared" ref="V63:CA63" si="163">SUM(V57:V62)</f>
        <v>0</v>
      </c>
      <c r="W63" s="434">
        <f t="shared" si="163"/>
        <v>0</v>
      </c>
      <c r="X63" s="434">
        <f t="shared" si="163"/>
        <v>0</v>
      </c>
      <c r="Y63" s="434">
        <f t="shared" si="163"/>
        <v>0</v>
      </c>
      <c r="Z63" s="434">
        <f t="shared" si="163"/>
        <v>0</v>
      </c>
      <c r="AA63" s="434">
        <f t="shared" si="163"/>
        <v>198669</v>
      </c>
      <c r="AB63" s="434">
        <f t="shared" si="163"/>
        <v>0</v>
      </c>
      <c r="AC63" s="434">
        <f t="shared" si="163"/>
        <v>0</v>
      </c>
      <c r="AD63" s="434">
        <f t="shared" si="163"/>
        <v>0</v>
      </c>
      <c r="AE63" s="434">
        <f t="shared" si="163"/>
        <v>198669</v>
      </c>
      <c r="AF63" s="434">
        <f t="shared" si="163"/>
        <v>198669</v>
      </c>
      <c r="AG63" s="434">
        <f t="shared" si="163"/>
        <v>0</v>
      </c>
      <c r="AH63" s="434">
        <f t="shared" si="163"/>
        <v>0</v>
      </c>
      <c r="AI63" s="434">
        <f t="shared" si="163"/>
        <v>0</v>
      </c>
      <c r="AJ63" s="434">
        <f t="shared" si="163"/>
        <v>0</v>
      </c>
      <c r="AK63" s="434">
        <f t="shared" si="163"/>
        <v>0</v>
      </c>
      <c r="AL63" s="434">
        <f t="shared" si="163"/>
        <v>0</v>
      </c>
      <c r="AM63" s="434">
        <f t="shared" si="163"/>
        <v>0</v>
      </c>
      <c r="AN63" s="434">
        <f t="shared" si="163"/>
        <v>0</v>
      </c>
      <c r="AO63" s="434">
        <f t="shared" si="163"/>
        <v>0</v>
      </c>
      <c r="AP63" s="434">
        <f t="shared" si="163"/>
        <v>198669</v>
      </c>
      <c r="AQ63" s="434">
        <f t="shared" si="163"/>
        <v>198669</v>
      </c>
      <c r="AR63" s="434">
        <f t="shared" si="163"/>
        <v>67150</v>
      </c>
      <c r="AS63" s="434">
        <f t="shared" si="163"/>
        <v>1987</v>
      </c>
      <c r="AT63" s="434">
        <f t="shared" si="163"/>
        <v>0</v>
      </c>
      <c r="AU63" s="434">
        <f t="shared" si="163"/>
        <v>1231</v>
      </c>
      <c r="AV63" s="434">
        <f t="shared" si="163"/>
        <v>1231</v>
      </c>
      <c r="AW63" s="434">
        <f t="shared" si="163"/>
        <v>269037</v>
      </c>
      <c r="AX63" s="435">
        <f t="shared" si="163"/>
        <v>0</v>
      </c>
      <c r="AY63" s="435">
        <f t="shared" si="163"/>
        <v>0</v>
      </c>
      <c r="AZ63" s="435">
        <f t="shared" si="163"/>
        <v>0</v>
      </c>
      <c r="BA63" s="435">
        <f t="shared" si="163"/>
        <v>0</v>
      </c>
      <c r="BB63" s="435">
        <f t="shared" si="163"/>
        <v>0.6</v>
      </c>
      <c r="BC63" s="435">
        <f t="shared" si="163"/>
        <v>0</v>
      </c>
      <c r="BD63" s="435">
        <f t="shared" si="163"/>
        <v>0</v>
      </c>
      <c r="BE63" s="435">
        <f t="shared" si="163"/>
        <v>0</v>
      </c>
      <c r="BF63" s="435">
        <f t="shared" si="163"/>
        <v>0</v>
      </c>
      <c r="BG63" s="435">
        <f t="shared" si="163"/>
        <v>0.6</v>
      </c>
      <c r="BH63" s="103">
        <f t="shared" si="163"/>
        <v>0.6</v>
      </c>
      <c r="BI63" s="803">
        <f t="shared" si="163"/>
        <v>6937667</v>
      </c>
      <c r="BJ63" s="434">
        <f t="shared" si="163"/>
        <v>5088950</v>
      </c>
      <c r="BK63" s="434">
        <f t="shared" si="163"/>
        <v>4165804</v>
      </c>
      <c r="BL63" s="434">
        <f t="shared" si="163"/>
        <v>923146</v>
      </c>
      <c r="BM63" s="434">
        <f t="shared" si="163"/>
        <v>20000</v>
      </c>
      <c r="BN63" s="434">
        <f t="shared" si="163"/>
        <v>0</v>
      </c>
      <c r="BO63" s="434">
        <f t="shared" si="163"/>
        <v>20000</v>
      </c>
      <c r="BP63" s="434">
        <f t="shared" si="163"/>
        <v>1726825</v>
      </c>
      <c r="BQ63" s="434">
        <f t="shared" si="163"/>
        <v>50891</v>
      </c>
      <c r="BR63" s="434">
        <f t="shared" si="163"/>
        <v>51001</v>
      </c>
      <c r="BS63" s="435">
        <f t="shared" si="163"/>
        <v>10.275599999999999</v>
      </c>
      <c r="BT63" s="435">
        <f t="shared" si="163"/>
        <v>7.4848999999999997</v>
      </c>
      <c r="BU63" s="103">
        <f t="shared" si="163"/>
        <v>2.7906999999999997</v>
      </c>
      <c r="BV63" s="817">
        <f t="shared" si="163"/>
        <v>0</v>
      </c>
      <c r="BW63" s="703">
        <f t="shared" si="163"/>
        <v>0</v>
      </c>
      <c r="BX63" s="703">
        <f t="shared" si="163"/>
        <v>0</v>
      </c>
      <c r="BY63" s="703">
        <f t="shared" si="163"/>
        <v>0</v>
      </c>
      <c r="BZ63" s="703">
        <f t="shared" si="163"/>
        <v>0</v>
      </c>
      <c r="CA63" s="818">
        <f t="shared" si="163"/>
        <v>0</v>
      </c>
    </row>
    <row r="64" spans="1:79" s="96" customFormat="1" ht="14.1" customHeight="1" x14ac:dyDescent="0.2">
      <c r="A64" s="118">
        <v>9</v>
      </c>
      <c r="B64" s="102">
        <v>2456</v>
      </c>
      <c r="C64" s="93">
        <v>600079732</v>
      </c>
      <c r="D64" s="77">
        <v>70695911</v>
      </c>
      <c r="E64" s="77" t="s">
        <v>720</v>
      </c>
      <c r="F64" s="94">
        <v>3111</v>
      </c>
      <c r="G64" s="77" t="s">
        <v>290</v>
      </c>
      <c r="H64" s="95" t="s">
        <v>271</v>
      </c>
      <c r="I64" s="600">
        <v>9442472</v>
      </c>
      <c r="J64" s="599">
        <v>6964152</v>
      </c>
      <c r="K64" s="599">
        <v>6614728</v>
      </c>
      <c r="L64" s="599">
        <v>349424</v>
      </c>
      <c r="M64" s="599">
        <v>20000</v>
      </c>
      <c r="N64" s="599">
        <v>10000</v>
      </c>
      <c r="O64" s="599">
        <v>10000</v>
      </c>
      <c r="P64" s="599">
        <v>2360643</v>
      </c>
      <c r="Q64" s="599">
        <v>69642</v>
      </c>
      <c r="R64" s="599">
        <v>28035</v>
      </c>
      <c r="S64" s="417">
        <v>13.44</v>
      </c>
      <c r="T64" s="417">
        <v>12</v>
      </c>
      <c r="U64" s="754">
        <v>1.44</v>
      </c>
      <c r="V64" s="424">
        <f t="shared" ref="V64:W69" si="164">AG64*-1</f>
        <v>0</v>
      </c>
      <c r="W64" s="418">
        <f t="shared" si="164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 t="shared" ref="AD64:AD69" si="165">V64+X64+Y64+Z64+AB64</f>
        <v>0</v>
      </c>
      <c r="AE64" s="418">
        <f t="shared" ref="AE64:AE69" si="166">W64+AA64+AC64</f>
        <v>0</v>
      </c>
      <c r="AF64" s="418">
        <f t="shared" ref="AF64:AF69" si="167"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ref="AL64:AL69" si="168">AG64+AI64+AJ64</f>
        <v>0</v>
      </c>
      <c r="AM64" s="418">
        <f t="shared" ref="AM64:AM69" si="169">AH64+AK64</f>
        <v>0</v>
      </c>
      <c r="AN64" s="418">
        <f t="shared" ref="AN64:AN69" si="170">SUM(AL64:AM64)</f>
        <v>0</v>
      </c>
      <c r="AO64" s="418">
        <f t="shared" ref="AO64:AP69" si="171">AD64+AL64</f>
        <v>0</v>
      </c>
      <c r="AP64" s="418">
        <f t="shared" si="171"/>
        <v>0</v>
      </c>
      <c r="AQ64" s="418">
        <f t="shared" ref="AQ64:AQ69" si="172">SUM(AO64:AP64)</f>
        <v>0</v>
      </c>
      <c r="AR64" s="68">
        <f t="shared" ref="AR64:AR69" si="173">ROUND((AF64+AG64+AH64+AI64)*33.8%,0)</f>
        <v>0</v>
      </c>
      <c r="AS64" s="68">
        <f t="shared" ref="AS64:AS69" si="174">ROUND(AF64*1%,0)</f>
        <v>0</v>
      </c>
      <c r="AT64" s="418">
        <v>0</v>
      </c>
      <c r="AU64" s="418">
        <v>0</v>
      </c>
      <c r="AV64" s="418">
        <f t="shared" ref="AV64:AV69" si="175">AT64+AU64</f>
        <v>0</v>
      </c>
      <c r="AW64" s="418">
        <f t="shared" ref="AW64:AW69" si="176"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9">
        <v>0</v>
      </c>
      <c r="BC64" s="419">
        <v>0</v>
      </c>
      <c r="BD64" s="419">
        <v>0</v>
      </c>
      <c r="BE64" s="419">
        <v>0</v>
      </c>
      <c r="BF64" s="419">
        <f t="shared" ref="BF64:BF69" si="177">AX64+AZ64+BA64+BC64+BD64</f>
        <v>0</v>
      </c>
      <c r="BG64" s="419">
        <f t="shared" ref="BG64:BG69" si="178">AY64+BB64+BE64</f>
        <v>0</v>
      </c>
      <c r="BH64" s="421">
        <f t="shared" ref="BH64:BH69" si="179">SUM(BF64:BG64)</f>
        <v>0</v>
      </c>
      <c r="BI64" s="780">
        <f t="shared" ref="BI64:BI69" si="180">I64+AW64</f>
        <v>9442472</v>
      </c>
      <c r="BJ64" s="418">
        <f t="shared" ref="BJ64:BJ69" si="181">J64+AF64</f>
        <v>6964152</v>
      </c>
      <c r="BK64" s="418">
        <f t="shared" ref="BK64:BL69" si="182">K64+AD64</f>
        <v>6614728</v>
      </c>
      <c r="BL64" s="418">
        <f t="shared" si="182"/>
        <v>349424</v>
      </c>
      <c r="BM64" s="418">
        <f t="shared" ref="BM64:BM69" si="183">M64+AN64</f>
        <v>20000</v>
      </c>
      <c r="BN64" s="418">
        <f t="shared" ref="BN64:BO69" si="184">N64+AL64</f>
        <v>10000</v>
      </c>
      <c r="BO64" s="418">
        <f t="shared" si="184"/>
        <v>10000</v>
      </c>
      <c r="BP64" s="418">
        <f t="shared" ref="BP64:BQ69" si="185">P64+AR64</f>
        <v>2360643</v>
      </c>
      <c r="BQ64" s="418">
        <f t="shared" si="185"/>
        <v>69642</v>
      </c>
      <c r="BR64" s="418">
        <f t="shared" ref="BR64:BR69" si="186">R64+AV64</f>
        <v>28035</v>
      </c>
      <c r="BS64" s="419">
        <f t="shared" ref="BS64:BS69" si="187">S64+BH64</f>
        <v>13.44</v>
      </c>
      <c r="BT64" s="419">
        <f t="shared" ref="BT64:BU69" si="188">T64+BF64</f>
        <v>12</v>
      </c>
      <c r="BU64" s="421">
        <f t="shared" si="188"/>
        <v>1.44</v>
      </c>
      <c r="BV64" s="420"/>
      <c r="BW64" s="415"/>
      <c r="BX64" s="415"/>
      <c r="BY64" s="415"/>
      <c r="BZ64" s="415"/>
      <c r="CA64" s="510"/>
    </row>
    <row r="65" spans="1:79" s="96" customFormat="1" ht="14.1" customHeight="1" x14ac:dyDescent="0.2">
      <c r="A65" s="118">
        <v>9</v>
      </c>
      <c r="B65" s="77">
        <v>2456</v>
      </c>
      <c r="C65" s="93">
        <v>600079732</v>
      </c>
      <c r="D65" s="77">
        <v>70695911</v>
      </c>
      <c r="E65" s="77" t="s">
        <v>720</v>
      </c>
      <c r="F65" s="94">
        <v>3113</v>
      </c>
      <c r="G65" s="77" t="s">
        <v>293</v>
      </c>
      <c r="H65" s="95" t="s">
        <v>271</v>
      </c>
      <c r="I65" s="600">
        <v>26428838</v>
      </c>
      <c r="J65" s="599">
        <v>19241336</v>
      </c>
      <c r="K65" s="599">
        <v>17644810</v>
      </c>
      <c r="L65" s="599">
        <v>1596526</v>
      </c>
      <c r="M65" s="599">
        <v>100000</v>
      </c>
      <c r="N65" s="599">
        <v>60000</v>
      </c>
      <c r="O65" s="599">
        <v>40000</v>
      </c>
      <c r="P65" s="599">
        <v>6537373</v>
      </c>
      <c r="Q65" s="599">
        <v>192413</v>
      </c>
      <c r="R65" s="599">
        <v>357716</v>
      </c>
      <c r="S65" s="417">
        <v>29.459400000000002</v>
      </c>
      <c r="T65" s="417">
        <v>24.62</v>
      </c>
      <c r="U65" s="754">
        <v>4.8394000000000004</v>
      </c>
      <c r="V65" s="424">
        <f t="shared" si="164"/>
        <v>0</v>
      </c>
      <c r="W65" s="418">
        <f t="shared" si="164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65"/>
        <v>0</v>
      </c>
      <c r="AE65" s="418">
        <f t="shared" si="166"/>
        <v>0</v>
      </c>
      <c r="AF65" s="418">
        <f t="shared" si="167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168"/>
        <v>0</v>
      </c>
      <c r="AM65" s="418">
        <f t="shared" si="169"/>
        <v>0</v>
      </c>
      <c r="AN65" s="418">
        <f t="shared" si="170"/>
        <v>0</v>
      </c>
      <c r="AO65" s="418">
        <f t="shared" si="171"/>
        <v>0</v>
      </c>
      <c r="AP65" s="418">
        <f t="shared" si="171"/>
        <v>0</v>
      </c>
      <c r="AQ65" s="418">
        <f t="shared" si="172"/>
        <v>0</v>
      </c>
      <c r="AR65" s="68">
        <f t="shared" si="173"/>
        <v>0</v>
      </c>
      <c r="AS65" s="68">
        <f t="shared" si="174"/>
        <v>0</v>
      </c>
      <c r="AT65" s="418">
        <v>0</v>
      </c>
      <c r="AU65" s="418">
        <v>0</v>
      </c>
      <c r="AV65" s="418">
        <f t="shared" si="175"/>
        <v>0</v>
      </c>
      <c r="AW65" s="418">
        <f t="shared" si="176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77"/>
        <v>0</v>
      </c>
      <c r="BG65" s="419">
        <f t="shared" si="178"/>
        <v>0</v>
      </c>
      <c r="BH65" s="421">
        <f t="shared" si="179"/>
        <v>0</v>
      </c>
      <c r="BI65" s="780">
        <f t="shared" si="180"/>
        <v>26428838</v>
      </c>
      <c r="BJ65" s="418">
        <f t="shared" si="181"/>
        <v>19241336</v>
      </c>
      <c r="BK65" s="418">
        <f t="shared" si="182"/>
        <v>17644810</v>
      </c>
      <c r="BL65" s="418">
        <f t="shared" si="182"/>
        <v>1596526</v>
      </c>
      <c r="BM65" s="418">
        <f t="shared" si="183"/>
        <v>100000</v>
      </c>
      <c r="BN65" s="418">
        <f t="shared" si="184"/>
        <v>60000</v>
      </c>
      <c r="BO65" s="418">
        <f t="shared" si="184"/>
        <v>40000</v>
      </c>
      <c r="BP65" s="418">
        <f t="shared" si="185"/>
        <v>6537373</v>
      </c>
      <c r="BQ65" s="418">
        <f t="shared" si="185"/>
        <v>192413</v>
      </c>
      <c r="BR65" s="418">
        <f t="shared" si="186"/>
        <v>357716</v>
      </c>
      <c r="BS65" s="419">
        <f t="shared" si="187"/>
        <v>29.459400000000002</v>
      </c>
      <c r="BT65" s="419">
        <f t="shared" si="188"/>
        <v>24.62</v>
      </c>
      <c r="BU65" s="421">
        <f t="shared" si="188"/>
        <v>4.8394000000000004</v>
      </c>
      <c r="BV65" s="420">
        <v>608218</v>
      </c>
      <c r="BW65" s="415">
        <v>451200</v>
      </c>
      <c r="BX65" s="415">
        <v>0</v>
      </c>
      <c r="BY65" s="415">
        <v>152506</v>
      </c>
      <c r="BZ65" s="415">
        <v>4512</v>
      </c>
      <c r="CA65" s="510">
        <v>0.8</v>
      </c>
    </row>
    <row r="66" spans="1:79" s="96" customFormat="1" ht="14.1" customHeight="1" x14ac:dyDescent="0.2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720</v>
      </c>
      <c r="F66" s="94">
        <v>3113</v>
      </c>
      <c r="G66" s="77" t="s">
        <v>291</v>
      </c>
      <c r="H66" s="95" t="s">
        <v>272</v>
      </c>
      <c r="I66" s="600">
        <v>4627413</v>
      </c>
      <c r="J66" s="599">
        <v>3432799</v>
      </c>
      <c r="K66" s="599">
        <v>3432799</v>
      </c>
      <c r="L66" s="599">
        <v>0</v>
      </c>
      <c r="M66" s="599">
        <v>0</v>
      </c>
      <c r="N66" s="599">
        <v>0</v>
      </c>
      <c r="O66" s="599">
        <v>0</v>
      </c>
      <c r="P66" s="599">
        <v>1160286</v>
      </c>
      <c r="Q66" s="599">
        <v>34328</v>
      </c>
      <c r="R66" s="599">
        <v>0</v>
      </c>
      <c r="S66" s="417">
        <v>9.52</v>
      </c>
      <c r="T66" s="417">
        <v>9.52</v>
      </c>
      <c r="U66" s="754">
        <v>0</v>
      </c>
      <c r="V66" s="424">
        <f t="shared" si="164"/>
        <v>0</v>
      </c>
      <c r="W66" s="418">
        <f t="shared" si="164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si="165"/>
        <v>0</v>
      </c>
      <c r="AE66" s="418">
        <f t="shared" si="166"/>
        <v>0</v>
      </c>
      <c r="AF66" s="418">
        <f t="shared" si="167"/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168"/>
        <v>0</v>
      </c>
      <c r="AM66" s="418">
        <f t="shared" si="169"/>
        <v>0</v>
      </c>
      <c r="AN66" s="418">
        <f t="shared" si="170"/>
        <v>0</v>
      </c>
      <c r="AO66" s="418">
        <f t="shared" si="171"/>
        <v>0</v>
      </c>
      <c r="AP66" s="418">
        <f t="shared" si="171"/>
        <v>0</v>
      </c>
      <c r="AQ66" s="418">
        <f t="shared" si="172"/>
        <v>0</v>
      </c>
      <c r="AR66" s="68">
        <f t="shared" si="173"/>
        <v>0</v>
      </c>
      <c r="AS66" s="68">
        <f t="shared" si="174"/>
        <v>0</v>
      </c>
      <c r="AT66" s="418">
        <v>0</v>
      </c>
      <c r="AU66" s="418">
        <v>0</v>
      </c>
      <c r="AV66" s="418">
        <f t="shared" si="175"/>
        <v>0</v>
      </c>
      <c r="AW66" s="418">
        <f t="shared" si="176"/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si="177"/>
        <v>0</v>
      </c>
      <c r="BG66" s="419">
        <f t="shared" si="178"/>
        <v>0</v>
      </c>
      <c r="BH66" s="421">
        <f t="shared" si="179"/>
        <v>0</v>
      </c>
      <c r="BI66" s="780">
        <f t="shared" si="180"/>
        <v>4627413</v>
      </c>
      <c r="BJ66" s="418">
        <f t="shared" si="181"/>
        <v>3432799</v>
      </c>
      <c r="BK66" s="418">
        <f t="shared" si="182"/>
        <v>3432799</v>
      </c>
      <c r="BL66" s="418">
        <f t="shared" si="182"/>
        <v>0</v>
      </c>
      <c r="BM66" s="418">
        <f t="shared" si="183"/>
        <v>0</v>
      </c>
      <c r="BN66" s="418">
        <f t="shared" si="184"/>
        <v>0</v>
      </c>
      <c r="BO66" s="418">
        <f t="shared" si="184"/>
        <v>0</v>
      </c>
      <c r="BP66" s="418">
        <f t="shared" si="185"/>
        <v>1160286</v>
      </c>
      <c r="BQ66" s="418">
        <f t="shared" si="185"/>
        <v>34328</v>
      </c>
      <c r="BR66" s="418">
        <f t="shared" si="186"/>
        <v>0</v>
      </c>
      <c r="BS66" s="419">
        <f t="shared" si="187"/>
        <v>9.52</v>
      </c>
      <c r="BT66" s="419">
        <f t="shared" si="188"/>
        <v>9.52</v>
      </c>
      <c r="BU66" s="421">
        <f t="shared" si="188"/>
        <v>0</v>
      </c>
      <c r="BV66" s="420"/>
      <c r="BW66" s="415"/>
      <c r="BX66" s="415"/>
      <c r="BY66" s="415"/>
      <c r="BZ66" s="415"/>
      <c r="CA66" s="510"/>
    </row>
    <row r="67" spans="1:79" s="96" customFormat="1" ht="14.1" customHeight="1" x14ac:dyDescent="0.2">
      <c r="A67" s="118">
        <v>9</v>
      </c>
      <c r="B67" s="77">
        <v>2456</v>
      </c>
      <c r="C67" s="93">
        <v>600079732</v>
      </c>
      <c r="D67" s="77">
        <v>70695911</v>
      </c>
      <c r="E67" s="77" t="s">
        <v>720</v>
      </c>
      <c r="F67" s="94">
        <v>3141</v>
      </c>
      <c r="G67" s="77" t="s">
        <v>294</v>
      </c>
      <c r="H67" s="95" t="s">
        <v>272</v>
      </c>
      <c r="I67" s="600">
        <v>2418492</v>
      </c>
      <c r="J67" s="599">
        <v>1773017</v>
      </c>
      <c r="K67" s="599">
        <v>0</v>
      </c>
      <c r="L67" s="605">
        <v>1773017</v>
      </c>
      <c r="M67" s="599">
        <v>10000</v>
      </c>
      <c r="N67" s="599">
        <v>0</v>
      </c>
      <c r="O67" s="599">
        <v>10000</v>
      </c>
      <c r="P67" s="599">
        <v>602660</v>
      </c>
      <c r="Q67" s="599">
        <v>17730</v>
      </c>
      <c r="R67" s="599">
        <v>15085</v>
      </c>
      <c r="S67" s="417">
        <v>5.3467000000000002</v>
      </c>
      <c r="T67" s="417">
        <v>0</v>
      </c>
      <c r="U67" s="754">
        <v>5.3467000000000002</v>
      </c>
      <c r="V67" s="424">
        <f t="shared" si="164"/>
        <v>0</v>
      </c>
      <c r="W67" s="418">
        <f t="shared" si="164"/>
        <v>0</v>
      </c>
      <c r="X67" s="418">
        <v>0</v>
      </c>
      <c r="Y67" s="418">
        <v>0</v>
      </c>
      <c r="Z67" s="418">
        <v>0</v>
      </c>
      <c r="AA67" s="418">
        <v>892977</v>
      </c>
      <c r="AB67" s="418">
        <v>0</v>
      </c>
      <c r="AC67" s="418">
        <v>0</v>
      </c>
      <c r="AD67" s="418">
        <f t="shared" si="165"/>
        <v>0</v>
      </c>
      <c r="AE67" s="418">
        <f t="shared" si="166"/>
        <v>892977</v>
      </c>
      <c r="AF67" s="418">
        <f t="shared" si="167"/>
        <v>892977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168"/>
        <v>0</v>
      </c>
      <c r="AM67" s="418">
        <f t="shared" si="169"/>
        <v>0</v>
      </c>
      <c r="AN67" s="418">
        <f t="shared" si="170"/>
        <v>0</v>
      </c>
      <c r="AO67" s="418">
        <f t="shared" si="171"/>
        <v>0</v>
      </c>
      <c r="AP67" s="418">
        <f t="shared" si="171"/>
        <v>892977</v>
      </c>
      <c r="AQ67" s="418">
        <f t="shared" si="172"/>
        <v>892977</v>
      </c>
      <c r="AR67" s="68">
        <f t="shared" si="173"/>
        <v>301826</v>
      </c>
      <c r="AS67" s="68">
        <f t="shared" si="174"/>
        <v>8930</v>
      </c>
      <c r="AT67" s="418">
        <v>0</v>
      </c>
      <c r="AU67" s="418">
        <v>7327</v>
      </c>
      <c r="AV67" s="418">
        <f t="shared" si="175"/>
        <v>7327</v>
      </c>
      <c r="AW67" s="418">
        <f t="shared" si="176"/>
        <v>1211060</v>
      </c>
      <c r="AX67" s="419">
        <v>0</v>
      </c>
      <c r="AY67" s="419">
        <v>0</v>
      </c>
      <c r="AZ67" s="419">
        <v>0</v>
      </c>
      <c r="BA67" s="419">
        <v>0</v>
      </c>
      <c r="BB67" s="419">
        <v>2.67</v>
      </c>
      <c r="BC67" s="419">
        <v>0</v>
      </c>
      <c r="BD67" s="419">
        <v>0</v>
      </c>
      <c r="BE67" s="419">
        <v>0</v>
      </c>
      <c r="BF67" s="419">
        <f t="shared" si="177"/>
        <v>0</v>
      </c>
      <c r="BG67" s="419">
        <f t="shared" si="178"/>
        <v>2.67</v>
      </c>
      <c r="BH67" s="421">
        <f t="shared" si="179"/>
        <v>2.67</v>
      </c>
      <c r="BI67" s="780">
        <f t="shared" si="180"/>
        <v>3629552</v>
      </c>
      <c r="BJ67" s="418">
        <f t="shared" si="181"/>
        <v>2665994</v>
      </c>
      <c r="BK67" s="418">
        <f t="shared" si="182"/>
        <v>0</v>
      </c>
      <c r="BL67" s="418">
        <f t="shared" si="182"/>
        <v>2665994</v>
      </c>
      <c r="BM67" s="418">
        <f t="shared" si="183"/>
        <v>10000</v>
      </c>
      <c r="BN67" s="418">
        <f t="shared" si="184"/>
        <v>0</v>
      </c>
      <c r="BO67" s="418">
        <f t="shared" si="184"/>
        <v>10000</v>
      </c>
      <c r="BP67" s="418">
        <f t="shared" si="185"/>
        <v>904486</v>
      </c>
      <c r="BQ67" s="418">
        <f t="shared" si="185"/>
        <v>26660</v>
      </c>
      <c r="BR67" s="418">
        <f t="shared" si="186"/>
        <v>22412</v>
      </c>
      <c r="BS67" s="419">
        <f t="shared" si="187"/>
        <v>8.0167000000000002</v>
      </c>
      <c r="BT67" s="419">
        <f t="shared" si="188"/>
        <v>0</v>
      </c>
      <c r="BU67" s="421">
        <f t="shared" si="188"/>
        <v>8.0167000000000002</v>
      </c>
      <c r="BV67" s="420"/>
      <c r="BW67" s="415"/>
      <c r="BX67" s="415"/>
      <c r="BY67" s="415"/>
      <c r="BZ67" s="415"/>
      <c r="CA67" s="510"/>
    </row>
    <row r="68" spans="1:79" s="96" customFormat="1" ht="14.1" customHeight="1" x14ac:dyDescent="0.2">
      <c r="A68" s="118">
        <v>9</v>
      </c>
      <c r="B68" s="77">
        <v>2456</v>
      </c>
      <c r="C68" s="93">
        <v>600079732</v>
      </c>
      <c r="D68" s="77">
        <v>70695911</v>
      </c>
      <c r="E68" s="77" t="s">
        <v>720</v>
      </c>
      <c r="F68" s="94">
        <v>3143</v>
      </c>
      <c r="G68" s="77" t="s">
        <v>595</v>
      </c>
      <c r="H68" s="95" t="s">
        <v>271</v>
      </c>
      <c r="I68" s="600">
        <v>2392888</v>
      </c>
      <c r="J68" s="599">
        <v>1745362</v>
      </c>
      <c r="K68" s="599">
        <v>1745362</v>
      </c>
      <c r="L68" s="599">
        <v>0</v>
      </c>
      <c r="M68" s="599">
        <v>30000</v>
      </c>
      <c r="N68" s="599">
        <v>30000</v>
      </c>
      <c r="O68" s="599">
        <v>0</v>
      </c>
      <c r="P68" s="599">
        <v>600072</v>
      </c>
      <c r="Q68" s="599">
        <v>17454</v>
      </c>
      <c r="R68" s="599">
        <v>0</v>
      </c>
      <c r="S68" s="417">
        <v>3.4100999999999999</v>
      </c>
      <c r="T68" s="417">
        <v>3.4100999999999999</v>
      </c>
      <c r="U68" s="754">
        <v>0</v>
      </c>
      <c r="V68" s="424">
        <f t="shared" si="164"/>
        <v>0</v>
      </c>
      <c r="W68" s="418">
        <f t="shared" si="164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65"/>
        <v>0</v>
      </c>
      <c r="AE68" s="418">
        <f t="shared" si="166"/>
        <v>0</v>
      </c>
      <c r="AF68" s="418">
        <f t="shared" si="167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68"/>
        <v>0</v>
      </c>
      <c r="AM68" s="418">
        <f t="shared" si="169"/>
        <v>0</v>
      </c>
      <c r="AN68" s="418">
        <f t="shared" si="170"/>
        <v>0</v>
      </c>
      <c r="AO68" s="418">
        <f t="shared" si="171"/>
        <v>0</v>
      </c>
      <c r="AP68" s="418">
        <f t="shared" si="171"/>
        <v>0</v>
      </c>
      <c r="AQ68" s="418">
        <f t="shared" si="172"/>
        <v>0</v>
      </c>
      <c r="AR68" s="68">
        <f t="shared" si="173"/>
        <v>0</v>
      </c>
      <c r="AS68" s="68">
        <f t="shared" si="174"/>
        <v>0</v>
      </c>
      <c r="AT68" s="418">
        <v>0</v>
      </c>
      <c r="AU68" s="418">
        <v>0</v>
      </c>
      <c r="AV68" s="418">
        <f t="shared" si="175"/>
        <v>0</v>
      </c>
      <c r="AW68" s="418">
        <f t="shared" si="176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77"/>
        <v>0</v>
      </c>
      <c r="BG68" s="419">
        <f t="shared" si="178"/>
        <v>0</v>
      </c>
      <c r="BH68" s="421">
        <f t="shared" si="179"/>
        <v>0</v>
      </c>
      <c r="BI68" s="780">
        <f t="shared" si="180"/>
        <v>2392888</v>
      </c>
      <c r="BJ68" s="418">
        <f t="shared" si="181"/>
        <v>1745362</v>
      </c>
      <c r="BK68" s="418">
        <f t="shared" si="182"/>
        <v>1745362</v>
      </c>
      <c r="BL68" s="418">
        <f t="shared" si="182"/>
        <v>0</v>
      </c>
      <c r="BM68" s="418">
        <f t="shared" si="183"/>
        <v>30000</v>
      </c>
      <c r="BN68" s="418">
        <f t="shared" si="184"/>
        <v>30000</v>
      </c>
      <c r="BO68" s="418">
        <f t="shared" si="184"/>
        <v>0</v>
      </c>
      <c r="BP68" s="418">
        <f t="shared" si="185"/>
        <v>600072</v>
      </c>
      <c r="BQ68" s="418">
        <f t="shared" si="185"/>
        <v>17454</v>
      </c>
      <c r="BR68" s="418">
        <f t="shared" si="186"/>
        <v>0</v>
      </c>
      <c r="BS68" s="419">
        <f t="shared" si="187"/>
        <v>3.4100999999999999</v>
      </c>
      <c r="BT68" s="419">
        <f t="shared" si="188"/>
        <v>3.4100999999999999</v>
      </c>
      <c r="BU68" s="421">
        <f t="shared" si="188"/>
        <v>0</v>
      </c>
      <c r="BV68" s="420"/>
      <c r="BW68" s="415"/>
      <c r="BX68" s="415"/>
      <c r="BY68" s="415"/>
      <c r="BZ68" s="415"/>
      <c r="CA68" s="510"/>
    </row>
    <row r="69" spans="1:79" s="96" customFormat="1" ht="14.1" customHeight="1" x14ac:dyDescent="0.2">
      <c r="A69" s="118">
        <v>9</v>
      </c>
      <c r="B69" s="77">
        <v>2456</v>
      </c>
      <c r="C69" s="93">
        <v>600079732</v>
      </c>
      <c r="D69" s="77">
        <v>70695911</v>
      </c>
      <c r="E69" s="77" t="s">
        <v>720</v>
      </c>
      <c r="F69" s="94">
        <v>3143</v>
      </c>
      <c r="G69" s="77" t="s">
        <v>596</v>
      </c>
      <c r="H69" s="95" t="s">
        <v>272</v>
      </c>
      <c r="I69" s="600">
        <v>50714</v>
      </c>
      <c r="J69" s="599">
        <v>36300</v>
      </c>
      <c r="K69" s="599">
        <v>0</v>
      </c>
      <c r="L69" s="605">
        <v>36300</v>
      </c>
      <c r="M69" s="599">
        <v>0</v>
      </c>
      <c r="N69" s="606">
        <v>0</v>
      </c>
      <c r="O69" s="606">
        <v>0</v>
      </c>
      <c r="P69" s="599">
        <v>12269</v>
      </c>
      <c r="Q69" s="599">
        <v>363</v>
      </c>
      <c r="R69" s="606">
        <v>1782</v>
      </c>
      <c r="S69" s="417">
        <v>0.13750000000000001</v>
      </c>
      <c r="T69" s="609">
        <v>0</v>
      </c>
      <c r="U69" s="737">
        <v>0.13750000000000001</v>
      </c>
      <c r="V69" s="424">
        <f t="shared" si="164"/>
        <v>0</v>
      </c>
      <c r="W69" s="418">
        <f t="shared" si="164"/>
        <v>0</v>
      </c>
      <c r="X69" s="418">
        <v>0</v>
      </c>
      <c r="Y69" s="418">
        <v>0</v>
      </c>
      <c r="Z69" s="418">
        <v>0</v>
      </c>
      <c r="AA69" s="418">
        <v>18150</v>
      </c>
      <c r="AB69" s="418">
        <v>0</v>
      </c>
      <c r="AC69" s="418">
        <v>0</v>
      </c>
      <c r="AD69" s="418">
        <f t="shared" si="165"/>
        <v>0</v>
      </c>
      <c r="AE69" s="418">
        <f t="shared" si="166"/>
        <v>18150</v>
      </c>
      <c r="AF69" s="418">
        <f t="shared" si="167"/>
        <v>18150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68"/>
        <v>0</v>
      </c>
      <c r="AM69" s="418">
        <f t="shared" si="169"/>
        <v>0</v>
      </c>
      <c r="AN69" s="418">
        <f t="shared" si="170"/>
        <v>0</v>
      </c>
      <c r="AO69" s="418">
        <f t="shared" si="171"/>
        <v>0</v>
      </c>
      <c r="AP69" s="418">
        <f t="shared" si="171"/>
        <v>18150</v>
      </c>
      <c r="AQ69" s="418">
        <f t="shared" si="172"/>
        <v>18150</v>
      </c>
      <c r="AR69" s="68">
        <f t="shared" si="173"/>
        <v>6135</v>
      </c>
      <c r="AS69" s="68">
        <f t="shared" si="174"/>
        <v>182</v>
      </c>
      <c r="AT69" s="418">
        <v>0</v>
      </c>
      <c r="AU69" s="418">
        <v>891</v>
      </c>
      <c r="AV69" s="418">
        <f t="shared" si="175"/>
        <v>891</v>
      </c>
      <c r="AW69" s="418">
        <f t="shared" si="176"/>
        <v>25358</v>
      </c>
      <c r="AX69" s="419">
        <v>0</v>
      </c>
      <c r="AY69" s="419">
        <v>0</v>
      </c>
      <c r="AZ69" s="419">
        <v>0</v>
      </c>
      <c r="BA69" s="419">
        <v>0</v>
      </c>
      <c r="BB69" s="419">
        <v>7.0000000000000007E-2</v>
      </c>
      <c r="BC69" s="419">
        <v>0</v>
      </c>
      <c r="BD69" s="419">
        <v>0</v>
      </c>
      <c r="BE69" s="419">
        <v>0</v>
      </c>
      <c r="BF69" s="419">
        <f t="shared" si="177"/>
        <v>0</v>
      </c>
      <c r="BG69" s="419">
        <f t="shared" si="178"/>
        <v>7.0000000000000007E-2</v>
      </c>
      <c r="BH69" s="421">
        <f t="shared" si="179"/>
        <v>7.0000000000000007E-2</v>
      </c>
      <c r="BI69" s="780">
        <f t="shared" si="180"/>
        <v>76072</v>
      </c>
      <c r="BJ69" s="418">
        <f t="shared" si="181"/>
        <v>54450</v>
      </c>
      <c r="BK69" s="418">
        <f t="shared" si="182"/>
        <v>0</v>
      </c>
      <c r="BL69" s="418">
        <f t="shared" si="182"/>
        <v>54450</v>
      </c>
      <c r="BM69" s="418">
        <f t="shared" si="183"/>
        <v>0</v>
      </c>
      <c r="BN69" s="418">
        <f t="shared" si="184"/>
        <v>0</v>
      </c>
      <c r="BO69" s="418">
        <f t="shared" si="184"/>
        <v>0</v>
      </c>
      <c r="BP69" s="418">
        <f t="shared" si="185"/>
        <v>18404</v>
      </c>
      <c r="BQ69" s="418">
        <f t="shared" si="185"/>
        <v>545</v>
      </c>
      <c r="BR69" s="418">
        <f t="shared" si="186"/>
        <v>2673</v>
      </c>
      <c r="BS69" s="419">
        <f t="shared" si="187"/>
        <v>0.20750000000000002</v>
      </c>
      <c r="BT69" s="419">
        <f t="shared" si="188"/>
        <v>0</v>
      </c>
      <c r="BU69" s="421">
        <f t="shared" si="188"/>
        <v>0.20750000000000002</v>
      </c>
      <c r="BV69" s="420"/>
      <c r="BW69" s="415"/>
      <c r="BX69" s="415"/>
      <c r="BY69" s="415"/>
      <c r="BZ69" s="415"/>
      <c r="CA69" s="510"/>
    </row>
    <row r="70" spans="1:79" s="96" customFormat="1" ht="14.1" customHeight="1" x14ac:dyDescent="0.2">
      <c r="A70" s="119">
        <v>9</v>
      </c>
      <c r="B70" s="97">
        <v>2456</v>
      </c>
      <c r="C70" s="98">
        <v>600079732</v>
      </c>
      <c r="D70" s="97">
        <v>70695911</v>
      </c>
      <c r="E70" s="97" t="s">
        <v>721</v>
      </c>
      <c r="F70" s="99"/>
      <c r="G70" s="100"/>
      <c r="H70" s="101"/>
      <c r="I70" s="438">
        <v>45360817</v>
      </c>
      <c r="J70" s="434">
        <v>33192966</v>
      </c>
      <c r="K70" s="434">
        <v>29437699</v>
      </c>
      <c r="L70" s="434">
        <v>3755267</v>
      </c>
      <c r="M70" s="434">
        <v>160000</v>
      </c>
      <c r="N70" s="434">
        <v>100000</v>
      </c>
      <c r="O70" s="434">
        <v>60000</v>
      </c>
      <c r="P70" s="434">
        <v>11273303</v>
      </c>
      <c r="Q70" s="434">
        <v>331930</v>
      </c>
      <c r="R70" s="434">
        <v>402618</v>
      </c>
      <c r="S70" s="435">
        <v>61.313699999999997</v>
      </c>
      <c r="T70" s="435">
        <v>49.5501</v>
      </c>
      <c r="U70" s="700">
        <v>11.7636</v>
      </c>
      <c r="V70" s="438">
        <f t="shared" ref="V70:CA70" si="189">SUM(V64:V69)</f>
        <v>0</v>
      </c>
      <c r="W70" s="434">
        <f t="shared" si="189"/>
        <v>0</v>
      </c>
      <c r="X70" s="434">
        <f t="shared" si="189"/>
        <v>0</v>
      </c>
      <c r="Y70" s="434">
        <f t="shared" si="189"/>
        <v>0</v>
      </c>
      <c r="Z70" s="434">
        <f t="shared" si="189"/>
        <v>0</v>
      </c>
      <c r="AA70" s="434">
        <f t="shared" si="189"/>
        <v>911127</v>
      </c>
      <c r="AB70" s="434">
        <f t="shared" si="189"/>
        <v>0</v>
      </c>
      <c r="AC70" s="434">
        <f t="shared" si="189"/>
        <v>0</v>
      </c>
      <c r="AD70" s="434">
        <f t="shared" si="189"/>
        <v>0</v>
      </c>
      <c r="AE70" s="434">
        <f t="shared" si="189"/>
        <v>911127</v>
      </c>
      <c r="AF70" s="434">
        <f t="shared" si="189"/>
        <v>911127</v>
      </c>
      <c r="AG70" s="434">
        <f t="shared" si="189"/>
        <v>0</v>
      </c>
      <c r="AH70" s="434">
        <f t="shared" si="189"/>
        <v>0</v>
      </c>
      <c r="AI70" s="434">
        <f t="shared" si="189"/>
        <v>0</v>
      </c>
      <c r="AJ70" s="434">
        <f t="shared" si="189"/>
        <v>0</v>
      </c>
      <c r="AK70" s="434">
        <f t="shared" si="189"/>
        <v>0</v>
      </c>
      <c r="AL70" s="434">
        <f t="shared" si="189"/>
        <v>0</v>
      </c>
      <c r="AM70" s="434">
        <f t="shared" si="189"/>
        <v>0</v>
      </c>
      <c r="AN70" s="434">
        <f t="shared" si="189"/>
        <v>0</v>
      </c>
      <c r="AO70" s="434">
        <f t="shared" si="189"/>
        <v>0</v>
      </c>
      <c r="AP70" s="434">
        <f t="shared" si="189"/>
        <v>911127</v>
      </c>
      <c r="AQ70" s="434">
        <f t="shared" si="189"/>
        <v>911127</v>
      </c>
      <c r="AR70" s="434">
        <f t="shared" si="189"/>
        <v>307961</v>
      </c>
      <c r="AS70" s="434">
        <f t="shared" si="189"/>
        <v>9112</v>
      </c>
      <c r="AT70" s="434">
        <f t="shared" si="189"/>
        <v>0</v>
      </c>
      <c r="AU70" s="434">
        <f t="shared" si="189"/>
        <v>8218</v>
      </c>
      <c r="AV70" s="434">
        <f t="shared" si="189"/>
        <v>8218</v>
      </c>
      <c r="AW70" s="434">
        <f t="shared" si="189"/>
        <v>1236418</v>
      </c>
      <c r="AX70" s="435">
        <f t="shared" si="189"/>
        <v>0</v>
      </c>
      <c r="AY70" s="435">
        <f t="shared" si="189"/>
        <v>0</v>
      </c>
      <c r="AZ70" s="435">
        <f t="shared" si="189"/>
        <v>0</v>
      </c>
      <c r="BA70" s="435">
        <f t="shared" si="189"/>
        <v>0</v>
      </c>
      <c r="BB70" s="435">
        <f t="shared" si="189"/>
        <v>2.7399999999999998</v>
      </c>
      <c r="BC70" s="435">
        <f t="shared" si="189"/>
        <v>0</v>
      </c>
      <c r="BD70" s="435">
        <f t="shared" si="189"/>
        <v>0</v>
      </c>
      <c r="BE70" s="435">
        <f t="shared" si="189"/>
        <v>0</v>
      </c>
      <c r="BF70" s="435">
        <f t="shared" si="189"/>
        <v>0</v>
      </c>
      <c r="BG70" s="435">
        <f t="shared" si="189"/>
        <v>2.7399999999999998</v>
      </c>
      <c r="BH70" s="103">
        <f t="shared" si="189"/>
        <v>2.7399999999999998</v>
      </c>
      <c r="BI70" s="803">
        <f t="shared" si="189"/>
        <v>46597235</v>
      </c>
      <c r="BJ70" s="434">
        <f t="shared" si="189"/>
        <v>34104093</v>
      </c>
      <c r="BK70" s="434">
        <f t="shared" si="189"/>
        <v>29437699</v>
      </c>
      <c r="BL70" s="434">
        <f t="shared" si="189"/>
        <v>4666394</v>
      </c>
      <c r="BM70" s="434">
        <f t="shared" si="189"/>
        <v>160000</v>
      </c>
      <c r="BN70" s="434">
        <f t="shared" si="189"/>
        <v>100000</v>
      </c>
      <c r="BO70" s="434">
        <f t="shared" si="189"/>
        <v>60000</v>
      </c>
      <c r="BP70" s="434">
        <f t="shared" si="189"/>
        <v>11581264</v>
      </c>
      <c r="BQ70" s="434">
        <f t="shared" si="189"/>
        <v>341042</v>
      </c>
      <c r="BR70" s="434">
        <f t="shared" si="189"/>
        <v>410836</v>
      </c>
      <c r="BS70" s="435">
        <f t="shared" si="189"/>
        <v>64.053699999999992</v>
      </c>
      <c r="BT70" s="435">
        <f t="shared" si="189"/>
        <v>49.5501</v>
      </c>
      <c r="BU70" s="103">
        <f t="shared" si="189"/>
        <v>14.5036</v>
      </c>
      <c r="BV70" s="817">
        <f t="shared" si="189"/>
        <v>608218</v>
      </c>
      <c r="BW70" s="703">
        <f t="shared" si="189"/>
        <v>451200</v>
      </c>
      <c r="BX70" s="703">
        <f t="shared" si="189"/>
        <v>0</v>
      </c>
      <c r="BY70" s="703">
        <f t="shared" si="189"/>
        <v>152506</v>
      </c>
      <c r="BZ70" s="703">
        <f t="shared" si="189"/>
        <v>4512</v>
      </c>
      <c r="CA70" s="818">
        <f t="shared" si="189"/>
        <v>0.8</v>
      </c>
    </row>
    <row r="71" spans="1:79" s="96" customFormat="1" ht="14.1" customHeight="1" x14ac:dyDescent="0.2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722</v>
      </c>
      <c r="F71" s="94">
        <v>3111</v>
      </c>
      <c r="G71" s="77" t="s">
        <v>290</v>
      </c>
      <c r="H71" s="95" t="s">
        <v>271</v>
      </c>
      <c r="I71" s="600">
        <v>1684943</v>
      </c>
      <c r="J71" s="599">
        <v>1245798</v>
      </c>
      <c r="K71" s="599">
        <v>1179230</v>
      </c>
      <c r="L71" s="599">
        <v>66568</v>
      </c>
      <c r="M71" s="599">
        <v>0</v>
      </c>
      <c r="N71" s="599">
        <v>0</v>
      </c>
      <c r="O71" s="599">
        <v>0</v>
      </c>
      <c r="P71" s="599">
        <v>421080</v>
      </c>
      <c r="Q71" s="599">
        <v>12458</v>
      </c>
      <c r="R71" s="599">
        <v>5607</v>
      </c>
      <c r="S71" s="417">
        <v>2.2667000000000002</v>
      </c>
      <c r="T71" s="417">
        <v>2</v>
      </c>
      <c r="U71" s="754">
        <v>0.26669999999999999</v>
      </c>
      <c r="V71" s="424">
        <f t="shared" ref="V71:W76" si="190">AG71*-1</f>
        <v>0</v>
      </c>
      <c r="W71" s="418">
        <f t="shared" si="190"/>
        <v>0</v>
      </c>
      <c r="X71" s="418">
        <v>0</v>
      </c>
      <c r="Y71" s="418">
        <v>0</v>
      </c>
      <c r="Z71" s="418">
        <v>0</v>
      </c>
      <c r="AA71" s="418">
        <v>0</v>
      </c>
      <c r="AB71" s="418">
        <v>0</v>
      </c>
      <c r="AC71" s="418">
        <v>0</v>
      </c>
      <c r="AD71" s="418">
        <f t="shared" ref="AD71:AD76" si="191">V71+X71+Y71+Z71+AB71</f>
        <v>0</v>
      </c>
      <c r="AE71" s="418">
        <f t="shared" ref="AE71:AE76" si="192">W71+AA71+AC71</f>
        <v>0</v>
      </c>
      <c r="AF71" s="418">
        <f t="shared" ref="AF71:AF76" si="193">SUM(AD71:AE71)</f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ref="AL71:AL76" si="194">AG71+AI71+AJ71</f>
        <v>0</v>
      </c>
      <c r="AM71" s="418">
        <f t="shared" ref="AM71:AM76" si="195">AH71+AK71</f>
        <v>0</v>
      </c>
      <c r="AN71" s="418">
        <f t="shared" ref="AN71:AN76" si="196">SUM(AL71:AM71)</f>
        <v>0</v>
      </c>
      <c r="AO71" s="418">
        <f t="shared" ref="AO71:AP76" si="197">AD71+AL71</f>
        <v>0</v>
      </c>
      <c r="AP71" s="418">
        <f t="shared" si="197"/>
        <v>0</v>
      </c>
      <c r="AQ71" s="418">
        <f t="shared" ref="AQ71:AQ76" si="198">SUM(AO71:AP71)</f>
        <v>0</v>
      </c>
      <c r="AR71" s="68">
        <f t="shared" ref="AR71:AR76" si="199">ROUND((AF71+AG71+AH71+AI71)*33.8%,0)</f>
        <v>0</v>
      </c>
      <c r="AS71" s="68">
        <f t="shared" ref="AS71:AS76" si="200">ROUND(AF71*1%,0)</f>
        <v>0</v>
      </c>
      <c r="AT71" s="418">
        <v>0</v>
      </c>
      <c r="AU71" s="418">
        <v>0</v>
      </c>
      <c r="AV71" s="418">
        <f t="shared" ref="AV71:AV76" si="201">AT71+AU71</f>
        <v>0</v>
      </c>
      <c r="AW71" s="418">
        <f t="shared" ref="AW71:AW76" si="202">AQ71+AR71+AS71+AV71</f>
        <v>0</v>
      </c>
      <c r="AX71" s="419">
        <v>0</v>
      </c>
      <c r="AY71" s="419">
        <v>0</v>
      </c>
      <c r="AZ71" s="419">
        <v>0</v>
      </c>
      <c r="BA71" s="419">
        <v>0</v>
      </c>
      <c r="BB71" s="419">
        <v>0</v>
      </c>
      <c r="BC71" s="419">
        <v>0</v>
      </c>
      <c r="BD71" s="419">
        <v>0</v>
      </c>
      <c r="BE71" s="419">
        <v>0</v>
      </c>
      <c r="BF71" s="419">
        <f t="shared" ref="BF71:BF76" si="203">AX71+AZ71+BA71+BC71+BD71</f>
        <v>0</v>
      </c>
      <c r="BG71" s="419">
        <f t="shared" ref="BG71:BG76" si="204">AY71+BB71+BE71</f>
        <v>0</v>
      </c>
      <c r="BH71" s="421">
        <f t="shared" ref="BH71:BH76" si="205">SUM(BF71:BG71)</f>
        <v>0</v>
      </c>
      <c r="BI71" s="780">
        <f t="shared" ref="BI71:BI76" si="206">I71+AW71</f>
        <v>1684943</v>
      </c>
      <c r="BJ71" s="418">
        <f t="shared" ref="BJ71:BJ76" si="207">J71+AF71</f>
        <v>1245798</v>
      </c>
      <c r="BK71" s="418">
        <f t="shared" ref="BK71:BL76" si="208">K71+AD71</f>
        <v>1179230</v>
      </c>
      <c r="BL71" s="418">
        <f t="shared" si="208"/>
        <v>66568</v>
      </c>
      <c r="BM71" s="418">
        <f t="shared" ref="BM71:BM76" si="209">M71+AN71</f>
        <v>0</v>
      </c>
      <c r="BN71" s="418">
        <f t="shared" ref="BN71:BO76" si="210">N71+AL71</f>
        <v>0</v>
      </c>
      <c r="BO71" s="418">
        <f t="shared" si="210"/>
        <v>0</v>
      </c>
      <c r="BP71" s="418">
        <f t="shared" ref="BP71:BQ76" si="211">P71+AR71</f>
        <v>421080</v>
      </c>
      <c r="BQ71" s="418">
        <f t="shared" si="211"/>
        <v>12458</v>
      </c>
      <c r="BR71" s="418">
        <f t="shared" ref="BR71:BR76" si="212">R71+AV71</f>
        <v>5607</v>
      </c>
      <c r="BS71" s="419">
        <f t="shared" ref="BS71:BS76" si="213">S71+BH71</f>
        <v>2.2667000000000002</v>
      </c>
      <c r="BT71" s="419">
        <f t="shared" ref="BT71:BU76" si="214">T71+BF71</f>
        <v>2</v>
      </c>
      <c r="BU71" s="421">
        <f t="shared" si="214"/>
        <v>0.26669999999999999</v>
      </c>
      <c r="BV71" s="420"/>
      <c r="BW71" s="415"/>
      <c r="BX71" s="415"/>
      <c r="BY71" s="415"/>
      <c r="BZ71" s="415"/>
      <c r="CA71" s="510"/>
    </row>
    <row r="72" spans="1:79" s="96" customFormat="1" ht="14.1" customHeight="1" x14ac:dyDescent="0.2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722</v>
      </c>
      <c r="F72" s="105">
        <v>3117</v>
      </c>
      <c r="G72" s="104" t="s">
        <v>308</v>
      </c>
      <c r="H72" s="95" t="s">
        <v>271</v>
      </c>
      <c r="I72" s="600">
        <v>3453840</v>
      </c>
      <c r="J72" s="599">
        <v>2520667</v>
      </c>
      <c r="K72" s="599">
        <v>2243834</v>
      </c>
      <c r="L72" s="599">
        <v>276833</v>
      </c>
      <c r="M72" s="599">
        <v>0</v>
      </c>
      <c r="N72" s="599">
        <v>0</v>
      </c>
      <c r="O72" s="599">
        <v>0</v>
      </c>
      <c r="P72" s="599">
        <v>851985</v>
      </c>
      <c r="Q72" s="599">
        <v>25206</v>
      </c>
      <c r="R72" s="599">
        <v>55982</v>
      </c>
      <c r="S72" s="417">
        <v>4.2116999999999996</v>
      </c>
      <c r="T72" s="417">
        <v>3.4998999999999998</v>
      </c>
      <c r="U72" s="754">
        <v>0.71179999999999999</v>
      </c>
      <c r="V72" s="424">
        <f t="shared" si="190"/>
        <v>0</v>
      </c>
      <c r="W72" s="418">
        <f t="shared" si="190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91"/>
        <v>0</v>
      </c>
      <c r="AE72" s="418">
        <f t="shared" si="192"/>
        <v>0</v>
      </c>
      <c r="AF72" s="418">
        <f t="shared" si="193"/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94"/>
        <v>0</v>
      </c>
      <c r="AM72" s="418">
        <f t="shared" si="195"/>
        <v>0</v>
      </c>
      <c r="AN72" s="418">
        <f t="shared" si="196"/>
        <v>0</v>
      </c>
      <c r="AO72" s="418">
        <f t="shared" si="197"/>
        <v>0</v>
      </c>
      <c r="AP72" s="418">
        <f t="shared" si="197"/>
        <v>0</v>
      </c>
      <c r="AQ72" s="418">
        <f t="shared" si="198"/>
        <v>0</v>
      </c>
      <c r="AR72" s="68">
        <f t="shared" si="199"/>
        <v>0</v>
      </c>
      <c r="AS72" s="68">
        <f t="shared" si="200"/>
        <v>0</v>
      </c>
      <c r="AT72" s="418">
        <v>0</v>
      </c>
      <c r="AU72" s="418">
        <v>0</v>
      </c>
      <c r="AV72" s="418">
        <f t="shared" si="201"/>
        <v>0</v>
      </c>
      <c r="AW72" s="418">
        <f t="shared" si="202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203"/>
        <v>0</v>
      </c>
      <c r="BG72" s="419">
        <f t="shared" si="204"/>
        <v>0</v>
      </c>
      <c r="BH72" s="421">
        <f t="shared" si="205"/>
        <v>0</v>
      </c>
      <c r="BI72" s="780">
        <f t="shared" si="206"/>
        <v>3453840</v>
      </c>
      <c r="BJ72" s="418">
        <f t="shared" si="207"/>
        <v>2520667</v>
      </c>
      <c r="BK72" s="418">
        <f t="shared" si="208"/>
        <v>2243834</v>
      </c>
      <c r="BL72" s="418">
        <f t="shared" si="208"/>
        <v>276833</v>
      </c>
      <c r="BM72" s="418">
        <f t="shared" si="209"/>
        <v>0</v>
      </c>
      <c r="BN72" s="418">
        <f t="shared" si="210"/>
        <v>0</v>
      </c>
      <c r="BO72" s="418">
        <f t="shared" si="210"/>
        <v>0</v>
      </c>
      <c r="BP72" s="418">
        <f t="shared" si="211"/>
        <v>851985</v>
      </c>
      <c r="BQ72" s="418">
        <f t="shared" si="211"/>
        <v>25206</v>
      </c>
      <c r="BR72" s="418">
        <f t="shared" si="212"/>
        <v>55982</v>
      </c>
      <c r="BS72" s="419">
        <f t="shared" si="213"/>
        <v>4.2116999999999996</v>
      </c>
      <c r="BT72" s="419">
        <f t="shared" si="214"/>
        <v>3.4998999999999998</v>
      </c>
      <c r="BU72" s="421">
        <f t="shared" si="214"/>
        <v>0.71179999999999999</v>
      </c>
      <c r="BV72" s="420"/>
      <c r="BW72" s="415"/>
      <c r="BX72" s="415"/>
      <c r="BY72" s="415"/>
      <c r="BZ72" s="415"/>
      <c r="CA72" s="510"/>
    </row>
    <row r="73" spans="1:79" s="96" customFormat="1" ht="14.1" customHeight="1" x14ac:dyDescent="0.2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722</v>
      </c>
      <c r="F73" s="94">
        <v>3117</v>
      </c>
      <c r="G73" s="77" t="s">
        <v>291</v>
      </c>
      <c r="H73" s="95" t="s">
        <v>272</v>
      </c>
      <c r="I73" s="600">
        <v>1611536</v>
      </c>
      <c r="J73" s="599">
        <v>1195130</v>
      </c>
      <c r="K73" s="599">
        <v>1195130</v>
      </c>
      <c r="L73" s="599">
        <v>0</v>
      </c>
      <c r="M73" s="599">
        <v>0</v>
      </c>
      <c r="N73" s="599">
        <v>0</v>
      </c>
      <c r="O73" s="599">
        <v>0</v>
      </c>
      <c r="P73" s="599">
        <v>403954</v>
      </c>
      <c r="Q73" s="599">
        <v>11952</v>
      </c>
      <c r="R73" s="599">
        <v>500</v>
      </c>
      <c r="S73" s="417">
        <v>3.08</v>
      </c>
      <c r="T73" s="417">
        <v>3.08</v>
      </c>
      <c r="U73" s="754">
        <v>0</v>
      </c>
      <c r="V73" s="424">
        <f t="shared" si="190"/>
        <v>0</v>
      </c>
      <c r="W73" s="418">
        <f t="shared" si="190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si="191"/>
        <v>0</v>
      </c>
      <c r="AE73" s="418">
        <f t="shared" si="192"/>
        <v>0</v>
      </c>
      <c r="AF73" s="418">
        <f t="shared" si="193"/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94"/>
        <v>0</v>
      </c>
      <c r="AM73" s="418">
        <f t="shared" si="195"/>
        <v>0</v>
      </c>
      <c r="AN73" s="418">
        <f t="shared" si="196"/>
        <v>0</v>
      </c>
      <c r="AO73" s="418">
        <f t="shared" si="197"/>
        <v>0</v>
      </c>
      <c r="AP73" s="418">
        <f t="shared" si="197"/>
        <v>0</v>
      </c>
      <c r="AQ73" s="418">
        <f t="shared" si="198"/>
        <v>0</v>
      </c>
      <c r="AR73" s="68">
        <f t="shared" si="199"/>
        <v>0</v>
      </c>
      <c r="AS73" s="68">
        <f t="shared" si="200"/>
        <v>0</v>
      </c>
      <c r="AT73" s="418">
        <v>0</v>
      </c>
      <c r="AU73" s="418">
        <v>0</v>
      </c>
      <c r="AV73" s="418">
        <f t="shared" si="201"/>
        <v>0</v>
      </c>
      <c r="AW73" s="418">
        <f t="shared" si="202"/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si="203"/>
        <v>0</v>
      </c>
      <c r="BG73" s="419">
        <f t="shared" si="204"/>
        <v>0</v>
      </c>
      <c r="BH73" s="421">
        <f t="shared" si="205"/>
        <v>0</v>
      </c>
      <c r="BI73" s="780">
        <f t="shared" si="206"/>
        <v>1611536</v>
      </c>
      <c r="BJ73" s="418">
        <f t="shared" si="207"/>
        <v>1195130</v>
      </c>
      <c r="BK73" s="418">
        <f t="shared" si="208"/>
        <v>1195130</v>
      </c>
      <c r="BL73" s="418">
        <f t="shared" si="208"/>
        <v>0</v>
      </c>
      <c r="BM73" s="418">
        <f t="shared" si="209"/>
        <v>0</v>
      </c>
      <c r="BN73" s="418">
        <f t="shared" si="210"/>
        <v>0</v>
      </c>
      <c r="BO73" s="418">
        <f t="shared" si="210"/>
        <v>0</v>
      </c>
      <c r="BP73" s="418">
        <f t="shared" si="211"/>
        <v>403954</v>
      </c>
      <c r="BQ73" s="418">
        <f t="shared" si="211"/>
        <v>11952</v>
      </c>
      <c r="BR73" s="418">
        <f t="shared" si="212"/>
        <v>500</v>
      </c>
      <c r="BS73" s="419">
        <f t="shared" si="213"/>
        <v>3.08</v>
      </c>
      <c r="BT73" s="419">
        <f t="shared" si="214"/>
        <v>3.08</v>
      </c>
      <c r="BU73" s="421">
        <f t="shared" si="214"/>
        <v>0</v>
      </c>
      <c r="BV73" s="420"/>
      <c r="BW73" s="415"/>
      <c r="BX73" s="415"/>
      <c r="BY73" s="415"/>
      <c r="BZ73" s="415"/>
      <c r="CA73" s="510"/>
    </row>
    <row r="74" spans="1:79" s="96" customFormat="1" ht="14.1" customHeight="1" x14ac:dyDescent="0.2">
      <c r="A74" s="118">
        <v>10</v>
      </c>
      <c r="B74" s="77">
        <v>2462</v>
      </c>
      <c r="C74" s="93">
        <v>600079813</v>
      </c>
      <c r="D74" s="77">
        <v>72744600</v>
      </c>
      <c r="E74" s="77" t="s">
        <v>722</v>
      </c>
      <c r="F74" s="94">
        <v>3141</v>
      </c>
      <c r="G74" s="77" t="s">
        <v>294</v>
      </c>
      <c r="H74" s="95" t="s">
        <v>272</v>
      </c>
      <c r="I74" s="600">
        <v>511343</v>
      </c>
      <c r="J74" s="599">
        <v>377933</v>
      </c>
      <c r="K74" s="599">
        <v>0</v>
      </c>
      <c r="L74" s="605">
        <v>377933</v>
      </c>
      <c r="M74" s="599">
        <v>0</v>
      </c>
      <c r="N74" s="599">
        <v>0</v>
      </c>
      <c r="O74" s="599">
        <v>0</v>
      </c>
      <c r="P74" s="599">
        <v>127741</v>
      </c>
      <c r="Q74" s="599">
        <v>3779</v>
      </c>
      <c r="R74" s="599">
        <v>1890</v>
      </c>
      <c r="S74" s="417">
        <v>1.1333</v>
      </c>
      <c r="T74" s="417">
        <v>0</v>
      </c>
      <c r="U74" s="754">
        <v>1.1333</v>
      </c>
      <c r="V74" s="424">
        <f t="shared" si="190"/>
        <v>0</v>
      </c>
      <c r="W74" s="418">
        <f t="shared" si="190"/>
        <v>0</v>
      </c>
      <c r="X74" s="418">
        <v>0</v>
      </c>
      <c r="Y74" s="418">
        <v>0</v>
      </c>
      <c r="Z74" s="418">
        <v>0</v>
      </c>
      <c r="AA74" s="418">
        <v>187893</v>
      </c>
      <c r="AB74" s="418">
        <v>0</v>
      </c>
      <c r="AC74" s="418">
        <v>0</v>
      </c>
      <c r="AD74" s="418">
        <f t="shared" si="191"/>
        <v>0</v>
      </c>
      <c r="AE74" s="418">
        <f t="shared" si="192"/>
        <v>187893</v>
      </c>
      <c r="AF74" s="418">
        <f t="shared" si="193"/>
        <v>187893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94"/>
        <v>0</v>
      </c>
      <c r="AM74" s="418">
        <f t="shared" si="195"/>
        <v>0</v>
      </c>
      <c r="AN74" s="418">
        <f t="shared" si="196"/>
        <v>0</v>
      </c>
      <c r="AO74" s="418">
        <f t="shared" si="197"/>
        <v>0</v>
      </c>
      <c r="AP74" s="418">
        <f t="shared" si="197"/>
        <v>187893</v>
      </c>
      <c r="AQ74" s="418">
        <f t="shared" si="198"/>
        <v>187893</v>
      </c>
      <c r="AR74" s="68">
        <f t="shared" si="199"/>
        <v>63508</v>
      </c>
      <c r="AS74" s="68">
        <f t="shared" si="200"/>
        <v>1879</v>
      </c>
      <c r="AT74" s="418">
        <v>0</v>
      </c>
      <c r="AU74" s="418">
        <v>918</v>
      </c>
      <c r="AV74" s="418">
        <f t="shared" si="201"/>
        <v>918</v>
      </c>
      <c r="AW74" s="418">
        <f t="shared" si="202"/>
        <v>254198</v>
      </c>
      <c r="AX74" s="419">
        <v>0</v>
      </c>
      <c r="AY74" s="419">
        <v>0</v>
      </c>
      <c r="AZ74" s="419">
        <v>0</v>
      </c>
      <c r="BA74" s="419">
        <v>0</v>
      </c>
      <c r="BB74" s="419">
        <v>0.56999999999999995</v>
      </c>
      <c r="BC74" s="419">
        <v>0</v>
      </c>
      <c r="BD74" s="419">
        <v>0</v>
      </c>
      <c r="BE74" s="419">
        <v>0</v>
      </c>
      <c r="BF74" s="419">
        <f t="shared" si="203"/>
        <v>0</v>
      </c>
      <c r="BG74" s="419">
        <f t="shared" si="204"/>
        <v>0.56999999999999995</v>
      </c>
      <c r="BH74" s="421">
        <f t="shared" si="205"/>
        <v>0.56999999999999995</v>
      </c>
      <c r="BI74" s="780">
        <f t="shared" si="206"/>
        <v>765541</v>
      </c>
      <c r="BJ74" s="418">
        <f t="shared" si="207"/>
        <v>565826</v>
      </c>
      <c r="BK74" s="418">
        <f t="shared" si="208"/>
        <v>0</v>
      </c>
      <c r="BL74" s="418">
        <f t="shared" si="208"/>
        <v>565826</v>
      </c>
      <c r="BM74" s="418">
        <f t="shared" si="209"/>
        <v>0</v>
      </c>
      <c r="BN74" s="418">
        <f t="shared" si="210"/>
        <v>0</v>
      </c>
      <c r="BO74" s="418">
        <f t="shared" si="210"/>
        <v>0</v>
      </c>
      <c r="BP74" s="418">
        <f t="shared" si="211"/>
        <v>191249</v>
      </c>
      <c r="BQ74" s="418">
        <f t="shared" si="211"/>
        <v>5658</v>
      </c>
      <c r="BR74" s="418">
        <f t="shared" si="212"/>
        <v>2808</v>
      </c>
      <c r="BS74" s="419">
        <f t="shared" si="213"/>
        <v>1.7033</v>
      </c>
      <c r="BT74" s="419">
        <f t="shared" si="214"/>
        <v>0</v>
      </c>
      <c r="BU74" s="421">
        <f t="shared" si="214"/>
        <v>1.7033</v>
      </c>
      <c r="BV74" s="420"/>
      <c r="BW74" s="415"/>
      <c r="BX74" s="415"/>
      <c r="BY74" s="415"/>
      <c r="BZ74" s="415"/>
      <c r="CA74" s="510"/>
    </row>
    <row r="75" spans="1:79" s="96" customFormat="1" ht="14.1" customHeight="1" x14ac:dyDescent="0.2">
      <c r="A75" s="118">
        <v>10</v>
      </c>
      <c r="B75" s="77">
        <v>2462</v>
      </c>
      <c r="C75" s="93">
        <v>600079813</v>
      </c>
      <c r="D75" s="77">
        <v>72744600</v>
      </c>
      <c r="E75" s="77" t="s">
        <v>722</v>
      </c>
      <c r="F75" s="94">
        <v>3143</v>
      </c>
      <c r="G75" s="77" t="s">
        <v>595</v>
      </c>
      <c r="H75" s="95" t="s">
        <v>271</v>
      </c>
      <c r="I75" s="600">
        <v>706772</v>
      </c>
      <c r="J75" s="599">
        <v>524311</v>
      </c>
      <c r="K75" s="599">
        <v>524311</v>
      </c>
      <c r="L75" s="599">
        <v>0</v>
      </c>
      <c r="M75" s="599">
        <v>0</v>
      </c>
      <c r="N75" s="599">
        <v>0</v>
      </c>
      <c r="O75" s="599">
        <v>0</v>
      </c>
      <c r="P75" s="599">
        <v>177217</v>
      </c>
      <c r="Q75" s="599">
        <v>5244</v>
      </c>
      <c r="R75" s="599">
        <v>0</v>
      </c>
      <c r="S75" s="417">
        <v>1.0832999999999999</v>
      </c>
      <c r="T75" s="417">
        <v>1.0832999999999999</v>
      </c>
      <c r="U75" s="754">
        <v>0</v>
      </c>
      <c r="V75" s="424">
        <f t="shared" si="190"/>
        <v>0</v>
      </c>
      <c r="W75" s="418">
        <f t="shared" si="190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91"/>
        <v>0</v>
      </c>
      <c r="AE75" s="418">
        <f t="shared" si="192"/>
        <v>0</v>
      </c>
      <c r="AF75" s="418">
        <f t="shared" si="193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94"/>
        <v>0</v>
      </c>
      <c r="AM75" s="418">
        <f t="shared" si="195"/>
        <v>0</v>
      </c>
      <c r="AN75" s="418">
        <f t="shared" si="196"/>
        <v>0</v>
      </c>
      <c r="AO75" s="418">
        <f t="shared" si="197"/>
        <v>0</v>
      </c>
      <c r="AP75" s="418">
        <f t="shared" si="197"/>
        <v>0</v>
      </c>
      <c r="AQ75" s="418">
        <f t="shared" si="198"/>
        <v>0</v>
      </c>
      <c r="AR75" s="68">
        <f t="shared" si="199"/>
        <v>0</v>
      </c>
      <c r="AS75" s="68">
        <f t="shared" si="200"/>
        <v>0</v>
      </c>
      <c r="AT75" s="418">
        <v>0</v>
      </c>
      <c r="AU75" s="418">
        <v>0</v>
      </c>
      <c r="AV75" s="418">
        <f t="shared" si="201"/>
        <v>0</v>
      </c>
      <c r="AW75" s="418">
        <f t="shared" si="202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203"/>
        <v>0</v>
      </c>
      <c r="BG75" s="419">
        <f t="shared" si="204"/>
        <v>0</v>
      </c>
      <c r="BH75" s="421">
        <f t="shared" si="205"/>
        <v>0</v>
      </c>
      <c r="BI75" s="780">
        <f t="shared" si="206"/>
        <v>706772</v>
      </c>
      <c r="BJ75" s="418">
        <f t="shared" si="207"/>
        <v>524311</v>
      </c>
      <c r="BK75" s="418">
        <f t="shared" si="208"/>
        <v>524311</v>
      </c>
      <c r="BL75" s="418">
        <f t="shared" si="208"/>
        <v>0</v>
      </c>
      <c r="BM75" s="418">
        <f t="shared" si="209"/>
        <v>0</v>
      </c>
      <c r="BN75" s="418">
        <f t="shared" si="210"/>
        <v>0</v>
      </c>
      <c r="BO75" s="418">
        <f t="shared" si="210"/>
        <v>0</v>
      </c>
      <c r="BP75" s="418">
        <f t="shared" si="211"/>
        <v>177217</v>
      </c>
      <c r="BQ75" s="418">
        <f t="shared" si="211"/>
        <v>5244</v>
      </c>
      <c r="BR75" s="418">
        <f t="shared" si="212"/>
        <v>0</v>
      </c>
      <c r="BS75" s="419">
        <f t="shared" si="213"/>
        <v>1.0832999999999999</v>
      </c>
      <c r="BT75" s="419">
        <f t="shared" si="214"/>
        <v>1.0832999999999999</v>
      </c>
      <c r="BU75" s="421">
        <f t="shared" si="214"/>
        <v>0</v>
      </c>
      <c r="BV75" s="420"/>
      <c r="BW75" s="415"/>
      <c r="BX75" s="415"/>
      <c r="BY75" s="415"/>
      <c r="BZ75" s="415"/>
      <c r="CA75" s="510"/>
    </row>
    <row r="76" spans="1:79" s="96" customFormat="1" ht="14.1" customHeight="1" x14ac:dyDescent="0.2">
      <c r="A76" s="118">
        <v>10</v>
      </c>
      <c r="B76" s="77">
        <v>2462</v>
      </c>
      <c r="C76" s="93">
        <v>600079813</v>
      </c>
      <c r="D76" s="77">
        <v>72744600</v>
      </c>
      <c r="E76" s="77" t="s">
        <v>722</v>
      </c>
      <c r="F76" s="94">
        <v>3143</v>
      </c>
      <c r="G76" s="77" t="s">
        <v>596</v>
      </c>
      <c r="H76" s="95" t="s">
        <v>272</v>
      </c>
      <c r="I76" s="600">
        <v>12282</v>
      </c>
      <c r="J76" s="599">
        <v>8791</v>
      </c>
      <c r="K76" s="599">
        <v>0</v>
      </c>
      <c r="L76" s="605">
        <v>8791</v>
      </c>
      <c r="M76" s="599">
        <v>0</v>
      </c>
      <c r="N76" s="606">
        <v>0</v>
      </c>
      <c r="O76" s="606">
        <v>0</v>
      </c>
      <c r="P76" s="599">
        <v>2971</v>
      </c>
      <c r="Q76" s="599">
        <v>88</v>
      </c>
      <c r="R76" s="606">
        <v>432</v>
      </c>
      <c r="S76" s="417">
        <v>3.3300000000000003E-2</v>
      </c>
      <c r="T76" s="609">
        <v>0</v>
      </c>
      <c r="U76" s="737">
        <v>3.3300000000000003E-2</v>
      </c>
      <c r="V76" s="424">
        <f t="shared" si="190"/>
        <v>0</v>
      </c>
      <c r="W76" s="418">
        <f t="shared" si="190"/>
        <v>0</v>
      </c>
      <c r="X76" s="418">
        <v>0</v>
      </c>
      <c r="Y76" s="418">
        <v>0</v>
      </c>
      <c r="Z76" s="418">
        <v>0</v>
      </c>
      <c r="AA76" s="418">
        <v>4409</v>
      </c>
      <c r="AB76" s="418">
        <v>0</v>
      </c>
      <c r="AC76" s="418">
        <v>0</v>
      </c>
      <c r="AD76" s="418">
        <f t="shared" si="191"/>
        <v>0</v>
      </c>
      <c r="AE76" s="418">
        <f t="shared" si="192"/>
        <v>4409</v>
      </c>
      <c r="AF76" s="418">
        <f t="shared" si="193"/>
        <v>4409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94"/>
        <v>0</v>
      </c>
      <c r="AM76" s="418">
        <f t="shared" si="195"/>
        <v>0</v>
      </c>
      <c r="AN76" s="418">
        <f t="shared" si="196"/>
        <v>0</v>
      </c>
      <c r="AO76" s="418">
        <f t="shared" si="197"/>
        <v>0</v>
      </c>
      <c r="AP76" s="418">
        <f t="shared" si="197"/>
        <v>4409</v>
      </c>
      <c r="AQ76" s="418">
        <f t="shared" si="198"/>
        <v>4409</v>
      </c>
      <c r="AR76" s="68">
        <f t="shared" si="199"/>
        <v>1490</v>
      </c>
      <c r="AS76" s="68">
        <f t="shared" si="200"/>
        <v>44</v>
      </c>
      <c r="AT76" s="418">
        <v>0</v>
      </c>
      <c r="AU76" s="418">
        <v>216</v>
      </c>
      <c r="AV76" s="418">
        <f t="shared" si="201"/>
        <v>216</v>
      </c>
      <c r="AW76" s="418">
        <f t="shared" si="202"/>
        <v>6159</v>
      </c>
      <c r="AX76" s="419">
        <v>0</v>
      </c>
      <c r="AY76" s="419">
        <v>0</v>
      </c>
      <c r="AZ76" s="419">
        <v>0</v>
      </c>
      <c r="BA76" s="419">
        <v>0</v>
      </c>
      <c r="BB76" s="419">
        <v>0.02</v>
      </c>
      <c r="BC76" s="419">
        <v>0</v>
      </c>
      <c r="BD76" s="419">
        <v>0</v>
      </c>
      <c r="BE76" s="419">
        <v>0</v>
      </c>
      <c r="BF76" s="419">
        <f t="shared" si="203"/>
        <v>0</v>
      </c>
      <c r="BG76" s="419">
        <f t="shared" si="204"/>
        <v>0.02</v>
      </c>
      <c r="BH76" s="421">
        <f t="shared" si="205"/>
        <v>0.02</v>
      </c>
      <c r="BI76" s="780">
        <f t="shared" si="206"/>
        <v>18441</v>
      </c>
      <c r="BJ76" s="418">
        <f t="shared" si="207"/>
        <v>13200</v>
      </c>
      <c r="BK76" s="418">
        <f t="shared" si="208"/>
        <v>0</v>
      </c>
      <c r="BL76" s="418">
        <f t="shared" si="208"/>
        <v>13200</v>
      </c>
      <c r="BM76" s="418">
        <f t="shared" si="209"/>
        <v>0</v>
      </c>
      <c r="BN76" s="418">
        <f t="shared" si="210"/>
        <v>0</v>
      </c>
      <c r="BO76" s="418">
        <f t="shared" si="210"/>
        <v>0</v>
      </c>
      <c r="BP76" s="418">
        <f t="shared" si="211"/>
        <v>4461</v>
      </c>
      <c r="BQ76" s="418">
        <f t="shared" si="211"/>
        <v>132</v>
      </c>
      <c r="BR76" s="418">
        <f t="shared" si="212"/>
        <v>648</v>
      </c>
      <c r="BS76" s="419">
        <f t="shared" si="213"/>
        <v>5.33E-2</v>
      </c>
      <c r="BT76" s="419">
        <f t="shared" si="214"/>
        <v>0</v>
      </c>
      <c r="BU76" s="421">
        <f t="shared" si="214"/>
        <v>5.33E-2</v>
      </c>
      <c r="BV76" s="420"/>
      <c r="BW76" s="415"/>
      <c r="BX76" s="415"/>
      <c r="BY76" s="415"/>
      <c r="BZ76" s="415"/>
      <c r="CA76" s="510"/>
    </row>
    <row r="77" spans="1:79" s="96" customFormat="1" ht="14.1" customHeight="1" x14ac:dyDescent="0.2">
      <c r="A77" s="119">
        <v>10</v>
      </c>
      <c r="B77" s="97">
        <v>2462</v>
      </c>
      <c r="C77" s="98">
        <v>600079813</v>
      </c>
      <c r="D77" s="97">
        <v>72744600</v>
      </c>
      <c r="E77" s="97" t="s">
        <v>723</v>
      </c>
      <c r="F77" s="106"/>
      <c r="G77" s="100"/>
      <c r="H77" s="101"/>
      <c r="I77" s="438">
        <v>7980716</v>
      </c>
      <c r="J77" s="434">
        <v>5872630</v>
      </c>
      <c r="K77" s="434">
        <v>5142505</v>
      </c>
      <c r="L77" s="434">
        <v>730125</v>
      </c>
      <c r="M77" s="434">
        <v>0</v>
      </c>
      <c r="N77" s="434">
        <v>0</v>
      </c>
      <c r="O77" s="434">
        <v>0</v>
      </c>
      <c r="P77" s="434">
        <v>1984948</v>
      </c>
      <c r="Q77" s="434">
        <v>58727</v>
      </c>
      <c r="R77" s="434">
        <v>64411</v>
      </c>
      <c r="S77" s="435">
        <v>11.808299999999999</v>
      </c>
      <c r="T77" s="435">
        <v>9.6631999999999998</v>
      </c>
      <c r="U77" s="700">
        <v>2.1450999999999998</v>
      </c>
      <c r="V77" s="438">
        <f t="shared" ref="V77:CA77" si="215">SUM(V71:V76)</f>
        <v>0</v>
      </c>
      <c r="W77" s="434">
        <f t="shared" si="215"/>
        <v>0</v>
      </c>
      <c r="X77" s="434">
        <f t="shared" si="215"/>
        <v>0</v>
      </c>
      <c r="Y77" s="434">
        <f t="shared" si="215"/>
        <v>0</v>
      </c>
      <c r="Z77" s="434">
        <f t="shared" si="215"/>
        <v>0</v>
      </c>
      <c r="AA77" s="434">
        <f t="shared" si="215"/>
        <v>192302</v>
      </c>
      <c r="AB77" s="434">
        <f t="shared" si="215"/>
        <v>0</v>
      </c>
      <c r="AC77" s="434">
        <f t="shared" si="215"/>
        <v>0</v>
      </c>
      <c r="AD77" s="434">
        <f t="shared" si="215"/>
        <v>0</v>
      </c>
      <c r="AE77" s="434">
        <f t="shared" si="215"/>
        <v>192302</v>
      </c>
      <c r="AF77" s="434">
        <f t="shared" si="215"/>
        <v>192302</v>
      </c>
      <c r="AG77" s="434">
        <f t="shared" si="215"/>
        <v>0</v>
      </c>
      <c r="AH77" s="434">
        <f t="shared" si="215"/>
        <v>0</v>
      </c>
      <c r="AI77" s="434">
        <f t="shared" si="215"/>
        <v>0</v>
      </c>
      <c r="AJ77" s="434">
        <f t="shared" si="215"/>
        <v>0</v>
      </c>
      <c r="AK77" s="434">
        <f t="shared" si="215"/>
        <v>0</v>
      </c>
      <c r="AL77" s="434">
        <f t="shared" si="215"/>
        <v>0</v>
      </c>
      <c r="AM77" s="434">
        <f t="shared" si="215"/>
        <v>0</v>
      </c>
      <c r="AN77" s="434">
        <f t="shared" si="215"/>
        <v>0</v>
      </c>
      <c r="AO77" s="434">
        <f t="shared" si="215"/>
        <v>0</v>
      </c>
      <c r="AP77" s="434">
        <f t="shared" si="215"/>
        <v>192302</v>
      </c>
      <c r="AQ77" s="434">
        <f t="shared" si="215"/>
        <v>192302</v>
      </c>
      <c r="AR77" s="434">
        <f t="shared" si="215"/>
        <v>64998</v>
      </c>
      <c r="AS77" s="434">
        <f t="shared" si="215"/>
        <v>1923</v>
      </c>
      <c r="AT77" s="434">
        <f t="shared" si="215"/>
        <v>0</v>
      </c>
      <c r="AU77" s="434">
        <f t="shared" si="215"/>
        <v>1134</v>
      </c>
      <c r="AV77" s="434">
        <f t="shared" si="215"/>
        <v>1134</v>
      </c>
      <c r="AW77" s="434">
        <f t="shared" si="215"/>
        <v>260357</v>
      </c>
      <c r="AX77" s="435">
        <f t="shared" si="215"/>
        <v>0</v>
      </c>
      <c r="AY77" s="435">
        <f t="shared" si="215"/>
        <v>0</v>
      </c>
      <c r="AZ77" s="435">
        <f t="shared" si="215"/>
        <v>0</v>
      </c>
      <c r="BA77" s="435">
        <f t="shared" si="215"/>
        <v>0</v>
      </c>
      <c r="BB77" s="435">
        <f t="shared" si="215"/>
        <v>0.59</v>
      </c>
      <c r="BC77" s="435">
        <f t="shared" si="215"/>
        <v>0</v>
      </c>
      <c r="BD77" s="435">
        <f t="shared" si="215"/>
        <v>0</v>
      </c>
      <c r="BE77" s="435">
        <f t="shared" si="215"/>
        <v>0</v>
      </c>
      <c r="BF77" s="435">
        <f t="shared" si="215"/>
        <v>0</v>
      </c>
      <c r="BG77" s="435">
        <f t="shared" si="215"/>
        <v>0.59</v>
      </c>
      <c r="BH77" s="103">
        <f t="shared" si="215"/>
        <v>0.59</v>
      </c>
      <c r="BI77" s="803">
        <f t="shared" si="215"/>
        <v>8241073</v>
      </c>
      <c r="BJ77" s="434">
        <f t="shared" si="215"/>
        <v>6064932</v>
      </c>
      <c r="BK77" s="434">
        <f t="shared" si="215"/>
        <v>5142505</v>
      </c>
      <c r="BL77" s="434">
        <f t="shared" si="215"/>
        <v>922427</v>
      </c>
      <c r="BM77" s="434">
        <f t="shared" si="215"/>
        <v>0</v>
      </c>
      <c r="BN77" s="434">
        <f t="shared" si="215"/>
        <v>0</v>
      </c>
      <c r="BO77" s="434">
        <f t="shared" si="215"/>
        <v>0</v>
      </c>
      <c r="BP77" s="434">
        <f t="shared" si="215"/>
        <v>2049946</v>
      </c>
      <c r="BQ77" s="434">
        <f t="shared" si="215"/>
        <v>60650</v>
      </c>
      <c r="BR77" s="434">
        <f t="shared" si="215"/>
        <v>65545</v>
      </c>
      <c r="BS77" s="435">
        <f t="shared" si="215"/>
        <v>12.398299999999999</v>
      </c>
      <c r="BT77" s="435">
        <f t="shared" si="215"/>
        <v>9.6631999999999998</v>
      </c>
      <c r="BU77" s="103">
        <f t="shared" si="215"/>
        <v>2.7351000000000001</v>
      </c>
      <c r="BV77" s="817">
        <f t="shared" si="215"/>
        <v>0</v>
      </c>
      <c r="BW77" s="703">
        <f t="shared" si="215"/>
        <v>0</v>
      </c>
      <c r="BX77" s="703">
        <f t="shared" si="215"/>
        <v>0</v>
      </c>
      <c r="BY77" s="703">
        <f t="shared" si="215"/>
        <v>0</v>
      </c>
      <c r="BZ77" s="703">
        <f t="shared" si="215"/>
        <v>0</v>
      </c>
      <c r="CA77" s="818">
        <f t="shared" si="215"/>
        <v>0</v>
      </c>
    </row>
    <row r="78" spans="1:79" s="96" customFormat="1" ht="14.1" customHeight="1" x14ac:dyDescent="0.2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724</v>
      </c>
      <c r="F78" s="94">
        <v>3111</v>
      </c>
      <c r="G78" s="77" t="s">
        <v>290</v>
      </c>
      <c r="H78" s="95" t="s">
        <v>271</v>
      </c>
      <c r="I78" s="600">
        <v>1735116</v>
      </c>
      <c r="J78" s="599">
        <v>1281783</v>
      </c>
      <c r="K78" s="599">
        <v>1221879</v>
      </c>
      <c r="L78" s="599">
        <v>59904</v>
      </c>
      <c r="M78" s="599">
        <v>0</v>
      </c>
      <c r="N78" s="599">
        <v>0</v>
      </c>
      <c r="O78" s="599">
        <v>0</v>
      </c>
      <c r="P78" s="599">
        <v>433243</v>
      </c>
      <c r="Q78" s="599">
        <v>12818</v>
      </c>
      <c r="R78" s="599">
        <v>7272</v>
      </c>
      <c r="S78" s="417">
        <v>2.4962</v>
      </c>
      <c r="T78" s="417">
        <v>2.2562000000000002</v>
      </c>
      <c r="U78" s="754">
        <v>0.24</v>
      </c>
      <c r="V78" s="424">
        <f t="shared" ref="V78:W83" si="216">AG78*-1</f>
        <v>0</v>
      </c>
      <c r="W78" s="418">
        <f t="shared" si="216"/>
        <v>0</v>
      </c>
      <c r="X78" s="418">
        <v>0</v>
      </c>
      <c r="Y78" s="418">
        <v>0</v>
      </c>
      <c r="Z78" s="418">
        <v>0</v>
      </c>
      <c r="AA78" s="418">
        <v>0</v>
      </c>
      <c r="AB78" s="418">
        <v>0</v>
      </c>
      <c r="AC78" s="418">
        <v>0</v>
      </c>
      <c r="AD78" s="418">
        <f t="shared" ref="AD78:AD83" si="217">V78+X78+Y78+Z78+AB78</f>
        <v>0</v>
      </c>
      <c r="AE78" s="418">
        <f t="shared" ref="AE78:AE83" si="218">W78+AA78+AC78</f>
        <v>0</v>
      </c>
      <c r="AF78" s="418">
        <f t="shared" ref="AF78:AF83" si="219"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ref="AL78:AL83" si="220">AG78+AI78+AJ78</f>
        <v>0</v>
      </c>
      <c r="AM78" s="418">
        <f t="shared" ref="AM78:AM83" si="221">AH78+AK78</f>
        <v>0</v>
      </c>
      <c r="AN78" s="418">
        <f t="shared" ref="AN78:AN83" si="222">SUM(AL78:AM78)</f>
        <v>0</v>
      </c>
      <c r="AO78" s="418">
        <f t="shared" ref="AO78:AP83" si="223">AD78+AL78</f>
        <v>0</v>
      </c>
      <c r="AP78" s="418">
        <f t="shared" si="223"/>
        <v>0</v>
      </c>
      <c r="AQ78" s="418">
        <f t="shared" ref="AQ78:AQ83" si="224">SUM(AO78:AP78)</f>
        <v>0</v>
      </c>
      <c r="AR78" s="68">
        <f t="shared" ref="AR78:AR83" si="225">ROUND((AF78+AG78+AH78+AI78)*33.8%,0)</f>
        <v>0</v>
      </c>
      <c r="AS78" s="68">
        <f t="shared" ref="AS78:AS83" si="226">ROUND(AF78*1%,0)</f>
        <v>0</v>
      </c>
      <c r="AT78" s="418">
        <v>0</v>
      </c>
      <c r="AU78" s="418">
        <v>0</v>
      </c>
      <c r="AV78" s="418">
        <f t="shared" ref="AV78:AV83" si="227">AT78+AU78</f>
        <v>0</v>
      </c>
      <c r="AW78" s="418">
        <f t="shared" ref="AW78:AW83" si="228"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9">
        <v>0</v>
      </c>
      <c r="BC78" s="419">
        <v>0</v>
      </c>
      <c r="BD78" s="419">
        <v>0</v>
      </c>
      <c r="BE78" s="419">
        <v>0</v>
      </c>
      <c r="BF78" s="419">
        <f t="shared" ref="BF78:BF83" si="229">AX78+AZ78+BA78+BC78+BD78</f>
        <v>0</v>
      </c>
      <c r="BG78" s="419">
        <f t="shared" ref="BG78:BG83" si="230">AY78+BB78+BE78</f>
        <v>0</v>
      </c>
      <c r="BH78" s="421">
        <f t="shared" ref="BH78:BH83" si="231">SUM(BF78:BG78)</f>
        <v>0</v>
      </c>
      <c r="BI78" s="780">
        <f t="shared" ref="BI78:BI83" si="232">I78+AW78</f>
        <v>1735116</v>
      </c>
      <c r="BJ78" s="418">
        <f t="shared" ref="BJ78:BJ83" si="233">J78+AF78</f>
        <v>1281783</v>
      </c>
      <c r="BK78" s="418">
        <f t="shared" ref="BK78:BL83" si="234">K78+AD78</f>
        <v>1221879</v>
      </c>
      <c r="BL78" s="418">
        <f t="shared" si="234"/>
        <v>59904</v>
      </c>
      <c r="BM78" s="418">
        <f t="shared" ref="BM78:BM83" si="235">M78+AN78</f>
        <v>0</v>
      </c>
      <c r="BN78" s="418">
        <f t="shared" ref="BN78:BO83" si="236">N78+AL78</f>
        <v>0</v>
      </c>
      <c r="BO78" s="418">
        <f t="shared" si="236"/>
        <v>0</v>
      </c>
      <c r="BP78" s="418">
        <f t="shared" ref="BP78:BQ83" si="237">P78+AR78</f>
        <v>433243</v>
      </c>
      <c r="BQ78" s="418">
        <f t="shared" si="237"/>
        <v>12818</v>
      </c>
      <c r="BR78" s="418">
        <f t="shared" ref="BR78:BR83" si="238">R78+AV78</f>
        <v>7272</v>
      </c>
      <c r="BS78" s="419">
        <f t="shared" ref="BS78:BS83" si="239">S78+BH78</f>
        <v>2.4962</v>
      </c>
      <c r="BT78" s="419">
        <f t="shared" ref="BT78:BU83" si="240">T78+BF78</f>
        <v>2.2562000000000002</v>
      </c>
      <c r="BU78" s="421">
        <f t="shared" si="240"/>
        <v>0.24</v>
      </c>
      <c r="BV78" s="420"/>
      <c r="BW78" s="415"/>
      <c r="BX78" s="415"/>
      <c r="BY78" s="415"/>
      <c r="BZ78" s="415"/>
      <c r="CA78" s="510"/>
    </row>
    <row r="79" spans="1:79" s="96" customFormat="1" ht="14.1" customHeight="1" x14ac:dyDescent="0.2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724</v>
      </c>
      <c r="F79" s="105">
        <v>3117</v>
      </c>
      <c r="G79" s="104" t="s">
        <v>308</v>
      </c>
      <c r="H79" s="95" t="s">
        <v>271</v>
      </c>
      <c r="I79" s="600">
        <v>1055007</v>
      </c>
      <c r="J79" s="599">
        <v>756476</v>
      </c>
      <c r="K79" s="599">
        <v>630917</v>
      </c>
      <c r="L79" s="599">
        <v>125559</v>
      </c>
      <c r="M79" s="599">
        <v>20000</v>
      </c>
      <c r="N79" s="599">
        <v>20000</v>
      </c>
      <c r="O79" s="599">
        <v>0</v>
      </c>
      <c r="P79" s="599">
        <v>262448</v>
      </c>
      <c r="Q79" s="599">
        <v>7564</v>
      </c>
      <c r="R79" s="599">
        <v>8519</v>
      </c>
      <c r="S79" s="417">
        <v>1.4322999999999999</v>
      </c>
      <c r="T79" s="417">
        <v>1.1089</v>
      </c>
      <c r="U79" s="754">
        <v>0.32339999999999997</v>
      </c>
      <c r="V79" s="424">
        <f t="shared" si="216"/>
        <v>0</v>
      </c>
      <c r="W79" s="418">
        <f t="shared" si="216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217"/>
        <v>0</v>
      </c>
      <c r="AE79" s="418">
        <f t="shared" si="218"/>
        <v>0</v>
      </c>
      <c r="AF79" s="418">
        <f t="shared" si="219"/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220"/>
        <v>0</v>
      </c>
      <c r="AM79" s="418">
        <f t="shared" si="221"/>
        <v>0</v>
      </c>
      <c r="AN79" s="418">
        <f t="shared" si="222"/>
        <v>0</v>
      </c>
      <c r="AO79" s="418">
        <f t="shared" si="223"/>
        <v>0</v>
      </c>
      <c r="AP79" s="418">
        <f t="shared" si="223"/>
        <v>0</v>
      </c>
      <c r="AQ79" s="418">
        <f t="shared" si="224"/>
        <v>0</v>
      </c>
      <c r="AR79" s="68">
        <f t="shared" si="225"/>
        <v>0</v>
      </c>
      <c r="AS79" s="68">
        <f t="shared" si="226"/>
        <v>0</v>
      </c>
      <c r="AT79" s="418">
        <v>0</v>
      </c>
      <c r="AU79" s="418">
        <v>0</v>
      </c>
      <c r="AV79" s="418">
        <f t="shared" si="227"/>
        <v>0</v>
      </c>
      <c r="AW79" s="418">
        <f t="shared" si="228"/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229"/>
        <v>0</v>
      </c>
      <c r="BG79" s="419">
        <f t="shared" si="230"/>
        <v>0</v>
      </c>
      <c r="BH79" s="421">
        <f t="shared" si="231"/>
        <v>0</v>
      </c>
      <c r="BI79" s="780">
        <f t="shared" si="232"/>
        <v>1055007</v>
      </c>
      <c r="BJ79" s="418">
        <f t="shared" si="233"/>
        <v>756476</v>
      </c>
      <c r="BK79" s="418">
        <f t="shared" si="234"/>
        <v>630917</v>
      </c>
      <c r="BL79" s="418">
        <f t="shared" si="234"/>
        <v>125559</v>
      </c>
      <c r="BM79" s="418">
        <f t="shared" si="235"/>
        <v>20000</v>
      </c>
      <c r="BN79" s="418">
        <f t="shared" si="236"/>
        <v>20000</v>
      </c>
      <c r="BO79" s="418">
        <f t="shared" si="236"/>
        <v>0</v>
      </c>
      <c r="BP79" s="418">
        <f t="shared" si="237"/>
        <v>262448</v>
      </c>
      <c r="BQ79" s="418">
        <f t="shared" si="237"/>
        <v>7564</v>
      </c>
      <c r="BR79" s="418">
        <f t="shared" si="238"/>
        <v>8519</v>
      </c>
      <c r="BS79" s="419">
        <f t="shared" si="239"/>
        <v>1.4322999999999999</v>
      </c>
      <c r="BT79" s="419">
        <f t="shared" si="240"/>
        <v>1.1089</v>
      </c>
      <c r="BU79" s="421">
        <f t="shared" si="240"/>
        <v>0.32339999999999997</v>
      </c>
      <c r="BV79" s="420"/>
      <c r="BW79" s="415"/>
      <c r="BX79" s="415"/>
      <c r="BY79" s="415"/>
      <c r="BZ79" s="415"/>
      <c r="CA79" s="510"/>
    </row>
    <row r="80" spans="1:79" s="96" customFormat="1" ht="14.1" customHeight="1" x14ac:dyDescent="0.2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724</v>
      </c>
      <c r="F80" s="94">
        <v>3117</v>
      </c>
      <c r="G80" s="77" t="s">
        <v>291</v>
      </c>
      <c r="H80" s="95" t="s">
        <v>272</v>
      </c>
      <c r="I80" s="600">
        <v>499840</v>
      </c>
      <c r="J80" s="599">
        <v>370801</v>
      </c>
      <c r="K80" s="599">
        <v>370801</v>
      </c>
      <c r="L80" s="599">
        <v>0</v>
      </c>
      <c r="M80" s="599">
        <v>0</v>
      </c>
      <c r="N80" s="599">
        <v>0</v>
      </c>
      <c r="O80" s="599">
        <v>0</v>
      </c>
      <c r="P80" s="599">
        <v>125331</v>
      </c>
      <c r="Q80" s="599">
        <v>3708</v>
      </c>
      <c r="R80" s="599">
        <v>0</v>
      </c>
      <c r="S80" s="417">
        <v>1</v>
      </c>
      <c r="T80" s="417">
        <v>1</v>
      </c>
      <c r="U80" s="754">
        <v>0</v>
      </c>
      <c r="V80" s="424">
        <f t="shared" si="216"/>
        <v>0</v>
      </c>
      <c r="W80" s="418">
        <f t="shared" si="216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si="217"/>
        <v>0</v>
      </c>
      <c r="AE80" s="418">
        <f t="shared" si="218"/>
        <v>0</v>
      </c>
      <c r="AF80" s="418">
        <f t="shared" si="219"/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220"/>
        <v>0</v>
      </c>
      <c r="AM80" s="418">
        <f t="shared" si="221"/>
        <v>0</v>
      </c>
      <c r="AN80" s="418">
        <f t="shared" si="222"/>
        <v>0</v>
      </c>
      <c r="AO80" s="418">
        <f t="shared" si="223"/>
        <v>0</v>
      </c>
      <c r="AP80" s="418">
        <f t="shared" si="223"/>
        <v>0</v>
      </c>
      <c r="AQ80" s="418">
        <f t="shared" si="224"/>
        <v>0</v>
      </c>
      <c r="AR80" s="68">
        <f t="shared" si="225"/>
        <v>0</v>
      </c>
      <c r="AS80" s="68">
        <f t="shared" si="226"/>
        <v>0</v>
      </c>
      <c r="AT80" s="418">
        <v>0</v>
      </c>
      <c r="AU80" s="418">
        <v>0</v>
      </c>
      <c r="AV80" s="418">
        <f t="shared" si="227"/>
        <v>0</v>
      </c>
      <c r="AW80" s="418">
        <f t="shared" si="228"/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si="229"/>
        <v>0</v>
      </c>
      <c r="BG80" s="419">
        <f t="shared" si="230"/>
        <v>0</v>
      </c>
      <c r="BH80" s="421">
        <f t="shared" si="231"/>
        <v>0</v>
      </c>
      <c r="BI80" s="780">
        <f t="shared" si="232"/>
        <v>499840</v>
      </c>
      <c r="BJ80" s="418">
        <f t="shared" si="233"/>
        <v>370801</v>
      </c>
      <c r="BK80" s="418">
        <f t="shared" si="234"/>
        <v>370801</v>
      </c>
      <c r="BL80" s="418">
        <f t="shared" si="234"/>
        <v>0</v>
      </c>
      <c r="BM80" s="418">
        <f t="shared" si="235"/>
        <v>0</v>
      </c>
      <c r="BN80" s="418">
        <f t="shared" si="236"/>
        <v>0</v>
      </c>
      <c r="BO80" s="418">
        <f t="shared" si="236"/>
        <v>0</v>
      </c>
      <c r="BP80" s="418">
        <f t="shared" si="237"/>
        <v>125331</v>
      </c>
      <c r="BQ80" s="418">
        <f t="shared" si="237"/>
        <v>3708</v>
      </c>
      <c r="BR80" s="418">
        <f t="shared" si="238"/>
        <v>0</v>
      </c>
      <c r="BS80" s="419">
        <f t="shared" si="239"/>
        <v>1</v>
      </c>
      <c r="BT80" s="419">
        <f t="shared" si="240"/>
        <v>1</v>
      </c>
      <c r="BU80" s="421">
        <f t="shared" si="240"/>
        <v>0</v>
      </c>
      <c r="BV80" s="420"/>
      <c r="BW80" s="415"/>
      <c r="BX80" s="415"/>
      <c r="BY80" s="415"/>
      <c r="BZ80" s="415"/>
      <c r="CA80" s="510"/>
    </row>
    <row r="81" spans="1:79" s="96" customFormat="1" ht="14.1" customHeight="1" x14ac:dyDescent="0.2">
      <c r="A81" s="118">
        <v>11</v>
      </c>
      <c r="B81" s="77">
        <v>2464</v>
      </c>
      <c r="C81" s="93">
        <v>600080081</v>
      </c>
      <c r="D81" s="77">
        <v>72753846</v>
      </c>
      <c r="E81" s="77" t="s">
        <v>724</v>
      </c>
      <c r="F81" s="94">
        <v>3141</v>
      </c>
      <c r="G81" s="77" t="s">
        <v>294</v>
      </c>
      <c r="H81" s="95" t="s">
        <v>272</v>
      </c>
      <c r="I81" s="600">
        <v>246529</v>
      </c>
      <c r="J81" s="599">
        <v>182314</v>
      </c>
      <c r="K81" s="599">
        <v>0</v>
      </c>
      <c r="L81" s="605">
        <v>182314</v>
      </c>
      <c r="M81" s="599">
        <v>0</v>
      </c>
      <c r="N81" s="599">
        <v>0</v>
      </c>
      <c r="O81" s="599">
        <v>0</v>
      </c>
      <c r="P81" s="599">
        <v>61622</v>
      </c>
      <c r="Q81" s="599">
        <v>1823</v>
      </c>
      <c r="R81" s="599">
        <v>770</v>
      </c>
      <c r="S81" s="417">
        <v>0.54669999999999996</v>
      </c>
      <c r="T81" s="417">
        <v>0</v>
      </c>
      <c r="U81" s="754">
        <v>0.54669999999999996</v>
      </c>
      <c r="V81" s="424">
        <f t="shared" si="216"/>
        <v>0</v>
      </c>
      <c r="W81" s="418">
        <f t="shared" si="216"/>
        <v>0</v>
      </c>
      <c r="X81" s="418">
        <v>0</v>
      </c>
      <c r="Y81" s="418">
        <v>0</v>
      </c>
      <c r="Z81" s="418">
        <v>0</v>
      </c>
      <c r="AA81" s="418">
        <v>91351</v>
      </c>
      <c r="AB81" s="418">
        <v>0</v>
      </c>
      <c r="AC81" s="418">
        <v>0</v>
      </c>
      <c r="AD81" s="418">
        <f t="shared" si="217"/>
        <v>0</v>
      </c>
      <c r="AE81" s="418">
        <f t="shared" si="218"/>
        <v>91351</v>
      </c>
      <c r="AF81" s="418">
        <f t="shared" si="219"/>
        <v>91351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220"/>
        <v>0</v>
      </c>
      <c r="AM81" s="418">
        <f t="shared" si="221"/>
        <v>0</v>
      </c>
      <c r="AN81" s="418">
        <f t="shared" si="222"/>
        <v>0</v>
      </c>
      <c r="AO81" s="418">
        <f t="shared" si="223"/>
        <v>0</v>
      </c>
      <c r="AP81" s="418">
        <f t="shared" si="223"/>
        <v>91351</v>
      </c>
      <c r="AQ81" s="418">
        <f t="shared" si="224"/>
        <v>91351</v>
      </c>
      <c r="AR81" s="68">
        <f t="shared" si="225"/>
        <v>30877</v>
      </c>
      <c r="AS81" s="68">
        <f t="shared" si="226"/>
        <v>914</v>
      </c>
      <c r="AT81" s="418">
        <v>0</v>
      </c>
      <c r="AU81" s="418">
        <v>374</v>
      </c>
      <c r="AV81" s="418">
        <f t="shared" si="227"/>
        <v>374</v>
      </c>
      <c r="AW81" s="418">
        <f t="shared" si="228"/>
        <v>123516</v>
      </c>
      <c r="AX81" s="419">
        <v>0</v>
      </c>
      <c r="AY81" s="419">
        <v>0</v>
      </c>
      <c r="AZ81" s="419">
        <v>0</v>
      </c>
      <c r="BA81" s="419">
        <v>0</v>
      </c>
      <c r="BB81" s="419">
        <v>0.27</v>
      </c>
      <c r="BC81" s="419">
        <v>0</v>
      </c>
      <c r="BD81" s="419">
        <v>0</v>
      </c>
      <c r="BE81" s="419">
        <v>0</v>
      </c>
      <c r="BF81" s="419">
        <f t="shared" si="229"/>
        <v>0</v>
      </c>
      <c r="BG81" s="419">
        <f t="shared" si="230"/>
        <v>0.27</v>
      </c>
      <c r="BH81" s="421">
        <f t="shared" si="231"/>
        <v>0.27</v>
      </c>
      <c r="BI81" s="780">
        <f t="shared" si="232"/>
        <v>370045</v>
      </c>
      <c r="BJ81" s="418">
        <f t="shared" si="233"/>
        <v>273665</v>
      </c>
      <c r="BK81" s="418">
        <f t="shared" si="234"/>
        <v>0</v>
      </c>
      <c r="BL81" s="418">
        <f t="shared" si="234"/>
        <v>273665</v>
      </c>
      <c r="BM81" s="418">
        <f t="shared" si="235"/>
        <v>0</v>
      </c>
      <c r="BN81" s="418">
        <f t="shared" si="236"/>
        <v>0</v>
      </c>
      <c r="BO81" s="418">
        <f t="shared" si="236"/>
        <v>0</v>
      </c>
      <c r="BP81" s="418">
        <f t="shared" si="237"/>
        <v>92499</v>
      </c>
      <c r="BQ81" s="418">
        <f t="shared" si="237"/>
        <v>2737</v>
      </c>
      <c r="BR81" s="418">
        <f t="shared" si="238"/>
        <v>1144</v>
      </c>
      <c r="BS81" s="419">
        <f t="shared" si="239"/>
        <v>0.81669999999999998</v>
      </c>
      <c r="BT81" s="419">
        <f t="shared" si="240"/>
        <v>0</v>
      </c>
      <c r="BU81" s="421">
        <f t="shared" si="240"/>
        <v>0.81669999999999998</v>
      </c>
      <c r="BV81" s="420"/>
      <c r="BW81" s="415"/>
      <c r="BX81" s="415"/>
      <c r="BY81" s="415"/>
      <c r="BZ81" s="415"/>
      <c r="CA81" s="510"/>
    </row>
    <row r="82" spans="1:79" s="96" customFormat="1" ht="14.1" customHeight="1" x14ac:dyDescent="0.2">
      <c r="A82" s="118">
        <v>11</v>
      </c>
      <c r="B82" s="77">
        <v>2464</v>
      </c>
      <c r="C82" s="93">
        <v>600080081</v>
      </c>
      <c r="D82" s="77">
        <v>72753846</v>
      </c>
      <c r="E82" s="77" t="s">
        <v>724</v>
      </c>
      <c r="F82" s="94">
        <v>3143</v>
      </c>
      <c r="G82" s="77" t="s">
        <v>595</v>
      </c>
      <c r="H82" s="95" t="s">
        <v>271</v>
      </c>
      <c r="I82" s="600">
        <v>595117</v>
      </c>
      <c r="J82" s="599">
        <v>441481</v>
      </c>
      <c r="K82" s="599">
        <v>441481</v>
      </c>
      <c r="L82" s="599">
        <v>0</v>
      </c>
      <c r="M82" s="599">
        <v>0</v>
      </c>
      <c r="N82" s="599">
        <v>0</v>
      </c>
      <c r="O82" s="599">
        <v>0</v>
      </c>
      <c r="P82" s="599">
        <v>149221</v>
      </c>
      <c r="Q82" s="599">
        <v>4415</v>
      </c>
      <c r="R82" s="599">
        <v>0</v>
      </c>
      <c r="S82" s="417">
        <v>1.0832999999999999</v>
      </c>
      <c r="T82" s="417">
        <v>1.0832999999999999</v>
      </c>
      <c r="U82" s="754">
        <v>0</v>
      </c>
      <c r="V82" s="424">
        <f t="shared" si="216"/>
        <v>0</v>
      </c>
      <c r="W82" s="418">
        <f t="shared" si="216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217"/>
        <v>0</v>
      </c>
      <c r="AE82" s="418">
        <f t="shared" si="218"/>
        <v>0</v>
      </c>
      <c r="AF82" s="418">
        <f t="shared" si="219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220"/>
        <v>0</v>
      </c>
      <c r="AM82" s="418">
        <f t="shared" si="221"/>
        <v>0</v>
      </c>
      <c r="AN82" s="418">
        <f t="shared" si="222"/>
        <v>0</v>
      </c>
      <c r="AO82" s="418">
        <f t="shared" si="223"/>
        <v>0</v>
      </c>
      <c r="AP82" s="418">
        <f t="shared" si="223"/>
        <v>0</v>
      </c>
      <c r="AQ82" s="418">
        <f t="shared" si="224"/>
        <v>0</v>
      </c>
      <c r="AR82" s="68">
        <f t="shared" si="225"/>
        <v>0</v>
      </c>
      <c r="AS82" s="68">
        <f t="shared" si="226"/>
        <v>0</v>
      </c>
      <c r="AT82" s="418">
        <v>0</v>
      </c>
      <c r="AU82" s="418">
        <v>0</v>
      </c>
      <c r="AV82" s="418">
        <f t="shared" si="227"/>
        <v>0</v>
      </c>
      <c r="AW82" s="418">
        <f t="shared" si="228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229"/>
        <v>0</v>
      </c>
      <c r="BG82" s="419">
        <f t="shared" si="230"/>
        <v>0</v>
      </c>
      <c r="BH82" s="421">
        <f t="shared" si="231"/>
        <v>0</v>
      </c>
      <c r="BI82" s="780">
        <f t="shared" si="232"/>
        <v>595117</v>
      </c>
      <c r="BJ82" s="418">
        <f t="shared" si="233"/>
        <v>441481</v>
      </c>
      <c r="BK82" s="418">
        <f t="shared" si="234"/>
        <v>441481</v>
      </c>
      <c r="BL82" s="418">
        <f t="shared" si="234"/>
        <v>0</v>
      </c>
      <c r="BM82" s="418">
        <f t="shared" si="235"/>
        <v>0</v>
      </c>
      <c r="BN82" s="418">
        <f t="shared" si="236"/>
        <v>0</v>
      </c>
      <c r="BO82" s="418">
        <f t="shared" si="236"/>
        <v>0</v>
      </c>
      <c r="BP82" s="418">
        <f t="shared" si="237"/>
        <v>149221</v>
      </c>
      <c r="BQ82" s="418">
        <f t="shared" si="237"/>
        <v>4415</v>
      </c>
      <c r="BR82" s="418">
        <f t="shared" si="238"/>
        <v>0</v>
      </c>
      <c r="BS82" s="419">
        <f t="shared" si="239"/>
        <v>1.0832999999999999</v>
      </c>
      <c r="BT82" s="419">
        <f t="shared" si="240"/>
        <v>1.0832999999999999</v>
      </c>
      <c r="BU82" s="421">
        <f t="shared" si="240"/>
        <v>0</v>
      </c>
      <c r="BV82" s="420"/>
      <c r="BW82" s="415"/>
      <c r="BX82" s="415"/>
      <c r="BY82" s="415"/>
      <c r="BZ82" s="415"/>
      <c r="CA82" s="510"/>
    </row>
    <row r="83" spans="1:79" s="96" customFormat="1" ht="14.1" customHeight="1" x14ac:dyDescent="0.2">
      <c r="A83" s="118">
        <v>11</v>
      </c>
      <c r="B83" s="77">
        <v>2464</v>
      </c>
      <c r="C83" s="93">
        <v>600080081</v>
      </c>
      <c r="D83" s="77">
        <v>72753846</v>
      </c>
      <c r="E83" s="77" t="s">
        <v>724</v>
      </c>
      <c r="F83" s="94">
        <v>3143</v>
      </c>
      <c r="G83" s="77" t="s">
        <v>596</v>
      </c>
      <c r="H83" s="95" t="s">
        <v>272</v>
      </c>
      <c r="I83" s="600">
        <v>3579</v>
      </c>
      <c r="J83" s="599">
        <v>2561</v>
      </c>
      <c r="K83" s="599">
        <v>0</v>
      </c>
      <c r="L83" s="605">
        <v>2561</v>
      </c>
      <c r="M83" s="599">
        <v>0</v>
      </c>
      <c r="N83" s="606">
        <v>0</v>
      </c>
      <c r="O83" s="606">
        <v>0</v>
      </c>
      <c r="P83" s="599">
        <v>866</v>
      </c>
      <c r="Q83" s="599">
        <v>26</v>
      </c>
      <c r="R83" s="606">
        <v>126</v>
      </c>
      <c r="S83" s="417">
        <v>9.7000000000000003E-3</v>
      </c>
      <c r="T83" s="609">
        <v>0</v>
      </c>
      <c r="U83" s="737">
        <v>9.7000000000000003E-3</v>
      </c>
      <c r="V83" s="424">
        <f t="shared" si="216"/>
        <v>0</v>
      </c>
      <c r="W83" s="418">
        <f t="shared" si="216"/>
        <v>0</v>
      </c>
      <c r="X83" s="418">
        <v>0</v>
      </c>
      <c r="Y83" s="418">
        <v>0</v>
      </c>
      <c r="Z83" s="418">
        <v>0</v>
      </c>
      <c r="AA83" s="418">
        <v>1289</v>
      </c>
      <c r="AB83" s="418">
        <v>0</v>
      </c>
      <c r="AC83" s="418">
        <v>0</v>
      </c>
      <c r="AD83" s="418">
        <f t="shared" si="217"/>
        <v>0</v>
      </c>
      <c r="AE83" s="418">
        <f t="shared" si="218"/>
        <v>1289</v>
      </c>
      <c r="AF83" s="418">
        <f t="shared" si="219"/>
        <v>1289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220"/>
        <v>0</v>
      </c>
      <c r="AM83" s="418">
        <f t="shared" si="221"/>
        <v>0</v>
      </c>
      <c r="AN83" s="418">
        <f t="shared" si="222"/>
        <v>0</v>
      </c>
      <c r="AO83" s="418">
        <f t="shared" si="223"/>
        <v>0</v>
      </c>
      <c r="AP83" s="418">
        <f t="shared" si="223"/>
        <v>1289</v>
      </c>
      <c r="AQ83" s="418">
        <f t="shared" si="224"/>
        <v>1289</v>
      </c>
      <c r="AR83" s="68">
        <f t="shared" si="225"/>
        <v>436</v>
      </c>
      <c r="AS83" s="68">
        <f t="shared" si="226"/>
        <v>13</v>
      </c>
      <c r="AT83" s="418">
        <v>0</v>
      </c>
      <c r="AU83" s="418">
        <v>63</v>
      </c>
      <c r="AV83" s="418">
        <f t="shared" si="227"/>
        <v>63</v>
      </c>
      <c r="AW83" s="418">
        <f t="shared" si="228"/>
        <v>1801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229"/>
        <v>0</v>
      </c>
      <c r="BG83" s="419">
        <f t="shared" si="230"/>
        <v>0</v>
      </c>
      <c r="BH83" s="421">
        <f t="shared" si="231"/>
        <v>0</v>
      </c>
      <c r="BI83" s="780">
        <f t="shared" si="232"/>
        <v>5380</v>
      </c>
      <c r="BJ83" s="418">
        <f t="shared" si="233"/>
        <v>3850</v>
      </c>
      <c r="BK83" s="418">
        <f t="shared" si="234"/>
        <v>0</v>
      </c>
      <c r="BL83" s="418">
        <f t="shared" si="234"/>
        <v>3850</v>
      </c>
      <c r="BM83" s="418">
        <f t="shared" si="235"/>
        <v>0</v>
      </c>
      <c r="BN83" s="418">
        <f t="shared" si="236"/>
        <v>0</v>
      </c>
      <c r="BO83" s="418">
        <f t="shared" si="236"/>
        <v>0</v>
      </c>
      <c r="BP83" s="418">
        <f t="shared" si="237"/>
        <v>1302</v>
      </c>
      <c r="BQ83" s="418">
        <f t="shared" si="237"/>
        <v>39</v>
      </c>
      <c r="BR83" s="418">
        <f t="shared" si="238"/>
        <v>189</v>
      </c>
      <c r="BS83" s="419">
        <f t="shared" si="239"/>
        <v>9.7000000000000003E-3</v>
      </c>
      <c r="BT83" s="419">
        <f t="shared" si="240"/>
        <v>0</v>
      </c>
      <c r="BU83" s="421">
        <f t="shared" si="240"/>
        <v>9.7000000000000003E-3</v>
      </c>
      <c r="BV83" s="420"/>
      <c r="BW83" s="415"/>
      <c r="BX83" s="415"/>
      <c r="BY83" s="415"/>
      <c r="BZ83" s="415"/>
      <c r="CA83" s="510"/>
    </row>
    <row r="84" spans="1:79" s="96" customFormat="1" ht="14.1" customHeight="1" x14ac:dyDescent="0.2">
      <c r="A84" s="119">
        <v>11</v>
      </c>
      <c r="B84" s="97">
        <v>2464</v>
      </c>
      <c r="C84" s="98">
        <v>600080081</v>
      </c>
      <c r="D84" s="97">
        <v>72753846</v>
      </c>
      <c r="E84" s="97" t="s">
        <v>725</v>
      </c>
      <c r="F84" s="106"/>
      <c r="G84" s="100"/>
      <c r="H84" s="101"/>
      <c r="I84" s="438">
        <v>4135188</v>
      </c>
      <c r="J84" s="434">
        <v>3035416</v>
      </c>
      <c r="K84" s="434">
        <v>2665078</v>
      </c>
      <c r="L84" s="434">
        <v>370338</v>
      </c>
      <c r="M84" s="434">
        <v>20000</v>
      </c>
      <c r="N84" s="434">
        <v>20000</v>
      </c>
      <c r="O84" s="434">
        <v>0</v>
      </c>
      <c r="P84" s="434">
        <v>1032731</v>
      </c>
      <c r="Q84" s="434">
        <v>30354</v>
      </c>
      <c r="R84" s="434">
        <v>16687</v>
      </c>
      <c r="S84" s="435">
        <v>6.5681999999999983</v>
      </c>
      <c r="T84" s="435">
        <v>5.4483999999999995</v>
      </c>
      <c r="U84" s="700">
        <v>1.1197999999999999</v>
      </c>
      <c r="V84" s="438">
        <f t="shared" ref="V84:CA84" si="241">SUM(V78:V83)</f>
        <v>0</v>
      </c>
      <c r="W84" s="434">
        <f t="shared" si="241"/>
        <v>0</v>
      </c>
      <c r="X84" s="434">
        <f t="shared" si="241"/>
        <v>0</v>
      </c>
      <c r="Y84" s="434">
        <f t="shared" si="241"/>
        <v>0</v>
      </c>
      <c r="Z84" s="434">
        <f t="shared" si="241"/>
        <v>0</v>
      </c>
      <c r="AA84" s="434">
        <f t="shared" si="241"/>
        <v>92640</v>
      </c>
      <c r="AB84" s="434">
        <f t="shared" si="241"/>
        <v>0</v>
      </c>
      <c r="AC84" s="434">
        <f t="shared" si="241"/>
        <v>0</v>
      </c>
      <c r="AD84" s="434">
        <f t="shared" si="241"/>
        <v>0</v>
      </c>
      <c r="AE84" s="434">
        <f t="shared" si="241"/>
        <v>92640</v>
      </c>
      <c r="AF84" s="434">
        <f t="shared" si="241"/>
        <v>92640</v>
      </c>
      <c r="AG84" s="434">
        <f t="shared" si="241"/>
        <v>0</v>
      </c>
      <c r="AH84" s="434">
        <f t="shared" si="241"/>
        <v>0</v>
      </c>
      <c r="AI84" s="434">
        <f t="shared" si="241"/>
        <v>0</v>
      </c>
      <c r="AJ84" s="434">
        <f t="shared" si="241"/>
        <v>0</v>
      </c>
      <c r="AK84" s="434">
        <f t="shared" si="241"/>
        <v>0</v>
      </c>
      <c r="AL84" s="434">
        <f t="shared" si="241"/>
        <v>0</v>
      </c>
      <c r="AM84" s="434">
        <f t="shared" si="241"/>
        <v>0</v>
      </c>
      <c r="AN84" s="434">
        <f t="shared" si="241"/>
        <v>0</v>
      </c>
      <c r="AO84" s="434">
        <f t="shared" si="241"/>
        <v>0</v>
      </c>
      <c r="AP84" s="434">
        <f t="shared" si="241"/>
        <v>92640</v>
      </c>
      <c r="AQ84" s="434">
        <f t="shared" si="241"/>
        <v>92640</v>
      </c>
      <c r="AR84" s="434">
        <f t="shared" si="241"/>
        <v>31313</v>
      </c>
      <c r="AS84" s="434">
        <f t="shared" si="241"/>
        <v>927</v>
      </c>
      <c r="AT84" s="434">
        <f t="shared" si="241"/>
        <v>0</v>
      </c>
      <c r="AU84" s="434">
        <f t="shared" si="241"/>
        <v>437</v>
      </c>
      <c r="AV84" s="434">
        <f t="shared" si="241"/>
        <v>437</v>
      </c>
      <c r="AW84" s="434">
        <f t="shared" si="241"/>
        <v>125317</v>
      </c>
      <c r="AX84" s="435">
        <f t="shared" si="241"/>
        <v>0</v>
      </c>
      <c r="AY84" s="435">
        <f t="shared" si="241"/>
        <v>0</v>
      </c>
      <c r="AZ84" s="435">
        <f t="shared" si="241"/>
        <v>0</v>
      </c>
      <c r="BA84" s="435">
        <f t="shared" si="241"/>
        <v>0</v>
      </c>
      <c r="BB84" s="435">
        <f t="shared" si="241"/>
        <v>0.27</v>
      </c>
      <c r="BC84" s="435">
        <f t="shared" si="241"/>
        <v>0</v>
      </c>
      <c r="BD84" s="435">
        <f t="shared" si="241"/>
        <v>0</v>
      </c>
      <c r="BE84" s="435">
        <f t="shared" si="241"/>
        <v>0</v>
      </c>
      <c r="BF84" s="435">
        <f t="shared" si="241"/>
        <v>0</v>
      </c>
      <c r="BG84" s="435">
        <f t="shared" si="241"/>
        <v>0.27</v>
      </c>
      <c r="BH84" s="103">
        <f t="shared" si="241"/>
        <v>0.27</v>
      </c>
      <c r="BI84" s="803">
        <f t="shared" si="241"/>
        <v>4260505</v>
      </c>
      <c r="BJ84" s="434">
        <f t="shared" si="241"/>
        <v>3128056</v>
      </c>
      <c r="BK84" s="434">
        <f t="shared" si="241"/>
        <v>2665078</v>
      </c>
      <c r="BL84" s="434">
        <f t="shared" si="241"/>
        <v>462978</v>
      </c>
      <c r="BM84" s="434">
        <f t="shared" si="241"/>
        <v>20000</v>
      </c>
      <c r="BN84" s="434">
        <f t="shared" si="241"/>
        <v>20000</v>
      </c>
      <c r="BO84" s="434">
        <f t="shared" si="241"/>
        <v>0</v>
      </c>
      <c r="BP84" s="434">
        <f t="shared" si="241"/>
        <v>1064044</v>
      </c>
      <c r="BQ84" s="434">
        <f t="shared" si="241"/>
        <v>31281</v>
      </c>
      <c r="BR84" s="434">
        <f t="shared" si="241"/>
        <v>17124</v>
      </c>
      <c r="BS84" s="435">
        <f t="shared" si="241"/>
        <v>6.8381999999999996</v>
      </c>
      <c r="BT84" s="435">
        <f t="shared" si="241"/>
        <v>5.4483999999999995</v>
      </c>
      <c r="BU84" s="103">
        <f t="shared" si="241"/>
        <v>1.3897999999999999</v>
      </c>
      <c r="BV84" s="817">
        <f t="shared" si="241"/>
        <v>0</v>
      </c>
      <c r="BW84" s="703">
        <f t="shared" si="241"/>
        <v>0</v>
      </c>
      <c r="BX84" s="703">
        <f t="shared" si="241"/>
        <v>0</v>
      </c>
      <c r="BY84" s="703">
        <f t="shared" si="241"/>
        <v>0</v>
      </c>
      <c r="BZ84" s="703">
        <f t="shared" si="241"/>
        <v>0</v>
      </c>
      <c r="CA84" s="818">
        <f t="shared" si="241"/>
        <v>0</v>
      </c>
    </row>
    <row r="85" spans="1:79" s="96" customFormat="1" ht="14.1" customHeight="1" x14ac:dyDescent="0.2">
      <c r="A85" s="118">
        <v>12</v>
      </c>
      <c r="B85" s="102">
        <v>2467</v>
      </c>
      <c r="C85" s="93">
        <v>600079708</v>
      </c>
      <c r="D85" s="77">
        <v>71012303</v>
      </c>
      <c r="E85" s="546" t="s">
        <v>726</v>
      </c>
      <c r="F85" s="94">
        <v>3111</v>
      </c>
      <c r="G85" s="77" t="s">
        <v>290</v>
      </c>
      <c r="H85" s="95" t="s">
        <v>271</v>
      </c>
      <c r="I85" s="600">
        <v>1788249</v>
      </c>
      <c r="J85" s="599">
        <v>1302782</v>
      </c>
      <c r="K85" s="599">
        <v>1191905</v>
      </c>
      <c r="L85" s="599">
        <v>110877</v>
      </c>
      <c r="M85" s="599">
        <v>20000</v>
      </c>
      <c r="N85" s="599">
        <v>20000</v>
      </c>
      <c r="O85" s="599">
        <v>0</v>
      </c>
      <c r="P85" s="599">
        <v>447100</v>
      </c>
      <c r="Q85" s="599">
        <v>13027</v>
      </c>
      <c r="R85" s="599">
        <v>5340</v>
      </c>
      <c r="S85" s="417">
        <v>2.4433000000000002</v>
      </c>
      <c r="T85" s="417">
        <v>2.0700000000000003</v>
      </c>
      <c r="U85" s="754">
        <v>0.37329999999999997</v>
      </c>
      <c r="V85" s="424">
        <f t="shared" ref="V85:W87" si="242">AG85*-1</f>
        <v>0</v>
      </c>
      <c r="W85" s="418">
        <f t="shared" si="242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7" si="243">AD85+AL85</f>
        <v>0</v>
      </c>
      <c r="AP85" s="418">
        <f t="shared" si="243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8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9">
        <v>0</v>
      </c>
      <c r="BC85" s="41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780">
        <f>I85+AW85</f>
        <v>1788249</v>
      </c>
      <c r="BJ85" s="418">
        <f>J85+AF85</f>
        <v>1302782</v>
      </c>
      <c r="BK85" s="418">
        <f t="shared" ref="BK85:BL87" si="244">K85+AD85</f>
        <v>1191905</v>
      </c>
      <c r="BL85" s="418">
        <f t="shared" si="244"/>
        <v>110877</v>
      </c>
      <c r="BM85" s="418">
        <f>M85+AN85</f>
        <v>20000</v>
      </c>
      <c r="BN85" s="418">
        <f t="shared" ref="BN85:BO87" si="245">N85+AL85</f>
        <v>20000</v>
      </c>
      <c r="BO85" s="418">
        <f t="shared" si="245"/>
        <v>0</v>
      </c>
      <c r="BP85" s="418">
        <f t="shared" ref="BP85:BQ87" si="246">P85+AR85</f>
        <v>447100</v>
      </c>
      <c r="BQ85" s="418">
        <f t="shared" si="246"/>
        <v>13027</v>
      </c>
      <c r="BR85" s="418">
        <f>R85+AV85</f>
        <v>5340</v>
      </c>
      <c r="BS85" s="419">
        <f>S85+BH85</f>
        <v>2.4433000000000002</v>
      </c>
      <c r="BT85" s="419">
        <f t="shared" ref="BT85:BU87" si="247">T85+BF85</f>
        <v>2.0700000000000003</v>
      </c>
      <c r="BU85" s="421">
        <f t="shared" si="247"/>
        <v>0.37329999999999997</v>
      </c>
      <c r="BV85" s="420"/>
      <c r="BW85" s="415"/>
      <c r="BX85" s="415"/>
      <c r="BY85" s="415"/>
      <c r="BZ85" s="415"/>
      <c r="CA85" s="510"/>
    </row>
    <row r="86" spans="1:79" s="96" customFormat="1" ht="14.1" customHeight="1" x14ac:dyDescent="0.2">
      <c r="A86" s="118">
        <v>12</v>
      </c>
      <c r="B86" s="102">
        <v>2467</v>
      </c>
      <c r="C86" s="93">
        <v>600079708</v>
      </c>
      <c r="D86" s="77">
        <v>71012303</v>
      </c>
      <c r="E86" s="547" t="s">
        <v>726</v>
      </c>
      <c r="F86" s="94">
        <v>3111</v>
      </c>
      <c r="G86" s="77" t="s">
        <v>291</v>
      </c>
      <c r="H86" s="95" t="s">
        <v>272</v>
      </c>
      <c r="I86" s="600">
        <v>0</v>
      </c>
      <c r="J86" s="599">
        <v>0</v>
      </c>
      <c r="K86" s="599">
        <v>0</v>
      </c>
      <c r="L86" s="599">
        <v>0</v>
      </c>
      <c r="M86" s="599">
        <v>0</v>
      </c>
      <c r="N86" s="599">
        <v>0</v>
      </c>
      <c r="O86" s="599">
        <v>0</v>
      </c>
      <c r="P86" s="599">
        <v>0</v>
      </c>
      <c r="Q86" s="599">
        <v>0</v>
      </c>
      <c r="R86" s="599">
        <v>0</v>
      </c>
      <c r="S86" s="417">
        <v>0</v>
      </c>
      <c r="T86" s="417">
        <v>0</v>
      </c>
      <c r="U86" s="754">
        <v>0</v>
      </c>
      <c r="V86" s="424">
        <f t="shared" si="242"/>
        <v>0</v>
      </c>
      <c r="W86" s="418">
        <f t="shared" si="242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243"/>
        <v>0</v>
      </c>
      <c r="AP86" s="418">
        <f t="shared" si="243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8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780">
        <f>I86+AW86</f>
        <v>0</v>
      </c>
      <c r="BJ86" s="418">
        <f>J86+AF86</f>
        <v>0</v>
      </c>
      <c r="BK86" s="418">
        <f t="shared" si="244"/>
        <v>0</v>
      </c>
      <c r="BL86" s="418">
        <f t="shared" si="244"/>
        <v>0</v>
      </c>
      <c r="BM86" s="418">
        <f>M86+AN86</f>
        <v>0</v>
      </c>
      <c r="BN86" s="418">
        <f t="shared" si="245"/>
        <v>0</v>
      </c>
      <c r="BO86" s="418">
        <f t="shared" si="245"/>
        <v>0</v>
      </c>
      <c r="BP86" s="418">
        <f t="shared" si="246"/>
        <v>0</v>
      </c>
      <c r="BQ86" s="418">
        <f t="shared" si="246"/>
        <v>0</v>
      </c>
      <c r="BR86" s="418">
        <f>R86+AV86</f>
        <v>0</v>
      </c>
      <c r="BS86" s="419">
        <f>S86+BH86</f>
        <v>0</v>
      </c>
      <c r="BT86" s="419">
        <f t="shared" si="247"/>
        <v>0</v>
      </c>
      <c r="BU86" s="421">
        <f t="shared" si="247"/>
        <v>0</v>
      </c>
      <c r="BV86" s="420"/>
      <c r="BW86" s="415"/>
      <c r="BX86" s="415"/>
      <c r="BY86" s="415"/>
      <c r="BZ86" s="415"/>
      <c r="CA86" s="510"/>
    </row>
    <row r="87" spans="1:79" s="96" customFormat="1" ht="14.1" customHeight="1" x14ac:dyDescent="0.2">
      <c r="A87" s="118">
        <v>12</v>
      </c>
      <c r="B87" s="77">
        <v>2467</v>
      </c>
      <c r="C87" s="93">
        <v>600079708</v>
      </c>
      <c r="D87" s="77">
        <v>71012303</v>
      </c>
      <c r="E87" s="546" t="s">
        <v>726</v>
      </c>
      <c r="F87" s="94">
        <v>3141</v>
      </c>
      <c r="G87" s="77" t="s">
        <v>294</v>
      </c>
      <c r="H87" s="95" t="s">
        <v>272</v>
      </c>
      <c r="I87" s="600">
        <v>237468</v>
      </c>
      <c r="J87" s="599">
        <v>175644</v>
      </c>
      <c r="K87" s="599">
        <v>0</v>
      </c>
      <c r="L87" s="605">
        <v>175644</v>
      </c>
      <c r="M87" s="599">
        <v>0</v>
      </c>
      <c r="N87" s="599">
        <v>0</v>
      </c>
      <c r="O87" s="599">
        <v>0</v>
      </c>
      <c r="P87" s="599">
        <v>59368</v>
      </c>
      <c r="Q87" s="599">
        <v>1756</v>
      </c>
      <c r="R87" s="599">
        <v>700</v>
      </c>
      <c r="S87" s="417">
        <v>0.52669999999999995</v>
      </c>
      <c r="T87" s="417">
        <v>0</v>
      </c>
      <c r="U87" s="754">
        <v>0.52669999999999995</v>
      </c>
      <c r="V87" s="424">
        <f t="shared" si="242"/>
        <v>0</v>
      </c>
      <c r="W87" s="418">
        <f t="shared" si="242"/>
        <v>0</v>
      </c>
      <c r="X87" s="418">
        <v>0</v>
      </c>
      <c r="Y87" s="418">
        <v>0</v>
      </c>
      <c r="Z87" s="418">
        <v>0</v>
      </c>
      <c r="AA87" s="418">
        <v>87055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87055</v>
      </c>
      <c r="AF87" s="418">
        <f>SUM(AD87:AE87)</f>
        <v>87055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243"/>
        <v>0</v>
      </c>
      <c r="AP87" s="418">
        <f t="shared" si="243"/>
        <v>87055</v>
      </c>
      <c r="AQ87" s="418">
        <f>SUM(AO87:AP87)</f>
        <v>87055</v>
      </c>
      <c r="AR87" s="68">
        <f>ROUND((AF87+AG87+AH87+AI87)*33.8%,0)</f>
        <v>29425</v>
      </c>
      <c r="AS87" s="68">
        <f>ROUND(AF87*1%,0)</f>
        <v>871</v>
      </c>
      <c r="AT87" s="418">
        <v>0</v>
      </c>
      <c r="AU87" s="418">
        <v>340</v>
      </c>
      <c r="AV87" s="418">
        <f>AT87+AU87</f>
        <v>340</v>
      </c>
      <c r="AW87" s="418">
        <f>AQ87+AR87+AS87+AV87</f>
        <v>117691</v>
      </c>
      <c r="AX87" s="419">
        <v>0</v>
      </c>
      <c r="AY87" s="419">
        <v>0</v>
      </c>
      <c r="AZ87" s="419">
        <v>0</v>
      </c>
      <c r="BA87" s="419">
        <v>0</v>
      </c>
      <c r="BB87" s="419">
        <v>0.26</v>
      </c>
      <c r="BC87" s="41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0.26</v>
      </c>
      <c r="BH87" s="421">
        <f>SUM(BF87:BG87)</f>
        <v>0.26</v>
      </c>
      <c r="BI87" s="780">
        <f>I87+AW87</f>
        <v>355159</v>
      </c>
      <c r="BJ87" s="418">
        <f>J87+AF87</f>
        <v>262699</v>
      </c>
      <c r="BK87" s="418">
        <f t="shared" si="244"/>
        <v>0</v>
      </c>
      <c r="BL87" s="418">
        <f t="shared" si="244"/>
        <v>262699</v>
      </c>
      <c r="BM87" s="418">
        <f>M87+AN87</f>
        <v>0</v>
      </c>
      <c r="BN87" s="418">
        <f t="shared" si="245"/>
        <v>0</v>
      </c>
      <c r="BO87" s="418">
        <f t="shared" si="245"/>
        <v>0</v>
      </c>
      <c r="BP87" s="418">
        <f t="shared" si="246"/>
        <v>88793</v>
      </c>
      <c r="BQ87" s="418">
        <f t="shared" si="246"/>
        <v>2627</v>
      </c>
      <c r="BR87" s="418">
        <f>R87+AV87</f>
        <v>1040</v>
      </c>
      <c r="BS87" s="419">
        <f>S87+BH87</f>
        <v>0.78669999999999995</v>
      </c>
      <c r="BT87" s="419">
        <f t="shared" si="247"/>
        <v>0</v>
      </c>
      <c r="BU87" s="421">
        <f t="shared" si="247"/>
        <v>0.78669999999999995</v>
      </c>
      <c r="BV87" s="420"/>
      <c r="BW87" s="415"/>
      <c r="BX87" s="415"/>
      <c r="BY87" s="415"/>
      <c r="BZ87" s="415"/>
      <c r="CA87" s="510"/>
    </row>
    <row r="88" spans="1:79" s="96" customFormat="1" ht="14.1" customHeight="1" x14ac:dyDescent="0.2">
      <c r="A88" s="119">
        <v>12</v>
      </c>
      <c r="B88" s="97">
        <v>2467</v>
      </c>
      <c r="C88" s="98">
        <v>600079708</v>
      </c>
      <c r="D88" s="97">
        <v>71012303</v>
      </c>
      <c r="E88" s="97" t="s">
        <v>727</v>
      </c>
      <c r="F88" s="106"/>
      <c r="G88" s="100"/>
      <c r="H88" s="101"/>
      <c r="I88" s="438">
        <v>2025717</v>
      </c>
      <c r="J88" s="434">
        <v>1478426</v>
      </c>
      <c r="K88" s="434">
        <v>1191905</v>
      </c>
      <c r="L88" s="434">
        <v>286521</v>
      </c>
      <c r="M88" s="434">
        <v>20000</v>
      </c>
      <c r="N88" s="434">
        <v>20000</v>
      </c>
      <c r="O88" s="434">
        <v>0</v>
      </c>
      <c r="P88" s="434">
        <v>506468</v>
      </c>
      <c r="Q88" s="434">
        <v>14783</v>
      </c>
      <c r="R88" s="434">
        <v>6040</v>
      </c>
      <c r="S88" s="435">
        <v>2.97</v>
      </c>
      <c r="T88" s="435">
        <v>2.0700000000000003</v>
      </c>
      <c r="U88" s="700">
        <v>0.89999999999999991</v>
      </c>
      <c r="V88" s="438">
        <f t="shared" ref="V88:BU88" si="248">SUM(V85:V87)</f>
        <v>0</v>
      </c>
      <c r="W88" s="434">
        <f t="shared" si="248"/>
        <v>0</v>
      </c>
      <c r="X88" s="434">
        <f t="shared" si="248"/>
        <v>0</v>
      </c>
      <c r="Y88" s="434">
        <f t="shared" si="248"/>
        <v>0</v>
      </c>
      <c r="Z88" s="434">
        <f t="shared" si="248"/>
        <v>0</v>
      </c>
      <c r="AA88" s="434">
        <f t="shared" si="248"/>
        <v>87055</v>
      </c>
      <c r="AB88" s="434">
        <f t="shared" si="248"/>
        <v>0</v>
      </c>
      <c r="AC88" s="434">
        <f t="shared" si="248"/>
        <v>0</v>
      </c>
      <c r="AD88" s="434">
        <f t="shared" si="248"/>
        <v>0</v>
      </c>
      <c r="AE88" s="434">
        <f t="shared" si="248"/>
        <v>87055</v>
      </c>
      <c r="AF88" s="434">
        <f t="shared" si="248"/>
        <v>87055</v>
      </c>
      <c r="AG88" s="434">
        <f t="shared" si="248"/>
        <v>0</v>
      </c>
      <c r="AH88" s="434">
        <f t="shared" si="248"/>
        <v>0</v>
      </c>
      <c r="AI88" s="434">
        <f t="shared" si="248"/>
        <v>0</v>
      </c>
      <c r="AJ88" s="434">
        <f t="shared" si="248"/>
        <v>0</v>
      </c>
      <c r="AK88" s="434">
        <f t="shared" si="248"/>
        <v>0</v>
      </c>
      <c r="AL88" s="434">
        <f t="shared" si="248"/>
        <v>0</v>
      </c>
      <c r="AM88" s="434">
        <f t="shared" si="248"/>
        <v>0</v>
      </c>
      <c r="AN88" s="434">
        <f t="shared" si="248"/>
        <v>0</v>
      </c>
      <c r="AO88" s="434">
        <f t="shared" si="248"/>
        <v>0</v>
      </c>
      <c r="AP88" s="434">
        <f t="shared" si="248"/>
        <v>87055</v>
      </c>
      <c r="AQ88" s="434">
        <f t="shared" si="248"/>
        <v>87055</v>
      </c>
      <c r="AR88" s="434">
        <f t="shared" si="248"/>
        <v>29425</v>
      </c>
      <c r="AS88" s="434">
        <f t="shared" si="248"/>
        <v>871</v>
      </c>
      <c r="AT88" s="434">
        <f t="shared" si="248"/>
        <v>0</v>
      </c>
      <c r="AU88" s="434">
        <f t="shared" si="248"/>
        <v>340</v>
      </c>
      <c r="AV88" s="434">
        <f t="shared" si="248"/>
        <v>340</v>
      </c>
      <c r="AW88" s="434">
        <f t="shared" si="248"/>
        <v>117691</v>
      </c>
      <c r="AX88" s="435">
        <f t="shared" si="248"/>
        <v>0</v>
      </c>
      <c r="AY88" s="435">
        <f t="shared" si="248"/>
        <v>0</v>
      </c>
      <c r="AZ88" s="435">
        <f t="shared" si="248"/>
        <v>0</v>
      </c>
      <c r="BA88" s="435">
        <f t="shared" si="248"/>
        <v>0</v>
      </c>
      <c r="BB88" s="435">
        <f t="shared" si="248"/>
        <v>0.26</v>
      </c>
      <c r="BC88" s="435">
        <f t="shared" si="248"/>
        <v>0</v>
      </c>
      <c r="BD88" s="435">
        <f t="shared" si="248"/>
        <v>0</v>
      </c>
      <c r="BE88" s="435">
        <f t="shared" si="248"/>
        <v>0</v>
      </c>
      <c r="BF88" s="435">
        <f t="shared" si="248"/>
        <v>0</v>
      </c>
      <c r="BG88" s="435">
        <f t="shared" si="248"/>
        <v>0.26</v>
      </c>
      <c r="BH88" s="103">
        <f t="shared" si="248"/>
        <v>0.26</v>
      </c>
      <c r="BI88" s="803">
        <f t="shared" si="248"/>
        <v>2143408</v>
      </c>
      <c r="BJ88" s="434">
        <f t="shared" si="248"/>
        <v>1565481</v>
      </c>
      <c r="BK88" s="434">
        <f t="shared" si="248"/>
        <v>1191905</v>
      </c>
      <c r="BL88" s="434">
        <f t="shared" si="248"/>
        <v>373576</v>
      </c>
      <c r="BM88" s="434">
        <f t="shared" si="248"/>
        <v>20000</v>
      </c>
      <c r="BN88" s="434">
        <f t="shared" si="248"/>
        <v>20000</v>
      </c>
      <c r="BO88" s="434">
        <f t="shared" si="248"/>
        <v>0</v>
      </c>
      <c r="BP88" s="434">
        <f t="shared" si="248"/>
        <v>535893</v>
      </c>
      <c r="BQ88" s="434">
        <f t="shared" si="248"/>
        <v>15654</v>
      </c>
      <c r="BR88" s="434">
        <f t="shared" si="248"/>
        <v>6380</v>
      </c>
      <c r="BS88" s="435">
        <f t="shared" si="248"/>
        <v>3.2300000000000004</v>
      </c>
      <c r="BT88" s="435">
        <f t="shared" si="248"/>
        <v>2.0700000000000003</v>
      </c>
      <c r="BU88" s="103">
        <f t="shared" si="248"/>
        <v>1.1599999999999999</v>
      </c>
      <c r="BV88" s="817">
        <f t="shared" ref="BV88:CA88" si="249">SUM(BV85:BV87)</f>
        <v>0</v>
      </c>
      <c r="BW88" s="703">
        <f t="shared" si="249"/>
        <v>0</v>
      </c>
      <c r="BX88" s="703">
        <f t="shared" si="249"/>
        <v>0</v>
      </c>
      <c r="BY88" s="703">
        <f t="shared" si="249"/>
        <v>0</v>
      </c>
      <c r="BZ88" s="703">
        <f t="shared" si="249"/>
        <v>0</v>
      </c>
      <c r="CA88" s="818">
        <f t="shared" si="249"/>
        <v>0</v>
      </c>
    </row>
    <row r="89" spans="1:79" s="96" customFormat="1" ht="14.1" customHeight="1" x14ac:dyDescent="0.2">
      <c r="A89" s="118">
        <v>13</v>
      </c>
      <c r="B89" s="102">
        <v>2408</v>
      </c>
      <c r="C89" s="93">
        <v>600079058</v>
      </c>
      <c r="D89" s="77">
        <v>72741511</v>
      </c>
      <c r="E89" s="77" t="s">
        <v>728</v>
      </c>
      <c r="F89" s="94">
        <v>3111</v>
      </c>
      <c r="G89" s="77" t="s">
        <v>290</v>
      </c>
      <c r="H89" s="95" t="s">
        <v>271</v>
      </c>
      <c r="I89" s="600">
        <v>2019563</v>
      </c>
      <c r="J89" s="599">
        <v>1494627</v>
      </c>
      <c r="K89" s="599">
        <v>1383750</v>
      </c>
      <c r="L89" s="599">
        <v>110877</v>
      </c>
      <c r="M89" s="599">
        <v>0</v>
      </c>
      <c r="N89" s="599">
        <v>0</v>
      </c>
      <c r="O89" s="599">
        <v>0</v>
      </c>
      <c r="P89" s="599">
        <v>505184</v>
      </c>
      <c r="Q89" s="599">
        <v>14946</v>
      </c>
      <c r="R89" s="599">
        <v>4806</v>
      </c>
      <c r="S89" s="417">
        <v>2.7443</v>
      </c>
      <c r="T89" s="417">
        <v>2.371</v>
      </c>
      <c r="U89" s="754">
        <v>0.37329999999999997</v>
      </c>
      <c r="V89" s="424">
        <f t="shared" ref="V89:W91" si="250">AG89*-1</f>
        <v>0</v>
      </c>
      <c r="W89" s="418">
        <f t="shared" si="250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418">
        <f>SUM(AD89:AE89)</f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ref="AO89:AP91" si="251">AD89+AL89</f>
        <v>0</v>
      </c>
      <c r="AP89" s="418">
        <f t="shared" si="251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421">
        <f>SUM(BF89:BG89)</f>
        <v>0</v>
      </c>
      <c r="BI89" s="780">
        <f>I89+AW89</f>
        <v>2019563</v>
      </c>
      <c r="BJ89" s="418">
        <f>J89+AF89</f>
        <v>1494627</v>
      </c>
      <c r="BK89" s="418">
        <f t="shared" ref="BK89:BL91" si="252">K89+AD89</f>
        <v>1383750</v>
      </c>
      <c r="BL89" s="418">
        <f t="shared" si="252"/>
        <v>110877</v>
      </c>
      <c r="BM89" s="418">
        <f>M89+AN89</f>
        <v>0</v>
      </c>
      <c r="BN89" s="418">
        <f t="shared" ref="BN89:BO91" si="253">N89+AL89</f>
        <v>0</v>
      </c>
      <c r="BO89" s="418">
        <f t="shared" si="253"/>
        <v>0</v>
      </c>
      <c r="BP89" s="418">
        <f t="shared" ref="BP89:BQ91" si="254">P89+AR89</f>
        <v>505184</v>
      </c>
      <c r="BQ89" s="418">
        <f t="shared" si="254"/>
        <v>14946</v>
      </c>
      <c r="BR89" s="418">
        <f>R89+AV89</f>
        <v>4806</v>
      </c>
      <c r="BS89" s="419">
        <f>S89+BH89</f>
        <v>2.7443</v>
      </c>
      <c r="BT89" s="419">
        <f t="shared" ref="BT89:BU91" si="255">T89+BF89</f>
        <v>2.371</v>
      </c>
      <c r="BU89" s="421">
        <f t="shared" si="255"/>
        <v>0.37329999999999997</v>
      </c>
      <c r="BV89" s="420"/>
      <c r="BW89" s="415"/>
      <c r="BX89" s="415"/>
      <c r="BY89" s="415"/>
      <c r="BZ89" s="415"/>
      <c r="CA89" s="510"/>
    </row>
    <row r="90" spans="1:79" s="96" customFormat="1" ht="14.1" customHeight="1" x14ac:dyDescent="0.2">
      <c r="A90" s="118">
        <v>13</v>
      </c>
      <c r="B90" s="77">
        <v>2408</v>
      </c>
      <c r="C90" s="93">
        <v>600079058</v>
      </c>
      <c r="D90" s="77">
        <v>72741511</v>
      </c>
      <c r="E90" s="77" t="s">
        <v>728</v>
      </c>
      <c r="F90" s="94">
        <v>3111</v>
      </c>
      <c r="G90" s="77" t="s">
        <v>291</v>
      </c>
      <c r="H90" s="95" t="s">
        <v>272</v>
      </c>
      <c r="I90" s="600">
        <v>316664</v>
      </c>
      <c r="J90" s="599">
        <v>234914</v>
      </c>
      <c r="K90" s="599">
        <v>234914</v>
      </c>
      <c r="L90" s="599">
        <v>0</v>
      </c>
      <c r="M90" s="599">
        <v>0</v>
      </c>
      <c r="N90" s="599">
        <v>0</v>
      </c>
      <c r="O90" s="599">
        <v>0</v>
      </c>
      <c r="P90" s="599">
        <v>79401</v>
      </c>
      <c r="Q90" s="599">
        <v>2349</v>
      </c>
      <c r="R90" s="599">
        <v>0</v>
      </c>
      <c r="S90" s="417">
        <v>0.6</v>
      </c>
      <c r="T90" s="417">
        <v>0.6</v>
      </c>
      <c r="U90" s="754">
        <v>0</v>
      </c>
      <c r="V90" s="424">
        <f t="shared" si="250"/>
        <v>0</v>
      </c>
      <c r="W90" s="418">
        <f t="shared" si="250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418">
        <f>SUM(AD90:AE90)</f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51"/>
        <v>0</v>
      </c>
      <c r="AP90" s="418">
        <f t="shared" si="251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421">
        <f>SUM(BF90:BG90)</f>
        <v>0</v>
      </c>
      <c r="BI90" s="780">
        <f>I90+AW90</f>
        <v>316664</v>
      </c>
      <c r="BJ90" s="418">
        <f>J90+AF90</f>
        <v>234914</v>
      </c>
      <c r="BK90" s="418">
        <f t="shared" si="252"/>
        <v>234914</v>
      </c>
      <c r="BL90" s="418">
        <f t="shared" si="252"/>
        <v>0</v>
      </c>
      <c r="BM90" s="418">
        <f>M90+AN90</f>
        <v>0</v>
      </c>
      <c r="BN90" s="418">
        <f t="shared" si="253"/>
        <v>0</v>
      </c>
      <c r="BO90" s="418">
        <f t="shared" si="253"/>
        <v>0</v>
      </c>
      <c r="BP90" s="418">
        <f t="shared" si="254"/>
        <v>79401</v>
      </c>
      <c r="BQ90" s="418">
        <f t="shared" si="254"/>
        <v>2349</v>
      </c>
      <c r="BR90" s="418">
        <f>R90+AV90</f>
        <v>0</v>
      </c>
      <c r="BS90" s="419">
        <f>S90+BH90</f>
        <v>0.6</v>
      </c>
      <c r="BT90" s="419">
        <f t="shared" si="255"/>
        <v>0.6</v>
      </c>
      <c r="BU90" s="421">
        <f t="shared" si="255"/>
        <v>0</v>
      </c>
      <c r="BV90" s="420"/>
      <c r="BW90" s="415"/>
      <c r="BX90" s="415"/>
      <c r="BY90" s="415"/>
      <c r="BZ90" s="415"/>
      <c r="CA90" s="510"/>
    </row>
    <row r="91" spans="1:79" s="96" customFormat="1" ht="14.1" customHeight="1" x14ac:dyDescent="0.2">
      <c r="A91" s="118">
        <v>13</v>
      </c>
      <c r="B91" s="77">
        <v>2408</v>
      </c>
      <c r="C91" s="93">
        <v>600079058</v>
      </c>
      <c r="D91" s="77">
        <v>72741511</v>
      </c>
      <c r="E91" s="77" t="s">
        <v>728</v>
      </c>
      <c r="F91" s="94">
        <v>3141</v>
      </c>
      <c r="G91" s="77" t="s">
        <v>294</v>
      </c>
      <c r="H91" s="95" t="s">
        <v>272</v>
      </c>
      <c r="I91" s="600">
        <v>339786</v>
      </c>
      <c r="J91" s="599">
        <v>251210</v>
      </c>
      <c r="K91" s="599">
        <v>0</v>
      </c>
      <c r="L91" s="605">
        <v>251210</v>
      </c>
      <c r="M91" s="599">
        <v>0</v>
      </c>
      <c r="N91" s="599">
        <v>0</v>
      </c>
      <c r="O91" s="599">
        <v>0</v>
      </c>
      <c r="P91" s="599">
        <v>84909</v>
      </c>
      <c r="Q91" s="599">
        <v>2512</v>
      </c>
      <c r="R91" s="599">
        <v>1155</v>
      </c>
      <c r="S91" s="417">
        <v>0.75329999999999997</v>
      </c>
      <c r="T91" s="417">
        <v>0</v>
      </c>
      <c r="U91" s="754">
        <v>0.75329999999999997</v>
      </c>
      <c r="V91" s="424">
        <f t="shared" si="250"/>
        <v>0</v>
      </c>
      <c r="W91" s="418">
        <f t="shared" si="250"/>
        <v>0</v>
      </c>
      <c r="X91" s="418">
        <v>0</v>
      </c>
      <c r="Y91" s="418">
        <v>0</v>
      </c>
      <c r="Z91" s="418">
        <v>0</v>
      </c>
      <c r="AA91" s="418">
        <v>125974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125974</v>
      </c>
      <c r="AF91" s="418">
        <f>SUM(AD91:AE91)</f>
        <v>125974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51"/>
        <v>0</v>
      </c>
      <c r="AP91" s="418">
        <f t="shared" si="251"/>
        <v>125974</v>
      </c>
      <c r="AQ91" s="418">
        <f>SUM(AO91:AP91)</f>
        <v>125974</v>
      </c>
      <c r="AR91" s="68">
        <f>ROUND((AF91+AG91+AH91+AI91)*33.8%,0)</f>
        <v>42579</v>
      </c>
      <c r="AS91" s="68">
        <f>ROUND(AF91*1%,0)</f>
        <v>1260</v>
      </c>
      <c r="AT91" s="418">
        <v>0</v>
      </c>
      <c r="AU91" s="418">
        <v>561</v>
      </c>
      <c r="AV91" s="418">
        <f>AT91+AU91</f>
        <v>561</v>
      </c>
      <c r="AW91" s="418">
        <f>AQ91+AR91+AS91+AV91</f>
        <v>170374</v>
      </c>
      <c r="AX91" s="419">
        <v>0</v>
      </c>
      <c r="AY91" s="419">
        <v>0</v>
      </c>
      <c r="AZ91" s="419">
        <v>0</v>
      </c>
      <c r="BA91" s="419">
        <v>0</v>
      </c>
      <c r="BB91" s="419">
        <v>0.38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0.38</v>
      </c>
      <c r="BH91" s="421">
        <f>SUM(BF91:BG91)</f>
        <v>0.38</v>
      </c>
      <c r="BI91" s="780">
        <f>I91+AW91</f>
        <v>510160</v>
      </c>
      <c r="BJ91" s="418">
        <f>J91+AF91</f>
        <v>377184</v>
      </c>
      <c r="BK91" s="418">
        <f t="shared" si="252"/>
        <v>0</v>
      </c>
      <c r="BL91" s="418">
        <f t="shared" si="252"/>
        <v>377184</v>
      </c>
      <c r="BM91" s="418">
        <f>M91+AN91</f>
        <v>0</v>
      </c>
      <c r="BN91" s="418">
        <f t="shared" si="253"/>
        <v>0</v>
      </c>
      <c r="BO91" s="418">
        <f t="shared" si="253"/>
        <v>0</v>
      </c>
      <c r="BP91" s="418">
        <f t="shared" si="254"/>
        <v>127488</v>
      </c>
      <c r="BQ91" s="418">
        <f t="shared" si="254"/>
        <v>3772</v>
      </c>
      <c r="BR91" s="418">
        <f>R91+AV91</f>
        <v>1716</v>
      </c>
      <c r="BS91" s="419">
        <f>S91+BH91</f>
        <v>1.1333</v>
      </c>
      <c r="BT91" s="419">
        <f t="shared" si="255"/>
        <v>0</v>
      </c>
      <c r="BU91" s="421">
        <f t="shared" si="255"/>
        <v>1.1333</v>
      </c>
      <c r="BV91" s="420"/>
      <c r="BW91" s="415"/>
      <c r="BX91" s="415"/>
      <c r="BY91" s="415"/>
      <c r="BZ91" s="415"/>
      <c r="CA91" s="510"/>
    </row>
    <row r="92" spans="1:79" s="96" customFormat="1" ht="14.1" customHeight="1" x14ac:dyDescent="0.2">
      <c r="A92" s="119">
        <v>13</v>
      </c>
      <c r="B92" s="97">
        <v>2408</v>
      </c>
      <c r="C92" s="98">
        <v>600079058</v>
      </c>
      <c r="D92" s="97">
        <v>72741511</v>
      </c>
      <c r="E92" s="97" t="s">
        <v>729</v>
      </c>
      <c r="F92" s="99"/>
      <c r="G92" s="100"/>
      <c r="H92" s="101"/>
      <c r="I92" s="438">
        <v>2676013</v>
      </c>
      <c r="J92" s="434">
        <v>1980751</v>
      </c>
      <c r="K92" s="434">
        <v>1618664</v>
      </c>
      <c r="L92" s="434">
        <v>362087</v>
      </c>
      <c r="M92" s="434">
        <v>0</v>
      </c>
      <c r="N92" s="434">
        <v>0</v>
      </c>
      <c r="O92" s="434">
        <v>0</v>
      </c>
      <c r="P92" s="434">
        <v>669494</v>
      </c>
      <c r="Q92" s="434">
        <v>19807</v>
      </c>
      <c r="R92" s="434">
        <v>5961</v>
      </c>
      <c r="S92" s="435">
        <v>4.0975999999999999</v>
      </c>
      <c r="T92" s="435">
        <v>2.9710000000000001</v>
      </c>
      <c r="U92" s="700">
        <v>1.1265999999999998</v>
      </c>
      <c r="V92" s="438">
        <f t="shared" ref="V92:CA92" si="256">SUM(V89:V91)</f>
        <v>0</v>
      </c>
      <c r="W92" s="434">
        <f t="shared" si="256"/>
        <v>0</v>
      </c>
      <c r="X92" s="434">
        <f t="shared" si="256"/>
        <v>0</v>
      </c>
      <c r="Y92" s="434">
        <f t="shared" si="256"/>
        <v>0</v>
      </c>
      <c r="Z92" s="434">
        <f t="shared" si="256"/>
        <v>0</v>
      </c>
      <c r="AA92" s="434">
        <f t="shared" si="256"/>
        <v>125974</v>
      </c>
      <c r="AB92" s="434">
        <f t="shared" si="256"/>
        <v>0</v>
      </c>
      <c r="AC92" s="434">
        <f t="shared" si="256"/>
        <v>0</v>
      </c>
      <c r="AD92" s="434">
        <f t="shared" si="256"/>
        <v>0</v>
      </c>
      <c r="AE92" s="434">
        <f t="shared" si="256"/>
        <v>125974</v>
      </c>
      <c r="AF92" s="434">
        <f t="shared" si="256"/>
        <v>125974</v>
      </c>
      <c r="AG92" s="434">
        <f t="shared" si="256"/>
        <v>0</v>
      </c>
      <c r="AH92" s="434">
        <f t="shared" si="256"/>
        <v>0</v>
      </c>
      <c r="AI92" s="434">
        <f t="shared" si="256"/>
        <v>0</v>
      </c>
      <c r="AJ92" s="434">
        <f t="shared" si="256"/>
        <v>0</v>
      </c>
      <c r="AK92" s="434">
        <f t="shared" si="256"/>
        <v>0</v>
      </c>
      <c r="AL92" s="434">
        <f t="shared" si="256"/>
        <v>0</v>
      </c>
      <c r="AM92" s="434">
        <f t="shared" si="256"/>
        <v>0</v>
      </c>
      <c r="AN92" s="434">
        <f t="shared" si="256"/>
        <v>0</v>
      </c>
      <c r="AO92" s="434">
        <f t="shared" si="256"/>
        <v>0</v>
      </c>
      <c r="AP92" s="434">
        <f t="shared" si="256"/>
        <v>125974</v>
      </c>
      <c r="AQ92" s="434">
        <f t="shared" si="256"/>
        <v>125974</v>
      </c>
      <c r="AR92" s="434">
        <f t="shared" si="256"/>
        <v>42579</v>
      </c>
      <c r="AS92" s="434">
        <f t="shared" si="256"/>
        <v>1260</v>
      </c>
      <c r="AT92" s="434">
        <f t="shared" si="256"/>
        <v>0</v>
      </c>
      <c r="AU92" s="434">
        <f t="shared" si="256"/>
        <v>561</v>
      </c>
      <c r="AV92" s="434">
        <f t="shared" si="256"/>
        <v>561</v>
      </c>
      <c r="AW92" s="434">
        <f t="shared" si="256"/>
        <v>170374</v>
      </c>
      <c r="AX92" s="435">
        <f t="shared" si="256"/>
        <v>0</v>
      </c>
      <c r="AY92" s="435">
        <f t="shared" si="256"/>
        <v>0</v>
      </c>
      <c r="AZ92" s="435">
        <f t="shared" si="256"/>
        <v>0</v>
      </c>
      <c r="BA92" s="435">
        <f t="shared" si="256"/>
        <v>0</v>
      </c>
      <c r="BB92" s="435">
        <f t="shared" si="256"/>
        <v>0.38</v>
      </c>
      <c r="BC92" s="435">
        <f t="shared" si="256"/>
        <v>0</v>
      </c>
      <c r="BD92" s="435">
        <f t="shared" si="256"/>
        <v>0</v>
      </c>
      <c r="BE92" s="435">
        <f t="shared" si="256"/>
        <v>0</v>
      </c>
      <c r="BF92" s="435">
        <f t="shared" si="256"/>
        <v>0</v>
      </c>
      <c r="BG92" s="435">
        <f t="shared" si="256"/>
        <v>0.38</v>
      </c>
      <c r="BH92" s="103">
        <f t="shared" si="256"/>
        <v>0.38</v>
      </c>
      <c r="BI92" s="803">
        <f t="shared" si="256"/>
        <v>2846387</v>
      </c>
      <c r="BJ92" s="434">
        <f t="shared" si="256"/>
        <v>2106725</v>
      </c>
      <c r="BK92" s="434">
        <f t="shared" si="256"/>
        <v>1618664</v>
      </c>
      <c r="BL92" s="434">
        <f t="shared" si="256"/>
        <v>488061</v>
      </c>
      <c r="BM92" s="434">
        <f t="shared" si="256"/>
        <v>0</v>
      </c>
      <c r="BN92" s="434">
        <f t="shared" si="256"/>
        <v>0</v>
      </c>
      <c r="BO92" s="434">
        <f t="shared" si="256"/>
        <v>0</v>
      </c>
      <c r="BP92" s="434">
        <f t="shared" si="256"/>
        <v>712073</v>
      </c>
      <c r="BQ92" s="434">
        <f t="shared" si="256"/>
        <v>21067</v>
      </c>
      <c r="BR92" s="434">
        <f t="shared" si="256"/>
        <v>6522</v>
      </c>
      <c r="BS92" s="435">
        <f t="shared" si="256"/>
        <v>4.4775999999999998</v>
      </c>
      <c r="BT92" s="435">
        <f t="shared" si="256"/>
        <v>2.9710000000000001</v>
      </c>
      <c r="BU92" s="103">
        <f t="shared" si="256"/>
        <v>1.5065999999999999</v>
      </c>
      <c r="BV92" s="817">
        <f t="shared" si="256"/>
        <v>0</v>
      </c>
      <c r="BW92" s="703">
        <f t="shared" si="256"/>
        <v>0</v>
      </c>
      <c r="BX92" s="703">
        <f t="shared" si="256"/>
        <v>0</v>
      </c>
      <c r="BY92" s="703">
        <f t="shared" si="256"/>
        <v>0</v>
      </c>
      <c r="BZ92" s="703">
        <f t="shared" si="256"/>
        <v>0</v>
      </c>
      <c r="CA92" s="818">
        <f t="shared" si="256"/>
        <v>0</v>
      </c>
    </row>
    <row r="93" spans="1:79" s="96" customFormat="1" ht="14.1" customHeight="1" x14ac:dyDescent="0.2">
      <c r="A93" s="118">
        <v>14</v>
      </c>
      <c r="B93" s="77">
        <v>2304</v>
      </c>
      <c r="C93" s="93">
        <v>600080382</v>
      </c>
      <c r="D93" s="77">
        <v>72743417</v>
      </c>
      <c r="E93" s="77" t="s">
        <v>730</v>
      </c>
      <c r="F93" s="94">
        <v>3113</v>
      </c>
      <c r="G93" s="77" t="s">
        <v>293</v>
      </c>
      <c r="H93" s="95" t="s">
        <v>271</v>
      </c>
      <c r="I93" s="600">
        <v>4625599</v>
      </c>
      <c r="J93" s="599">
        <v>3402475</v>
      </c>
      <c r="K93" s="599">
        <v>3116449</v>
      </c>
      <c r="L93" s="599">
        <v>286026</v>
      </c>
      <c r="M93" s="599">
        <v>0</v>
      </c>
      <c r="N93" s="599">
        <v>0</v>
      </c>
      <c r="O93" s="599">
        <v>0</v>
      </c>
      <c r="P93" s="599">
        <v>1150036</v>
      </c>
      <c r="Q93" s="599">
        <v>34025</v>
      </c>
      <c r="R93" s="599">
        <v>39063</v>
      </c>
      <c r="S93" s="417">
        <v>5.7157999999999998</v>
      </c>
      <c r="T93" s="417">
        <v>4.9090999999999996</v>
      </c>
      <c r="U93" s="754">
        <v>0.80669999999999997</v>
      </c>
      <c r="V93" s="424">
        <f t="shared" ref="V93:W97" si="257">AG93*-1</f>
        <v>0</v>
      </c>
      <c r="W93" s="418">
        <f t="shared" si="257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418">
        <f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ref="AO93:AP97" si="258">AD93+AL93</f>
        <v>0</v>
      </c>
      <c r="AP93" s="418">
        <f t="shared" si="258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421">
        <f>SUM(BF93:BG93)</f>
        <v>0</v>
      </c>
      <c r="BI93" s="780">
        <f>I93+AW93</f>
        <v>4625599</v>
      </c>
      <c r="BJ93" s="418">
        <f>J93+AF93</f>
        <v>3402475</v>
      </c>
      <c r="BK93" s="418">
        <f t="shared" ref="BK93:BL97" si="259">K93+AD93</f>
        <v>3116449</v>
      </c>
      <c r="BL93" s="418">
        <f t="shared" si="259"/>
        <v>286026</v>
      </c>
      <c r="BM93" s="418">
        <f>M93+AN93</f>
        <v>0</v>
      </c>
      <c r="BN93" s="418">
        <f t="shared" ref="BN93:BO97" si="260">N93+AL93</f>
        <v>0</v>
      </c>
      <c r="BO93" s="418">
        <f t="shared" si="260"/>
        <v>0</v>
      </c>
      <c r="BP93" s="418">
        <f t="shared" ref="BP93:BQ97" si="261">P93+AR93</f>
        <v>1150036</v>
      </c>
      <c r="BQ93" s="418">
        <f t="shared" si="261"/>
        <v>34025</v>
      </c>
      <c r="BR93" s="418">
        <f>R93+AV93</f>
        <v>39063</v>
      </c>
      <c r="BS93" s="419">
        <f>S93+BH93</f>
        <v>5.7157999999999998</v>
      </c>
      <c r="BT93" s="419">
        <f t="shared" ref="BT93:BU97" si="262">T93+BF93</f>
        <v>4.9090999999999996</v>
      </c>
      <c r="BU93" s="421">
        <f t="shared" si="262"/>
        <v>0.80669999999999997</v>
      </c>
      <c r="BV93" s="420"/>
      <c r="BW93" s="415"/>
      <c r="BX93" s="415"/>
      <c r="BY93" s="415"/>
      <c r="BZ93" s="415"/>
      <c r="CA93" s="510"/>
    </row>
    <row r="94" spans="1:79" s="96" customFormat="1" ht="14.1" customHeight="1" x14ac:dyDescent="0.2">
      <c r="A94" s="118">
        <v>14</v>
      </c>
      <c r="B94" s="77">
        <v>2304</v>
      </c>
      <c r="C94" s="93">
        <v>600080382</v>
      </c>
      <c r="D94" s="77">
        <v>72743417</v>
      </c>
      <c r="E94" s="77" t="s">
        <v>730</v>
      </c>
      <c r="F94" s="94">
        <v>3113</v>
      </c>
      <c r="G94" s="43" t="s">
        <v>292</v>
      </c>
      <c r="H94" s="95" t="s">
        <v>271</v>
      </c>
      <c r="I94" s="600">
        <v>925282</v>
      </c>
      <c r="J94" s="599">
        <v>686411</v>
      </c>
      <c r="K94" s="599">
        <v>686411</v>
      </c>
      <c r="L94" s="599">
        <v>0</v>
      </c>
      <c r="M94" s="599">
        <v>0</v>
      </c>
      <c r="N94" s="599">
        <v>0</v>
      </c>
      <c r="O94" s="599">
        <v>0</v>
      </c>
      <c r="P94" s="599">
        <v>232007</v>
      </c>
      <c r="Q94" s="599">
        <v>6864</v>
      </c>
      <c r="R94" s="599">
        <v>0</v>
      </c>
      <c r="S94" s="417">
        <v>1.7222</v>
      </c>
      <c r="T94" s="417">
        <v>1.7222</v>
      </c>
      <c r="U94" s="754">
        <v>0</v>
      </c>
      <c r="V94" s="424">
        <f t="shared" si="257"/>
        <v>0</v>
      </c>
      <c r="W94" s="418">
        <f t="shared" si="257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258"/>
        <v>0</v>
      </c>
      <c r="AP94" s="418">
        <f t="shared" si="25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780">
        <f>I94+AW94</f>
        <v>925282</v>
      </c>
      <c r="BJ94" s="418">
        <f>J94+AF94</f>
        <v>686411</v>
      </c>
      <c r="BK94" s="418">
        <f t="shared" si="259"/>
        <v>686411</v>
      </c>
      <c r="BL94" s="418">
        <f t="shared" si="259"/>
        <v>0</v>
      </c>
      <c r="BM94" s="418">
        <f>M94+AN94</f>
        <v>0</v>
      </c>
      <c r="BN94" s="418">
        <f t="shared" si="260"/>
        <v>0</v>
      </c>
      <c r="BO94" s="418">
        <f t="shared" si="260"/>
        <v>0</v>
      </c>
      <c r="BP94" s="418">
        <f t="shared" si="261"/>
        <v>232007</v>
      </c>
      <c r="BQ94" s="418">
        <f t="shared" si="261"/>
        <v>6864</v>
      </c>
      <c r="BR94" s="418">
        <f>R94+AV94</f>
        <v>0</v>
      </c>
      <c r="BS94" s="419">
        <f>S94+BH94</f>
        <v>1.7222</v>
      </c>
      <c r="BT94" s="419">
        <f t="shared" si="262"/>
        <v>1.7222</v>
      </c>
      <c r="BU94" s="421">
        <f t="shared" si="262"/>
        <v>0</v>
      </c>
      <c r="BV94" s="420"/>
      <c r="BW94" s="415"/>
      <c r="BX94" s="415"/>
      <c r="BY94" s="415"/>
      <c r="BZ94" s="415"/>
      <c r="CA94" s="510"/>
    </row>
    <row r="95" spans="1:79" s="96" customFormat="1" ht="14.1" customHeight="1" x14ac:dyDescent="0.2">
      <c r="A95" s="118">
        <v>14</v>
      </c>
      <c r="B95" s="77">
        <v>2304</v>
      </c>
      <c r="C95" s="93">
        <v>600080382</v>
      </c>
      <c r="D95" s="77">
        <v>72743417</v>
      </c>
      <c r="E95" s="77" t="s">
        <v>730</v>
      </c>
      <c r="F95" s="94">
        <v>3113</v>
      </c>
      <c r="G95" s="77" t="s">
        <v>291</v>
      </c>
      <c r="H95" s="95" t="s">
        <v>272</v>
      </c>
      <c r="I95" s="600">
        <v>727601</v>
      </c>
      <c r="J95" s="599">
        <v>539763</v>
      </c>
      <c r="K95" s="599">
        <v>539763</v>
      </c>
      <c r="L95" s="599">
        <v>0</v>
      </c>
      <c r="M95" s="599">
        <v>0</v>
      </c>
      <c r="N95" s="599">
        <v>0</v>
      </c>
      <c r="O95" s="599">
        <v>0</v>
      </c>
      <c r="P95" s="599">
        <v>182440</v>
      </c>
      <c r="Q95" s="599">
        <v>5398</v>
      </c>
      <c r="R95" s="599">
        <v>0</v>
      </c>
      <c r="S95" s="417">
        <v>1.4400000000000002</v>
      </c>
      <c r="T95" s="417">
        <v>1.4400000000000002</v>
      </c>
      <c r="U95" s="754">
        <v>0</v>
      </c>
      <c r="V95" s="424">
        <f t="shared" si="257"/>
        <v>0</v>
      </c>
      <c r="W95" s="418">
        <f t="shared" si="257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0</v>
      </c>
      <c r="AF95" s="418">
        <f>SUM(AD95:AE95)</f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58"/>
        <v>0</v>
      </c>
      <c r="AP95" s="418">
        <f t="shared" si="258"/>
        <v>0</v>
      </c>
      <c r="AQ95" s="418">
        <f>SUM(AO95:AP95)</f>
        <v>0</v>
      </c>
      <c r="AR95" s="68">
        <f>ROUND((AF95+AG95+AH95+AI95)*33.8%,0)</f>
        <v>0</v>
      </c>
      <c r="AS95" s="68">
        <f>ROUND(AF95*1%,0)</f>
        <v>0</v>
      </c>
      <c r="AT95" s="418">
        <v>0</v>
      </c>
      <c r="AU95" s="418">
        <v>0</v>
      </c>
      <c r="AV95" s="418">
        <f>AT95+AU95</f>
        <v>0</v>
      </c>
      <c r="AW95" s="418">
        <f>AQ95+AR95+AS95+AV95</f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</v>
      </c>
      <c r="BH95" s="421">
        <f>SUM(BF95:BG95)</f>
        <v>0</v>
      </c>
      <c r="BI95" s="780">
        <f>I95+AW95</f>
        <v>727601</v>
      </c>
      <c r="BJ95" s="418">
        <f>J95+AF95</f>
        <v>539763</v>
      </c>
      <c r="BK95" s="418">
        <f t="shared" si="259"/>
        <v>539763</v>
      </c>
      <c r="BL95" s="418">
        <f t="shared" si="259"/>
        <v>0</v>
      </c>
      <c r="BM95" s="418">
        <f>M95+AN95</f>
        <v>0</v>
      </c>
      <c r="BN95" s="418">
        <f t="shared" si="260"/>
        <v>0</v>
      </c>
      <c r="BO95" s="418">
        <f t="shared" si="260"/>
        <v>0</v>
      </c>
      <c r="BP95" s="418">
        <f t="shared" si="261"/>
        <v>182440</v>
      </c>
      <c r="BQ95" s="418">
        <f t="shared" si="261"/>
        <v>5398</v>
      </c>
      <c r="BR95" s="418">
        <f>R95+AV95</f>
        <v>0</v>
      </c>
      <c r="BS95" s="419">
        <f>S95+BH95</f>
        <v>1.4400000000000002</v>
      </c>
      <c r="BT95" s="419">
        <f t="shared" si="262"/>
        <v>1.4400000000000002</v>
      </c>
      <c r="BU95" s="421">
        <f t="shared" si="262"/>
        <v>0</v>
      </c>
      <c r="BV95" s="420"/>
      <c r="BW95" s="415"/>
      <c r="BX95" s="415"/>
      <c r="BY95" s="415"/>
      <c r="BZ95" s="415"/>
      <c r="CA95" s="510"/>
    </row>
    <row r="96" spans="1:79" s="96" customFormat="1" ht="14.1" customHeight="1" x14ac:dyDescent="0.2">
      <c r="A96" s="118">
        <v>14</v>
      </c>
      <c r="B96" s="77">
        <v>2304</v>
      </c>
      <c r="C96" s="93">
        <v>600080382</v>
      </c>
      <c r="D96" s="77">
        <v>72743417</v>
      </c>
      <c r="E96" s="77" t="s">
        <v>730</v>
      </c>
      <c r="F96" s="94">
        <v>3143</v>
      </c>
      <c r="G96" s="77" t="s">
        <v>595</v>
      </c>
      <c r="H96" s="95" t="s">
        <v>271</v>
      </c>
      <c r="I96" s="600">
        <v>293282</v>
      </c>
      <c r="J96" s="599">
        <v>217568</v>
      </c>
      <c r="K96" s="599">
        <v>217568</v>
      </c>
      <c r="L96" s="599">
        <v>0</v>
      </c>
      <c r="M96" s="599">
        <v>0</v>
      </c>
      <c r="N96" s="599">
        <v>0</v>
      </c>
      <c r="O96" s="599">
        <v>0</v>
      </c>
      <c r="P96" s="599">
        <v>73538</v>
      </c>
      <c r="Q96" s="599">
        <v>2176</v>
      </c>
      <c r="R96" s="599">
        <v>0</v>
      </c>
      <c r="S96" s="417">
        <v>0.5</v>
      </c>
      <c r="T96" s="417">
        <v>0.5</v>
      </c>
      <c r="U96" s="754">
        <v>0</v>
      </c>
      <c r="V96" s="424">
        <f t="shared" si="257"/>
        <v>0</v>
      </c>
      <c r="W96" s="418">
        <f t="shared" si="257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418">
        <f>SUM(AD96:AE96)</f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58"/>
        <v>0</v>
      </c>
      <c r="AP96" s="418">
        <f t="shared" si="258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421">
        <f>SUM(BF96:BG96)</f>
        <v>0</v>
      </c>
      <c r="BI96" s="780">
        <f>I96+AW96</f>
        <v>293282</v>
      </c>
      <c r="BJ96" s="418">
        <f>J96+AF96</f>
        <v>217568</v>
      </c>
      <c r="BK96" s="418">
        <f t="shared" si="259"/>
        <v>217568</v>
      </c>
      <c r="BL96" s="418">
        <f t="shared" si="259"/>
        <v>0</v>
      </c>
      <c r="BM96" s="418">
        <f>M96+AN96</f>
        <v>0</v>
      </c>
      <c r="BN96" s="418">
        <f t="shared" si="260"/>
        <v>0</v>
      </c>
      <c r="BO96" s="418">
        <f t="shared" si="260"/>
        <v>0</v>
      </c>
      <c r="BP96" s="418">
        <f t="shared" si="261"/>
        <v>73538</v>
      </c>
      <c r="BQ96" s="418">
        <f t="shared" si="261"/>
        <v>2176</v>
      </c>
      <c r="BR96" s="418">
        <f>R96+AV96</f>
        <v>0</v>
      </c>
      <c r="BS96" s="419">
        <f>S96+BH96</f>
        <v>0.5</v>
      </c>
      <c r="BT96" s="419">
        <f t="shared" si="262"/>
        <v>0.5</v>
      </c>
      <c r="BU96" s="421">
        <f t="shared" si="262"/>
        <v>0</v>
      </c>
      <c r="BV96" s="420"/>
      <c r="BW96" s="415"/>
      <c r="BX96" s="415"/>
      <c r="BY96" s="415"/>
      <c r="BZ96" s="415"/>
      <c r="CA96" s="510"/>
    </row>
    <row r="97" spans="1:79" s="96" customFormat="1" ht="14.1" customHeight="1" x14ac:dyDescent="0.2">
      <c r="A97" s="118">
        <v>14</v>
      </c>
      <c r="B97" s="77">
        <v>2304</v>
      </c>
      <c r="C97" s="93">
        <v>600080382</v>
      </c>
      <c r="D97" s="77">
        <v>72743417</v>
      </c>
      <c r="E97" s="77" t="s">
        <v>730</v>
      </c>
      <c r="F97" s="94">
        <v>3143</v>
      </c>
      <c r="G97" s="77" t="s">
        <v>596</v>
      </c>
      <c r="H97" s="95" t="s">
        <v>272</v>
      </c>
      <c r="I97" s="600">
        <v>5127</v>
      </c>
      <c r="J97" s="599">
        <v>3670</v>
      </c>
      <c r="K97" s="599">
        <v>0</v>
      </c>
      <c r="L97" s="605">
        <v>3670</v>
      </c>
      <c r="M97" s="599">
        <v>0</v>
      </c>
      <c r="N97" s="606">
        <v>0</v>
      </c>
      <c r="O97" s="606">
        <v>0</v>
      </c>
      <c r="P97" s="599">
        <v>1240</v>
      </c>
      <c r="Q97" s="599">
        <v>37</v>
      </c>
      <c r="R97" s="606">
        <v>180</v>
      </c>
      <c r="S97" s="417">
        <v>1.3899999999999999E-2</v>
      </c>
      <c r="T97" s="609">
        <v>0</v>
      </c>
      <c r="U97" s="737">
        <v>1.3899999999999999E-2</v>
      </c>
      <c r="V97" s="424">
        <f t="shared" si="257"/>
        <v>0</v>
      </c>
      <c r="W97" s="418">
        <f t="shared" si="257"/>
        <v>0</v>
      </c>
      <c r="X97" s="418">
        <v>0</v>
      </c>
      <c r="Y97" s="418">
        <v>0</v>
      </c>
      <c r="Z97" s="418">
        <v>0</v>
      </c>
      <c r="AA97" s="418">
        <v>1830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1830</v>
      </c>
      <c r="AF97" s="418">
        <f>SUM(AD97:AE97)</f>
        <v>1830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258"/>
        <v>0</v>
      </c>
      <c r="AP97" s="418">
        <f t="shared" si="258"/>
        <v>1830</v>
      </c>
      <c r="AQ97" s="418">
        <f>SUM(AO97:AP97)</f>
        <v>1830</v>
      </c>
      <c r="AR97" s="68">
        <f>ROUND((AF97+AG97+AH97+AI97)*33.8%,0)</f>
        <v>619</v>
      </c>
      <c r="AS97" s="68">
        <f>ROUND(AF97*1%,0)</f>
        <v>18</v>
      </c>
      <c r="AT97" s="418">
        <v>0</v>
      </c>
      <c r="AU97" s="418">
        <v>90</v>
      </c>
      <c r="AV97" s="418">
        <f>AT97+AU97</f>
        <v>90</v>
      </c>
      <c r="AW97" s="418">
        <f>AQ97+AR97+AS97+AV97</f>
        <v>2557</v>
      </c>
      <c r="AX97" s="419">
        <v>0</v>
      </c>
      <c r="AY97" s="419">
        <v>0</v>
      </c>
      <c r="AZ97" s="419">
        <v>0</v>
      </c>
      <c r="BA97" s="419">
        <v>0</v>
      </c>
      <c r="BB97" s="419">
        <v>0.01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0.01</v>
      </c>
      <c r="BH97" s="421">
        <f>SUM(BF97:BG97)</f>
        <v>0.01</v>
      </c>
      <c r="BI97" s="780">
        <f>I97+AW97</f>
        <v>7684</v>
      </c>
      <c r="BJ97" s="418">
        <f>J97+AF97</f>
        <v>5500</v>
      </c>
      <c r="BK97" s="418">
        <f t="shared" si="259"/>
        <v>0</v>
      </c>
      <c r="BL97" s="418">
        <f t="shared" si="259"/>
        <v>5500</v>
      </c>
      <c r="BM97" s="418">
        <f>M97+AN97</f>
        <v>0</v>
      </c>
      <c r="BN97" s="418">
        <f t="shared" si="260"/>
        <v>0</v>
      </c>
      <c r="BO97" s="418">
        <f t="shared" si="260"/>
        <v>0</v>
      </c>
      <c r="BP97" s="418">
        <f t="shared" si="261"/>
        <v>1859</v>
      </c>
      <c r="BQ97" s="418">
        <f t="shared" si="261"/>
        <v>55</v>
      </c>
      <c r="BR97" s="418">
        <f>R97+AV97</f>
        <v>270</v>
      </c>
      <c r="BS97" s="419">
        <f>S97+BH97</f>
        <v>2.3899999999999998E-2</v>
      </c>
      <c r="BT97" s="419">
        <f t="shared" si="262"/>
        <v>0</v>
      </c>
      <c r="BU97" s="421">
        <f t="shared" si="262"/>
        <v>2.3899999999999998E-2</v>
      </c>
      <c r="BV97" s="420"/>
      <c r="BW97" s="415"/>
      <c r="BX97" s="415"/>
      <c r="BY97" s="415"/>
      <c r="BZ97" s="415"/>
      <c r="CA97" s="510"/>
    </row>
    <row r="98" spans="1:79" s="96" customFormat="1" ht="14.1" customHeight="1" x14ac:dyDescent="0.2">
      <c r="A98" s="119">
        <v>14</v>
      </c>
      <c r="B98" s="97">
        <v>2304</v>
      </c>
      <c r="C98" s="98">
        <v>600080382</v>
      </c>
      <c r="D98" s="97">
        <v>72743417</v>
      </c>
      <c r="E98" s="97" t="s">
        <v>731</v>
      </c>
      <c r="F98" s="99"/>
      <c r="G98" s="100"/>
      <c r="H98" s="101"/>
      <c r="I98" s="438">
        <v>6576891</v>
      </c>
      <c r="J98" s="434">
        <v>4849887</v>
      </c>
      <c r="K98" s="434">
        <v>4560191</v>
      </c>
      <c r="L98" s="434">
        <v>289696</v>
      </c>
      <c r="M98" s="434">
        <v>0</v>
      </c>
      <c r="N98" s="434">
        <v>0</v>
      </c>
      <c r="O98" s="434">
        <v>0</v>
      </c>
      <c r="P98" s="434">
        <v>1639261</v>
      </c>
      <c r="Q98" s="434">
        <v>48500</v>
      </c>
      <c r="R98" s="434">
        <v>39243</v>
      </c>
      <c r="S98" s="435">
        <v>9.3918999999999997</v>
      </c>
      <c r="T98" s="435">
        <v>8.571299999999999</v>
      </c>
      <c r="U98" s="700">
        <v>0.8206</v>
      </c>
      <c r="V98" s="438">
        <f t="shared" ref="V98:CA98" si="263">SUM(V93:V97)</f>
        <v>0</v>
      </c>
      <c r="W98" s="434">
        <f t="shared" si="263"/>
        <v>0</v>
      </c>
      <c r="X98" s="434">
        <f t="shared" si="263"/>
        <v>0</v>
      </c>
      <c r="Y98" s="434">
        <f t="shared" si="263"/>
        <v>0</v>
      </c>
      <c r="Z98" s="434">
        <f t="shared" si="263"/>
        <v>0</v>
      </c>
      <c r="AA98" s="434">
        <f t="shared" si="263"/>
        <v>1830</v>
      </c>
      <c r="AB98" s="434">
        <f t="shared" si="263"/>
        <v>0</v>
      </c>
      <c r="AC98" s="434">
        <f t="shared" si="263"/>
        <v>0</v>
      </c>
      <c r="AD98" s="434">
        <f t="shared" si="263"/>
        <v>0</v>
      </c>
      <c r="AE98" s="434">
        <f t="shared" si="263"/>
        <v>1830</v>
      </c>
      <c r="AF98" s="434">
        <f t="shared" si="263"/>
        <v>1830</v>
      </c>
      <c r="AG98" s="434">
        <f t="shared" si="263"/>
        <v>0</v>
      </c>
      <c r="AH98" s="434">
        <f t="shared" si="263"/>
        <v>0</v>
      </c>
      <c r="AI98" s="434">
        <f t="shared" si="263"/>
        <v>0</v>
      </c>
      <c r="AJ98" s="434">
        <f t="shared" si="263"/>
        <v>0</v>
      </c>
      <c r="AK98" s="434">
        <f t="shared" si="263"/>
        <v>0</v>
      </c>
      <c r="AL98" s="434">
        <f t="shared" si="263"/>
        <v>0</v>
      </c>
      <c r="AM98" s="434">
        <f t="shared" si="263"/>
        <v>0</v>
      </c>
      <c r="AN98" s="434">
        <f t="shared" si="263"/>
        <v>0</v>
      </c>
      <c r="AO98" s="434">
        <f t="shared" si="263"/>
        <v>0</v>
      </c>
      <c r="AP98" s="434">
        <f t="shared" si="263"/>
        <v>1830</v>
      </c>
      <c r="AQ98" s="434">
        <f t="shared" si="263"/>
        <v>1830</v>
      </c>
      <c r="AR98" s="434">
        <f t="shared" si="263"/>
        <v>619</v>
      </c>
      <c r="AS98" s="434">
        <f t="shared" si="263"/>
        <v>18</v>
      </c>
      <c r="AT98" s="434">
        <f t="shared" si="263"/>
        <v>0</v>
      </c>
      <c r="AU98" s="434">
        <f t="shared" si="263"/>
        <v>90</v>
      </c>
      <c r="AV98" s="434">
        <f t="shared" si="263"/>
        <v>90</v>
      </c>
      <c r="AW98" s="434">
        <f t="shared" si="263"/>
        <v>2557</v>
      </c>
      <c r="AX98" s="435">
        <f t="shared" si="263"/>
        <v>0</v>
      </c>
      <c r="AY98" s="435">
        <f t="shared" si="263"/>
        <v>0</v>
      </c>
      <c r="AZ98" s="435">
        <f t="shared" si="263"/>
        <v>0</v>
      </c>
      <c r="BA98" s="435">
        <f t="shared" si="263"/>
        <v>0</v>
      </c>
      <c r="BB98" s="435">
        <f t="shared" si="263"/>
        <v>0.01</v>
      </c>
      <c r="BC98" s="435">
        <f t="shared" si="263"/>
        <v>0</v>
      </c>
      <c r="BD98" s="435">
        <f t="shared" si="263"/>
        <v>0</v>
      </c>
      <c r="BE98" s="435">
        <f t="shared" si="263"/>
        <v>0</v>
      </c>
      <c r="BF98" s="435">
        <f t="shared" si="263"/>
        <v>0</v>
      </c>
      <c r="BG98" s="435">
        <f t="shared" si="263"/>
        <v>0.01</v>
      </c>
      <c r="BH98" s="103">
        <f t="shared" si="263"/>
        <v>0.01</v>
      </c>
      <c r="BI98" s="803">
        <f t="shared" si="263"/>
        <v>6579448</v>
      </c>
      <c r="BJ98" s="434">
        <f t="shared" si="263"/>
        <v>4851717</v>
      </c>
      <c r="BK98" s="434">
        <f t="shared" si="263"/>
        <v>4560191</v>
      </c>
      <c r="BL98" s="434">
        <f t="shared" si="263"/>
        <v>291526</v>
      </c>
      <c r="BM98" s="434">
        <f t="shared" si="263"/>
        <v>0</v>
      </c>
      <c r="BN98" s="434">
        <f t="shared" si="263"/>
        <v>0</v>
      </c>
      <c r="BO98" s="434">
        <f t="shared" si="263"/>
        <v>0</v>
      </c>
      <c r="BP98" s="434">
        <f t="shared" si="263"/>
        <v>1639880</v>
      </c>
      <c r="BQ98" s="434">
        <f t="shared" si="263"/>
        <v>48518</v>
      </c>
      <c r="BR98" s="434">
        <f t="shared" si="263"/>
        <v>39333</v>
      </c>
      <c r="BS98" s="435">
        <f t="shared" si="263"/>
        <v>9.4018999999999995</v>
      </c>
      <c r="BT98" s="435">
        <f t="shared" si="263"/>
        <v>8.571299999999999</v>
      </c>
      <c r="BU98" s="103">
        <f t="shared" si="263"/>
        <v>0.8306</v>
      </c>
      <c r="BV98" s="817">
        <f t="shared" si="263"/>
        <v>0</v>
      </c>
      <c r="BW98" s="703">
        <f t="shared" si="263"/>
        <v>0</v>
      </c>
      <c r="BX98" s="703">
        <f t="shared" si="263"/>
        <v>0</v>
      </c>
      <c r="BY98" s="703">
        <f t="shared" si="263"/>
        <v>0</v>
      </c>
      <c r="BZ98" s="703">
        <f t="shared" si="263"/>
        <v>0</v>
      </c>
      <c r="CA98" s="818">
        <f t="shared" si="263"/>
        <v>0</v>
      </c>
    </row>
    <row r="99" spans="1:79" s="96" customFormat="1" ht="14.1" customHeight="1" x14ac:dyDescent="0.2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732</v>
      </c>
      <c r="F99" s="94">
        <v>3111</v>
      </c>
      <c r="G99" s="77" t="s">
        <v>290</v>
      </c>
      <c r="H99" s="95" t="s">
        <v>271</v>
      </c>
      <c r="I99" s="600">
        <v>8760260</v>
      </c>
      <c r="J99" s="599">
        <v>6477318</v>
      </c>
      <c r="K99" s="599">
        <v>5892099</v>
      </c>
      <c r="L99" s="599">
        <v>585219</v>
      </c>
      <c r="M99" s="599">
        <v>0</v>
      </c>
      <c r="N99" s="599">
        <v>0</v>
      </c>
      <c r="O99" s="599">
        <v>0</v>
      </c>
      <c r="P99" s="599">
        <v>2189333</v>
      </c>
      <c r="Q99" s="599">
        <v>64773</v>
      </c>
      <c r="R99" s="599">
        <v>28836</v>
      </c>
      <c r="S99" s="417">
        <v>12.1586</v>
      </c>
      <c r="T99" s="417">
        <v>10.165100000000001</v>
      </c>
      <c r="U99" s="754">
        <v>1.9935</v>
      </c>
      <c r="V99" s="424">
        <f t="shared" ref="V99:W101" si="264">AG99*-1</f>
        <v>0</v>
      </c>
      <c r="W99" s="418">
        <f t="shared" si="264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418">
        <f>SUM(AD99:AE99)</f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ref="AO99:AP101" si="265">AD99+AL99</f>
        <v>0</v>
      </c>
      <c r="AP99" s="418">
        <f t="shared" si="265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421">
        <f>SUM(BF99:BG99)</f>
        <v>0</v>
      </c>
      <c r="BI99" s="780">
        <f>I99+AW99</f>
        <v>8760260</v>
      </c>
      <c r="BJ99" s="418">
        <f>J99+AF99</f>
        <v>6477318</v>
      </c>
      <c r="BK99" s="418">
        <f t="shared" ref="BK99:BL101" si="266">K99+AD99</f>
        <v>5892099</v>
      </c>
      <c r="BL99" s="418">
        <f t="shared" si="266"/>
        <v>585219</v>
      </c>
      <c r="BM99" s="418">
        <f>M99+AN99</f>
        <v>0</v>
      </c>
      <c r="BN99" s="418">
        <f t="shared" ref="BN99:BO101" si="267">N99+AL99</f>
        <v>0</v>
      </c>
      <c r="BO99" s="418">
        <f t="shared" si="267"/>
        <v>0</v>
      </c>
      <c r="BP99" s="418">
        <f t="shared" ref="BP99:BQ101" si="268">P99+AR99</f>
        <v>2189333</v>
      </c>
      <c r="BQ99" s="418">
        <f t="shared" si="268"/>
        <v>64773</v>
      </c>
      <c r="BR99" s="418">
        <f>R99+AV99</f>
        <v>28836</v>
      </c>
      <c r="BS99" s="419">
        <f>S99+BH99</f>
        <v>12.1586</v>
      </c>
      <c r="BT99" s="419">
        <f t="shared" ref="BT99:BU101" si="269">T99+BF99</f>
        <v>10.165100000000001</v>
      </c>
      <c r="BU99" s="421">
        <f t="shared" si="269"/>
        <v>1.9935</v>
      </c>
      <c r="BV99" s="420"/>
      <c r="BW99" s="415"/>
      <c r="BX99" s="415"/>
      <c r="BY99" s="415"/>
      <c r="BZ99" s="415"/>
      <c r="CA99" s="510"/>
    </row>
    <row r="100" spans="1:79" s="96" customFormat="1" ht="14.1" customHeight="1" x14ac:dyDescent="0.2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732</v>
      </c>
      <c r="F100" s="94">
        <v>3111</v>
      </c>
      <c r="G100" s="77" t="s">
        <v>291</v>
      </c>
      <c r="H100" s="95" t="s">
        <v>272</v>
      </c>
      <c r="I100" s="600">
        <v>1407932</v>
      </c>
      <c r="J100" s="599">
        <v>1044460</v>
      </c>
      <c r="K100" s="599">
        <v>1044460</v>
      </c>
      <c r="L100" s="599">
        <v>0</v>
      </c>
      <c r="M100" s="599">
        <v>0</v>
      </c>
      <c r="N100" s="599">
        <v>0</v>
      </c>
      <c r="O100" s="599">
        <v>0</v>
      </c>
      <c r="P100" s="599">
        <v>353027</v>
      </c>
      <c r="Q100" s="599">
        <v>10445</v>
      </c>
      <c r="R100" s="599">
        <v>0</v>
      </c>
      <c r="S100" s="417">
        <v>2.8</v>
      </c>
      <c r="T100" s="417">
        <v>2.8</v>
      </c>
      <c r="U100" s="754">
        <v>0</v>
      </c>
      <c r="V100" s="424">
        <f t="shared" si="264"/>
        <v>0</v>
      </c>
      <c r="W100" s="418">
        <f t="shared" si="264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265"/>
        <v>0</v>
      </c>
      <c r="AP100" s="418">
        <f t="shared" si="265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21">
        <f>SUM(BF100:BG100)</f>
        <v>0</v>
      </c>
      <c r="BI100" s="780">
        <f>I100+AW100</f>
        <v>1407932</v>
      </c>
      <c r="BJ100" s="418">
        <f>J100+AF100</f>
        <v>1044460</v>
      </c>
      <c r="BK100" s="418">
        <f t="shared" si="266"/>
        <v>1044460</v>
      </c>
      <c r="BL100" s="418">
        <f t="shared" si="266"/>
        <v>0</v>
      </c>
      <c r="BM100" s="418">
        <f>M100+AN100</f>
        <v>0</v>
      </c>
      <c r="BN100" s="418">
        <f t="shared" si="267"/>
        <v>0</v>
      </c>
      <c r="BO100" s="418">
        <f t="shared" si="267"/>
        <v>0</v>
      </c>
      <c r="BP100" s="418">
        <f t="shared" si="268"/>
        <v>353027</v>
      </c>
      <c r="BQ100" s="418">
        <f t="shared" si="268"/>
        <v>10445</v>
      </c>
      <c r="BR100" s="418">
        <f>R100+AV100</f>
        <v>0</v>
      </c>
      <c r="BS100" s="419">
        <f>S100+BH100</f>
        <v>2.8</v>
      </c>
      <c r="BT100" s="419">
        <f t="shared" si="269"/>
        <v>2.8</v>
      </c>
      <c r="BU100" s="421">
        <f t="shared" si="269"/>
        <v>0</v>
      </c>
      <c r="BV100" s="420"/>
      <c r="BW100" s="415"/>
      <c r="BX100" s="415"/>
      <c r="BY100" s="415"/>
      <c r="BZ100" s="415"/>
      <c r="CA100" s="510"/>
    </row>
    <row r="101" spans="1:79" s="96" customFormat="1" ht="14.1" customHeight="1" x14ac:dyDescent="0.2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732</v>
      </c>
      <c r="F101" s="94">
        <v>3141</v>
      </c>
      <c r="G101" s="77" t="s">
        <v>294</v>
      </c>
      <c r="H101" s="95" t="s">
        <v>272</v>
      </c>
      <c r="I101" s="600">
        <v>1608356</v>
      </c>
      <c r="J101" s="599">
        <v>1083189</v>
      </c>
      <c r="K101" s="599">
        <v>0</v>
      </c>
      <c r="L101" s="605">
        <v>1083189</v>
      </c>
      <c r="M101" s="599">
        <v>104000</v>
      </c>
      <c r="N101" s="599">
        <v>0</v>
      </c>
      <c r="O101" s="599">
        <v>104000</v>
      </c>
      <c r="P101" s="599">
        <v>401270</v>
      </c>
      <c r="Q101" s="599">
        <v>10832</v>
      </c>
      <c r="R101" s="599">
        <v>9065</v>
      </c>
      <c r="S101" s="417">
        <v>3.25</v>
      </c>
      <c r="T101" s="417">
        <v>0</v>
      </c>
      <c r="U101" s="754">
        <v>3.25</v>
      </c>
      <c r="V101" s="424">
        <f t="shared" si="264"/>
        <v>0</v>
      </c>
      <c r="W101" s="418">
        <f t="shared" si="264"/>
        <v>0</v>
      </c>
      <c r="X101" s="418">
        <v>0</v>
      </c>
      <c r="Y101" s="418">
        <v>0</v>
      </c>
      <c r="Z101" s="418">
        <v>0</v>
      </c>
      <c r="AA101" s="418">
        <v>592220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592220</v>
      </c>
      <c r="AF101" s="418">
        <f>SUM(AD101:AE101)</f>
        <v>592220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265"/>
        <v>0</v>
      </c>
      <c r="AP101" s="418">
        <f t="shared" si="265"/>
        <v>592220</v>
      </c>
      <c r="AQ101" s="418">
        <f>SUM(AO101:AP101)</f>
        <v>592220</v>
      </c>
      <c r="AR101" s="68">
        <f>ROUND((AF101+AG101+AH101+AI101)*33.8%,0)</f>
        <v>200170</v>
      </c>
      <c r="AS101" s="68">
        <f>ROUND(AF101*1%,0)</f>
        <v>5922</v>
      </c>
      <c r="AT101" s="418">
        <v>0</v>
      </c>
      <c r="AU101" s="418">
        <v>4403</v>
      </c>
      <c r="AV101" s="418">
        <f>AT101+AU101</f>
        <v>4403</v>
      </c>
      <c r="AW101" s="418">
        <f>AQ101+AR101+AS101+AV101</f>
        <v>802715</v>
      </c>
      <c r="AX101" s="419">
        <v>0</v>
      </c>
      <c r="AY101" s="419">
        <v>0</v>
      </c>
      <c r="AZ101" s="419">
        <v>0</v>
      </c>
      <c r="BA101" s="419">
        <v>0</v>
      </c>
      <c r="BB101" s="419">
        <v>1.78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1.78</v>
      </c>
      <c r="BH101" s="421">
        <f>SUM(BF101:BG101)</f>
        <v>1.78</v>
      </c>
      <c r="BI101" s="780">
        <f>I101+AW101</f>
        <v>2411071</v>
      </c>
      <c r="BJ101" s="418">
        <f>J101+AF101</f>
        <v>1675409</v>
      </c>
      <c r="BK101" s="418">
        <f t="shared" si="266"/>
        <v>0</v>
      </c>
      <c r="BL101" s="418">
        <f t="shared" si="266"/>
        <v>1675409</v>
      </c>
      <c r="BM101" s="418">
        <f>M101+AN101</f>
        <v>104000</v>
      </c>
      <c r="BN101" s="418">
        <f t="shared" si="267"/>
        <v>0</v>
      </c>
      <c r="BO101" s="418">
        <f t="shared" si="267"/>
        <v>104000</v>
      </c>
      <c r="BP101" s="418">
        <f t="shared" si="268"/>
        <v>601440</v>
      </c>
      <c r="BQ101" s="418">
        <f t="shared" si="268"/>
        <v>16754</v>
      </c>
      <c r="BR101" s="418">
        <f>R101+AV101</f>
        <v>13468</v>
      </c>
      <c r="BS101" s="419">
        <f>S101+BH101</f>
        <v>5.03</v>
      </c>
      <c r="BT101" s="419">
        <f t="shared" si="269"/>
        <v>0</v>
      </c>
      <c r="BU101" s="421">
        <f t="shared" si="269"/>
        <v>5.03</v>
      </c>
      <c r="BV101" s="420"/>
      <c r="BW101" s="415"/>
      <c r="BX101" s="415"/>
      <c r="BY101" s="415"/>
      <c r="BZ101" s="415"/>
      <c r="CA101" s="510"/>
    </row>
    <row r="102" spans="1:79" s="96" customFormat="1" ht="14.1" customHeight="1" x14ac:dyDescent="0.2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733</v>
      </c>
      <c r="F102" s="99"/>
      <c r="G102" s="100"/>
      <c r="H102" s="101"/>
      <c r="I102" s="438">
        <v>11776548</v>
      </c>
      <c r="J102" s="434">
        <v>8604967</v>
      </c>
      <c r="K102" s="434">
        <v>6936559</v>
      </c>
      <c r="L102" s="434">
        <v>1668408</v>
      </c>
      <c r="M102" s="434">
        <v>104000</v>
      </c>
      <c r="N102" s="434">
        <v>0</v>
      </c>
      <c r="O102" s="434">
        <v>104000</v>
      </c>
      <c r="P102" s="434">
        <v>2943630</v>
      </c>
      <c r="Q102" s="434">
        <v>86050</v>
      </c>
      <c r="R102" s="434">
        <v>37901</v>
      </c>
      <c r="S102" s="435">
        <v>18.208600000000001</v>
      </c>
      <c r="T102" s="435">
        <v>12.9651</v>
      </c>
      <c r="U102" s="700">
        <v>5.2435</v>
      </c>
      <c r="V102" s="438">
        <f t="shared" ref="V102:CA102" si="270">SUM(V99:V101)</f>
        <v>0</v>
      </c>
      <c r="W102" s="434">
        <f t="shared" si="270"/>
        <v>0</v>
      </c>
      <c r="X102" s="434">
        <f t="shared" si="270"/>
        <v>0</v>
      </c>
      <c r="Y102" s="434">
        <f t="shared" si="270"/>
        <v>0</v>
      </c>
      <c r="Z102" s="434">
        <f t="shared" si="270"/>
        <v>0</v>
      </c>
      <c r="AA102" s="434">
        <f t="shared" si="270"/>
        <v>592220</v>
      </c>
      <c r="AB102" s="434">
        <f t="shared" si="270"/>
        <v>0</v>
      </c>
      <c r="AC102" s="434">
        <f t="shared" si="270"/>
        <v>0</v>
      </c>
      <c r="AD102" s="434">
        <f t="shared" si="270"/>
        <v>0</v>
      </c>
      <c r="AE102" s="434">
        <f t="shared" si="270"/>
        <v>592220</v>
      </c>
      <c r="AF102" s="434">
        <f t="shared" si="270"/>
        <v>592220</v>
      </c>
      <c r="AG102" s="434">
        <f t="shared" si="270"/>
        <v>0</v>
      </c>
      <c r="AH102" s="434">
        <f t="shared" si="270"/>
        <v>0</v>
      </c>
      <c r="AI102" s="434">
        <f t="shared" si="270"/>
        <v>0</v>
      </c>
      <c r="AJ102" s="434">
        <f t="shared" si="270"/>
        <v>0</v>
      </c>
      <c r="AK102" s="434">
        <f t="shared" si="270"/>
        <v>0</v>
      </c>
      <c r="AL102" s="434">
        <f t="shared" si="270"/>
        <v>0</v>
      </c>
      <c r="AM102" s="434">
        <f t="shared" si="270"/>
        <v>0</v>
      </c>
      <c r="AN102" s="434">
        <f t="shared" si="270"/>
        <v>0</v>
      </c>
      <c r="AO102" s="434">
        <f t="shared" si="270"/>
        <v>0</v>
      </c>
      <c r="AP102" s="434">
        <f t="shared" si="270"/>
        <v>592220</v>
      </c>
      <c r="AQ102" s="434">
        <f t="shared" si="270"/>
        <v>592220</v>
      </c>
      <c r="AR102" s="434">
        <f t="shared" si="270"/>
        <v>200170</v>
      </c>
      <c r="AS102" s="434">
        <f t="shared" si="270"/>
        <v>5922</v>
      </c>
      <c r="AT102" s="434">
        <f t="shared" si="270"/>
        <v>0</v>
      </c>
      <c r="AU102" s="434">
        <f t="shared" si="270"/>
        <v>4403</v>
      </c>
      <c r="AV102" s="434">
        <f t="shared" si="270"/>
        <v>4403</v>
      </c>
      <c r="AW102" s="434">
        <f t="shared" si="270"/>
        <v>802715</v>
      </c>
      <c r="AX102" s="435">
        <f t="shared" si="270"/>
        <v>0</v>
      </c>
      <c r="AY102" s="435">
        <f t="shared" si="270"/>
        <v>0</v>
      </c>
      <c r="AZ102" s="435">
        <f t="shared" si="270"/>
        <v>0</v>
      </c>
      <c r="BA102" s="435">
        <f t="shared" si="270"/>
        <v>0</v>
      </c>
      <c r="BB102" s="435">
        <f t="shared" si="270"/>
        <v>1.78</v>
      </c>
      <c r="BC102" s="435">
        <f t="shared" si="270"/>
        <v>0</v>
      </c>
      <c r="BD102" s="435">
        <f t="shared" si="270"/>
        <v>0</v>
      </c>
      <c r="BE102" s="435">
        <f t="shared" si="270"/>
        <v>0</v>
      </c>
      <c r="BF102" s="435">
        <f t="shared" si="270"/>
        <v>0</v>
      </c>
      <c r="BG102" s="435">
        <f t="shared" si="270"/>
        <v>1.78</v>
      </c>
      <c r="BH102" s="103">
        <f t="shared" si="270"/>
        <v>1.78</v>
      </c>
      <c r="BI102" s="803">
        <f t="shared" si="270"/>
        <v>12579263</v>
      </c>
      <c r="BJ102" s="434">
        <f t="shared" si="270"/>
        <v>9197187</v>
      </c>
      <c r="BK102" s="434">
        <f t="shared" si="270"/>
        <v>6936559</v>
      </c>
      <c r="BL102" s="434">
        <f t="shared" si="270"/>
        <v>2260628</v>
      </c>
      <c r="BM102" s="434">
        <f t="shared" si="270"/>
        <v>104000</v>
      </c>
      <c r="BN102" s="434">
        <f t="shared" si="270"/>
        <v>0</v>
      </c>
      <c r="BO102" s="434">
        <f t="shared" si="270"/>
        <v>104000</v>
      </c>
      <c r="BP102" s="434">
        <f t="shared" si="270"/>
        <v>3143800</v>
      </c>
      <c r="BQ102" s="434">
        <f t="shared" si="270"/>
        <v>91972</v>
      </c>
      <c r="BR102" s="434">
        <f t="shared" si="270"/>
        <v>42304</v>
      </c>
      <c r="BS102" s="435">
        <f t="shared" si="270"/>
        <v>19.988600000000002</v>
      </c>
      <c r="BT102" s="435">
        <f t="shared" si="270"/>
        <v>12.9651</v>
      </c>
      <c r="BU102" s="103">
        <f t="shared" si="270"/>
        <v>7.0235000000000003</v>
      </c>
      <c r="BV102" s="817">
        <f t="shared" si="270"/>
        <v>0</v>
      </c>
      <c r="BW102" s="703">
        <f t="shared" si="270"/>
        <v>0</v>
      </c>
      <c r="BX102" s="703">
        <f t="shared" si="270"/>
        <v>0</v>
      </c>
      <c r="BY102" s="703">
        <f t="shared" si="270"/>
        <v>0</v>
      </c>
      <c r="BZ102" s="703">
        <f t="shared" si="270"/>
        <v>0</v>
      </c>
      <c r="CA102" s="818">
        <f t="shared" si="270"/>
        <v>0</v>
      </c>
    </row>
    <row r="103" spans="1:79" s="96" customFormat="1" ht="14.1" customHeight="1" x14ac:dyDescent="0.2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734</v>
      </c>
      <c r="F103" s="94">
        <v>3233</v>
      </c>
      <c r="G103" s="77" t="s">
        <v>297</v>
      </c>
      <c r="H103" s="95" t="s">
        <v>272</v>
      </c>
      <c r="I103" s="600">
        <v>1891679</v>
      </c>
      <c r="J103" s="599">
        <v>1005389</v>
      </c>
      <c r="K103" s="599">
        <v>995715</v>
      </c>
      <c r="L103" s="599">
        <v>9674</v>
      </c>
      <c r="M103" s="599">
        <v>400000</v>
      </c>
      <c r="N103" s="599">
        <v>226000</v>
      </c>
      <c r="O103" s="599">
        <v>174000</v>
      </c>
      <c r="P103" s="599">
        <v>475021</v>
      </c>
      <c r="Q103" s="599">
        <v>10054</v>
      </c>
      <c r="R103" s="599">
        <v>1215</v>
      </c>
      <c r="S103" s="417">
        <v>1.8299999999999996</v>
      </c>
      <c r="T103" s="417">
        <v>1.8</v>
      </c>
      <c r="U103" s="754">
        <v>2.9999999999999916E-2</v>
      </c>
      <c r="V103" s="424">
        <f>AG103*-1</f>
        <v>0</v>
      </c>
      <c r="W103" s="418">
        <f>AH103*-1</f>
        <v>0</v>
      </c>
      <c r="X103" s="418">
        <v>0</v>
      </c>
      <c r="Y103" s="418">
        <v>0</v>
      </c>
      <c r="Z103" s="418">
        <v>0</v>
      </c>
      <c r="AA103" s="418">
        <v>91834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91834</v>
      </c>
      <c r="AF103" s="418">
        <f>SUM(AD103:AE103)</f>
        <v>91834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>AD103+AL103</f>
        <v>0</v>
      </c>
      <c r="AP103" s="418">
        <f>AE103+AM103</f>
        <v>91834</v>
      </c>
      <c r="AQ103" s="418">
        <f>SUM(AO103:AP103)</f>
        <v>91834</v>
      </c>
      <c r="AR103" s="68">
        <f>ROUND((AF103+AG103+AH103+AI103)*33.8%,0)</f>
        <v>31040</v>
      </c>
      <c r="AS103" s="68">
        <f>ROUND(AF103*1%,0)</f>
        <v>918</v>
      </c>
      <c r="AT103" s="418">
        <v>0</v>
      </c>
      <c r="AU103" s="418">
        <v>486</v>
      </c>
      <c r="AV103" s="418">
        <f>AT103+AU103</f>
        <v>486</v>
      </c>
      <c r="AW103" s="418">
        <f>AQ103+AR103+AS103+AV103</f>
        <v>124278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0.3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0.3</v>
      </c>
      <c r="BH103" s="421">
        <f>SUM(BF103:BG103)</f>
        <v>0.3</v>
      </c>
      <c r="BI103" s="780">
        <f>I103+AW103</f>
        <v>2015957</v>
      </c>
      <c r="BJ103" s="418">
        <f>J103+AF103</f>
        <v>1097223</v>
      </c>
      <c r="BK103" s="418">
        <f>K103+AD103</f>
        <v>995715</v>
      </c>
      <c r="BL103" s="418">
        <f>L103+AE103</f>
        <v>101508</v>
      </c>
      <c r="BM103" s="418">
        <f>M103+AN103</f>
        <v>400000</v>
      </c>
      <c r="BN103" s="418">
        <f>N103+AL103</f>
        <v>226000</v>
      </c>
      <c r="BO103" s="418">
        <f>O103+AM103</f>
        <v>174000</v>
      </c>
      <c r="BP103" s="418">
        <f>P103+AR103</f>
        <v>506061</v>
      </c>
      <c r="BQ103" s="418">
        <f>Q103+AS103</f>
        <v>10972</v>
      </c>
      <c r="BR103" s="418">
        <f>R103+AV103</f>
        <v>1701</v>
      </c>
      <c r="BS103" s="419">
        <f>S103+BH103</f>
        <v>2.1299999999999994</v>
      </c>
      <c r="BT103" s="419">
        <f>T103+BF103</f>
        <v>1.8</v>
      </c>
      <c r="BU103" s="421">
        <f>U103+BG103</f>
        <v>0.3299999999999999</v>
      </c>
      <c r="BV103" s="420"/>
      <c r="BW103" s="415"/>
      <c r="BX103" s="415"/>
      <c r="BY103" s="415"/>
      <c r="BZ103" s="415"/>
      <c r="CA103" s="510"/>
    </row>
    <row r="104" spans="1:79" s="96" customFormat="1" ht="14.1" customHeight="1" x14ac:dyDescent="0.2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735</v>
      </c>
      <c r="F104" s="99"/>
      <c r="G104" s="100"/>
      <c r="H104" s="101"/>
      <c r="I104" s="438">
        <v>1891679</v>
      </c>
      <c r="J104" s="434">
        <v>1005389</v>
      </c>
      <c r="K104" s="434">
        <v>995715</v>
      </c>
      <c r="L104" s="434">
        <v>9674</v>
      </c>
      <c r="M104" s="434">
        <v>400000</v>
      </c>
      <c r="N104" s="434">
        <v>226000</v>
      </c>
      <c r="O104" s="434">
        <v>174000</v>
      </c>
      <c r="P104" s="434">
        <v>475021</v>
      </c>
      <c r="Q104" s="434">
        <v>10054</v>
      </c>
      <c r="R104" s="434">
        <v>1215</v>
      </c>
      <c r="S104" s="435">
        <v>1.8299999999999996</v>
      </c>
      <c r="T104" s="435">
        <v>1.8</v>
      </c>
      <c r="U104" s="700">
        <v>2.9999999999999916E-2</v>
      </c>
      <c r="V104" s="438">
        <f t="shared" ref="V104:CA104" si="271">SUM(V103:V103)</f>
        <v>0</v>
      </c>
      <c r="W104" s="434">
        <f t="shared" si="271"/>
        <v>0</v>
      </c>
      <c r="X104" s="434">
        <f t="shared" si="271"/>
        <v>0</v>
      </c>
      <c r="Y104" s="434">
        <f t="shared" si="271"/>
        <v>0</v>
      </c>
      <c r="Z104" s="434">
        <f t="shared" si="271"/>
        <v>0</v>
      </c>
      <c r="AA104" s="434">
        <f t="shared" si="271"/>
        <v>91834</v>
      </c>
      <c r="AB104" s="434">
        <f t="shared" si="271"/>
        <v>0</v>
      </c>
      <c r="AC104" s="434">
        <f t="shared" si="271"/>
        <v>0</v>
      </c>
      <c r="AD104" s="434">
        <f t="shared" si="271"/>
        <v>0</v>
      </c>
      <c r="AE104" s="434">
        <f t="shared" si="271"/>
        <v>91834</v>
      </c>
      <c r="AF104" s="434">
        <f t="shared" si="271"/>
        <v>91834</v>
      </c>
      <c r="AG104" s="434">
        <f t="shared" si="271"/>
        <v>0</v>
      </c>
      <c r="AH104" s="434">
        <f t="shared" si="271"/>
        <v>0</v>
      </c>
      <c r="AI104" s="434">
        <f t="shared" si="271"/>
        <v>0</v>
      </c>
      <c r="AJ104" s="434">
        <f t="shared" si="271"/>
        <v>0</v>
      </c>
      <c r="AK104" s="434">
        <f t="shared" si="271"/>
        <v>0</v>
      </c>
      <c r="AL104" s="434">
        <f t="shared" si="271"/>
        <v>0</v>
      </c>
      <c r="AM104" s="434">
        <f t="shared" si="271"/>
        <v>0</v>
      </c>
      <c r="AN104" s="434">
        <f t="shared" si="271"/>
        <v>0</v>
      </c>
      <c r="AO104" s="434">
        <f t="shared" si="271"/>
        <v>0</v>
      </c>
      <c r="AP104" s="434">
        <f t="shared" si="271"/>
        <v>91834</v>
      </c>
      <c r="AQ104" s="434">
        <f t="shared" si="271"/>
        <v>91834</v>
      </c>
      <c r="AR104" s="434">
        <f t="shared" si="271"/>
        <v>31040</v>
      </c>
      <c r="AS104" s="434">
        <f t="shared" si="271"/>
        <v>918</v>
      </c>
      <c r="AT104" s="434">
        <f t="shared" si="271"/>
        <v>0</v>
      </c>
      <c r="AU104" s="434">
        <f t="shared" si="271"/>
        <v>486</v>
      </c>
      <c r="AV104" s="434">
        <f t="shared" si="271"/>
        <v>486</v>
      </c>
      <c r="AW104" s="434">
        <f t="shared" si="271"/>
        <v>124278</v>
      </c>
      <c r="AX104" s="435">
        <f t="shared" si="271"/>
        <v>0</v>
      </c>
      <c r="AY104" s="435">
        <f t="shared" si="271"/>
        <v>0</v>
      </c>
      <c r="AZ104" s="435">
        <f t="shared" si="271"/>
        <v>0</v>
      </c>
      <c r="BA104" s="435">
        <f t="shared" si="271"/>
        <v>0</v>
      </c>
      <c r="BB104" s="435">
        <f t="shared" si="271"/>
        <v>0.3</v>
      </c>
      <c r="BC104" s="435">
        <f t="shared" si="271"/>
        <v>0</v>
      </c>
      <c r="BD104" s="435">
        <f t="shared" si="271"/>
        <v>0</v>
      </c>
      <c r="BE104" s="435">
        <f t="shared" si="271"/>
        <v>0</v>
      </c>
      <c r="BF104" s="435">
        <f t="shared" si="271"/>
        <v>0</v>
      </c>
      <c r="BG104" s="435">
        <f t="shared" si="271"/>
        <v>0.3</v>
      </c>
      <c r="BH104" s="103">
        <f t="shared" si="271"/>
        <v>0.3</v>
      </c>
      <c r="BI104" s="803">
        <f t="shared" si="271"/>
        <v>2015957</v>
      </c>
      <c r="BJ104" s="434">
        <f t="shared" si="271"/>
        <v>1097223</v>
      </c>
      <c r="BK104" s="434">
        <f t="shared" si="271"/>
        <v>995715</v>
      </c>
      <c r="BL104" s="434">
        <f t="shared" si="271"/>
        <v>101508</v>
      </c>
      <c r="BM104" s="434">
        <f t="shared" si="271"/>
        <v>400000</v>
      </c>
      <c r="BN104" s="434">
        <f t="shared" si="271"/>
        <v>226000</v>
      </c>
      <c r="BO104" s="434">
        <f t="shared" si="271"/>
        <v>174000</v>
      </c>
      <c r="BP104" s="434">
        <f t="shared" si="271"/>
        <v>506061</v>
      </c>
      <c r="BQ104" s="434">
        <f t="shared" si="271"/>
        <v>10972</v>
      </c>
      <c r="BR104" s="434">
        <f t="shared" si="271"/>
        <v>1701</v>
      </c>
      <c r="BS104" s="435">
        <f t="shared" si="271"/>
        <v>2.1299999999999994</v>
      </c>
      <c r="BT104" s="435">
        <f t="shared" si="271"/>
        <v>1.8</v>
      </c>
      <c r="BU104" s="103">
        <f t="shared" si="271"/>
        <v>0.3299999999999999</v>
      </c>
      <c r="BV104" s="817">
        <f t="shared" si="271"/>
        <v>0</v>
      </c>
      <c r="BW104" s="703">
        <f t="shared" si="271"/>
        <v>0</v>
      </c>
      <c r="BX104" s="703">
        <f t="shared" si="271"/>
        <v>0</v>
      </c>
      <c r="BY104" s="703">
        <f t="shared" si="271"/>
        <v>0</v>
      </c>
      <c r="BZ104" s="703">
        <f t="shared" si="271"/>
        <v>0</v>
      </c>
      <c r="CA104" s="818">
        <f t="shared" si="271"/>
        <v>0</v>
      </c>
    </row>
    <row r="105" spans="1:79" s="96" customFormat="1" ht="14.1" customHeight="1" x14ac:dyDescent="0.2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736</v>
      </c>
      <c r="F105" s="94">
        <v>3113</v>
      </c>
      <c r="G105" s="77" t="s">
        <v>293</v>
      </c>
      <c r="H105" s="95" t="s">
        <v>271</v>
      </c>
      <c r="I105" s="600">
        <v>24606984</v>
      </c>
      <c r="J105" s="599">
        <v>17884590</v>
      </c>
      <c r="K105" s="599">
        <v>16306147</v>
      </c>
      <c r="L105" s="599">
        <v>1578443</v>
      </c>
      <c r="M105" s="599">
        <v>185199</v>
      </c>
      <c r="N105" s="599">
        <v>185199</v>
      </c>
      <c r="O105" s="599">
        <v>0</v>
      </c>
      <c r="P105" s="599">
        <v>6044991</v>
      </c>
      <c r="Q105" s="599">
        <v>178846</v>
      </c>
      <c r="R105" s="599">
        <v>313358</v>
      </c>
      <c r="S105" s="417">
        <v>30.226500000000001</v>
      </c>
      <c r="T105" s="417">
        <v>25.500299999999999</v>
      </c>
      <c r="U105" s="754">
        <v>4.7262000000000004</v>
      </c>
      <c r="V105" s="424">
        <f t="shared" ref="V105:W109" si="272">AG105*-1</f>
        <v>0</v>
      </c>
      <c r="W105" s="418">
        <f t="shared" si="272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0</v>
      </c>
      <c r="AF105" s="418">
        <f>SUM(AD105:AE105)</f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ref="AO105:AP109" si="273">AD105+AL105</f>
        <v>0</v>
      </c>
      <c r="AP105" s="418">
        <f t="shared" si="273"/>
        <v>0</v>
      </c>
      <c r="AQ105" s="418">
        <f>SUM(AO105:AP105)</f>
        <v>0</v>
      </c>
      <c r="AR105" s="68">
        <f>ROUND((AF105+AG105+AH105+AI105)*33.8%,0)</f>
        <v>0</v>
      </c>
      <c r="AS105" s="68">
        <f>ROUND(AF105*1%,0)</f>
        <v>0</v>
      </c>
      <c r="AT105" s="418">
        <v>0</v>
      </c>
      <c r="AU105" s="418">
        <v>0</v>
      </c>
      <c r="AV105" s="418">
        <f>AT105+AU105</f>
        <v>0</v>
      </c>
      <c r="AW105" s="418">
        <f>AQ105+AR105+AS105+AV105</f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</v>
      </c>
      <c r="BH105" s="421">
        <f>SUM(BF105:BG105)</f>
        <v>0</v>
      </c>
      <c r="BI105" s="780">
        <f>I105+AW105</f>
        <v>24606984</v>
      </c>
      <c r="BJ105" s="418">
        <f>J105+AF105</f>
        <v>17884590</v>
      </c>
      <c r="BK105" s="418">
        <f t="shared" ref="BK105:BL109" si="274">K105+AD105</f>
        <v>16306147</v>
      </c>
      <c r="BL105" s="418">
        <f t="shared" si="274"/>
        <v>1578443</v>
      </c>
      <c r="BM105" s="418">
        <f>M105+AN105</f>
        <v>185199</v>
      </c>
      <c r="BN105" s="418">
        <f t="shared" ref="BN105:BO109" si="275">N105+AL105</f>
        <v>185199</v>
      </c>
      <c r="BO105" s="418">
        <f t="shared" si="275"/>
        <v>0</v>
      </c>
      <c r="BP105" s="418">
        <f t="shared" ref="BP105:BQ109" si="276">P105+AR105</f>
        <v>6044991</v>
      </c>
      <c r="BQ105" s="418">
        <f t="shared" si="276"/>
        <v>178846</v>
      </c>
      <c r="BR105" s="418">
        <f>R105+AV105</f>
        <v>313358</v>
      </c>
      <c r="BS105" s="419">
        <f>S105+BH105</f>
        <v>30.226500000000001</v>
      </c>
      <c r="BT105" s="419">
        <f t="shared" ref="BT105:BU109" si="277">T105+BF105</f>
        <v>25.500299999999999</v>
      </c>
      <c r="BU105" s="421">
        <f t="shared" si="277"/>
        <v>4.7262000000000004</v>
      </c>
      <c r="BV105" s="420"/>
      <c r="BW105" s="415"/>
      <c r="BX105" s="415"/>
      <c r="BY105" s="415"/>
      <c r="BZ105" s="415"/>
      <c r="CA105" s="510"/>
    </row>
    <row r="106" spans="1:79" s="96" customFormat="1" ht="14.1" customHeight="1" x14ac:dyDescent="0.2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736</v>
      </c>
      <c r="F106" s="94">
        <v>3113</v>
      </c>
      <c r="G106" s="43" t="s">
        <v>292</v>
      </c>
      <c r="H106" s="95" t="s">
        <v>271</v>
      </c>
      <c r="I106" s="600">
        <v>862100</v>
      </c>
      <c r="J106" s="599">
        <v>639540</v>
      </c>
      <c r="K106" s="599">
        <v>639540</v>
      </c>
      <c r="L106" s="599">
        <v>0</v>
      </c>
      <c r="M106" s="599">
        <v>0</v>
      </c>
      <c r="N106" s="599">
        <v>0</v>
      </c>
      <c r="O106" s="599">
        <v>0</v>
      </c>
      <c r="P106" s="599">
        <v>216165</v>
      </c>
      <c r="Q106" s="599">
        <v>6395</v>
      </c>
      <c r="R106" s="599">
        <v>0</v>
      </c>
      <c r="S106" s="417">
        <v>1.5</v>
      </c>
      <c r="T106" s="417">
        <v>1.5</v>
      </c>
      <c r="U106" s="754">
        <v>0</v>
      </c>
      <c r="V106" s="424">
        <f t="shared" si="272"/>
        <v>0</v>
      </c>
      <c r="W106" s="418">
        <f t="shared" si="272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418">
        <f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273"/>
        <v>0</v>
      </c>
      <c r="AP106" s="418">
        <f t="shared" si="273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421">
        <f>SUM(BF106:BG106)</f>
        <v>0</v>
      </c>
      <c r="BI106" s="780">
        <f>I106+AW106</f>
        <v>862100</v>
      </c>
      <c r="BJ106" s="418">
        <f>J106+AF106</f>
        <v>639540</v>
      </c>
      <c r="BK106" s="418">
        <f t="shared" si="274"/>
        <v>639540</v>
      </c>
      <c r="BL106" s="418">
        <f t="shared" si="274"/>
        <v>0</v>
      </c>
      <c r="BM106" s="418">
        <f>M106+AN106</f>
        <v>0</v>
      </c>
      <c r="BN106" s="418">
        <f t="shared" si="275"/>
        <v>0</v>
      </c>
      <c r="BO106" s="418">
        <f t="shared" si="275"/>
        <v>0</v>
      </c>
      <c r="BP106" s="418">
        <f t="shared" si="276"/>
        <v>216165</v>
      </c>
      <c r="BQ106" s="418">
        <f t="shared" si="276"/>
        <v>6395</v>
      </c>
      <c r="BR106" s="418">
        <f>R106+AV106</f>
        <v>0</v>
      </c>
      <c r="BS106" s="419">
        <f>S106+BH106</f>
        <v>1.5</v>
      </c>
      <c r="BT106" s="419">
        <f t="shared" si="277"/>
        <v>1.5</v>
      </c>
      <c r="BU106" s="421">
        <f t="shared" si="277"/>
        <v>0</v>
      </c>
      <c r="BV106" s="420"/>
      <c r="BW106" s="415"/>
      <c r="BX106" s="415"/>
      <c r="BY106" s="415"/>
      <c r="BZ106" s="415"/>
      <c r="CA106" s="510"/>
    </row>
    <row r="107" spans="1:79" s="96" customFormat="1" ht="14.1" customHeight="1" x14ac:dyDescent="0.2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736</v>
      </c>
      <c r="F107" s="94">
        <v>3113</v>
      </c>
      <c r="G107" s="77" t="s">
        <v>291</v>
      </c>
      <c r="H107" s="95" t="s">
        <v>272</v>
      </c>
      <c r="I107" s="600">
        <v>4357243</v>
      </c>
      <c r="J107" s="599">
        <v>3225514</v>
      </c>
      <c r="K107" s="599">
        <v>3225514</v>
      </c>
      <c r="L107" s="599">
        <v>0</v>
      </c>
      <c r="M107" s="599">
        <v>0</v>
      </c>
      <c r="N107" s="599">
        <v>0</v>
      </c>
      <c r="O107" s="599">
        <v>0</v>
      </c>
      <c r="P107" s="599">
        <v>1090224</v>
      </c>
      <c r="Q107" s="599">
        <v>32255</v>
      </c>
      <c r="R107" s="599">
        <v>9250</v>
      </c>
      <c r="S107" s="417">
        <v>8.69</v>
      </c>
      <c r="T107" s="417">
        <v>8.69</v>
      </c>
      <c r="U107" s="754">
        <v>0</v>
      </c>
      <c r="V107" s="424">
        <f t="shared" si="272"/>
        <v>0</v>
      </c>
      <c r="W107" s="418">
        <f t="shared" si="272"/>
        <v>0</v>
      </c>
      <c r="X107" s="418">
        <v>0</v>
      </c>
      <c r="Y107" s="418">
        <v>0</v>
      </c>
      <c r="Z107" s="418">
        <v>0</v>
      </c>
      <c r="AA107" s="418">
        <v>0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0</v>
      </c>
      <c r="AF107" s="418">
        <f>SUM(AD107:AE107)</f>
        <v>0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273"/>
        <v>0</v>
      </c>
      <c r="AP107" s="418">
        <f t="shared" si="273"/>
        <v>0</v>
      </c>
      <c r="AQ107" s="418">
        <f>SUM(AO107:AP107)</f>
        <v>0</v>
      </c>
      <c r="AR107" s="68">
        <f>ROUND((AF107+AG107+AH107+AI107)*33.8%,0)</f>
        <v>0</v>
      </c>
      <c r="AS107" s="68">
        <f>ROUND(AF107*1%,0)</f>
        <v>0</v>
      </c>
      <c r="AT107" s="418">
        <v>0</v>
      </c>
      <c r="AU107" s="418">
        <v>0</v>
      </c>
      <c r="AV107" s="418">
        <f>AT107+AU107</f>
        <v>0</v>
      </c>
      <c r="AW107" s="418">
        <f>AQ107+AR107+AS107+AV107</f>
        <v>0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</v>
      </c>
      <c r="BC107" s="41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</v>
      </c>
      <c r="BH107" s="421">
        <f>SUM(BF107:BG107)</f>
        <v>0</v>
      </c>
      <c r="BI107" s="780">
        <f>I107+AW107</f>
        <v>4357243</v>
      </c>
      <c r="BJ107" s="418">
        <f>J107+AF107</f>
        <v>3225514</v>
      </c>
      <c r="BK107" s="418">
        <f t="shared" si="274"/>
        <v>3225514</v>
      </c>
      <c r="BL107" s="418">
        <f t="shared" si="274"/>
        <v>0</v>
      </c>
      <c r="BM107" s="418">
        <f>M107+AN107</f>
        <v>0</v>
      </c>
      <c r="BN107" s="418">
        <f t="shared" si="275"/>
        <v>0</v>
      </c>
      <c r="BO107" s="418">
        <f t="shared" si="275"/>
        <v>0</v>
      </c>
      <c r="BP107" s="418">
        <f t="shared" si="276"/>
        <v>1090224</v>
      </c>
      <c r="BQ107" s="418">
        <f t="shared" si="276"/>
        <v>32255</v>
      </c>
      <c r="BR107" s="418">
        <f>R107+AV107</f>
        <v>9250</v>
      </c>
      <c r="BS107" s="419">
        <f>S107+BH107</f>
        <v>8.69</v>
      </c>
      <c r="BT107" s="419">
        <f t="shared" si="277"/>
        <v>8.69</v>
      </c>
      <c r="BU107" s="421">
        <f t="shared" si="277"/>
        <v>0</v>
      </c>
      <c r="BV107" s="420"/>
      <c r="BW107" s="415"/>
      <c r="BX107" s="415"/>
      <c r="BY107" s="415"/>
      <c r="BZ107" s="415"/>
      <c r="CA107" s="510"/>
    </row>
    <row r="108" spans="1:79" s="96" customFormat="1" ht="14.1" customHeight="1" x14ac:dyDescent="0.2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736</v>
      </c>
      <c r="F108" s="94">
        <v>3143</v>
      </c>
      <c r="G108" s="77" t="s">
        <v>595</v>
      </c>
      <c r="H108" s="95" t="s">
        <v>271</v>
      </c>
      <c r="I108" s="600">
        <v>1336774</v>
      </c>
      <c r="J108" s="599">
        <v>991672</v>
      </c>
      <c r="K108" s="599">
        <v>991672</v>
      </c>
      <c r="L108" s="599">
        <v>0</v>
      </c>
      <c r="M108" s="599">
        <v>0</v>
      </c>
      <c r="N108" s="599">
        <v>0</v>
      </c>
      <c r="O108" s="599">
        <v>0</v>
      </c>
      <c r="P108" s="599">
        <v>335185</v>
      </c>
      <c r="Q108" s="599">
        <v>9917</v>
      </c>
      <c r="R108" s="599">
        <v>0</v>
      </c>
      <c r="S108" s="417">
        <v>2.0487000000000002</v>
      </c>
      <c r="T108" s="417">
        <v>2.0487000000000002</v>
      </c>
      <c r="U108" s="754">
        <v>0</v>
      </c>
      <c r="V108" s="424">
        <f t="shared" si="272"/>
        <v>0</v>
      </c>
      <c r="W108" s="418">
        <f t="shared" si="272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>AG108+AI108+AJ108</f>
        <v>0</v>
      </c>
      <c r="AM108" s="418">
        <f>AH108+AK108</f>
        <v>0</v>
      </c>
      <c r="AN108" s="418">
        <f>SUM(AL108:AM108)</f>
        <v>0</v>
      </c>
      <c r="AO108" s="418">
        <f t="shared" si="273"/>
        <v>0</v>
      </c>
      <c r="AP108" s="418">
        <f t="shared" si="273"/>
        <v>0</v>
      </c>
      <c r="AQ108" s="418">
        <f>SUM(AO108:AP108)</f>
        <v>0</v>
      </c>
      <c r="AR108" s="68">
        <f>ROUND((AF108+AG108+AH108+AI108)*33.8%,0)</f>
        <v>0</v>
      </c>
      <c r="AS108" s="68">
        <f>ROUND(AF108*1%,0)</f>
        <v>0</v>
      </c>
      <c r="AT108" s="418">
        <v>0</v>
      </c>
      <c r="AU108" s="418">
        <v>0</v>
      </c>
      <c r="AV108" s="418">
        <f>AT108+AU108</f>
        <v>0</v>
      </c>
      <c r="AW108" s="418">
        <f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>AX108+AZ108+BA108+BC108+BD108</f>
        <v>0</v>
      </c>
      <c r="BG108" s="419">
        <f>AY108+BB108+BE108</f>
        <v>0</v>
      </c>
      <c r="BH108" s="421">
        <f>SUM(BF108:BG108)</f>
        <v>0</v>
      </c>
      <c r="BI108" s="780">
        <f>I108+AW108</f>
        <v>1336774</v>
      </c>
      <c r="BJ108" s="418">
        <f>J108+AF108</f>
        <v>991672</v>
      </c>
      <c r="BK108" s="418">
        <f t="shared" si="274"/>
        <v>991672</v>
      </c>
      <c r="BL108" s="418">
        <f t="shared" si="274"/>
        <v>0</v>
      </c>
      <c r="BM108" s="418">
        <f>M108+AN108</f>
        <v>0</v>
      </c>
      <c r="BN108" s="418">
        <f t="shared" si="275"/>
        <v>0</v>
      </c>
      <c r="BO108" s="418">
        <f t="shared" si="275"/>
        <v>0</v>
      </c>
      <c r="BP108" s="418">
        <f t="shared" si="276"/>
        <v>335185</v>
      </c>
      <c r="BQ108" s="418">
        <f t="shared" si="276"/>
        <v>9917</v>
      </c>
      <c r="BR108" s="418">
        <f>R108+AV108</f>
        <v>0</v>
      </c>
      <c r="BS108" s="419">
        <f>S108+BH108</f>
        <v>2.0487000000000002</v>
      </c>
      <c r="BT108" s="419">
        <f t="shared" si="277"/>
        <v>2.0487000000000002</v>
      </c>
      <c r="BU108" s="421">
        <f t="shared" si="277"/>
        <v>0</v>
      </c>
      <c r="BV108" s="420"/>
      <c r="BW108" s="415"/>
      <c r="BX108" s="415"/>
      <c r="BY108" s="415"/>
      <c r="BZ108" s="415"/>
      <c r="CA108" s="510"/>
    </row>
    <row r="109" spans="1:79" s="96" customFormat="1" ht="14.1" customHeight="1" x14ac:dyDescent="0.2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736</v>
      </c>
      <c r="F109" s="94">
        <v>3143</v>
      </c>
      <c r="G109" s="77" t="s">
        <v>596</v>
      </c>
      <c r="H109" s="95" t="s">
        <v>272</v>
      </c>
      <c r="I109" s="600">
        <v>36366</v>
      </c>
      <c r="J109" s="599">
        <v>26030</v>
      </c>
      <c r="K109" s="599">
        <v>0</v>
      </c>
      <c r="L109" s="605">
        <v>26030</v>
      </c>
      <c r="M109" s="599">
        <v>0</v>
      </c>
      <c r="N109" s="606">
        <v>0</v>
      </c>
      <c r="O109" s="606">
        <v>0</v>
      </c>
      <c r="P109" s="599">
        <v>8798</v>
      </c>
      <c r="Q109" s="599">
        <v>260</v>
      </c>
      <c r="R109" s="606">
        <v>1278</v>
      </c>
      <c r="S109" s="417">
        <v>9.8599999999999993E-2</v>
      </c>
      <c r="T109" s="609">
        <v>0</v>
      </c>
      <c r="U109" s="737">
        <v>9.8599999999999993E-2</v>
      </c>
      <c r="V109" s="424">
        <f t="shared" si="272"/>
        <v>0</v>
      </c>
      <c r="W109" s="418">
        <f t="shared" si="272"/>
        <v>0</v>
      </c>
      <c r="X109" s="418">
        <v>0</v>
      </c>
      <c r="Y109" s="418">
        <v>0</v>
      </c>
      <c r="Z109" s="418">
        <v>0</v>
      </c>
      <c r="AA109" s="418">
        <v>13020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13020</v>
      </c>
      <c r="AF109" s="418">
        <f>SUM(AD109:AE109)</f>
        <v>13020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 t="shared" si="273"/>
        <v>0</v>
      </c>
      <c r="AP109" s="418">
        <f t="shared" si="273"/>
        <v>13020</v>
      </c>
      <c r="AQ109" s="418">
        <f>SUM(AO109:AP109)</f>
        <v>13020</v>
      </c>
      <c r="AR109" s="68">
        <f>ROUND((AF109+AG109+AH109+AI109)*33.8%,0)</f>
        <v>4401</v>
      </c>
      <c r="AS109" s="68">
        <f>ROUND(AF109*1%,0)</f>
        <v>130</v>
      </c>
      <c r="AT109" s="418">
        <v>0</v>
      </c>
      <c r="AU109" s="418">
        <v>639</v>
      </c>
      <c r="AV109" s="418">
        <f>AT109+AU109</f>
        <v>639</v>
      </c>
      <c r="AW109" s="418">
        <f>AQ109+AR109+AS109+AV109</f>
        <v>18190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0.05</v>
      </c>
      <c r="BC109" s="41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0.05</v>
      </c>
      <c r="BH109" s="421">
        <f>SUM(BF109:BG109)</f>
        <v>0.05</v>
      </c>
      <c r="BI109" s="780">
        <f>I109+AW109</f>
        <v>54556</v>
      </c>
      <c r="BJ109" s="418">
        <f>J109+AF109</f>
        <v>39050</v>
      </c>
      <c r="BK109" s="418">
        <f t="shared" si="274"/>
        <v>0</v>
      </c>
      <c r="BL109" s="418">
        <f t="shared" si="274"/>
        <v>39050</v>
      </c>
      <c r="BM109" s="418">
        <f>M109+AN109</f>
        <v>0</v>
      </c>
      <c r="BN109" s="418">
        <f t="shared" si="275"/>
        <v>0</v>
      </c>
      <c r="BO109" s="418">
        <f t="shared" si="275"/>
        <v>0</v>
      </c>
      <c r="BP109" s="418">
        <f t="shared" si="276"/>
        <v>13199</v>
      </c>
      <c r="BQ109" s="418">
        <f t="shared" si="276"/>
        <v>390</v>
      </c>
      <c r="BR109" s="418">
        <f>R109+AV109</f>
        <v>1917</v>
      </c>
      <c r="BS109" s="419">
        <f>S109+BH109</f>
        <v>0.14860000000000001</v>
      </c>
      <c r="BT109" s="419">
        <f t="shared" si="277"/>
        <v>0</v>
      </c>
      <c r="BU109" s="421">
        <f t="shared" si="277"/>
        <v>0.14860000000000001</v>
      </c>
      <c r="BV109" s="420"/>
      <c r="BW109" s="415"/>
      <c r="BX109" s="415"/>
      <c r="BY109" s="415"/>
      <c r="BZ109" s="415"/>
      <c r="CA109" s="510"/>
    </row>
    <row r="110" spans="1:79" s="96" customFormat="1" ht="14.1" customHeight="1" x14ac:dyDescent="0.2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737</v>
      </c>
      <c r="F110" s="99"/>
      <c r="G110" s="100"/>
      <c r="H110" s="101"/>
      <c r="I110" s="438">
        <v>31199467</v>
      </c>
      <c r="J110" s="434">
        <v>22767346</v>
      </c>
      <c r="K110" s="434">
        <v>21162873</v>
      </c>
      <c r="L110" s="434">
        <v>1604473</v>
      </c>
      <c r="M110" s="434">
        <v>185199</v>
      </c>
      <c r="N110" s="434">
        <v>185199</v>
      </c>
      <c r="O110" s="434">
        <v>0</v>
      </c>
      <c r="P110" s="434">
        <v>7695363</v>
      </c>
      <c r="Q110" s="434">
        <v>227673</v>
      </c>
      <c r="R110" s="434">
        <v>323886</v>
      </c>
      <c r="S110" s="435">
        <v>42.563799999999993</v>
      </c>
      <c r="T110" s="435">
        <v>37.739000000000004</v>
      </c>
      <c r="U110" s="700">
        <v>4.8248000000000006</v>
      </c>
      <c r="V110" s="438">
        <f t="shared" ref="V110:CA110" si="278">SUM(V105:V109)</f>
        <v>0</v>
      </c>
      <c r="W110" s="434">
        <f t="shared" si="278"/>
        <v>0</v>
      </c>
      <c r="X110" s="434">
        <f t="shared" si="278"/>
        <v>0</v>
      </c>
      <c r="Y110" s="434">
        <f t="shared" si="278"/>
        <v>0</v>
      </c>
      <c r="Z110" s="434">
        <f t="shared" si="278"/>
        <v>0</v>
      </c>
      <c r="AA110" s="434">
        <f t="shared" si="278"/>
        <v>13020</v>
      </c>
      <c r="AB110" s="434">
        <f t="shared" si="278"/>
        <v>0</v>
      </c>
      <c r="AC110" s="434">
        <f t="shared" si="278"/>
        <v>0</v>
      </c>
      <c r="AD110" s="434">
        <f t="shared" si="278"/>
        <v>0</v>
      </c>
      <c r="AE110" s="434">
        <f t="shared" si="278"/>
        <v>13020</v>
      </c>
      <c r="AF110" s="434">
        <f t="shared" si="278"/>
        <v>13020</v>
      </c>
      <c r="AG110" s="434">
        <f t="shared" si="278"/>
        <v>0</v>
      </c>
      <c r="AH110" s="434">
        <f t="shared" si="278"/>
        <v>0</v>
      </c>
      <c r="AI110" s="434">
        <f t="shared" si="278"/>
        <v>0</v>
      </c>
      <c r="AJ110" s="434">
        <f t="shared" si="278"/>
        <v>0</v>
      </c>
      <c r="AK110" s="434">
        <f t="shared" si="278"/>
        <v>0</v>
      </c>
      <c r="AL110" s="434">
        <f t="shared" si="278"/>
        <v>0</v>
      </c>
      <c r="AM110" s="434">
        <f t="shared" si="278"/>
        <v>0</v>
      </c>
      <c r="AN110" s="434">
        <f t="shared" si="278"/>
        <v>0</v>
      </c>
      <c r="AO110" s="434">
        <f t="shared" si="278"/>
        <v>0</v>
      </c>
      <c r="AP110" s="434">
        <f t="shared" si="278"/>
        <v>13020</v>
      </c>
      <c r="AQ110" s="434">
        <f t="shared" si="278"/>
        <v>13020</v>
      </c>
      <c r="AR110" s="434">
        <f t="shared" si="278"/>
        <v>4401</v>
      </c>
      <c r="AS110" s="434">
        <f t="shared" si="278"/>
        <v>130</v>
      </c>
      <c r="AT110" s="434">
        <f t="shared" si="278"/>
        <v>0</v>
      </c>
      <c r="AU110" s="434">
        <f t="shared" si="278"/>
        <v>639</v>
      </c>
      <c r="AV110" s="434">
        <f t="shared" si="278"/>
        <v>639</v>
      </c>
      <c r="AW110" s="434">
        <f t="shared" si="278"/>
        <v>18190</v>
      </c>
      <c r="AX110" s="435">
        <f t="shared" si="278"/>
        <v>0</v>
      </c>
      <c r="AY110" s="435">
        <f t="shared" si="278"/>
        <v>0</v>
      </c>
      <c r="AZ110" s="435">
        <f t="shared" si="278"/>
        <v>0</v>
      </c>
      <c r="BA110" s="435">
        <f t="shared" si="278"/>
        <v>0</v>
      </c>
      <c r="BB110" s="435">
        <f t="shared" si="278"/>
        <v>0.05</v>
      </c>
      <c r="BC110" s="435">
        <f t="shared" si="278"/>
        <v>0</v>
      </c>
      <c r="BD110" s="435">
        <f t="shared" si="278"/>
        <v>0</v>
      </c>
      <c r="BE110" s="435">
        <f t="shared" si="278"/>
        <v>0</v>
      </c>
      <c r="BF110" s="435">
        <f t="shared" si="278"/>
        <v>0</v>
      </c>
      <c r="BG110" s="435">
        <f t="shared" si="278"/>
        <v>0.05</v>
      </c>
      <c r="BH110" s="103">
        <f t="shared" si="278"/>
        <v>0.05</v>
      </c>
      <c r="BI110" s="803">
        <f t="shared" si="278"/>
        <v>31217657</v>
      </c>
      <c r="BJ110" s="434">
        <f t="shared" si="278"/>
        <v>22780366</v>
      </c>
      <c r="BK110" s="434">
        <f t="shared" si="278"/>
        <v>21162873</v>
      </c>
      <c r="BL110" s="434">
        <f t="shared" si="278"/>
        <v>1617493</v>
      </c>
      <c r="BM110" s="434">
        <f t="shared" si="278"/>
        <v>185199</v>
      </c>
      <c r="BN110" s="434">
        <f t="shared" si="278"/>
        <v>185199</v>
      </c>
      <c r="BO110" s="434">
        <f t="shared" si="278"/>
        <v>0</v>
      </c>
      <c r="BP110" s="434">
        <f t="shared" si="278"/>
        <v>7699764</v>
      </c>
      <c r="BQ110" s="434">
        <f t="shared" si="278"/>
        <v>227803</v>
      </c>
      <c r="BR110" s="434">
        <f t="shared" si="278"/>
        <v>324525</v>
      </c>
      <c r="BS110" s="435">
        <f t="shared" si="278"/>
        <v>42.613799999999998</v>
      </c>
      <c r="BT110" s="435">
        <f t="shared" si="278"/>
        <v>37.739000000000004</v>
      </c>
      <c r="BU110" s="103">
        <f t="shared" si="278"/>
        <v>4.8748000000000005</v>
      </c>
      <c r="BV110" s="817">
        <f t="shared" si="278"/>
        <v>0</v>
      </c>
      <c r="BW110" s="703">
        <f t="shared" si="278"/>
        <v>0</v>
      </c>
      <c r="BX110" s="703">
        <f t="shared" si="278"/>
        <v>0</v>
      </c>
      <c r="BY110" s="703">
        <f t="shared" si="278"/>
        <v>0</v>
      </c>
      <c r="BZ110" s="703">
        <f t="shared" si="278"/>
        <v>0</v>
      </c>
      <c r="CA110" s="818">
        <f t="shared" si="278"/>
        <v>0</v>
      </c>
    </row>
    <row r="111" spans="1:79" s="96" customFormat="1" ht="14.1" customHeight="1" x14ac:dyDescent="0.2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738</v>
      </c>
      <c r="F111" s="94">
        <v>3231</v>
      </c>
      <c r="G111" s="77" t="s">
        <v>295</v>
      </c>
      <c r="H111" s="95" t="s">
        <v>271</v>
      </c>
      <c r="I111" s="600">
        <v>5379230</v>
      </c>
      <c r="J111" s="599">
        <v>3985738</v>
      </c>
      <c r="K111" s="16">
        <v>3833564</v>
      </c>
      <c r="L111" s="16">
        <v>152174</v>
      </c>
      <c r="M111" s="599">
        <v>0</v>
      </c>
      <c r="N111" s="599">
        <v>0</v>
      </c>
      <c r="O111" s="599">
        <v>0</v>
      </c>
      <c r="P111" s="599">
        <v>1347179</v>
      </c>
      <c r="Q111" s="599">
        <v>39857</v>
      </c>
      <c r="R111" s="16">
        <v>6456</v>
      </c>
      <c r="S111" s="417">
        <v>6.4650999999999996</v>
      </c>
      <c r="T111" s="13">
        <v>6.0381</v>
      </c>
      <c r="U111" s="169">
        <v>0.42699999999999999</v>
      </c>
      <c r="V111" s="424">
        <f>AG111*-1</f>
        <v>0</v>
      </c>
      <c r="W111" s="418">
        <f>AH111*-1</f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>AD111+AL111</f>
        <v>0</v>
      </c>
      <c r="AP111" s="418">
        <f>AE111+AM111</f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421">
        <f>SUM(BF111:BG111)</f>
        <v>0</v>
      </c>
      <c r="BI111" s="780">
        <f>I111+AW111</f>
        <v>5379230</v>
      </c>
      <c r="BJ111" s="418">
        <f>J111+AF111</f>
        <v>3985738</v>
      </c>
      <c r="BK111" s="418">
        <f>K111+AD111</f>
        <v>3833564</v>
      </c>
      <c r="BL111" s="418">
        <f>L111+AE111</f>
        <v>152174</v>
      </c>
      <c r="BM111" s="418">
        <f>M111+AN111</f>
        <v>0</v>
      </c>
      <c r="BN111" s="418">
        <f>N111+AL111</f>
        <v>0</v>
      </c>
      <c r="BO111" s="418">
        <f>O111+AM111</f>
        <v>0</v>
      </c>
      <c r="BP111" s="418">
        <f>P111+AR111</f>
        <v>1347179</v>
      </c>
      <c r="BQ111" s="418">
        <f>Q111+AS111</f>
        <v>39857</v>
      </c>
      <c r="BR111" s="418">
        <f>R111+AV111</f>
        <v>6456</v>
      </c>
      <c r="BS111" s="419">
        <f>S111+BH111</f>
        <v>6.4650999999999996</v>
      </c>
      <c r="BT111" s="419">
        <f>T111+BF111</f>
        <v>6.0381</v>
      </c>
      <c r="BU111" s="421">
        <f>U111+BG111</f>
        <v>0.42699999999999999</v>
      </c>
      <c r="BV111" s="420"/>
      <c r="BW111" s="415"/>
      <c r="BX111" s="415"/>
      <c r="BY111" s="415"/>
      <c r="BZ111" s="415"/>
      <c r="CA111" s="510"/>
    </row>
    <row r="112" spans="1:79" s="96" customFormat="1" ht="14.1" customHeight="1" x14ac:dyDescent="0.2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739</v>
      </c>
      <c r="F112" s="99"/>
      <c r="G112" s="100"/>
      <c r="H112" s="101"/>
      <c r="I112" s="439">
        <v>5379230</v>
      </c>
      <c r="J112" s="436">
        <v>3985738</v>
      </c>
      <c r="K112" s="436">
        <v>3833564</v>
      </c>
      <c r="L112" s="436">
        <v>152174</v>
      </c>
      <c r="M112" s="436">
        <v>0</v>
      </c>
      <c r="N112" s="436">
        <v>0</v>
      </c>
      <c r="O112" s="436">
        <v>0</v>
      </c>
      <c r="P112" s="436">
        <v>1347179</v>
      </c>
      <c r="Q112" s="436">
        <v>39857</v>
      </c>
      <c r="R112" s="436">
        <v>6456</v>
      </c>
      <c r="S112" s="437">
        <v>6.4650999999999996</v>
      </c>
      <c r="T112" s="437">
        <v>6.0381</v>
      </c>
      <c r="U112" s="701">
        <v>0.42699999999999999</v>
      </c>
      <c r="V112" s="439">
        <f t="shared" ref="V112:CA112" si="279">SUM(V111)</f>
        <v>0</v>
      </c>
      <c r="W112" s="436">
        <f t="shared" si="279"/>
        <v>0</v>
      </c>
      <c r="X112" s="436">
        <f t="shared" si="279"/>
        <v>0</v>
      </c>
      <c r="Y112" s="436">
        <f t="shared" si="279"/>
        <v>0</v>
      </c>
      <c r="Z112" s="436">
        <f t="shared" si="279"/>
        <v>0</v>
      </c>
      <c r="AA112" s="436">
        <f t="shared" si="279"/>
        <v>0</v>
      </c>
      <c r="AB112" s="436">
        <f t="shared" si="279"/>
        <v>0</v>
      </c>
      <c r="AC112" s="436">
        <f t="shared" si="279"/>
        <v>0</v>
      </c>
      <c r="AD112" s="436">
        <f t="shared" si="279"/>
        <v>0</v>
      </c>
      <c r="AE112" s="436">
        <f t="shared" si="279"/>
        <v>0</v>
      </c>
      <c r="AF112" s="436">
        <f t="shared" si="279"/>
        <v>0</v>
      </c>
      <c r="AG112" s="436">
        <f t="shared" si="279"/>
        <v>0</v>
      </c>
      <c r="AH112" s="436">
        <f t="shared" si="279"/>
        <v>0</v>
      </c>
      <c r="AI112" s="436">
        <f t="shared" si="279"/>
        <v>0</v>
      </c>
      <c r="AJ112" s="436">
        <f t="shared" si="279"/>
        <v>0</v>
      </c>
      <c r="AK112" s="436">
        <f t="shared" si="279"/>
        <v>0</v>
      </c>
      <c r="AL112" s="436">
        <f t="shared" si="279"/>
        <v>0</v>
      </c>
      <c r="AM112" s="436">
        <f t="shared" si="279"/>
        <v>0</v>
      </c>
      <c r="AN112" s="436">
        <f t="shared" si="279"/>
        <v>0</v>
      </c>
      <c r="AO112" s="436">
        <f t="shared" si="279"/>
        <v>0</v>
      </c>
      <c r="AP112" s="436">
        <f t="shared" si="279"/>
        <v>0</v>
      </c>
      <c r="AQ112" s="436">
        <f t="shared" si="279"/>
        <v>0</v>
      </c>
      <c r="AR112" s="436">
        <f t="shared" si="279"/>
        <v>0</v>
      </c>
      <c r="AS112" s="436">
        <f t="shared" si="279"/>
        <v>0</v>
      </c>
      <c r="AT112" s="436">
        <f t="shared" si="279"/>
        <v>0</v>
      </c>
      <c r="AU112" s="436">
        <f t="shared" si="279"/>
        <v>0</v>
      </c>
      <c r="AV112" s="436">
        <f t="shared" si="279"/>
        <v>0</v>
      </c>
      <c r="AW112" s="436">
        <f t="shared" si="279"/>
        <v>0</v>
      </c>
      <c r="AX112" s="437">
        <f t="shared" si="279"/>
        <v>0</v>
      </c>
      <c r="AY112" s="437">
        <f t="shared" si="279"/>
        <v>0</v>
      </c>
      <c r="AZ112" s="437">
        <f t="shared" si="279"/>
        <v>0</v>
      </c>
      <c r="BA112" s="437">
        <f t="shared" si="279"/>
        <v>0</v>
      </c>
      <c r="BB112" s="437">
        <f t="shared" si="279"/>
        <v>0</v>
      </c>
      <c r="BC112" s="437">
        <f t="shared" si="279"/>
        <v>0</v>
      </c>
      <c r="BD112" s="437">
        <f t="shared" si="279"/>
        <v>0</v>
      </c>
      <c r="BE112" s="437">
        <f t="shared" si="279"/>
        <v>0</v>
      </c>
      <c r="BF112" s="437">
        <f t="shared" si="279"/>
        <v>0</v>
      </c>
      <c r="BG112" s="437">
        <f t="shared" si="279"/>
        <v>0</v>
      </c>
      <c r="BH112" s="107">
        <f t="shared" si="279"/>
        <v>0</v>
      </c>
      <c r="BI112" s="804">
        <f t="shared" si="279"/>
        <v>5379230</v>
      </c>
      <c r="BJ112" s="436">
        <f t="shared" si="279"/>
        <v>3985738</v>
      </c>
      <c r="BK112" s="436">
        <f t="shared" si="279"/>
        <v>3833564</v>
      </c>
      <c r="BL112" s="436">
        <f t="shared" si="279"/>
        <v>152174</v>
      </c>
      <c r="BM112" s="436">
        <f t="shared" si="279"/>
        <v>0</v>
      </c>
      <c r="BN112" s="436">
        <f t="shared" si="279"/>
        <v>0</v>
      </c>
      <c r="BO112" s="436">
        <f t="shared" si="279"/>
        <v>0</v>
      </c>
      <c r="BP112" s="436">
        <f t="shared" si="279"/>
        <v>1347179</v>
      </c>
      <c r="BQ112" s="436">
        <f t="shared" si="279"/>
        <v>39857</v>
      </c>
      <c r="BR112" s="436">
        <f t="shared" si="279"/>
        <v>6456</v>
      </c>
      <c r="BS112" s="437">
        <f t="shared" si="279"/>
        <v>6.4650999999999996</v>
      </c>
      <c r="BT112" s="437">
        <f t="shared" si="279"/>
        <v>6.0381</v>
      </c>
      <c r="BU112" s="107">
        <f t="shared" si="279"/>
        <v>0.42699999999999999</v>
      </c>
      <c r="BV112" s="819">
        <f t="shared" si="279"/>
        <v>0</v>
      </c>
      <c r="BW112" s="704">
        <f t="shared" si="279"/>
        <v>0</v>
      </c>
      <c r="BX112" s="704">
        <f t="shared" si="279"/>
        <v>0</v>
      </c>
      <c r="BY112" s="704">
        <f t="shared" si="279"/>
        <v>0</v>
      </c>
      <c r="BZ112" s="704">
        <f t="shared" si="279"/>
        <v>0</v>
      </c>
      <c r="CA112" s="820">
        <f t="shared" si="279"/>
        <v>0</v>
      </c>
    </row>
    <row r="113" spans="1:79" s="96" customFormat="1" ht="14.1" customHeight="1" x14ac:dyDescent="0.2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740</v>
      </c>
      <c r="F113" s="94">
        <v>3111</v>
      </c>
      <c r="G113" s="77" t="s">
        <v>290</v>
      </c>
      <c r="H113" s="95" t="s">
        <v>271</v>
      </c>
      <c r="I113" s="600">
        <v>6840691</v>
      </c>
      <c r="J113" s="599">
        <v>4963367</v>
      </c>
      <c r="K113" s="599">
        <v>4702095</v>
      </c>
      <c r="L113" s="599">
        <v>261272</v>
      </c>
      <c r="M113" s="599">
        <v>95000</v>
      </c>
      <c r="N113" s="599">
        <v>90000</v>
      </c>
      <c r="O113" s="599">
        <v>5000</v>
      </c>
      <c r="P113" s="599">
        <v>1709728</v>
      </c>
      <c r="Q113" s="599">
        <v>49634</v>
      </c>
      <c r="R113" s="599">
        <v>22962</v>
      </c>
      <c r="S113" s="417">
        <v>8.9468000000000014</v>
      </c>
      <c r="T113" s="417">
        <v>7.88</v>
      </c>
      <c r="U113" s="754">
        <v>1.0668</v>
      </c>
      <c r="V113" s="424">
        <f t="shared" ref="V113:W120" si="280">AG113*-1</f>
        <v>0</v>
      </c>
      <c r="W113" s="418">
        <f t="shared" si="280"/>
        <v>0</v>
      </c>
      <c r="X113" s="418">
        <v>0</v>
      </c>
      <c r="Y113" s="418">
        <v>0</v>
      </c>
      <c r="Z113" s="418">
        <v>0</v>
      </c>
      <c r="AA113" s="418">
        <v>0</v>
      </c>
      <c r="AB113" s="418">
        <v>0</v>
      </c>
      <c r="AC113" s="418">
        <v>0</v>
      </c>
      <c r="AD113" s="418">
        <f t="shared" ref="AD113:AD120" si="281">V113+X113+Y113+Z113+AB113</f>
        <v>0</v>
      </c>
      <c r="AE113" s="418">
        <f t="shared" ref="AE113:AE120" si="282">W113+AA113+AC113</f>
        <v>0</v>
      </c>
      <c r="AF113" s="418">
        <f t="shared" ref="AF113:AF120" si="283">SUM(AD113:AE113)</f>
        <v>0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ref="AL113:AL120" si="284">AG113+AI113+AJ113</f>
        <v>0</v>
      </c>
      <c r="AM113" s="418">
        <f t="shared" ref="AM113:AM120" si="285">AH113+AK113</f>
        <v>0</v>
      </c>
      <c r="AN113" s="418">
        <f t="shared" ref="AN113:AN120" si="286">SUM(AL113:AM113)</f>
        <v>0</v>
      </c>
      <c r="AO113" s="418">
        <f t="shared" ref="AO113:AP120" si="287">AD113+AL113</f>
        <v>0</v>
      </c>
      <c r="AP113" s="418">
        <f t="shared" si="287"/>
        <v>0</v>
      </c>
      <c r="AQ113" s="418">
        <f t="shared" ref="AQ113:AQ120" si="288">SUM(AO113:AP113)</f>
        <v>0</v>
      </c>
      <c r="AR113" s="68">
        <f t="shared" ref="AR113:AR120" si="289">ROUND((AF113+AG113+AH113+AI113)*33.8%,0)</f>
        <v>0</v>
      </c>
      <c r="AS113" s="68">
        <f t="shared" ref="AS113:AS120" si="290">ROUND(AF113*1%,0)</f>
        <v>0</v>
      </c>
      <c r="AT113" s="418">
        <v>0</v>
      </c>
      <c r="AU113" s="418">
        <v>0</v>
      </c>
      <c r="AV113" s="418">
        <f t="shared" ref="AV113:AV120" si="291">AT113+AU113</f>
        <v>0</v>
      </c>
      <c r="AW113" s="418">
        <f t="shared" ref="AW113:AW120" si="292">AQ113+AR113+AS113+AV113</f>
        <v>0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</v>
      </c>
      <c r="BC113" s="419">
        <v>0</v>
      </c>
      <c r="BD113" s="419">
        <v>0</v>
      </c>
      <c r="BE113" s="419">
        <v>0</v>
      </c>
      <c r="BF113" s="419">
        <f t="shared" ref="BF113:BF120" si="293">AX113+AZ113+BA113+BC113+BD113</f>
        <v>0</v>
      </c>
      <c r="BG113" s="419">
        <f t="shared" ref="BG113:BG120" si="294">AY113+BB113+BE113</f>
        <v>0</v>
      </c>
      <c r="BH113" s="421">
        <f t="shared" ref="BH113:BH120" si="295">SUM(BF113:BG113)</f>
        <v>0</v>
      </c>
      <c r="BI113" s="780">
        <f t="shared" ref="BI113:BI120" si="296">I113+AW113</f>
        <v>6840691</v>
      </c>
      <c r="BJ113" s="418">
        <f t="shared" ref="BJ113:BJ120" si="297">J113+AF113</f>
        <v>4963367</v>
      </c>
      <c r="BK113" s="418">
        <f t="shared" ref="BK113:BL120" si="298">K113+AD113</f>
        <v>4702095</v>
      </c>
      <c r="BL113" s="418">
        <f t="shared" si="298"/>
        <v>261272</v>
      </c>
      <c r="BM113" s="418">
        <f t="shared" ref="BM113:BM120" si="299">M113+AN113</f>
        <v>95000</v>
      </c>
      <c r="BN113" s="418">
        <f t="shared" ref="BN113:BO120" si="300">N113+AL113</f>
        <v>90000</v>
      </c>
      <c r="BO113" s="418">
        <f t="shared" si="300"/>
        <v>5000</v>
      </c>
      <c r="BP113" s="418">
        <f t="shared" ref="BP113:BQ120" si="301">P113+AR113</f>
        <v>1709728</v>
      </c>
      <c r="BQ113" s="418">
        <f t="shared" si="301"/>
        <v>49634</v>
      </c>
      <c r="BR113" s="418">
        <f t="shared" ref="BR113:BR120" si="302">R113+AV113</f>
        <v>22962</v>
      </c>
      <c r="BS113" s="419">
        <f t="shared" ref="BS113:BS120" si="303">S113+BH113</f>
        <v>8.9468000000000014</v>
      </c>
      <c r="BT113" s="419">
        <f t="shared" ref="BT113:BU120" si="304">T113+BF113</f>
        <v>7.88</v>
      </c>
      <c r="BU113" s="421">
        <f t="shared" si="304"/>
        <v>1.0668</v>
      </c>
      <c r="BV113" s="420"/>
      <c r="BW113" s="415"/>
      <c r="BX113" s="415"/>
      <c r="BY113" s="415"/>
      <c r="BZ113" s="415"/>
      <c r="CA113" s="510"/>
    </row>
    <row r="114" spans="1:79" s="96" customFormat="1" ht="14.1" customHeight="1" x14ac:dyDescent="0.2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740</v>
      </c>
      <c r="F114" s="94">
        <v>3113</v>
      </c>
      <c r="G114" s="77" t="s">
        <v>293</v>
      </c>
      <c r="H114" s="95" t="s">
        <v>271</v>
      </c>
      <c r="I114" s="600">
        <v>20997794</v>
      </c>
      <c r="J114" s="599">
        <v>15293306</v>
      </c>
      <c r="K114" s="599">
        <v>13891395</v>
      </c>
      <c r="L114" s="599">
        <v>1401911</v>
      </c>
      <c r="M114" s="599">
        <v>100000</v>
      </c>
      <c r="N114" s="599">
        <v>95000</v>
      </c>
      <c r="O114" s="599">
        <v>5000</v>
      </c>
      <c r="P114" s="599">
        <v>5202937</v>
      </c>
      <c r="Q114" s="599">
        <v>152933</v>
      </c>
      <c r="R114" s="599">
        <v>248618</v>
      </c>
      <c r="S114" s="417">
        <v>24.640999999999998</v>
      </c>
      <c r="T114" s="417">
        <v>20.454499999999999</v>
      </c>
      <c r="U114" s="754">
        <v>4.1864999999999997</v>
      </c>
      <c r="V114" s="424">
        <f t="shared" si="280"/>
        <v>0</v>
      </c>
      <c r="W114" s="418">
        <f t="shared" si="280"/>
        <v>0</v>
      </c>
      <c r="X114" s="418">
        <v>0</v>
      </c>
      <c r="Y114" s="418">
        <v>0</v>
      </c>
      <c r="Z114" s="418">
        <v>0</v>
      </c>
      <c r="AA114" s="418">
        <v>0</v>
      </c>
      <c r="AB114" s="418">
        <v>0</v>
      </c>
      <c r="AC114" s="418">
        <v>0</v>
      </c>
      <c r="AD114" s="418">
        <f t="shared" si="281"/>
        <v>0</v>
      </c>
      <c r="AE114" s="418">
        <f t="shared" si="282"/>
        <v>0</v>
      </c>
      <c r="AF114" s="418">
        <f t="shared" si="283"/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si="284"/>
        <v>0</v>
      </c>
      <c r="AM114" s="418">
        <f t="shared" si="285"/>
        <v>0</v>
      </c>
      <c r="AN114" s="418">
        <f t="shared" si="286"/>
        <v>0</v>
      </c>
      <c r="AO114" s="418">
        <f t="shared" si="287"/>
        <v>0</v>
      </c>
      <c r="AP114" s="418">
        <f t="shared" si="287"/>
        <v>0</v>
      </c>
      <c r="AQ114" s="418">
        <f t="shared" si="288"/>
        <v>0</v>
      </c>
      <c r="AR114" s="68">
        <f t="shared" si="289"/>
        <v>0</v>
      </c>
      <c r="AS114" s="68">
        <f t="shared" si="290"/>
        <v>0</v>
      </c>
      <c r="AT114" s="418">
        <v>0</v>
      </c>
      <c r="AU114" s="418">
        <v>0</v>
      </c>
      <c r="AV114" s="418">
        <f t="shared" si="291"/>
        <v>0</v>
      </c>
      <c r="AW114" s="418">
        <f t="shared" si="292"/>
        <v>0</v>
      </c>
      <c r="AX114" s="419">
        <v>0</v>
      </c>
      <c r="AY114" s="419">
        <v>0</v>
      </c>
      <c r="AZ114" s="419">
        <v>0</v>
      </c>
      <c r="BA114" s="419">
        <v>0</v>
      </c>
      <c r="BB114" s="419">
        <v>0</v>
      </c>
      <c r="BC114" s="419">
        <v>0</v>
      </c>
      <c r="BD114" s="419">
        <v>0</v>
      </c>
      <c r="BE114" s="419">
        <v>0</v>
      </c>
      <c r="BF114" s="419">
        <f t="shared" si="293"/>
        <v>0</v>
      </c>
      <c r="BG114" s="419">
        <f t="shared" si="294"/>
        <v>0</v>
      </c>
      <c r="BH114" s="421">
        <f t="shared" si="295"/>
        <v>0</v>
      </c>
      <c r="BI114" s="780">
        <f t="shared" si="296"/>
        <v>20997794</v>
      </c>
      <c r="BJ114" s="418">
        <f t="shared" si="297"/>
        <v>15293306</v>
      </c>
      <c r="BK114" s="418">
        <f t="shared" si="298"/>
        <v>13891395</v>
      </c>
      <c r="BL114" s="418">
        <f t="shared" si="298"/>
        <v>1401911</v>
      </c>
      <c r="BM114" s="418">
        <f t="shared" si="299"/>
        <v>100000</v>
      </c>
      <c r="BN114" s="418">
        <f t="shared" si="300"/>
        <v>95000</v>
      </c>
      <c r="BO114" s="418">
        <f t="shared" si="300"/>
        <v>5000</v>
      </c>
      <c r="BP114" s="418">
        <f t="shared" si="301"/>
        <v>5202937</v>
      </c>
      <c r="BQ114" s="418">
        <f t="shared" si="301"/>
        <v>152933</v>
      </c>
      <c r="BR114" s="418">
        <f t="shared" si="302"/>
        <v>248618</v>
      </c>
      <c r="BS114" s="419">
        <f t="shared" si="303"/>
        <v>24.640999999999998</v>
      </c>
      <c r="BT114" s="419">
        <f t="shared" si="304"/>
        <v>20.454499999999999</v>
      </c>
      <c r="BU114" s="421">
        <f t="shared" si="304"/>
        <v>4.1864999999999997</v>
      </c>
      <c r="BV114" s="420">
        <v>380136</v>
      </c>
      <c r="BW114" s="415">
        <v>282000</v>
      </c>
      <c r="BX114" s="415">
        <v>0</v>
      </c>
      <c r="BY114" s="415">
        <v>95316</v>
      </c>
      <c r="BZ114" s="415">
        <v>2820</v>
      </c>
      <c r="CA114" s="510">
        <v>0.5</v>
      </c>
    </row>
    <row r="115" spans="1:79" s="96" customFormat="1" ht="14.1" customHeight="1" x14ac:dyDescent="0.2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740</v>
      </c>
      <c r="F115" s="94">
        <v>3113</v>
      </c>
      <c r="G115" s="43" t="s">
        <v>292</v>
      </c>
      <c r="H115" s="95" t="s">
        <v>271</v>
      </c>
      <c r="I115" s="600">
        <v>2139512</v>
      </c>
      <c r="J115" s="599">
        <v>1582212</v>
      </c>
      <c r="K115" s="599">
        <v>1582212</v>
      </c>
      <c r="L115" s="599">
        <v>0</v>
      </c>
      <c r="M115" s="599">
        <v>5000</v>
      </c>
      <c r="N115" s="599">
        <v>5000</v>
      </c>
      <c r="O115" s="599">
        <v>0</v>
      </c>
      <c r="P115" s="599">
        <v>536478</v>
      </c>
      <c r="Q115" s="599">
        <v>15822</v>
      </c>
      <c r="R115" s="599">
        <v>0</v>
      </c>
      <c r="S115" s="417">
        <v>3.7584</v>
      </c>
      <c r="T115" s="417">
        <v>3.7584</v>
      </c>
      <c r="U115" s="754">
        <v>0</v>
      </c>
      <c r="V115" s="424">
        <f t="shared" si="280"/>
        <v>0</v>
      </c>
      <c r="W115" s="418">
        <f t="shared" si="280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 t="shared" si="281"/>
        <v>0</v>
      </c>
      <c r="AE115" s="418">
        <f t="shared" si="282"/>
        <v>0</v>
      </c>
      <c r="AF115" s="418">
        <f t="shared" si="283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84"/>
        <v>0</v>
      </c>
      <c r="AM115" s="418">
        <f t="shared" si="285"/>
        <v>0</v>
      </c>
      <c r="AN115" s="418">
        <f t="shared" si="286"/>
        <v>0</v>
      </c>
      <c r="AO115" s="418">
        <f t="shared" si="287"/>
        <v>0</v>
      </c>
      <c r="AP115" s="418">
        <f t="shared" si="287"/>
        <v>0</v>
      </c>
      <c r="AQ115" s="418">
        <f t="shared" si="288"/>
        <v>0</v>
      </c>
      <c r="AR115" s="68">
        <f t="shared" si="289"/>
        <v>0</v>
      </c>
      <c r="AS115" s="68">
        <f t="shared" si="290"/>
        <v>0</v>
      </c>
      <c r="AT115" s="418">
        <v>0</v>
      </c>
      <c r="AU115" s="418">
        <v>0</v>
      </c>
      <c r="AV115" s="418">
        <f t="shared" si="291"/>
        <v>0</v>
      </c>
      <c r="AW115" s="418">
        <f t="shared" si="292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 t="shared" si="293"/>
        <v>0</v>
      </c>
      <c r="BG115" s="419">
        <f t="shared" si="294"/>
        <v>0</v>
      </c>
      <c r="BH115" s="421">
        <f t="shared" si="295"/>
        <v>0</v>
      </c>
      <c r="BI115" s="780">
        <f t="shared" si="296"/>
        <v>2139512</v>
      </c>
      <c r="BJ115" s="418">
        <f t="shared" si="297"/>
        <v>1582212</v>
      </c>
      <c r="BK115" s="418">
        <f t="shared" si="298"/>
        <v>1582212</v>
      </c>
      <c r="BL115" s="418">
        <f t="shared" si="298"/>
        <v>0</v>
      </c>
      <c r="BM115" s="418">
        <f t="shared" si="299"/>
        <v>5000</v>
      </c>
      <c r="BN115" s="418">
        <f t="shared" si="300"/>
        <v>5000</v>
      </c>
      <c r="BO115" s="418">
        <f t="shared" si="300"/>
        <v>0</v>
      </c>
      <c r="BP115" s="418">
        <f t="shared" si="301"/>
        <v>536478</v>
      </c>
      <c r="BQ115" s="418">
        <f t="shared" si="301"/>
        <v>15822</v>
      </c>
      <c r="BR115" s="418">
        <f t="shared" si="302"/>
        <v>0</v>
      </c>
      <c r="BS115" s="419">
        <f t="shared" si="303"/>
        <v>3.7584</v>
      </c>
      <c r="BT115" s="419">
        <f t="shared" si="304"/>
        <v>3.7584</v>
      </c>
      <c r="BU115" s="421">
        <f t="shared" si="304"/>
        <v>0</v>
      </c>
      <c r="BV115" s="420"/>
      <c r="BW115" s="415"/>
      <c r="BX115" s="415"/>
      <c r="BY115" s="415"/>
      <c r="BZ115" s="415"/>
      <c r="CA115" s="510"/>
    </row>
    <row r="116" spans="1:79" s="96" customFormat="1" ht="14.1" customHeight="1" x14ac:dyDescent="0.2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740</v>
      </c>
      <c r="F116" s="94">
        <v>3113</v>
      </c>
      <c r="G116" s="77" t="s">
        <v>291</v>
      </c>
      <c r="H116" s="95" t="s">
        <v>272</v>
      </c>
      <c r="I116" s="600">
        <v>5325867</v>
      </c>
      <c r="J116" s="599">
        <v>3943336</v>
      </c>
      <c r="K116" s="599">
        <v>3943336</v>
      </c>
      <c r="L116" s="599">
        <v>0</v>
      </c>
      <c r="M116" s="599">
        <v>0</v>
      </c>
      <c r="N116" s="599">
        <v>0</v>
      </c>
      <c r="O116" s="599">
        <v>0</v>
      </c>
      <c r="P116" s="599">
        <v>1332848</v>
      </c>
      <c r="Q116" s="599">
        <v>39433</v>
      </c>
      <c r="R116" s="599">
        <v>10250</v>
      </c>
      <c r="S116" s="417">
        <v>10.42</v>
      </c>
      <c r="T116" s="417">
        <v>10.42</v>
      </c>
      <c r="U116" s="754">
        <v>0</v>
      </c>
      <c r="V116" s="424">
        <f t="shared" si="280"/>
        <v>0</v>
      </c>
      <c r="W116" s="418">
        <f t="shared" si="280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 t="shared" si="281"/>
        <v>0</v>
      </c>
      <c r="AE116" s="418">
        <f t="shared" si="282"/>
        <v>0</v>
      </c>
      <c r="AF116" s="418">
        <f t="shared" si="283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84"/>
        <v>0</v>
      </c>
      <c r="AM116" s="418">
        <f t="shared" si="285"/>
        <v>0</v>
      </c>
      <c r="AN116" s="418">
        <f t="shared" si="286"/>
        <v>0</v>
      </c>
      <c r="AO116" s="418">
        <f t="shared" si="287"/>
        <v>0</v>
      </c>
      <c r="AP116" s="418">
        <f t="shared" si="287"/>
        <v>0</v>
      </c>
      <c r="AQ116" s="418">
        <f t="shared" si="288"/>
        <v>0</v>
      </c>
      <c r="AR116" s="68">
        <f t="shared" si="289"/>
        <v>0</v>
      </c>
      <c r="AS116" s="68">
        <f t="shared" si="290"/>
        <v>0</v>
      </c>
      <c r="AT116" s="418">
        <v>0</v>
      </c>
      <c r="AU116" s="418">
        <v>0</v>
      </c>
      <c r="AV116" s="418">
        <f t="shared" si="291"/>
        <v>0</v>
      </c>
      <c r="AW116" s="418">
        <f t="shared" si="292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 t="shared" si="293"/>
        <v>0</v>
      </c>
      <c r="BG116" s="419">
        <f t="shared" si="294"/>
        <v>0</v>
      </c>
      <c r="BH116" s="421">
        <f t="shared" si="295"/>
        <v>0</v>
      </c>
      <c r="BI116" s="780">
        <f t="shared" si="296"/>
        <v>5325867</v>
      </c>
      <c r="BJ116" s="418">
        <f t="shared" si="297"/>
        <v>3943336</v>
      </c>
      <c r="BK116" s="418">
        <f t="shared" si="298"/>
        <v>3943336</v>
      </c>
      <c r="BL116" s="418">
        <f t="shared" si="298"/>
        <v>0</v>
      </c>
      <c r="BM116" s="418">
        <f t="shared" si="299"/>
        <v>0</v>
      </c>
      <c r="BN116" s="418">
        <f t="shared" si="300"/>
        <v>0</v>
      </c>
      <c r="BO116" s="418">
        <f t="shared" si="300"/>
        <v>0</v>
      </c>
      <c r="BP116" s="418">
        <f t="shared" si="301"/>
        <v>1332848</v>
      </c>
      <c r="BQ116" s="418">
        <f t="shared" si="301"/>
        <v>39433</v>
      </c>
      <c r="BR116" s="418">
        <f t="shared" si="302"/>
        <v>10250</v>
      </c>
      <c r="BS116" s="419">
        <f t="shared" si="303"/>
        <v>10.42</v>
      </c>
      <c r="BT116" s="419">
        <f t="shared" si="304"/>
        <v>10.42</v>
      </c>
      <c r="BU116" s="421">
        <f t="shared" si="304"/>
        <v>0</v>
      </c>
      <c r="BV116" s="420"/>
      <c r="BW116" s="415"/>
      <c r="BX116" s="415"/>
      <c r="BY116" s="415"/>
      <c r="BZ116" s="415"/>
      <c r="CA116" s="510"/>
    </row>
    <row r="117" spans="1:79" s="96" customFormat="1" ht="14.1" customHeight="1" x14ac:dyDescent="0.2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740</v>
      </c>
      <c r="F117" s="94">
        <v>3141</v>
      </c>
      <c r="G117" s="77" t="s">
        <v>294</v>
      </c>
      <c r="H117" s="95" t="s">
        <v>272</v>
      </c>
      <c r="I117" s="600">
        <v>1644599</v>
      </c>
      <c r="J117" s="599">
        <v>1186633</v>
      </c>
      <c r="K117" s="599">
        <v>0</v>
      </c>
      <c r="L117" s="605">
        <v>1186633</v>
      </c>
      <c r="M117" s="599">
        <v>25000</v>
      </c>
      <c r="N117" s="599">
        <v>0</v>
      </c>
      <c r="O117" s="599">
        <v>25000</v>
      </c>
      <c r="P117" s="599">
        <v>409532</v>
      </c>
      <c r="Q117" s="599">
        <v>11866</v>
      </c>
      <c r="R117" s="599">
        <v>11568</v>
      </c>
      <c r="S117" s="417">
        <v>3.6332999999999998</v>
      </c>
      <c r="T117" s="417">
        <v>0</v>
      </c>
      <c r="U117" s="754">
        <v>3.6332999999999998</v>
      </c>
      <c r="V117" s="424">
        <f t="shared" si="280"/>
        <v>0</v>
      </c>
      <c r="W117" s="418">
        <f t="shared" si="280"/>
        <v>0</v>
      </c>
      <c r="X117" s="418">
        <v>0</v>
      </c>
      <c r="Y117" s="418">
        <v>0</v>
      </c>
      <c r="Z117" s="418">
        <v>0</v>
      </c>
      <c r="AA117" s="418">
        <v>607170</v>
      </c>
      <c r="AB117" s="418">
        <v>0</v>
      </c>
      <c r="AC117" s="418">
        <v>0</v>
      </c>
      <c r="AD117" s="418">
        <f t="shared" si="281"/>
        <v>0</v>
      </c>
      <c r="AE117" s="418">
        <f t="shared" si="282"/>
        <v>607170</v>
      </c>
      <c r="AF117" s="418">
        <f t="shared" si="283"/>
        <v>607170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284"/>
        <v>0</v>
      </c>
      <c r="AM117" s="418">
        <f t="shared" si="285"/>
        <v>0</v>
      </c>
      <c r="AN117" s="418">
        <f t="shared" si="286"/>
        <v>0</v>
      </c>
      <c r="AO117" s="418">
        <f t="shared" si="287"/>
        <v>0</v>
      </c>
      <c r="AP117" s="418">
        <f t="shared" si="287"/>
        <v>607170</v>
      </c>
      <c r="AQ117" s="418">
        <f t="shared" si="288"/>
        <v>607170</v>
      </c>
      <c r="AR117" s="68">
        <f t="shared" si="289"/>
        <v>205223</v>
      </c>
      <c r="AS117" s="68">
        <f t="shared" si="290"/>
        <v>6072</v>
      </c>
      <c r="AT117" s="418">
        <v>0</v>
      </c>
      <c r="AU117" s="418">
        <v>5556</v>
      </c>
      <c r="AV117" s="418">
        <f t="shared" si="291"/>
        <v>5556</v>
      </c>
      <c r="AW117" s="418">
        <f t="shared" si="292"/>
        <v>824021</v>
      </c>
      <c r="AX117" s="419">
        <v>0</v>
      </c>
      <c r="AY117" s="419">
        <v>0</v>
      </c>
      <c r="AZ117" s="419">
        <v>0</v>
      </c>
      <c r="BA117" s="419">
        <v>0</v>
      </c>
      <c r="BB117" s="419">
        <v>1.82</v>
      </c>
      <c r="BC117" s="419">
        <v>0</v>
      </c>
      <c r="BD117" s="419">
        <v>0</v>
      </c>
      <c r="BE117" s="419">
        <v>0</v>
      </c>
      <c r="BF117" s="419">
        <f t="shared" si="293"/>
        <v>0</v>
      </c>
      <c r="BG117" s="419">
        <f t="shared" si="294"/>
        <v>1.82</v>
      </c>
      <c r="BH117" s="421">
        <f t="shared" si="295"/>
        <v>1.82</v>
      </c>
      <c r="BI117" s="780">
        <f t="shared" si="296"/>
        <v>2468620</v>
      </c>
      <c r="BJ117" s="418">
        <f t="shared" si="297"/>
        <v>1793803</v>
      </c>
      <c r="BK117" s="418">
        <f t="shared" si="298"/>
        <v>0</v>
      </c>
      <c r="BL117" s="418">
        <f t="shared" si="298"/>
        <v>1793803</v>
      </c>
      <c r="BM117" s="418">
        <f t="shared" si="299"/>
        <v>25000</v>
      </c>
      <c r="BN117" s="418">
        <f t="shared" si="300"/>
        <v>0</v>
      </c>
      <c r="BO117" s="418">
        <f t="shared" si="300"/>
        <v>25000</v>
      </c>
      <c r="BP117" s="418">
        <f t="shared" si="301"/>
        <v>614755</v>
      </c>
      <c r="BQ117" s="418">
        <f t="shared" si="301"/>
        <v>17938</v>
      </c>
      <c r="BR117" s="418">
        <f t="shared" si="302"/>
        <v>17124</v>
      </c>
      <c r="BS117" s="419">
        <f t="shared" si="303"/>
        <v>5.4532999999999996</v>
      </c>
      <c r="BT117" s="419">
        <f t="shared" si="304"/>
        <v>0</v>
      </c>
      <c r="BU117" s="421">
        <f t="shared" si="304"/>
        <v>5.4532999999999996</v>
      </c>
      <c r="BV117" s="420"/>
      <c r="BW117" s="415"/>
      <c r="BX117" s="415"/>
      <c r="BY117" s="415"/>
      <c r="BZ117" s="415"/>
      <c r="CA117" s="510"/>
    </row>
    <row r="118" spans="1:79" s="96" customFormat="1" ht="14.1" customHeight="1" x14ac:dyDescent="0.2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740</v>
      </c>
      <c r="F118" s="94">
        <v>3143</v>
      </c>
      <c r="G118" s="77" t="s">
        <v>595</v>
      </c>
      <c r="H118" s="95" t="s">
        <v>271</v>
      </c>
      <c r="I118" s="600">
        <v>1084503</v>
      </c>
      <c r="J118" s="599">
        <v>779713</v>
      </c>
      <c r="K118" s="599">
        <v>779713</v>
      </c>
      <c r="L118" s="599">
        <v>0</v>
      </c>
      <c r="M118" s="599">
        <v>25000</v>
      </c>
      <c r="N118" s="599">
        <v>25000</v>
      </c>
      <c r="O118" s="599">
        <v>0</v>
      </c>
      <c r="P118" s="599">
        <v>271993</v>
      </c>
      <c r="Q118" s="599">
        <v>7797</v>
      </c>
      <c r="R118" s="599">
        <v>0</v>
      </c>
      <c r="S118" s="417">
        <v>1.76</v>
      </c>
      <c r="T118" s="417">
        <v>1.76</v>
      </c>
      <c r="U118" s="754">
        <v>0</v>
      </c>
      <c r="V118" s="424">
        <f t="shared" si="280"/>
        <v>0</v>
      </c>
      <c r="W118" s="418">
        <f t="shared" si="280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 t="shared" si="281"/>
        <v>0</v>
      </c>
      <c r="AE118" s="418">
        <f t="shared" si="282"/>
        <v>0</v>
      </c>
      <c r="AF118" s="418">
        <f t="shared" si="283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84"/>
        <v>0</v>
      </c>
      <c r="AM118" s="418">
        <f t="shared" si="285"/>
        <v>0</v>
      </c>
      <c r="AN118" s="418">
        <f t="shared" si="286"/>
        <v>0</v>
      </c>
      <c r="AO118" s="418">
        <f t="shared" si="287"/>
        <v>0</v>
      </c>
      <c r="AP118" s="418">
        <f t="shared" si="287"/>
        <v>0</v>
      </c>
      <c r="AQ118" s="418">
        <f t="shared" si="288"/>
        <v>0</v>
      </c>
      <c r="AR118" s="68">
        <f t="shared" si="289"/>
        <v>0</v>
      </c>
      <c r="AS118" s="68">
        <f t="shared" si="290"/>
        <v>0</v>
      </c>
      <c r="AT118" s="418">
        <v>0</v>
      </c>
      <c r="AU118" s="418">
        <v>0</v>
      </c>
      <c r="AV118" s="418">
        <f t="shared" si="291"/>
        <v>0</v>
      </c>
      <c r="AW118" s="418">
        <f t="shared" si="292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9">
        <v>0</v>
      </c>
      <c r="BC118" s="419">
        <v>0</v>
      </c>
      <c r="BD118" s="419">
        <v>0</v>
      </c>
      <c r="BE118" s="419">
        <v>0</v>
      </c>
      <c r="BF118" s="419">
        <f t="shared" si="293"/>
        <v>0</v>
      </c>
      <c r="BG118" s="419">
        <f t="shared" si="294"/>
        <v>0</v>
      </c>
      <c r="BH118" s="421">
        <f t="shared" si="295"/>
        <v>0</v>
      </c>
      <c r="BI118" s="780">
        <f t="shared" si="296"/>
        <v>1084503</v>
      </c>
      <c r="BJ118" s="418">
        <f t="shared" si="297"/>
        <v>779713</v>
      </c>
      <c r="BK118" s="418">
        <f t="shared" si="298"/>
        <v>779713</v>
      </c>
      <c r="BL118" s="418">
        <f t="shared" si="298"/>
        <v>0</v>
      </c>
      <c r="BM118" s="418">
        <f t="shared" si="299"/>
        <v>25000</v>
      </c>
      <c r="BN118" s="418">
        <f t="shared" si="300"/>
        <v>25000</v>
      </c>
      <c r="BO118" s="418">
        <f t="shared" si="300"/>
        <v>0</v>
      </c>
      <c r="BP118" s="418">
        <f t="shared" si="301"/>
        <v>271993</v>
      </c>
      <c r="BQ118" s="418">
        <f t="shared" si="301"/>
        <v>7797</v>
      </c>
      <c r="BR118" s="418">
        <f t="shared" si="302"/>
        <v>0</v>
      </c>
      <c r="BS118" s="419">
        <f t="shared" si="303"/>
        <v>1.76</v>
      </c>
      <c r="BT118" s="419">
        <f t="shared" si="304"/>
        <v>1.76</v>
      </c>
      <c r="BU118" s="421">
        <f t="shared" si="304"/>
        <v>0</v>
      </c>
      <c r="BV118" s="420"/>
      <c r="BW118" s="415"/>
      <c r="BX118" s="415"/>
      <c r="BY118" s="415"/>
      <c r="BZ118" s="415"/>
      <c r="CA118" s="510"/>
    </row>
    <row r="119" spans="1:79" s="96" customFormat="1" ht="14.1" customHeight="1" x14ac:dyDescent="0.2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740</v>
      </c>
      <c r="F119" s="94">
        <v>3143</v>
      </c>
      <c r="G119" s="77" t="s">
        <v>596</v>
      </c>
      <c r="H119" s="95" t="s">
        <v>272</v>
      </c>
      <c r="I119" s="600">
        <v>29727</v>
      </c>
      <c r="J119" s="599">
        <v>21278</v>
      </c>
      <c r="K119" s="599">
        <v>0</v>
      </c>
      <c r="L119" s="605">
        <v>21278</v>
      </c>
      <c r="M119" s="599">
        <v>0</v>
      </c>
      <c r="N119" s="605">
        <v>0</v>
      </c>
      <c r="O119" s="605">
        <v>0</v>
      </c>
      <c r="P119" s="599">
        <v>7192</v>
      </c>
      <c r="Q119" s="599">
        <v>213</v>
      </c>
      <c r="R119" s="606">
        <v>1044</v>
      </c>
      <c r="S119" s="417">
        <v>8.0600000000000005E-2</v>
      </c>
      <c r="T119" s="607">
        <v>0</v>
      </c>
      <c r="U119" s="737">
        <v>8.0600000000000005E-2</v>
      </c>
      <c r="V119" s="424">
        <f t="shared" si="280"/>
        <v>0</v>
      </c>
      <c r="W119" s="418">
        <f t="shared" si="280"/>
        <v>0</v>
      </c>
      <c r="X119" s="418">
        <v>0</v>
      </c>
      <c r="Y119" s="418">
        <v>0</v>
      </c>
      <c r="Z119" s="418">
        <v>0</v>
      </c>
      <c r="AA119" s="418">
        <v>10622</v>
      </c>
      <c r="AB119" s="418">
        <v>0</v>
      </c>
      <c r="AC119" s="418">
        <v>0</v>
      </c>
      <c r="AD119" s="418">
        <f t="shared" si="281"/>
        <v>0</v>
      </c>
      <c r="AE119" s="418">
        <f t="shared" si="282"/>
        <v>10622</v>
      </c>
      <c r="AF119" s="418">
        <f t="shared" si="283"/>
        <v>10622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84"/>
        <v>0</v>
      </c>
      <c r="AM119" s="418">
        <f t="shared" si="285"/>
        <v>0</v>
      </c>
      <c r="AN119" s="418">
        <f t="shared" si="286"/>
        <v>0</v>
      </c>
      <c r="AO119" s="418">
        <f t="shared" si="287"/>
        <v>0</v>
      </c>
      <c r="AP119" s="418">
        <f t="shared" si="287"/>
        <v>10622</v>
      </c>
      <c r="AQ119" s="418">
        <f t="shared" si="288"/>
        <v>10622</v>
      </c>
      <c r="AR119" s="68">
        <f t="shared" si="289"/>
        <v>3590</v>
      </c>
      <c r="AS119" s="68">
        <f t="shared" si="290"/>
        <v>106</v>
      </c>
      <c r="AT119" s="418">
        <v>0</v>
      </c>
      <c r="AU119" s="418">
        <v>522</v>
      </c>
      <c r="AV119" s="418">
        <f t="shared" si="291"/>
        <v>522</v>
      </c>
      <c r="AW119" s="418">
        <f t="shared" si="292"/>
        <v>14840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0.04</v>
      </c>
      <c r="BC119" s="419">
        <v>0</v>
      </c>
      <c r="BD119" s="419">
        <v>0</v>
      </c>
      <c r="BE119" s="419">
        <v>0</v>
      </c>
      <c r="BF119" s="419">
        <f t="shared" si="293"/>
        <v>0</v>
      </c>
      <c r="BG119" s="419">
        <f t="shared" si="294"/>
        <v>0.04</v>
      </c>
      <c r="BH119" s="421">
        <f t="shared" si="295"/>
        <v>0.04</v>
      </c>
      <c r="BI119" s="780">
        <f t="shared" si="296"/>
        <v>44567</v>
      </c>
      <c r="BJ119" s="418">
        <f t="shared" si="297"/>
        <v>31900</v>
      </c>
      <c r="BK119" s="418">
        <f t="shared" si="298"/>
        <v>0</v>
      </c>
      <c r="BL119" s="418">
        <f t="shared" si="298"/>
        <v>31900</v>
      </c>
      <c r="BM119" s="418">
        <f t="shared" si="299"/>
        <v>0</v>
      </c>
      <c r="BN119" s="418">
        <f t="shared" si="300"/>
        <v>0</v>
      </c>
      <c r="BO119" s="418">
        <f t="shared" si="300"/>
        <v>0</v>
      </c>
      <c r="BP119" s="418">
        <f t="shared" si="301"/>
        <v>10782</v>
      </c>
      <c r="BQ119" s="418">
        <f t="shared" si="301"/>
        <v>319</v>
      </c>
      <c r="BR119" s="418">
        <f t="shared" si="302"/>
        <v>1566</v>
      </c>
      <c r="BS119" s="419">
        <f t="shared" si="303"/>
        <v>0.12060000000000001</v>
      </c>
      <c r="BT119" s="419">
        <f t="shared" si="304"/>
        <v>0</v>
      </c>
      <c r="BU119" s="421">
        <f t="shared" si="304"/>
        <v>0.12060000000000001</v>
      </c>
      <c r="BV119" s="420"/>
      <c r="BW119" s="415"/>
      <c r="BX119" s="415"/>
      <c r="BY119" s="415"/>
      <c r="BZ119" s="415"/>
      <c r="CA119" s="510"/>
    </row>
    <row r="120" spans="1:79" s="96" customFormat="1" ht="14.1" customHeight="1" x14ac:dyDescent="0.2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740</v>
      </c>
      <c r="F120" s="94">
        <v>3143</v>
      </c>
      <c r="G120" s="77" t="s">
        <v>296</v>
      </c>
      <c r="H120" s="95" t="s">
        <v>272</v>
      </c>
      <c r="I120" s="600">
        <v>411602</v>
      </c>
      <c r="J120" s="599">
        <v>295123</v>
      </c>
      <c r="K120" s="599">
        <v>283032</v>
      </c>
      <c r="L120" s="599">
        <v>12091</v>
      </c>
      <c r="M120" s="599">
        <v>10000</v>
      </c>
      <c r="N120" s="599">
        <v>10000</v>
      </c>
      <c r="O120" s="599">
        <v>0</v>
      </c>
      <c r="P120" s="599">
        <v>103132</v>
      </c>
      <c r="Q120" s="599">
        <v>2951</v>
      </c>
      <c r="R120" s="599">
        <v>396</v>
      </c>
      <c r="S120" s="417">
        <v>0.63</v>
      </c>
      <c r="T120" s="417">
        <v>0.57999999999999996</v>
      </c>
      <c r="U120" s="754">
        <v>0.05</v>
      </c>
      <c r="V120" s="424">
        <f t="shared" si="280"/>
        <v>0</v>
      </c>
      <c r="W120" s="418">
        <f t="shared" si="280"/>
        <v>0</v>
      </c>
      <c r="X120" s="418">
        <v>0</v>
      </c>
      <c r="Y120" s="418">
        <v>0</v>
      </c>
      <c r="Z120" s="418">
        <v>0</v>
      </c>
      <c r="AA120" s="418">
        <v>6059</v>
      </c>
      <c r="AB120" s="418">
        <v>0</v>
      </c>
      <c r="AC120" s="418">
        <v>0</v>
      </c>
      <c r="AD120" s="418">
        <f t="shared" si="281"/>
        <v>0</v>
      </c>
      <c r="AE120" s="418">
        <f t="shared" si="282"/>
        <v>6059</v>
      </c>
      <c r="AF120" s="418">
        <f t="shared" si="283"/>
        <v>6059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 t="shared" si="284"/>
        <v>0</v>
      </c>
      <c r="AM120" s="418">
        <f t="shared" si="285"/>
        <v>0</v>
      </c>
      <c r="AN120" s="418">
        <f t="shared" si="286"/>
        <v>0</v>
      </c>
      <c r="AO120" s="418">
        <f t="shared" si="287"/>
        <v>0</v>
      </c>
      <c r="AP120" s="418">
        <f t="shared" si="287"/>
        <v>6059</v>
      </c>
      <c r="AQ120" s="418">
        <f t="shared" si="288"/>
        <v>6059</v>
      </c>
      <c r="AR120" s="68">
        <f t="shared" si="289"/>
        <v>2048</v>
      </c>
      <c r="AS120" s="68">
        <f t="shared" si="290"/>
        <v>61</v>
      </c>
      <c r="AT120" s="418">
        <v>0</v>
      </c>
      <c r="AU120" s="418">
        <v>198</v>
      </c>
      <c r="AV120" s="418">
        <f t="shared" si="291"/>
        <v>198</v>
      </c>
      <c r="AW120" s="418">
        <f t="shared" si="292"/>
        <v>8366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0.02</v>
      </c>
      <c r="BC120" s="419">
        <v>0</v>
      </c>
      <c r="BD120" s="419">
        <v>0</v>
      </c>
      <c r="BE120" s="419">
        <v>0</v>
      </c>
      <c r="BF120" s="419">
        <f t="shared" si="293"/>
        <v>0</v>
      </c>
      <c r="BG120" s="419">
        <f t="shared" si="294"/>
        <v>0.02</v>
      </c>
      <c r="BH120" s="421">
        <f t="shared" si="295"/>
        <v>0.02</v>
      </c>
      <c r="BI120" s="780">
        <f t="shared" si="296"/>
        <v>419968</v>
      </c>
      <c r="BJ120" s="418">
        <f t="shared" si="297"/>
        <v>301182</v>
      </c>
      <c r="BK120" s="418">
        <f t="shared" si="298"/>
        <v>283032</v>
      </c>
      <c r="BL120" s="418">
        <f t="shared" si="298"/>
        <v>18150</v>
      </c>
      <c r="BM120" s="418">
        <f t="shared" si="299"/>
        <v>10000</v>
      </c>
      <c r="BN120" s="418">
        <f t="shared" si="300"/>
        <v>10000</v>
      </c>
      <c r="BO120" s="418">
        <f t="shared" si="300"/>
        <v>0</v>
      </c>
      <c r="BP120" s="418">
        <f t="shared" si="301"/>
        <v>105180</v>
      </c>
      <c r="BQ120" s="418">
        <f t="shared" si="301"/>
        <v>3012</v>
      </c>
      <c r="BR120" s="418">
        <f t="shared" si="302"/>
        <v>594</v>
      </c>
      <c r="BS120" s="419">
        <f t="shared" si="303"/>
        <v>0.65</v>
      </c>
      <c r="BT120" s="419">
        <f t="shared" si="304"/>
        <v>0.57999999999999996</v>
      </c>
      <c r="BU120" s="421">
        <f t="shared" si="304"/>
        <v>7.0000000000000007E-2</v>
      </c>
      <c r="BV120" s="420"/>
      <c r="BW120" s="415"/>
      <c r="BX120" s="415"/>
      <c r="BY120" s="415"/>
      <c r="BZ120" s="415"/>
      <c r="CA120" s="510"/>
    </row>
    <row r="121" spans="1:79" s="96" customFormat="1" ht="14.1" customHeight="1" x14ac:dyDescent="0.2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741</v>
      </c>
      <c r="F121" s="99"/>
      <c r="G121" s="100"/>
      <c r="H121" s="101"/>
      <c r="I121" s="438">
        <v>38474295</v>
      </c>
      <c r="J121" s="434">
        <v>28064968</v>
      </c>
      <c r="K121" s="434">
        <v>25181783</v>
      </c>
      <c r="L121" s="434">
        <v>2883185</v>
      </c>
      <c r="M121" s="434">
        <v>260000</v>
      </c>
      <c r="N121" s="434">
        <v>225000</v>
      </c>
      <c r="O121" s="434">
        <v>35000</v>
      </c>
      <c r="P121" s="434">
        <v>9573840</v>
      </c>
      <c r="Q121" s="434">
        <v>280649</v>
      </c>
      <c r="R121" s="434">
        <v>294838</v>
      </c>
      <c r="S121" s="435">
        <v>53.870100000000001</v>
      </c>
      <c r="T121" s="435">
        <v>44.852899999999998</v>
      </c>
      <c r="U121" s="700">
        <v>9.0172000000000008</v>
      </c>
      <c r="V121" s="438">
        <f t="shared" ref="V121:CA121" si="305">SUM(V113:V120)</f>
        <v>0</v>
      </c>
      <c r="W121" s="434">
        <f t="shared" si="305"/>
        <v>0</v>
      </c>
      <c r="X121" s="434">
        <f t="shared" si="305"/>
        <v>0</v>
      </c>
      <c r="Y121" s="434">
        <f t="shared" si="305"/>
        <v>0</v>
      </c>
      <c r="Z121" s="434">
        <f t="shared" si="305"/>
        <v>0</v>
      </c>
      <c r="AA121" s="434">
        <f t="shared" si="305"/>
        <v>623851</v>
      </c>
      <c r="AB121" s="434">
        <f t="shared" si="305"/>
        <v>0</v>
      </c>
      <c r="AC121" s="434">
        <f t="shared" si="305"/>
        <v>0</v>
      </c>
      <c r="AD121" s="434">
        <f t="shared" si="305"/>
        <v>0</v>
      </c>
      <c r="AE121" s="434">
        <f t="shared" si="305"/>
        <v>623851</v>
      </c>
      <c r="AF121" s="434">
        <f t="shared" si="305"/>
        <v>623851</v>
      </c>
      <c r="AG121" s="434">
        <f t="shared" si="305"/>
        <v>0</v>
      </c>
      <c r="AH121" s="434">
        <f t="shared" si="305"/>
        <v>0</v>
      </c>
      <c r="AI121" s="434">
        <f t="shared" si="305"/>
        <v>0</v>
      </c>
      <c r="AJ121" s="434">
        <f t="shared" si="305"/>
        <v>0</v>
      </c>
      <c r="AK121" s="434">
        <f t="shared" si="305"/>
        <v>0</v>
      </c>
      <c r="AL121" s="434">
        <f t="shared" si="305"/>
        <v>0</v>
      </c>
      <c r="AM121" s="434">
        <f t="shared" si="305"/>
        <v>0</v>
      </c>
      <c r="AN121" s="434">
        <f t="shared" si="305"/>
        <v>0</v>
      </c>
      <c r="AO121" s="434">
        <f t="shared" si="305"/>
        <v>0</v>
      </c>
      <c r="AP121" s="434">
        <f t="shared" si="305"/>
        <v>623851</v>
      </c>
      <c r="AQ121" s="434">
        <f t="shared" si="305"/>
        <v>623851</v>
      </c>
      <c r="AR121" s="434">
        <f t="shared" si="305"/>
        <v>210861</v>
      </c>
      <c r="AS121" s="434">
        <f t="shared" si="305"/>
        <v>6239</v>
      </c>
      <c r="AT121" s="434">
        <f t="shared" si="305"/>
        <v>0</v>
      </c>
      <c r="AU121" s="434">
        <f t="shared" si="305"/>
        <v>6276</v>
      </c>
      <c r="AV121" s="434">
        <f t="shared" si="305"/>
        <v>6276</v>
      </c>
      <c r="AW121" s="434">
        <f t="shared" si="305"/>
        <v>847227</v>
      </c>
      <c r="AX121" s="435">
        <f t="shared" si="305"/>
        <v>0</v>
      </c>
      <c r="AY121" s="435">
        <f t="shared" si="305"/>
        <v>0</v>
      </c>
      <c r="AZ121" s="435">
        <f t="shared" si="305"/>
        <v>0</v>
      </c>
      <c r="BA121" s="435">
        <f t="shared" si="305"/>
        <v>0</v>
      </c>
      <c r="BB121" s="435">
        <f t="shared" si="305"/>
        <v>1.8800000000000001</v>
      </c>
      <c r="BC121" s="435">
        <f t="shared" si="305"/>
        <v>0</v>
      </c>
      <c r="BD121" s="435">
        <f t="shared" si="305"/>
        <v>0</v>
      </c>
      <c r="BE121" s="435">
        <f t="shared" si="305"/>
        <v>0</v>
      </c>
      <c r="BF121" s="435">
        <f t="shared" si="305"/>
        <v>0</v>
      </c>
      <c r="BG121" s="435">
        <f t="shared" si="305"/>
        <v>1.8800000000000001</v>
      </c>
      <c r="BH121" s="103">
        <f t="shared" si="305"/>
        <v>1.8800000000000001</v>
      </c>
      <c r="BI121" s="803">
        <f t="shared" si="305"/>
        <v>39321522</v>
      </c>
      <c r="BJ121" s="434">
        <f t="shared" si="305"/>
        <v>28688819</v>
      </c>
      <c r="BK121" s="434">
        <f t="shared" si="305"/>
        <v>25181783</v>
      </c>
      <c r="BL121" s="434">
        <f t="shared" si="305"/>
        <v>3507036</v>
      </c>
      <c r="BM121" s="434">
        <f t="shared" si="305"/>
        <v>260000</v>
      </c>
      <c r="BN121" s="434">
        <f t="shared" si="305"/>
        <v>225000</v>
      </c>
      <c r="BO121" s="434">
        <f t="shared" si="305"/>
        <v>35000</v>
      </c>
      <c r="BP121" s="434">
        <f t="shared" si="305"/>
        <v>9784701</v>
      </c>
      <c r="BQ121" s="434">
        <f t="shared" si="305"/>
        <v>286888</v>
      </c>
      <c r="BR121" s="434">
        <f t="shared" si="305"/>
        <v>301114</v>
      </c>
      <c r="BS121" s="435">
        <f t="shared" si="305"/>
        <v>55.750100000000003</v>
      </c>
      <c r="BT121" s="435">
        <f t="shared" si="305"/>
        <v>44.852899999999998</v>
      </c>
      <c r="BU121" s="103">
        <f t="shared" si="305"/>
        <v>10.897199999999998</v>
      </c>
      <c r="BV121" s="817">
        <f t="shared" si="305"/>
        <v>380136</v>
      </c>
      <c r="BW121" s="703">
        <f t="shared" si="305"/>
        <v>282000</v>
      </c>
      <c r="BX121" s="703">
        <f t="shared" si="305"/>
        <v>0</v>
      </c>
      <c r="BY121" s="703">
        <f t="shared" si="305"/>
        <v>95316</v>
      </c>
      <c r="BZ121" s="703">
        <f t="shared" si="305"/>
        <v>2820</v>
      </c>
      <c r="CA121" s="818">
        <f t="shared" si="305"/>
        <v>0.5</v>
      </c>
    </row>
    <row r="122" spans="1:79" s="96" customFormat="1" ht="14.1" customHeight="1" x14ac:dyDescent="0.2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742</v>
      </c>
      <c r="F122" s="94">
        <v>3111</v>
      </c>
      <c r="G122" s="77" t="s">
        <v>290</v>
      </c>
      <c r="H122" s="95" t="s">
        <v>271</v>
      </c>
      <c r="I122" s="600">
        <v>3277705</v>
      </c>
      <c r="J122" s="599">
        <v>2413287</v>
      </c>
      <c r="K122" s="599">
        <v>2280151</v>
      </c>
      <c r="L122" s="599">
        <v>133136</v>
      </c>
      <c r="M122" s="599">
        <v>10000</v>
      </c>
      <c r="N122" s="599">
        <v>10000</v>
      </c>
      <c r="O122" s="599">
        <v>0</v>
      </c>
      <c r="P122" s="599">
        <v>819071</v>
      </c>
      <c r="Q122" s="599">
        <v>24133</v>
      </c>
      <c r="R122" s="599">
        <v>11214</v>
      </c>
      <c r="S122" s="417">
        <v>4.5334000000000003</v>
      </c>
      <c r="T122" s="417">
        <v>4</v>
      </c>
      <c r="U122" s="754">
        <v>0.53339999999999999</v>
      </c>
      <c r="V122" s="424">
        <f t="shared" ref="V122:W127" si="306">AG122*-1</f>
        <v>0</v>
      </c>
      <c r="W122" s="418">
        <f t="shared" si="306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 t="shared" ref="AD122:AD127" si="307">V122+X122+Y122+Z122+AB122</f>
        <v>0</v>
      </c>
      <c r="AE122" s="418">
        <f t="shared" ref="AE122:AE127" si="308">W122+AA122+AC122</f>
        <v>0</v>
      </c>
      <c r="AF122" s="418">
        <f t="shared" ref="AF122:AF127" si="309"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 t="shared" ref="AL122:AL127" si="310">AG122+AI122+AJ122</f>
        <v>0</v>
      </c>
      <c r="AM122" s="418">
        <f t="shared" ref="AM122:AM127" si="311">AH122+AK122</f>
        <v>0</v>
      </c>
      <c r="AN122" s="418">
        <f t="shared" ref="AN122:AN127" si="312">SUM(AL122:AM122)</f>
        <v>0</v>
      </c>
      <c r="AO122" s="418">
        <f t="shared" ref="AO122:AP127" si="313">AD122+AL122</f>
        <v>0</v>
      </c>
      <c r="AP122" s="418">
        <f t="shared" si="313"/>
        <v>0</v>
      </c>
      <c r="AQ122" s="418">
        <f t="shared" ref="AQ122:AQ127" si="314">SUM(AO122:AP122)</f>
        <v>0</v>
      </c>
      <c r="AR122" s="68">
        <f t="shared" ref="AR122:AR127" si="315">ROUND((AF122+AG122+AH122+AI122)*33.8%,0)</f>
        <v>0</v>
      </c>
      <c r="AS122" s="68">
        <f t="shared" ref="AS122:AS127" si="316">ROUND(AF122*1%,0)</f>
        <v>0</v>
      </c>
      <c r="AT122" s="418">
        <v>0</v>
      </c>
      <c r="AU122" s="418">
        <v>0</v>
      </c>
      <c r="AV122" s="418">
        <f t="shared" ref="AV122:AV127" si="317">AT122+AU122</f>
        <v>0</v>
      </c>
      <c r="AW122" s="418">
        <f t="shared" ref="AW122:AW127" si="318"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 t="shared" ref="BF122:BF127" si="319">AX122+AZ122+BA122+BC122+BD122</f>
        <v>0</v>
      </c>
      <c r="BG122" s="419">
        <f t="shared" ref="BG122:BG127" si="320">AY122+BB122+BE122</f>
        <v>0</v>
      </c>
      <c r="BH122" s="421">
        <f t="shared" ref="BH122:BH127" si="321">SUM(BF122:BG122)</f>
        <v>0</v>
      </c>
      <c r="BI122" s="780">
        <f t="shared" ref="BI122:BI127" si="322">I122+AW122</f>
        <v>3277705</v>
      </c>
      <c r="BJ122" s="418">
        <f t="shared" ref="BJ122:BJ127" si="323">J122+AF122</f>
        <v>2413287</v>
      </c>
      <c r="BK122" s="418">
        <f t="shared" ref="BK122:BL127" si="324">K122+AD122</f>
        <v>2280151</v>
      </c>
      <c r="BL122" s="418">
        <f t="shared" si="324"/>
        <v>133136</v>
      </c>
      <c r="BM122" s="418">
        <f t="shared" ref="BM122:BM127" si="325">M122+AN122</f>
        <v>10000</v>
      </c>
      <c r="BN122" s="418">
        <f t="shared" ref="BN122:BO127" si="326">N122+AL122</f>
        <v>10000</v>
      </c>
      <c r="BO122" s="418">
        <f t="shared" si="326"/>
        <v>0</v>
      </c>
      <c r="BP122" s="418">
        <f t="shared" ref="BP122:BQ127" si="327">P122+AR122</f>
        <v>819071</v>
      </c>
      <c r="BQ122" s="418">
        <f t="shared" si="327"/>
        <v>24133</v>
      </c>
      <c r="BR122" s="418">
        <f t="shared" ref="BR122:BR127" si="328">R122+AV122</f>
        <v>11214</v>
      </c>
      <c r="BS122" s="419">
        <f t="shared" ref="BS122:BS127" si="329">S122+BH122</f>
        <v>4.5334000000000003</v>
      </c>
      <c r="BT122" s="419">
        <f t="shared" ref="BT122:BU127" si="330">T122+BF122</f>
        <v>4</v>
      </c>
      <c r="BU122" s="421">
        <f t="shared" si="330"/>
        <v>0.53339999999999999</v>
      </c>
      <c r="BV122" s="420"/>
      <c r="BW122" s="415"/>
      <c r="BX122" s="415"/>
      <c r="BY122" s="415"/>
      <c r="BZ122" s="415"/>
      <c r="CA122" s="510"/>
    </row>
    <row r="123" spans="1:79" s="96" customFormat="1" ht="14.1" customHeight="1" x14ac:dyDescent="0.2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742</v>
      </c>
      <c r="F123" s="105">
        <v>3117</v>
      </c>
      <c r="G123" s="104" t="s">
        <v>308</v>
      </c>
      <c r="H123" s="95" t="s">
        <v>271</v>
      </c>
      <c r="I123" s="600">
        <v>5664423</v>
      </c>
      <c r="J123" s="599">
        <v>4127171</v>
      </c>
      <c r="K123" s="599">
        <v>3619144</v>
      </c>
      <c r="L123" s="599">
        <v>508027</v>
      </c>
      <c r="M123" s="599">
        <v>20000</v>
      </c>
      <c r="N123" s="599">
        <v>10000</v>
      </c>
      <c r="O123" s="599">
        <v>10000</v>
      </c>
      <c r="P123" s="599">
        <v>1401744</v>
      </c>
      <c r="Q123" s="599">
        <v>41271</v>
      </c>
      <c r="R123" s="599">
        <v>74237</v>
      </c>
      <c r="S123" s="417">
        <v>7.0446999999999997</v>
      </c>
      <c r="T123" s="417">
        <v>5.6360000000000001</v>
      </c>
      <c r="U123" s="754">
        <v>1.4086999999999998</v>
      </c>
      <c r="V123" s="424">
        <f t="shared" si="306"/>
        <v>0</v>
      </c>
      <c r="W123" s="418">
        <f t="shared" si="306"/>
        <v>0</v>
      </c>
      <c r="X123" s="418">
        <v>0</v>
      </c>
      <c r="Y123" s="418">
        <v>0</v>
      </c>
      <c r="Z123" s="418">
        <v>0</v>
      </c>
      <c r="AA123" s="418">
        <v>0</v>
      </c>
      <c r="AB123" s="418">
        <v>0</v>
      </c>
      <c r="AC123" s="418">
        <v>0</v>
      </c>
      <c r="AD123" s="418">
        <f t="shared" si="307"/>
        <v>0</v>
      </c>
      <c r="AE123" s="418">
        <f t="shared" si="308"/>
        <v>0</v>
      </c>
      <c r="AF123" s="418">
        <f t="shared" si="309"/>
        <v>0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 t="shared" si="310"/>
        <v>0</v>
      </c>
      <c r="AM123" s="418">
        <f t="shared" si="311"/>
        <v>0</v>
      </c>
      <c r="AN123" s="418">
        <f t="shared" si="312"/>
        <v>0</v>
      </c>
      <c r="AO123" s="418">
        <f t="shared" si="313"/>
        <v>0</v>
      </c>
      <c r="AP123" s="418">
        <f t="shared" si="313"/>
        <v>0</v>
      </c>
      <c r="AQ123" s="418">
        <f t="shared" si="314"/>
        <v>0</v>
      </c>
      <c r="AR123" s="68">
        <f t="shared" si="315"/>
        <v>0</v>
      </c>
      <c r="AS123" s="68">
        <f t="shared" si="316"/>
        <v>0</v>
      </c>
      <c r="AT123" s="418">
        <v>0</v>
      </c>
      <c r="AU123" s="418">
        <v>0</v>
      </c>
      <c r="AV123" s="418">
        <f t="shared" si="317"/>
        <v>0</v>
      </c>
      <c r="AW123" s="418">
        <f t="shared" si="318"/>
        <v>0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</v>
      </c>
      <c r="BC123" s="419">
        <v>0</v>
      </c>
      <c r="BD123" s="419">
        <v>0</v>
      </c>
      <c r="BE123" s="419">
        <v>0</v>
      </c>
      <c r="BF123" s="419">
        <f t="shared" si="319"/>
        <v>0</v>
      </c>
      <c r="BG123" s="419">
        <f t="shared" si="320"/>
        <v>0</v>
      </c>
      <c r="BH123" s="421">
        <f t="shared" si="321"/>
        <v>0</v>
      </c>
      <c r="BI123" s="780">
        <f t="shared" si="322"/>
        <v>5664423</v>
      </c>
      <c r="BJ123" s="418">
        <f t="shared" si="323"/>
        <v>4127171</v>
      </c>
      <c r="BK123" s="418">
        <f t="shared" si="324"/>
        <v>3619144</v>
      </c>
      <c r="BL123" s="418">
        <f t="shared" si="324"/>
        <v>508027</v>
      </c>
      <c r="BM123" s="418">
        <f t="shared" si="325"/>
        <v>20000</v>
      </c>
      <c r="BN123" s="418">
        <f t="shared" si="326"/>
        <v>10000</v>
      </c>
      <c r="BO123" s="418">
        <f t="shared" si="326"/>
        <v>10000</v>
      </c>
      <c r="BP123" s="418">
        <f t="shared" si="327"/>
        <v>1401744</v>
      </c>
      <c r="BQ123" s="418">
        <f t="shared" si="327"/>
        <v>41271</v>
      </c>
      <c r="BR123" s="418">
        <f t="shared" si="328"/>
        <v>74237</v>
      </c>
      <c r="BS123" s="419">
        <f t="shared" si="329"/>
        <v>7.0446999999999997</v>
      </c>
      <c r="BT123" s="419">
        <f t="shared" si="330"/>
        <v>5.6360000000000001</v>
      </c>
      <c r="BU123" s="421">
        <f t="shared" si="330"/>
        <v>1.4086999999999998</v>
      </c>
      <c r="BV123" s="420"/>
      <c r="BW123" s="415"/>
      <c r="BX123" s="415"/>
      <c r="BY123" s="415"/>
      <c r="BZ123" s="415"/>
      <c r="CA123" s="510"/>
    </row>
    <row r="124" spans="1:79" s="96" customFormat="1" ht="14.1" customHeight="1" x14ac:dyDescent="0.2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742</v>
      </c>
      <c r="F124" s="94">
        <v>3117</v>
      </c>
      <c r="G124" s="77" t="s">
        <v>291</v>
      </c>
      <c r="H124" s="95" t="s">
        <v>272</v>
      </c>
      <c r="I124" s="600">
        <v>1819053</v>
      </c>
      <c r="J124" s="599">
        <v>1349446</v>
      </c>
      <c r="K124" s="599">
        <v>1349446</v>
      </c>
      <c r="L124" s="599">
        <v>0</v>
      </c>
      <c r="M124" s="599">
        <v>0</v>
      </c>
      <c r="N124" s="599">
        <v>0</v>
      </c>
      <c r="O124" s="599">
        <v>0</v>
      </c>
      <c r="P124" s="599">
        <v>456113</v>
      </c>
      <c r="Q124" s="599">
        <v>13494</v>
      </c>
      <c r="R124" s="599">
        <v>0</v>
      </c>
      <c r="S124" s="417">
        <v>3.58</v>
      </c>
      <c r="T124" s="417">
        <v>3.58</v>
      </c>
      <c r="U124" s="754">
        <v>0</v>
      </c>
      <c r="V124" s="424">
        <f t="shared" si="306"/>
        <v>0</v>
      </c>
      <c r="W124" s="418">
        <f t="shared" si="306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 t="shared" si="307"/>
        <v>0</v>
      </c>
      <c r="AE124" s="418">
        <f t="shared" si="308"/>
        <v>0</v>
      </c>
      <c r="AF124" s="418">
        <f t="shared" si="309"/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 t="shared" si="310"/>
        <v>0</v>
      </c>
      <c r="AM124" s="418">
        <f t="shared" si="311"/>
        <v>0</v>
      </c>
      <c r="AN124" s="418">
        <f t="shared" si="312"/>
        <v>0</v>
      </c>
      <c r="AO124" s="418">
        <f t="shared" si="313"/>
        <v>0</v>
      </c>
      <c r="AP124" s="418">
        <f t="shared" si="313"/>
        <v>0</v>
      </c>
      <c r="AQ124" s="418">
        <f t="shared" si="314"/>
        <v>0</v>
      </c>
      <c r="AR124" s="68">
        <f t="shared" si="315"/>
        <v>0</v>
      </c>
      <c r="AS124" s="68">
        <f t="shared" si="316"/>
        <v>0</v>
      </c>
      <c r="AT124" s="418">
        <v>0</v>
      </c>
      <c r="AU124" s="418">
        <v>0</v>
      </c>
      <c r="AV124" s="418">
        <f t="shared" si="317"/>
        <v>0</v>
      </c>
      <c r="AW124" s="418">
        <f t="shared" si="318"/>
        <v>0</v>
      </c>
      <c r="AX124" s="419">
        <v>0</v>
      </c>
      <c r="AY124" s="419">
        <v>0</v>
      </c>
      <c r="AZ124" s="419">
        <v>0</v>
      </c>
      <c r="BA124" s="419">
        <v>0</v>
      </c>
      <c r="BB124" s="419">
        <v>0</v>
      </c>
      <c r="BC124" s="419">
        <v>0</v>
      </c>
      <c r="BD124" s="419">
        <v>0</v>
      </c>
      <c r="BE124" s="419">
        <v>0</v>
      </c>
      <c r="BF124" s="419">
        <f t="shared" si="319"/>
        <v>0</v>
      </c>
      <c r="BG124" s="419">
        <f t="shared" si="320"/>
        <v>0</v>
      </c>
      <c r="BH124" s="421">
        <f t="shared" si="321"/>
        <v>0</v>
      </c>
      <c r="BI124" s="780">
        <f t="shared" si="322"/>
        <v>1819053</v>
      </c>
      <c r="BJ124" s="418">
        <f t="shared" si="323"/>
        <v>1349446</v>
      </c>
      <c r="BK124" s="418">
        <f t="shared" si="324"/>
        <v>1349446</v>
      </c>
      <c r="BL124" s="418">
        <f t="shared" si="324"/>
        <v>0</v>
      </c>
      <c r="BM124" s="418">
        <f t="shared" si="325"/>
        <v>0</v>
      </c>
      <c r="BN124" s="418">
        <f t="shared" si="326"/>
        <v>0</v>
      </c>
      <c r="BO124" s="418">
        <f t="shared" si="326"/>
        <v>0</v>
      </c>
      <c r="BP124" s="418">
        <f t="shared" si="327"/>
        <v>456113</v>
      </c>
      <c r="BQ124" s="418">
        <f t="shared" si="327"/>
        <v>13494</v>
      </c>
      <c r="BR124" s="418">
        <f t="shared" si="328"/>
        <v>0</v>
      </c>
      <c r="BS124" s="419">
        <f t="shared" si="329"/>
        <v>3.58</v>
      </c>
      <c r="BT124" s="419">
        <f t="shared" si="330"/>
        <v>3.58</v>
      </c>
      <c r="BU124" s="421">
        <f t="shared" si="330"/>
        <v>0</v>
      </c>
      <c r="BV124" s="420"/>
      <c r="BW124" s="415"/>
      <c r="BX124" s="415"/>
      <c r="BY124" s="415"/>
      <c r="BZ124" s="415"/>
      <c r="CA124" s="510"/>
    </row>
    <row r="125" spans="1:79" s="96" customFormat="1" ht="14.1" customHeight="1" x14ac:dyDescent="0.2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742</v>
      </c>
      <c r="F125" s="94">
        <v>3141</v>
      </c>
      <c r="G125" s="77" t="s">
        <v>294</v>
      </c>
      <c r="H125" s="95" t="s">
        <v>272</v>
      </c>
      <c r="I125" s="600">
        <v>1366917</v>
      </c>
      <c r="J125" s="599">
        <v>1004344</v>
      </c>
      <c r="K125" s="599">
        <v>0</v>
      </c>
      <c r="L125" s="605">
        <v>1004344</v>
      </c>
      <c r="M125" s="599">
        <v>5000</v>
      </c>
      <c r="N125" s="599">
        <v>0</v>
      </c>
      <c r="O125" s="599">
        <v>5000</v>
      </c>
      <c r="P125" s="599">
        <v>341158</v>
      </c>
      <c r="Q125" s="599">
        <v>10043</v>
      </c>
      <c r="R125" s="599">
        <v>6372</v>
      </c>
      <c r="S125" s="417">
        <v>3.0266999999999999</v>
      </c>
      <c r="T125" s="417">
        <v>0</v>
      </c>
      <c r="U125" s="754">
        <v>3.0266999999999999</v>
      </c>
      <c r="V125" s="424">
        <f t="shared" si="306"/>
        <v>0</v>
      </c>
      <c r="W125" s="418">
        <f t="shared" si="306"/>
        <v>0</v>
      </c>
      <c r="X125" s="418">
        <v>0</v>
      </c>
      <c r="Y125" s="418">
        <v>0</v>
      </c>
      <c r="Z125" s="418">
        <v>0</v>
      </c>
      <c r="AA125" s="418">
        <v>503382</v>
      </c>
      <c r="AB125" s="418">
        <v>0</v>
      </c>
      <c r="AC125" s="418">
        <v>0</v>
      </c>
      <c r="AD125" s="418">
        <f t="shared" si="307"/>
        <v>0</v>
      </c>
      <c r="AE125" s="418">
        <f t="shared" si="308"/>
        <v>503382</v>
      </c>
      <c r="AF125" s="418">
        <f t="shared" si="309"/>
        <v>503382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 t="shared" si="310"/>
        <v>0</v>
      </c>
      <c r="AM125" s="418">
        <f t="shared" si="311"/>
        <v>0</v>
      </c>
      <c r="AN125" s="418">
        <f t="shared" si="312"/>
        <v>0</v>
      </c>
      <c r="AO125" s="418">
        <f t="shared" si="313"/>
        <v>0</v>
      </c>
      <c r="AP125" s="418">
        <f t="shared" si="313"/>
        <v>503382</v>
      </c>
      <c r="AQ125" s="418">
        <f t="shared" si="314"/>
        <v>503382</v>
      </c>
      <c r="AR125" s="68">
        <f t="shared" si="315"/>
        <v>170143</v>
      </c>
      <c r="AS125" s="68">
        <f t="shared" si="316"/>
        <v>5034</v>
      </c>
      <c r="AT125" s="418">
        <v>0</v>
      </c>
      <c r="AU125" s="418">
        <v>3072</v>
      </c>
      <c r="AV125" s="418">
        <f t="shared" si="317"/>
        <v>3072</v>
      </c>
      <c r="AW125" s="418">
        <f t="shared" si="318"/>
        <v>681631</v>
      </c>
      <c r="AX125" s="419">
        <v>0</v>
      </c>
      <c r="AY125" s="419">
        <v>0</v>
      </c>
      <c r="AZ125" s="419">
        <v>0</v>
      </c>
      <c r="BA125" s="419">
        <v>0</v>
      </c>
      <c r="BB125" s="419">
        <v>1.51</v>
      </c>
      <c r="BC125" s="419">
        <v>0</v>
      </c>
      <c r="BD125" s="419">
        <v>0</v>
      </c>
      <c r="BE125" s="419">
        <v>0</v>
      </c>
      <c r="BF125" s="419">
        <f t="shared" si="319"/>
        <v>0</v>
      </c>
      <c r="BG125" s="419">
        <f t="shared" si="320"/>
        <v>1.51</v>
      </c>
      <c r="BH125" s="421">
        <f t="shared" si="321"/>
        <v>1.51</v>
      </c>
      <c r="BI125" s="780">
        <f t="shared" si="322"/>
        <v>2048548</v>
      </c>
      <c r="BJ125" s="418">
        <f t="shared" si="323"/>
        <v>1507726</v>
      </c>
      <c r="BK125" s="418">
        <f t="shared" si="324"/>
        <v>0</v>
      </c>
      <c r="BL125" s="418">
        <f t="shared" si="324"/>
        <v>1507726</v>
      </c>
      <c r="BM125" s="418">
        <f t="shared" si="325"/>
        <v>5000</v>
      </c>
      <c r="BN125" s="418">
        <f t="shared" si="326"/>
        <v>0</v>
      </c>
      <c r="BO125" s="418">
        <f t="shared" si="326"/>
        <v>5000</v>
      </c>
      <c r="BP125" s="418">
        <f t="shared" si="327"/>
        <v>511301</v>
      </c>
      <c r="BQ125" s="418">
        <f t="shared" si="327"/>
        <v>15077</v>
      </c>
      <c r="BR125" s="418">
        <f t="shared" si="328"/>
        <v>9444</v>
      </c>
      <c r="BS125" s="419">
        <f t="shared" si="329"/>
        <v>4.5366999999999997</v>
      </c>
      <c r="BT125" s="419">
        <f t="shared" si="330"/>
        <v>0</v>
      </c>
      <c r="BU125" s="421">
        <f t="shared" si="330"/>
        <v>4.5366999999999997</v>
      </c>
      <c r="BV125" s="420"/>
      <c r="BW125" s="415"/>
      <c r="BX125" s="415"/>
      <c r="BY125" s="415"/>
      <c r="BZ125" s="415"/>
      <c r="CA125" s="510"/>
    </row>
    <row r="126" spans="1:79" s="96" customFormat="1" ht="14.1" customHeight="1" x14ac:dyDescent="0.2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742</v>
      </c>
      <c r="F126" s="94">
        <v>3143</v>
      </c>
      <c r="G126" s="77" t="s">
        <v>595</v>
      </c>
      <c r="H126" s="95" t="s">
        <v>271</v>
      </c>
      <c r="I126" s="600">
        <v>917250</v>
      </c>
      <c r="J126" s="599">
        <v>680452</v>
      </c>
      <c r="K126" s="599">
        <v>680452</v>
      </c>
      <c r="L126" s="599">
        <v>0</v>
      </c>
      <c r="M126" s="599">
        <v>0</v>
      </c>
      <c r="N126" s="599">
        <v>0</v>
      </c>
      <c r="O126" s="599">
        <v>0</v>
      </c>
      <c r="P126" s="599">
        <v>229993</v>
      </c>
      <c r="Q126" s="599">
        <v>6805</v>
      </c>
      <c r="R126" s="599">
        <v>0</v>
      </c>
      <c r="S126" s="417">
        <v>1.3959999999999999</v>
      </c>
      <c r="T126" s="417">
        <v>1.3959999999999999</v>
      </c>
      <c r="U126" s="754">
        <v>0</v>
      </c>
      <c r="V126" s="424">
        <f t="shared" si="306"/>
        <v>0</v>
      </c>
      <c r="W126" s="418">
        <f t="shared" si="306"/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 t="shared" si="307"/>
        <v>0</v>
      </c>
      <c r="AE126" s="418">
        <f t="shared" si="308"/>
        <v>0</v>
      </c>
      <c r="AF126" s="418">
        <f t="shared" si="309"/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 t="shared" si="310"/>
        <v>0</v>
      </c>
      <c r="AM126" s="418">
        <f t="shared" si="311"/>
        <v>0</v>
      </c>
      <c r="AN126" s="418">
        <f t="shared" si="312"/>
        <v>0</v>
      </c>
      <c r="AO126" s="418">
        <f t="shared" si="313"/>
        <v>0</v>
      </c>
      <c r="AP126" s="418">
        <f t="shared" si="313"/>
        <v>0</v>
      </c>
      <c r="AQ126" s="418">
        <f t="shared" si="314"/>
        <v>0</v>
      </c>
      <c r="AR126" s="68">
        <f t="shared" si="315"/>
        <v>0</v>
      </c>
      <c r="AS126" s="68">
        <f t="shared" si="316"/>
        <v>0</v>
      </c>
      <c r="AT126" s="418">
        <v>0</v>
      </c>
      <c r="AU126" s="418">
        <v>0</v>
      </c>
      <c r="AV126" s="418">
        <f t="shared" si="317"/>
        <v>0</v>
      </c>
      <c r="AW126" s="418">
        <f t="shared" si="318"/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 t="shared" si="319"/>
        <v>0</v>
      </c>
      <c r="BG126" s="419">
        <f t="shared" si="320"/>
        <v>0</v>
      </c>
      <c r="BH126" s="421">
        <f t="shared" si="321"/>
        <v>0</v>
      </c>
      <c r="BI126" s="780">
        <f t="shared" si="322"/>
        <v>917250</v>
      </c>
      <c r="BJ126" s="418">
        <f t="shared" si="323"/>
        <v>680452</v>
      </c>
      <c r="BK126" s="418">
        <f t="shared" si="324"/>
        <v>680452</v>
      </c>
      <c r="BL126" s="418">
        <f t="shared" si="324"/>
        <v>0</v>
      </c>
      <c r="BM126" s="418">
        <f t="shared" si="325"/>
        <v>0</v>
      </c>
      <c r="BN126" s="418">
        <f t="shared" si="326"/>
        <v>0</v>
      </c>
      <c r="BO126" s="418">
        <f t="shared" si="326"/>
        <v>0</v>
      </c>
      <c r="BP126" s="418">
        <f t="shared" si="327"/>
        <v>229993</v>
      </c>
      <c r="BQ126" s="418">
        <f t="shared" si="327"/>
        <v>6805</v>
      </c>
      <c r="BR126" s="418">
        <f t="shared" si="328"/>
        <v>0</v>
      </c>
      <c r="BS126" s="419">
        <f t="shared" si="329"/>
        <v>1.3959999999999999</v>
      </c>
      <c r="BT126" s="419">
        <f t="shared" si="330"/>
        <v>1.3959999999999999</v>
      </c>
      <c r="BU126" s="421">
        <f t="shared" si="330"/>
        <v>0</v>
      </c>
      <c r="BV126" s="420"/>
      <c r="BW126" s="415"/>
      <c r="BX126" s="415"/>
      <c r="BY126" s="415"/>
      <c r="BZ126" s="415"/>
      <c r="CA126" s="510"/>
    </row>
    <row r="127" spans="1:79" s="96" customFormat="1" ht="14.1" customHeight="1" x14ac:dyDescent="0.2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742</v>
      </c>
      <c r="F127" s="94">
        <v>3143</v>
      </c>
      <c r="G127" s="77" t="s">
        <v>596</v>
      </c>
      <c r="H127" s="95" t="s">
        <v>272</v>
      </c>
      <c r="I127" s="600">
        <v>19990</v>
      </c>
      <c r="J127" s="599">
        <v>14309</v>
      </c>
      <c r="K127" s="599">
        <v>0</v>
      </c>
      <c r="L127" s="605">
        <v>14309</v>
      </c>
      <c r="M127" s="599">
        <v>0</v>
      </c>
      <c r="N127" s="606">
        <v>0</v>
      </c>
      <c r="O127" s="606">
        <v>0</v>
      </c>
      <c r="P127" s="599">
        <v>4836</v>
      </c>
      <c r="Q127" s="599">
        <v>143</v>
      </c>
      <c r="R127" s="606">
        <v>702</v>
      </c>
      <c r="S127" s="417">
        <v>5.4199999999999998E-2</v>
      </c>
      <c r="T127" s="609">
        <v>0</v>
      </c>
      <c r="U127" s="737">
        <v>5.4199999999999998E-2</v>
      </c>
      <c r="V127" s="424">
        <f t="shared" si="306"/>
        <v>0</v>
      </c>
      <c r="W127" s="418">
        <f t="shared" si="306"/>
        <v>0</v>
      </c>
      <c r="X127" s="418">
        <v>0</v>
      </c>
      <c r="Y127" s="418">
        <v>0</v>
      </c>
      <c r="Z127" s="418">
        <v>0</v>
      </c>
      <c r="AA127" s="418">
        <v>7141</v>
      </c>
      <c r="AB127" s="418">
        <v>0</v>
      </c>
      <c r="AC127" s="418">
        <v>0</v>
      </c>
      <c r="AD127" s="418">
        <f t="shared" si="307"/>
        <v>0</v>
      </c>
      <c r="AE127" s="418">
        <f t="shared" si="308"/>
        <v>7141</v>
      </c>
      <c r="AF127" s="418">
        <f t="shared" si="309"/>
        <v>7141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 t="shared" si="310"/>
        <v>0</v>
      </c>
      <c r="AM127" s="418">
        <f t="shared" si="311"/>
        <v>0</v>
      </c>
      <c r="AN127" s="418">
        <f t="shared" si="312"/>
        <v>0</v>
      </c>
      <c r="AO127" s="418">
        <f t="shared" si="313"/>
        <v>0</v>
      </c>
      <c r="AP127" s="418">
        <f t="shared" si="313"/>
        <v>7141</v>
      </c>
      <c r="AQ127" s="418">
        <f t="shared" si="314"/>
        <v>7141</v>
      </c>
      <c r="AR127" s="68">
        <f t="shared" si="315"/>
        <v>2414</v>
      </c>
      <c r="AS127" s="68">
        <f t="shared" si="316"/>
        <v>71</v>
      </c>
      <c r="AT127" s="418">
        <v>0</v>
      </c>
      <c r="AU127" s="418">
        <v>351</v>
      </c>
      <c r="AV127" s="418">
        <f t="shared" si="317"/>
        <v>351</v>
      </c>
      <c r="AW127" s="418">
        <f t="shared" si="318"/>
        <v>9977</v>
      </c>
      <c r="AX127" s="419">
        <v>0</v>
      </c>
      <c r="AY127" s="419">
        <v>0</v>
      </c>
      <c r="AZ127" s="419">
        <v>0</v>
      </c>
      <c r="BA127" s="419">
        <v>0</v>
      </c>
      <c r="BB127" s="419">
        <v>0.03</v>
      </c>
      <c r="BC127" s="419">
        <v>0</v>
      </c>
      <c r="BD127" s="419">
        <v>0</v>
      </c>
      <c r="BE127" s="419">
        <v>0</v>
      </c>
      <c r="BF127" s="419">
        <f t="shared" si="319"/>
        <v>0</v>
      </c>
      <c r="BG127" s="419">
        <f t="shared" si="320"/>
        <v>0.03</v>
      </c>
      <c r="BH127" s="421">
        <f t="shared" si="321"/>
        <v>0.03</v>
      </c>
      <c r="BI127" s="780">
        <f t="shared" si="322"/>
        <v>29967</v>
      </c>
      <c r="BJ127" s="418">
        <f t="shared" si="323"/>
        <v>21450</v>
      </c>
      <c r="BK127" s="418">
        <f t="shared" si="324"/>
        <v>0</v>
      </c>
      <c r="BL127" s="418">
        <f t="shared" si="324"/>
        <v>21450</v>
      </c>
      <c r="BM127" s="418">
        <f t="shared" si="325"/>
        <v>0</v>
      </c>
      <c r="BN127" s="418">
        <f t="shared" si="326"/>
        <v>0</v>
      </c>
      <c r="BO127" s="418">
        <f t="shared" si="326"/>
        <v>0</v>
      </c>
      <c r="BP127" s="418">
        <f t="shared" si="327"/>
        <v>7250</v>
      </c>
      <c r="BQ127" s="418">
        <f t="shared" si="327"/>
        <v>214</v>
      </c>
      <c r="BR127" s="418">
        <f t="shared" si="328"/>
        <v>1053</v>
      </c>
      <c r="BS127" s="419">
        <f t="shared" si="329"/>
        <v>8.4199999999999997E-2</v>
      </c>
      <c r="BT127" s="419">
        <f t="shared" si="330"/>
        <v>0</v>
      </c>
      <c r="BU127" s="421">
        <f t="shared" si="330"/>
        <v>8.4199999999999997E-2</v>
      </c>
      <c r="BV127" s="420"/>
      <c r="BW127" s="415"/>
      <c r="BX127" s="415"/>
      <c r="BY127" s="415"/>
      <c r="BZ127" s="415"/>
      <c r="CA127" s="510"/>
    </row>
    <row r="128" spans="1:79" s="96" customFormat="1" ht="14.1" customHeight="1" thickBot="1" x14ac:dyDescent="0.25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743</v>
      </c>
      <c r="F128" s="110"/>
      <c r="G128" s="111"/>
      <c r="H128" s="112"/>
      <c r="I128" s="748">
        <v>13065338</v>
      </c>
      <c r="J128" s="497">
        <v>9589009</v>
      </c>
      <c r="K128" s="497">
        <v>7929193</v>
      </c>
      <c r="L128" s="497">
        <v>1659816</v>
      </c>
      <c r="M128" s="497">
        <v>35000</v>
      </c>
      <c r="N128" s="497">
        <v>20000</v>
      </c>
      <c r="O128" s="497">
        <v>15000</v>
      </c>
      <c r="P128" s="497">
        <v>3252915</v>
      </c>
      <c r="Q128" s="497">
        <v>95889</v>
      </c>
      <c r="R128" s="497">
        <v>92525</v>
      </c>
      <c r="S128" s="498">
        <v>19.635000000000002</v>
      </c>
      <c r="T128" s="498">
        <v>14.611999999999998</v>
      </c>
      <c r="U128" s="702">
        <v>5.0229999999999997</v>
      </c>
      <c r="V128" s="748">
        <f t="shared" ref="V128:CA128" si="331">SUM(V122:V127)</f>
        <v>0</v>
      </c>
      <c r="W128" s="497">
        <f t="shared" si="331"/>
        <v>0</v>
      </c>
      <c r="X128" s="497">
        <f t="shared" si="331"/>
        <v>0</v>
      </c>
      <c r="Y128" s="497">
        <f t="shared" si="331"/>
        <v>0</v>
      </c>
      <c r="Z128" s="497">
        <f t="shared" si="331"/>
        <v>0</v>
      </c>
      <c r="AA128" s="497">
        <f t="shared" si="331"/>
        <v>510523</v>
      </c>
      <c r="AB128" s="497">
        <f t="shared" si="331"/>
        <v>0</v>
      </c>
      <c r="AC128" s="497">
        <f t="shared" si="331"/>
        <v>0</v>
      </c>
      <c r="AD128" s="497">
        <f t="shared" si="331"/>
        <v>0</v>
      </c>
      <c r="AE128" s="497">
        <f t="shared" si="331"/>
        <v>510523</v>
      </c>
      <c r="AF128" s="497">
        <f t="shared" si="331"/>
        <v>510523</v>
      </c>
      <c r="AG128" s="497">
        <f t="shared" si="331"/>
        <v>0</v>
      </c>
      <c r="AH128" s="497">
        <f t="shared" si="331"/>
        <v>0</v>
      </c>
      <c r="AI128" s="497">
        <f t="shared" si="331"/>
        <v>0</v>
      </c>
      <c r="AJ128" s="497">
        <f t="shared" si="331"/>
        <v>0</v>
      </c>
      <c r="AK128" s="497">
        <f t="shared" si="331"/>
        <v>0</v>
      </c>
      <c r="AL128" s="497">
        <f t="shared" si="331"/>
        <v>0</v>
      </c>
      <c r="AM128" s="497">
        <f t="shared" si="331"/>
        <v>0</v>
      </c>
      <c r="AN128" s="497">
        <f t="shared" si="331"/>
        <v>0</v>
      </c>
      <c r="AO128" s="497">
        <f t="shared" si="331"/>
        <v>0</v>
      </c>
      <c r="AP128" s="497">
        <f t="shared" si="331"/>
        <v>510523</v>
      </c>
      <c r="AQ128" s="497">
        <f t="shared" si="331"/>
        <v>510523</v>
      </c>
      <c r="AR128" s="497">
        <f t="shared" si="331"/>
        <v>172557</v>
      </c>
      <c r="AS128" s="497">
        <f t="shared" si="331"/>
        <v>5105</v>
      </c>
      <c r="AT128" s="497">
        <f t="shared" si="331"/>
        <v>0</v>
      </c>
      <c r="AU128" s="497">
        <f t="shared" si="331"/>
        <v>3423</v>
      </c>
      <c r="AV128" s="497">
        <f t="shared" si="331"/>
        <v>3423</v>
      </c>
      <c r="AW128" s="497">
        <f t="shared" si="331"/>
        <v>691608</v>
      </c>
      <c r="AX128" s="498">
        <f t="shared" si="331"/>
        <v>0</v>
      </c>
      <c r="AY128" s="498">
        <f t="shared" si="331"/>
        <v>0</v>
      </c>
      <c r="AZ128" s="498">
        <f t="shared" si="331"/>
        <v>0</v>
      </c>
      <c r="BA128" s="498">
        <f t="shared" si="331"/>
        <v>0</v>
      </c>
      <c r="BB128" s="498">
        <f t="shared" si="331"/>
        <v>1.54</v>
      </c>
      <c r="BC128" s="498">
        <f t="shared" si="331"/>
        <v>0</v>
      </c>
      <c r="BD128" s="498">
        <f t="shared" si="331"/>
        <v>0</v>
      </c>
      <c r="BE128" s="498">
        <f t="shared" si="331"/>
        <v>0</v>
      </c>
      <c r="BF128" s="498">
        <f t="shared" si="331"/>
        <v>0</v>
      </c>
      <c r="BG128" s="498">
        <f t="shared" si="331"/>
        <v>1.54</v>
      </c>
      <c r="BH128" s="749">
        <f t="shared" si="331"/>
        <v>1.54</v>
      </c>
      <c r="BI128" s="805">
        <f t="shared" si="331"/>
        <v>13756946</v>
      </c>
      <c r="BJ128" s="497">
        <f t="shared" si="331"/>
        <v>10099532</v>
      </c>
      <c r="BK128" s="497">
        <f t="shared" si="331"/>
        <v>7929193</v>
      </c>
      <c r="BL128" s="497">
        <f t="shared" si="331"/>
        <v>2170339</v>
      </c>
      <c r="BM128" s="497">
        <f t="shared" si="331"/>
        <v>35000</v>
      </c>
      <c r="BN128" s="497">
        <f t="shared" si="331"/>
        <v>20000</v>
      </c>
      <c r="BO128" s="497">
        <f t="shared" si="331"/>
        <v>15000</v>
      </c>
      <c r="BP128" s="497">
        <f t="shared" si="331"/>
        <v>3425472</v>
      </c>
      <c r="BQ128" s="497">
        <f t="shared" si="331"/>
        <v>100994</v>
      </c>
      <c r="BR128" s="497">
        <f t="shared" si="331"/>
        <v>95948</v>
      </c>
      <c r="BS128" s="498">
        <f t="shared" si="331"/>
        <v>21.175000000000001</v>
      </c>
      <c r="BT128" s="498">
        <f t="shared" si="331"/>
        <v>14.611999999999998</v>
      </c>
      <c r="BU128" s="749">
        <f t="shared" si="331"/>
        <v>6.5629999999999997</v>
      </c>
      <c r="BV128" s="821">
        <f t="shared" si="331"/>
        <v>0</v>
      </c>
      <c r="BW128" s="706">
        <f t="shared" si="331"/>
        <v>0</v>
      </c>
      <c r="BX128" s="706">
        <f t="shared" si="331"/>
        <v>0</v>
      </c>
      <c r="BY128" s="706">
        <f t="shared" si="331"/>
        <v>0</v>
      </c>
      <c r="BZ128" s="706">
        <f t="shared" si="331"/>
        <v>0</v>
      </c>
      <c r="CA128" s="822">
        <f t="shared" si="331"/>
        <v>0</v>
      </c>
    </row>
    <row r="129" spans="1:79" s="96" customFormat="1" ht="14.1" customHeight="1" thickBot="1" x14ac:dyDescent="0.25">
      <c r="A129" s="244"/>
      <c r="B129" s="245"/>
      <c r="C129" s="245"/>
      <c r="D129" s="245"/>
      <c r="E129" s="245" t="s">
        <v>744</v>
      </c>
      <c r="F129" s="245"/>
      <c r="G129" s="245"/>
      <c r="H129" s="246"/>
      <c r="I129" s="743">
        <f t="shared" ref="I129:AL129" si="332">I128+I121+I112+I110+I104+I102+I98+I92+I88+I84+I77+I70+I63+I56+I49+I42+I35+I28+I19+I13</f>
        <v>341557200</v>
      </c>
      <c r="J129" s="744">
        <f t="shared" si="332"/>
        <v>249071619</v>
      </c>
      <c r="K129" s="744">
        <f t="shared" si="332"/>
        <v>221750424</v>
      </c>
      <c r="L129" s="744">
        <f t="shared" si="332"/>
        <v>27321195</v>
      </c>
      <c r="M129" s="744">
        <f t="shared" si="332"/>
        <v>2276718</v>
      </c>
      <c r="N129" s="744">
        <f t="shared" si="332"/>
        <v>1374510</v>
      </c>
      <c r="O129" s="744">
        <f t="shared" si="332"/>
        <v>902208</v>
      </c>
      <c r="P129" s="744">
        <f t="shared" si="332"/>
        <v>84893140</v>
      </c>
      <c r="Q129" s="744">
        <f t="shared" si="332"/>
        <v>2490716</v>
      </c>
      <c r="R129" s="744">
        <f t="shared" si="332"/>
        <v>2825007</v>
      </c>
      <c r="S129" s="745">
        <f t="shared" si="332"/>
        <v>466.9788999999999</v>
      </c>
      <c r="T129" s="745">
        <f t="shared" si="332"/>
        <v>381.58449999999999</v>
      </c>
      <c r="U129" s="746">
        <f t="shared" si="332"/>
        <v>85.39439999999999</v>
      </c>
      <c r="V129" s="743">
        <f t="shared" si="332"/>
        <v>0</v>
      </c>
      <c r="W129" s="744">
        <f t="shared" si="332"/>
        <v>0</v>
      </c>
      <c r="X129" s="744">
        <f t="shared" si="332"/>
        <v>0</v>
      </c>
      <c r="Y129" s="744">
        <f t="shared" si="332"/>
        <v>0</v>
      </c>
      <c r="Z129" s="759">
        <f t="shared" si="332"/>
        <v>0</v>
      </c>
      <c r="AA129" s="744">
        <f t="shared" si="332"/>
        <v>6481318</v>
      </c>
      <c r="AB129" s="744">
        <f t="shared" si="332"/>
        <v>0</v>
      </c>
      <c r="AC129" s="744">
        <f t="shared" si="332"/>
        <v>170075</v>
      </c>
      <c r="AD129" s="744">
        <f t="shared" si="332"/>
        <v>0</v>
      </c>
      <c r="AE129" s="744">
        <f t="shared" si="332"/>
        <v>6651393</v>
      </c>
      <c r="AF129" s="744">
        <f t="shared" si="332"/>
        <v>6651393</v>
      </c>
      <c r="AG129" s="744">
        <f t="shared" si="332"/>
        <v>0</v>
      </c>
      <c r="AH129" s="744">
        <f t="shared" si="332"/>
        <v>0</v>
      </c>
      <c r="AI129" s="744">
        <f t="shared" si="332"/>
        <v>0</v>
      </c>
      <c r="AJ129" s="744">
        <f t="shared" si="332"/>
        <v>0</v>
      </c>
      <c r="AK129" s="744">
        <f t="shared" si="332"/>
        <v>0</v>
      </c>
      <c r="AL129" s="744">
        <f t="shared" si="332"/>
        <v>0</v>
      </c>
      <c r="AM129" s="744">
        <f t="shared" ref="AM129:BP129" si="333">AM128+AM121+AM112+AM110+AM104+AM102+AM98+AM92+AM88+AM84+AM77+AM70+AM63+AM56+AM49+AM42+AM35+AM28+AM19+AM13</f>
        <v>0</v>
      </c>
      <c r="AN129" s="744">
        <f t="shared" si="333"/>
        <v>0</v>
      </c>
      <c r="AO129" s="744">
        <f t="shared" si="333"/>
        <v>0</v>
      </c>
      <c r="AP129" s="744">
        <f t="shared" si="333"/>
        <v>6651393</v>
      </c>
      <c r="AQ129" s="744">
        <f t="shared" si="333"/>
        <v>6651393</v>
      </c>
      <c r="AR129" s="744">
        <f t="shared" si="333"/>
        <v>2248172</v>
      </c>
      <c r="AS129" s="744">
        <f t="shared" si="333"/>
        <v>66514</v>
      </c>
      <c r="AT129" s="744">
        <f t="shared" si="333"/>
        <v>0</v>
      </c>
      <c r="AU129" s="744">
        <f t="shared" si="333"/>
        <v>56161</v>
      </c>
      <c r="AV129" s="744">
        <f t="shared" si="333"/>
        <v>56161</v>
      </c>
      <c r="AW129" s="744">
        <f t="shared" si="333"/>
        <v>9022240</v>
      </c>
      <c r="AX129" s="745">
        <f t="shared" si="333"/>
        <v>0</v>
      </c>
      <c r="AY129" s="745">
        <f t="shared" si="333"/>
        <v>0</v>
      </c>
      <c r="AZ129" s="745">
        <f t="shared" si="333"/>
        <v>0</v>
      </c>
      <c r="BA129" s="745">
        <f t="shared" si="333"/>
        <v>0</v>
      </c>
      <c r="BB129" s="745">
        <f t="shared" si="333"/>
        <v>20.07</v>
      </c>
      <c r="BC129" s="745">
        <f t="shared" si="333"/>
        <v>0</v>
      </c>
      <c r="BD129" s="745">
        <f t="shared" si="333"/>
        <v>0</v>
      </c>
      <c r="BE129" s="745">
        <f t="shared" si="333"/>
        <v>0</v>
      </c>
      <c r="BF129" s="745">
        <f t="shared" si="333"/>
        <v>0</v>
      </c>
      <c r="BG129" s="745">
        <f t="shared" si="333"/>
        <v>20.07</v>
      </c>
      <c r="BH129" s="746">
        <f t="shared" si="333"/>
        <v>20.07</v>
      </c>
      <c r="BI129" s="743">
        <f t="shared" si="333"/>
        <v>350579440</v>
      </c>
      <c r="BJ129" s="550">
        <f t="shared" si="333"/>
        <v>255723012</v>
      </c>
      <c r="BK129" s="550">
        <f t="shared" si="333"/>
        <v>221750424</v>
      </c>
      <c r="BL129" s="550">
        <f t="shared" si="333"/>
        <v>33972588</v>
      </c>
      <c r="BM129" s="550">
        <f t="shared" si="333"/>
        <v>2276718</v>
      </c>
      <c r="BN129" s="550">
        <f t="shared" si="333"/>
        <v>1374510</v>
      </c>
      <c r="BO129" s="550">
        <f t="shared" si="333"/>
        <v>902208</v>
      </c>
      <c r="BP129" s="550">
        <f t="shared" si="333"/>
        <v>87141312</v>
      </c>
      <c r="BQ129" s="550">
        <f t="shared" ref="BQ129:CA129" si="334">BQ128+BQ121+BQ112+BQ110+BQ104+BQ102+BQ98+BQ92+BQ88+BQ84+BQ77+BQ70+BQ63+BQ56+BQ49+BQ42+BQ35+BQ28+BQ19+BQ13</f>
        <v>2557230</v>
      </c>
      <c r="BR129" s="550">
        <f t="shared" si="334"/>
        <v>2881168</v>
      </c>
      <c r="BS129" s="543">
        <f t="shared" si="334"/>
        <v>487.04890000000006</v>
      </c>
      <c r="BT129" s="543">
        <f t="shared" si="334"/>
        <v>381.58449999999999</v>
      </c>
      <c r="BU129" s="764">
        <f t="shared" si="334"/>
        <v>105.4644</v>
      </c>
      <c r="BV129" s="707">
        <f t="shared" si="334"/>
        <v>1900680</v>
      </c>
      <c r="BW129" s="708">
        <f t="shared" si="334"/>
        <v>1410000</v>
      </c>
      <c r="BX129" s="708">
        <f t="shared" si="334"/>
        <v>0</v>
      </c>
      <c r="BY129" s="708">
        <f t="shared" si="334"/>
        <v>476580</v>
      </c>
      <c r="BZ129" s="708">
        <f t="shared" si="334"/>
        <v>14100</v>
      </c>
      <c r="CA129" s="823">
        <f t="shared" si="334"/>
        <v>2.5</v>
      </c>
    </row>
    <row r="130" spans="1:79" s="96" customFormat="1" ht="14.1" customHeight="1" x14ac:dyDescent="0.2">
      <c r="A130" s="114"/>
      <c r="E130" s="113"/>
      <c r="F130" s="113"/>
      <c r="G130" s="113"/>
      <c r="H130" s="113"/>
      <c r="I130" s="428">
        <f>J129+M129+P129+Q129+R129</f>
        <v>341557200</v>
      </c>
      <c r="J130" s="428">
        <f>SUM(K129:L129)</f>
        <v>249071619</v>
      </c>
      <c r="K130" s="428"/>
      <c r="L130" s="428"/>
      <c r="M130" s="428">
        <f>SUM(N129:O129)</f>
        <v>2276718</v>
      </c>
      <c r="N130" s="428"/>
      <c r="O130" s="428"/>
      <c r="P130" s="428"/>
      <c r="Q130" s="428"/>
      <c r="R130" s="428"/>
      <c r="S130" s="429">
        <f>SUM(T129:U129)</f>
        <v>466.97889999999995</v>
      </c>
      <c r="T130" s="429"/>
      <c r="U130" s="429"/>
      <c r="V130" s="428">
        <f>AG129</f>
        <v>0</v>
      </c>
      <c r="W130" s="428">
        <f>AH129</f>
        <v>0</v>
      </c>
      <c r="X130" s="429"/>
      <c r="Y130" s="429"/>
      <c r="Z130" s="429"/>
      <c r="AA130" s="429"/>
      <c r="AB130" s="429"/>
      <c r="AC130" s="429"/>
      <c r="AD130" s="430"/>
      <c r="AE130" s="430"/>
      <c r="AF130" s="430">
        <f>SUM(AD129:AE129)</f>
        <v>6651393</v>
      </c>
      <c r="AG130" s="430">
        <f>V129</f>
        <v>0</v>
      </c>
      <c r="AH130" s="430">
        <f>W129</f>
        <v>0</v>
      </c>
      <c r="AI130" s="431"/>
      <c r="AJ130" s="431"/>
      <c r="AK130" s="431"/>
      <c r="AL130" s="430"/>
      <c r="AM130" s="430"/>
      <c r="AN130" s="430">
        <f>SUM(AL129:AM129)</f>
        <v>0</v>
      </c>
      <c r="AO130" s="430"/>
      <c r="AP130" s="430"/>
      <c r="AQ130" s="430">
        <f>SUM(AO129:AP129)</f>
        <v>6651393</v>
      </c>
      <c r="AR130" s="432"/>
      <c r="AS130" s="432"/>
      <c r="AT130" s="431"/>
      <c r="AU130" s="431"/>
      <c r="AV130" s="430">
        <f>SUM(AT129:AU129)</f>
        <v>56161</v>
      </c>
      <c r="AW130" s="430">
        <f>AF129+AN129+AR129+AS129+AV129</f>
        <v>9022240</v>
      </c>
      <c r="AX130" s="433"/>
      <c r="AY130" s="433"/>
      <c r="AZ130" s="433"/>
      <c r="BA130" s="433"/>
      <c r="BB130" s="433"/>
      <c r="BC130" s="433"/>
      <c r="BD130" s="433"/>
      <c r="BE130" s="433"/>
      <c r="BF130" s="508">
        <f>AX129+AZ129+BA129+BC129+BD129</f>
        <v>0</v>
      </c>
      <c r="BG130" s="508">
        <f>AY129+BB129+BE129</f>
        <v>20.07</v>
      </c>
      <c r="BH130" s="508">
        <f>SUM(BF129:BG129)</f>
        <v>20.07</v>
      </c>
      <c r="BI130" s="428">
        <f>BJ129+BM129+BP129+BQ129+BR129</f>
        <v>350579440</v>
      </c>
      <c r="BJ130" s="428">
        <f>SUM(BK129:BL129)</f>
        <v>255723012</v>
      </c>
      <c r="BK130" s="430">
        <f>K129+AD129</f>
        <v>221750424</v>
      </c>
      <c r="BL130" s="430">
        <f>L129+AE129</f>
        <v>33972588</v>
      </c>
      <c r="BM130" s="86">
        <f>SUM(BN129:BO129)</f>
        <v>2276718</v>
      </c>
      <c r="BN130" s="430">
        <f>N129+AL129</f>
        <v>1374510</v>
      </c>
      <c r="BO130" s="430">
        <f>O129+AM129</f>
        <v>902208</v>
      </c>
      <c r="BP130" s="430">
        <f>P129+AR129</f>
        <v>87141312</v>
      </c>
      <c r="BQ130" s="430">
        <f>Q129+AS129</f>
        <v>2557230</v>
      </c>
      <c r="BR130" s="430">
        <f>R129+AV129</f>
        <v>2881168</v>
      </c>
      <c r="BS130" s="429">
        <f>SUM(BT129:BU129)</f>
        <v>487.0489</v>
      </c>
      <c r="BT130" s="508">
        <f>T129+BF129</f>
        <v>381.58449999999999</v>
      </c>
      <c r="BU130" s="508">
        <f>U129+BG129</f>
        <v>105.46439999999998</v>
      </c>
      <c r="BV130" s="235">
        <f>SUM(BW129:BZ129)</f>
        <v>1900680</v>
      </c>
      <c r="BW130" s="8"/>
      <c r="BX130" s="8"/>
      <c r="BY130" s="8"/>
      <c r="BZ130" s="8"/>
      <c r="CA130" s="7"/>
    </row>
    <row r="131" spans="1:79" customFormat="1" ht="13.5" thickBot="1" x14ac:dyDescent="0.25">
      <c r="D131" s="23"/>
      <c r="E131" s="24"/>
      <c r="F131" s="23"/>
      <c r="G131" s="41"/>
      <c r="H131" s="24"/>
      <c r="I131" s="428">
        <f>J132+M132+P132+Q132+R132</f>
        <v>341557200</v>
      </c>
      <c r="J131" s="428">
        <f>SUM(K132:L132)</f>
        <v>249071619</v>
      </c>
      <c r="K131" s="428"/>
      <c r="L131" s="428"/>
      <c r="M131" s="428">
        <f>SUM(N132:O132)</f>
        <v>2276718</v>
      </c>
      <c r="N131" s="428"/>
      <c r="O131" s="428"/>
      <c r="P131" s="428"/>
      <c r="Q131" s="428"/>
      <c r="R131" s="428"/>
      <c r="S131" s="429">
        <f>SUM(T132:U132)</f>
        <v>466.97890000000007</v>
      </c>
      <c r="T131" s="429"/>
      <c r="U131" s="429"/>
      <c r="V131" s="428">
        <f>AG132</f>
        <v>0</v>
      </c>
      <c r="W131" s="428">
        <f>AH132</f>
        <v>0</v>
      </c>
      <c r="X131" s="429"/>
      <c r="Y131" s="429"/>
      <c r="Z131" s="429"/>
      <c r="AA131" s="429"/>
      <c r="AB131" s="429"/>
      <c r="AC131" s="429"/>
      <c r="AD131" s="430"/>
      <c r="AE131" s="430"/>
      <c r="AF131" s="430">
        <f>SUM(AD132:AE132)</f>
        <v>6651393</v>
      </c>
      <c r="AG131" s="430"/>
      <c r="AH131" s="430"/>
      <c r="AI131" s="431"/>
      <c r="AJ131" s="431"/>
      <c r="AK131" s="431"/>
      <c r="AL131" s="430"/>
      <c r="AM131" s="430"/>
      <c r="AN131" s="430">
        <f>SUM(AL132:AM132)</f>
        <v>0</v>
      </c>
      <c r="AO131" s="430"/>
      <c r="AP131" s="430"/>
      <c r="AQ131" s="430">
        <f>SUM(AO132:AP132)</f>
        <v>6651393</v>
      </c>
      <c r="AR131" s="432"/>
      <c r="AS131" s="432"/>
      <c r="AT131" s="431"/>
      <c r="AU131" s="431"/>
      <c r="AV131" s="430">
        <f>SUM(AT132:AU132)</f>
        <v>56161</v>
      </c>
      <c r="AW131" s="430">
        <f>AF132+AN132+AR132+AS132+AV132</f>
        <v>9022240</v>
      </c>
      <c r="AX131" s="433"/>
      <c r="AY131" s="433"/>
      <c r="AZ131" s="433"/>
      <c r="BA131" s="433"/>
      <c r="BB131" s="433"/>
      <c r="BC131" s="433"/>
      <c r="BD131" s="433"/>
      <c r="BE131" s="433"/>
      <c r="BF131" s="508">
        <f>AX132+AZ132+BA132+BC132+BD132</f>
        <v>0</v>
      </c>
      <c r="BG131" s="508">
        <f>AY132+BB132+BE132</f>
        <v>20.07</v>
      </c>
      <c r="BH131" s="508">
        <f>SUM(BF132:BG132)</f>
        <v>20.07</v>
      </c>
      <c r="BI131" s="428">
        <f>BJ132+BM132+BP132+BQ132+BR132</f>
        <v>350579440</v>
      </c>
      <c r="BJ131" s="428">
        <f>SUM(BK132:BL132)</f>
        <v>255723012</v>
      </c>
      <c r="BK131" s="53"/>
      <c r="BL131" s="53"/>
      <c r="BM131" s="86">
        <f>SUM(BN132:BO132)</f>
        <v>2276718</v>
      </c>
      <c r="BN131" s="53"/>
      <c r="BO131" s="53"/>
      <c r="BP131" s="53"/>
      <c r="BQ131" s="53"/>
      <c r="BR131" s="53"/>
      <c r="BS131" s="429">
        <f>SUM(BT132:BU132)</f>
        <v>487.04890000000006</v>
      </c>
      <c r="BT131" s="87"/>
      <c r="BU131" s="87"/>
      <c r="BV131" s="235">
        <f>SUM(BW132:BZ132)</f>
        <v>1900680</v>
      </c>
      <c r="BW131" s="8"/>
      <c r="BX131" s="8"/>
      <c r="BY131" s="8"/>
      <c r="BZ131" s="8"/>
      <c r="CA131" s="7"/>
    </row>
    <row r="132" spans="1:79" customFormat="1" ht="13.5" thickBot="1" x14ac:dyDescent="0.25">
      <c r="D132" s="23"/>
      <c r="E132" s="24"/>
      <c r="F132" s="23"/>
      <c r="G132" s="41"/>
      <c r="H132" s="440" t="s">
        <v>0</v>
      </c>
      <c r="I132" s="595">
        <f>SUM(I133:I142)</f>
        <v>341557200</v>
      </c>
      <c r="J132" s="596">
        <f t="shared" ref="J132:BQ132" si="335">SUM(J133:J142)</f>
        <v>249071619</v>
      </c>
      <c r="K132" s="596">
        <f t="shared" si="335"/>
        <v>221750424</v>
      </c>
      <c r="L132" s="596">
        <f t="shared" si="335"/>
        <v>27321195</v>
      </c>
      <c r="M132" s="596">
        <f t="shared" si="335"/>
        <v>2276718</v>
      </c>
      <c r="N132" s="596">
        <f t="shared" si="335"/>
        <v>1374510</v>
      </c>
      <c r="O132" s="596">
        <f t="shared" si="335"/>
        <v>902208</v>
      </c>
      <c r="P132" s="596">
        <f t="shared" si="335"/>
        <v>84893140</v>
      </c>
      <c r="Q132" s="596">
        <f t="shared" si="335"/>
        <v>2490716</v>
      </c>
      <c r="R132" s="596">
        <f t="shared" si="335"/>
        <v>2825007</v>
      </c>
      <c r="S132" s="597">
        <f t="shared" si="335"/>
        <v>466.97889999999995</v>
      </c>
      <c r="T132" s="597">
        <f t="shared" si="335"/>
        <v>381.58450000000005</v>
      </c>
      <c r="U132" s="598">
        <f t="shared" si="335"/>
        <v>85.394400000000005</v>
      </c>
      <c r="V132" s="149">
        <f t="shared" si="335"/>
        <v>0</v>
      </c>
      <c r="W132" s="34">
        <f t="shared" si="335"/>
        <v>0</v>
      </c>
      <c r="X132" s="34">
        <f t="shared" si="335"/>
        <v>0</v>
      </c>
      <c r="Y132" s="34">
        <f t="shared" si="335"/>
        <v>0</v>
      </c>
      <c r="Z132" s="34">
        <f t="shared" si="335"/>
        <v>0</v>
      </c>
      <c r="AA132" s="34">
        <f t="shared" si="335"/>
        <v>6481318</v>
      </c>
      <c r="AB132" s="34">
        <f t="shared" si="335"/>
        <v>0</v>
      </c>
      <c r="AC132" s="34">
        <f t="shared" si="335"/>
        <v>170075</v>
      </c>
      <c r="AD132" s="34">
        <f t="shared" si="335"/>
        <v>0</v>
      </c>
      <c r="AE132" s="34">
        <f t="shared" si="335"/>
        <v>6651393</v>
      </c>
      <c r="AF132" s="34">
        <f t="shared" si="335"/>
        <v>6651393</v>
      </c>
      <c r="AG132" s="34">
        <f t="shared" si="335"/>
        <v>0</v>
      </c>
      <c r="AH132" s="34">
        <f t="shared" si="335"/>
        <v>0</v>
      </c>
      <c r="AI132" s="34">
        <f t="shared" si="335"/>
        <v>0</v>
      </c>
      <c r="AJ132" s="34">
        <f t="shared" si="335"/>
        <v>0</v>
      </c>
      <c r="AK132" s="34">
        <f t="shared" si="335"/>
        <v>0</v>
      </c>
      <c r="AL132" s="34">
        <f t="shared" si="335"/>
        <v>0</v>
      </c>
      <c r="AM132" s="34">
        <f t="shared" si="335"/>
        <v>0</v>
      </c>
      <c r="AN132" s="34">
        <f t="shared" si="335"/>
        <v>0</v>
      </c>
      <c r="AO132" s="34">
        <f t="shared" si="335"/>
        <v>0</v>
      </c>
      <c r="AP132" s="34">
        <f t="shared" si="335"/>
        <v>6651393</v>
      </c>
      <c r="AQ132" s="34">
        <f t="shared" si="335"/>
        <v>6651393</v>
      </c>
      <c r="AR132" s="34">
        <f t="shared" si="335"/>
        <v>2248172</v>
      </c>
      <c r="AS132" s="34">
        <f t="shared" si="335"/>
        <v>66514</v>
      </c>
      <c r="AT132" s="34">
        <f t="shared" si="335"/>
        <v>0</v>
      </c>
      <c r="AU132" s="34">
        <f t="shared" si="335"/>
        <v>56161</v>
      </c>
      <c r="AV132" s="34">
        <f t="shared" si="335"/>
        <v>56161</v>
      </c>
      <c r="AW132" s="34">
        <f t="shared" si="335"/>
        <v>9022240</v>
      </c>
      <c r="AX132" s="35">
        <f t="shared" si="335"/>
        <v>0</v>
      </c>
      <c r="AY132" s="35">
        <f t="shared" si="335"/>
        <v>0</v>
      </c>
      <c r="AZ132" s="35">
        <f t="shared" si="335"/>
        <v>0</v>
      </c>
      <c r="BA132" s="35">
        <f t="shared" si="335"/>
        <v>0</v>
      </c>
      <c r="BB132" s="35">
        <f t="shared" si="335"/>
        <v>20.07</v>
      </c>
      <c r="BC132" s="35">
        <f t="shared" si="335"/>
        <v>0</v>
      </c>
      <c r="BD132" s="35">
        <f t="shared" si="335"/>
        <v>0</v>
      </c>
      <c r="BE132" s="35">
        <f t="shared" si="335"/>
        <v>0</v>
      </c>
      <c r="BF132" s="35">
        <f t="shared" si="335"/>
        <v>0</v>
      </c>
      <c r="BG132" s="35">
        <f t="shared" si="335"/>
        <v>20.07</v>
      </c>
      <c r="BH132" s="148">
        <f t="shared" si="335"/>
        <v>20.07</v>
      </c>
      <c r="BI132" s="139">
        <f t="shared" si="335"/>
        <v>350579440</v>
      </c>
      <c r="BJ132" s="34">
        <f t="shared" si="335"/>
        <v>255723012</v>
      </c>
      <c r="BK132" s="34">
        <f t="shared" si="335"/>
        <v>221750424</v>
      </c>
      <c r="BL132" s="34">
        <f t="shared" si="335"/>
        <v>33972588</v>
      </c>
      <c r="BM132" s="34">
        <f t="shared" si="335"/>
        <v>2276718</v>
      </c>
      <c r="BN132" s="34">
        <f t="shared" si="335"/>
        <v>1374510</v>
      </c>
      <c r="BO132" s="34">
        <f t="shared" si="335"/>
        <v>902208</v>
      </c>
      <c r="BP132" s="34">
        <f t="shared" si="335"/>
        <v>87141312</v>
      </c>
      <c r="BQ132" s="34">
        <f t="shared" si="335"/>
        <v>2557230</v>
      </c>
      <c r="BR132" s="34">
        <f t="shared" ref="BR132:BU132" si="336">SUM(BR133:BR142)</f>
        <v>2881168</v>
      </c>
      <c r="BS132" s="35">
        <f t="shared" si="336"/>
        <v>487.0489</v>
      </c>
      <c r="BT132" s="35">
        <f t="shared" si="336"/>
        <v>381.58450000000005</v>
      </c>
      <c r="BU132" s="148">
        <f t="shared" si="336"/>
        <v>105.4644</v>
      </c>
      <c r="BV132" s="676">
        <f t="shared" ref="BV132:CA132" si="337">SUM(BV133:BV142)</f>
        <v>1900680</v>
      </c>
      <c r="BW132" s="672">
        <f t="shared" si="337"/>
        <v>1410000</v>
      </c>
      <c r="BX132" s="672">
        <f t="shared" si="337"/>
        <v>0</v>
      </c>
      <c r="BY132" s="672">
        <f t="shared" si="337"/>
        <v>476580</v>
      </c>
      <c r="BZ132" s="672">
        <f t="shared" si="337"/>
        <v>14100</v>
      </c>
      <c r="CA132" s="677">
        <f t="shared" si="337"/>
        <v>2.5</v>
      </c>
    </row>
    <row r="133" spans="1:79" customFormat="1" ht="12.75" x14ac:dyDescent="0.2">
      <c r="D133" s="23"/>
      <c r="E133" s="24"/>
      <c r="F133" s="23"/>
      <c r="G133" s="41"/>
      <c r="H133" s="441">
        <v>3111</v>
      </c>
      <c r="I133" s="489">
        <f t="shared" ref="I133:AN133" si="338">SUMIF($F$12:$F$144,"=3111",I$12:I$144)</f>
        <v>65960302</v>
      </c>
      <c r="J133" s="490">
        <f t="shared" si="338"/>
        <v>48379375</v>
      </c>
      <c r="K133" s="490">
        <f t="shared" si="338"/>
        <v>45690434</v>
      </c>
      <c r="L133" s="490">
        <f t="shared" si="338"/>
        <v>2688941</v>
      </c>
      <c r="M133" s="490">
        <f t="shared" si="338"/>
        <v>395000</v>
      </c>
      <c r="N133" s="490">
        <f t="shared" si="338"/>
        <v>280000</v>
      </c>
      <c r="O133" s="490">
        <f t="shared" si="338"/>
        <v>115000</v>
      </c>
      <c r="P133" s="490">
        <f t="shared" si="338"/>
        <v>16485738</v>
      </c>
      <c r="Q133" s="490">
        <f t="shared" si="338"/>
        <v>483793</v>
      </c>
      <c r="R133" s="490">
        <f t="shared" si="338"/>
        <v>216396</v>
      </c>
      <c r="S133" s="493">
        <f t="shared" si="338"/>
        <v>91.586600000000004</v>
      </c>
      <c r="T133" s="493">
        <f t="shared" si="338"/>
        <v>80.845799999999997</v>
      </c>
      <c r="U133" s="496">
        <f t="shared" si="338"/>
        <v>10.740800000000004</v>
      </c>
      <c r="V133" s="32">
        <f t="shared" si="338"/>
        <v>0</v>
      </c>
      <c r="W133" s="146">
        <f t="shared" si="338"/>
        <v>0</v>
      </c>
      <c r="X133" s="146">
        <f t="shared" si="338"/>
        <v>0</v>
      </c>
      <c r="Y133" s="146">
        <f t="shared" si="338"/>
        <v>0</v>
      </c>
      <c r="Z133" s="146">
        <f t="shared" si="338"/>
        <v>0</v>
      </c>
      <c r="AA133" s="146">
        <f t="shared" si="338"/>
        <v>0</v>
      </c>
      <c r="AB133" s="146">
        <f t="shared" si="338"/>
        <v>0</v>
      </c>
      <c r="AC133" s="146">
        <f t="shared" si="338"/>
        <v>0</v>
      </c>
      <c r="AD133" s="146">
        <f t="shared" si="338"/>
        <v>0</v>
      </c>
      <c r="AE133" s="146">
        <f t="shared" si="338"/>
        <v>0</v>
      </c>
      <c r="AF133" s="146">
        <f t="shared" si="338"/>
        <v>0</v>
      </c>
      <c r="AG133" s="146">
        <f t="shared" si="338"/>
        <v>0</v>
      </c>
      <c r="AH133" s="146">
        <f t="shared" si="338"/>
        <v>0</v>
      </c>
      <c r="AI133" s="146">
        <f t="shared" si="338"/>
        <v>0</v>
      </c>
      <c r="AJ133" s="146">
        <f t="shared" si="338"/>
        <v>0</v>
      </c>
      <c r="AK133" s="146">
        <f t="shared" si="338"/>
        <v>0</v>
      </c>
      <c r="AL133" s="146">
        <f t="shared" si="338"/>
        <v>0</v>
      </c>
      <c r="AM133" s="146">
        <f t="shared" si="338"/>
        <v>0</v>
      </c>
      <c r="AN133" s="146">
        <f t="shared" si="338"/>
        <v>0</v>
      </c>
      <c r="AO133" s="146">
        <f t="shared" ref="AO133:BT133" si="339">SUMIF($F$12:$F$144,"=3111",AO$12:AO$144)</f>
        <v>0</v>
      </c>
      <c r="AP133" s="146">
        <f t="shared" si="339"/>
        <v>0</v>
      </c>
      <c r="AQ133" s="146">
        <f t="shared" si="339"/>
        <v>0</v>
      </c>
      <c r="AR133" s="146">
        <f t="shared" si="339"/>
        <v>0</v>
      </c>
      <c r="AS133" s="146">
        <f t="shared" si="339"/>
        <v>0</v>
      </c>
      <c r="AT133" s="146">
        <f t="shared" si="339"/>
        <v>0</v>
      </c>
      <c r="AU133" s="146">
        <f t="shared" si="339"/>
        <v>0</v>
      </c>
      <c r="AV133" s="146">
        <f t="shared" si="339"/>
        <v>0</v>
      </c>
      <c r="AW133" s="146">
        <f t="shared" si="339"/>
        <v>0</v>
      </c>
      <c r="AX133" s="147">
        <f t="shared" si="339"/>
        <v>0</v>
      </c>
      <c r="AY133" s="147">
        <f t="shared" si="339"/>
        <v>0</v>
      </c>
      <c r="AZ133" s="147">
        <f t="shared" si="339"/>
        <v>0</v>
      </c>
      <c r="BA133" s="147">
        <f t="shared" si="339"/>
        <v>0</v>
      </c>
      <c r="BB133" s="147">
        <f t="shared" si="339"/>
        <v>0</v>
      </c>
      <c r="BC133" s="147">
        <f t="shared" si="339"/>
        <v>0</v>
      </c>
      <c r="BD133" s="147">
        <f t="shared" si="339"/>
        <v>0</v>
      </c>
      <c r="BE133" s="147">
        <f t="shared" si="339"/>
        <v>0</v>
      </c>
      <c r="BF133" s="147">
        <f t="shared" si="339"/>
        <v>0</v>
      </c>
      <c r="BG133" s="147">
        <f t="shared" si="339"/>
        <v>0</v>
      </c>
      <c r="BH133" s="425">
        <f t="shared" si="339"/>
        <v>0</v>
      </c>
      <c r="BI133" s="31">
        <f t="shared" si="339"/>
        <v>65960302</v>
      </c>
      <c r="BJ133" s="146">
        <f t="shared" si="339"/>
        <v>48379375</v>
      </c>
      <c r="BK133" s="146">
        <f t="shared" si="339"/>
        <v>45690434</v>
      </c>
      <c r="BL133" s="146">
        <f t="shared" si="339"/>
        <v>2688941</v>
      </c>
      <c r="BM133" s="146">
        <f t="shared" si="339"/>
        <v>395000</v>
      </c>
      <c r="BN133" s="146">
        <f t="shared" si="339"/>
        <v>280000</v>
      </c>
      <c r="BO133" s="146">
        <f t="shared" si="339"/>
        <v>115000</v>
      </c>
      <c r="BP133" s="146">
        <f t="shared" si="339"/>
        <v>16485738</v>
      </c>
      <c r="BQ133" s="146">
        <f t="shared" si="339"/>
        <v>483793</v>
      </c>
      <c r="BR133" s="146">
        <f t="shared" si="339"/>
        <v>216396</v>
      </c>
      <c r="BS133" s="147">
        <f t="shared" si="339"/>
        <v>91.586600000000004</v>
      </c>
      <c r="BT133" s="147">
        <f t="shared" si="339"/>
        <v>80.845799999999997</v>
      </c>
      <c r="BU133" s="425">
        <f t="shared" ref="BU133:CA133" si="340">SUMIF($F$12:$F$144,"=3111",BU$12:BU$144)</f>
        <v>10.740800000000004</v>
      </c>
      <c r="BV133" s="31">
        <f t="shared" si="340"/>
        <v>0</v>
      </c>
      <c r="BW133" s="146">
        <f t="shared" si="340"/>
        <v>0</v>
      </c>
      <c r="BX133" s="146">
        <f t="shared" si="340"/>
        <v>0</v>
      </c>
      <c r="BY133" s="146">
        <f t="shared" si="340"/>
        <v>0</v>
      </c>
      <c r="BZ133" s="146">
        <f t="shared" si="340"/>
        <v>0</v>
      </c>
      <c r="CA133" s="238">
        <f t="shared" si="340"/>
        <v>0</v>
      </c>
    </row>
    <row r="134" spans="1:79" customFormat="1" ht="12.75" x14ac:dyDescent="0.2">
      <c r="D134" s="23"/>
      <c r="E134" s="24"/>
      <c r="F134" s="23"/>
      <c r="G134" s="41"/>
      <c r="H134" s="2">
        <v>3113</v>
      </c>
      <c r="I134" s="167">
        <f t="shared" ref="I134:AN134" si="341">SUMIF($F$12:$F$144,"=3113",I$12:I$144)</f>
        <v>167721315</v>
      </c>
      <c r="J134" s="16">
        <f t="shared" si="341"/>
        <v>122386216</v>
      </c>
      <c r="K134" s="16">
        <f t="shared" si="341"/>
        <v>114477605</v>
      </c>
      <c r="L134" s="16">
        <f t="shared" si="341"/>
        <v>7908611</v>
      </c>
      <c r="M134" s="16">
        <f t="shared" si="341"/>
        <v>665199</v>
      </c>
      <c r="N134" s="16">
        <f t="shared" si="341"/>
        <v>465199</v>
      </c>
      <c r="O134" s="16">
        <f t="shared" si="341"/>
        <v>200000</v>
      </c>
      <c r="P134" s="16">
        <f t="shared" si="341"/>
        <v>41528783</v>
      </c>
      <c r="Q134" s="16">
        <f t="shared" si="341"/>
        <v>1223862</v>
      </c>
      <c r="R134" s="16">
        <f t="shared" si="341"/>
        <v>1917255</v>
      </c>
      <c r="S134" s="13">
        <f t="shared" si="341"/>
        <v>214.59829999999994</v>
      </c>
      <c r="T134" s="13">
        <f t="shared" si="341"/>
        <v>189.96939999999998</v>
      </c>
      <c r="U134" s="17">
        <f t="shared" si="341"/>
        <v>24.628899999999998</v>
      </c>
      <c r="V134" s="38">
        <f t="shared" si="341"/>
        <v>0</v>
      </c>
      <c r="W134" s="26">
        <f t="shared" si="341"/>
        <v>0</v>
      </c>
      <c r="X134" s="26">
        <f t="shared" si="341"/>
        <v>0</v>
      </c>
      <c r="Y134" s="26">
        <f t="shared" si="341"/>
        <v>0</v>
      </c>
      <c r="Z134" s="26">
        <f t="shared" si="341"/>
        <v>0</v>
      </c>
      <c r="AA134" s="26">
        <f t="shared" si="341"/>
        <v>0</v>
      </c>
      <c r="AB134" s="26">
        <f t="shared" si="341"/>
        <v>0</v>
      </c>
      <c r="AC134" s="26">
        <f t="shared" si="341"/>
        <v>0</v>
      </c>
      <c r="AD134" s="26">
        <f t="shared" si="341"/>
        <v>0</v>
      </c>
      <c r="AE134" s="26">
        <f t="shared" si="341"/>
        <v>0</v>
      </c>
      <c r="AF134" s="26">
        <f t="shared" si="341"/>
        <v>0</v>
      </c>
      <c r="AG134" s="26">
        <f t="shared" si="341"/>
        <v>0</v>
      </c>
      <c r="AH134" s="26">
        <f t="shared" si="341"/>
        <v>0</v>
      </c>
      <c r="AI134" s="26">
        <f t="shared" si="341"/>
        <v>0</v>
      </c>
      <c r="AJ134" s="26">
        <f t="shared" si="341"/>
        <v>0</v>
      </c>
      <c r="AK134" s="26">
        <f t="shared" si="341"/>
        <v>0</v>
      </c>
      <c r="AL134" s="26">
        <f t="shared" si="341"/>
        <v>0</v>
      </c>
      <c r="AM134" s="26">
        <f t="shared" si="341"/>
        <v>0</v>
      </c>
      <c r="AN134" s="26">
        <f t="shared" si="341"/>
        <v>0</v>
      </c>
      <c r="AO134" s="26">
        <f t="shared" ref="AO134:BT134" si="342">SUMIF($F$12:$F$144,"=3113",AO$12:AO$144)</f>
        <v>0</v>
      </c>
      <c r="AP134" s="26">
        <f t="shared" si="342"/>
        <v>0</v>
      </c>
      <c r="AQ134" s="26">
        <f t="shared" si="342"/>
        <v>0</v>
      </c>
      <c r="AR134" s="26">
        <f t="shared" si="342"/>
        <v>0</v>
      </c>
      <c r="AS134" s="26">
        <f t="shared" si="342"/>
        <v>0</v>
      </c>
      <c r="AT134" s="26">
        <f t="shared" si="342"/>
        <v>0</v>
      </c>
      <c r="AU134" s="26">
        <f t="shared" si="342"/>
        <v>0</v>
      </c>
      <c r="AV134" s="26">
        <f t="shared" si="342"/>
        <v>0</v>
      </c>
      <c r="AW134" s="26">
        <f t="shared" si="342"/>
        <v>0</v>
      </c>
      <c r="AX134" s="27">
        <f t="shared" si="342"/>
        <v>0</v>
      </c>
      <c r="AY134" s="27">
        <f t="shared" si="342"/>
        <v>0</v>
      </c>
      <c r="AZ134" s="27">
        <f t="shared" si="342"/>
        <v>0</v>
      </c>
      <c r="BA134" s="27">
        <f t="shared" si="342"/>
        <v>0</v>
      </c>
      <c r="BB134" s="27">
        <f t="shared" si="342"/>
        <v>0</v>
      </c>
      <c r="BC134" s="27">
        <f t="shared" si="342"/>
        <v>0</v>
      </c>
      <c r="BD134" s="27">
        <f t="shared" si="342"/>
        <v>0</v>
      </c>
      <c r="BE134" s="27">
        <f t="shared" si="342"/>
        <v>0</v>
      </c>
      <c r="BF134" s="27">
        <f t="shared" si="342"/>
        <v>0</v>
      </c>
      <c r="BG134" s="27">
        <f t="shared" si="342"/>
        <v>0</v>
      </c>
      <c r="BH134" s="426">
        <f t="shared" si="342"/>
        <v>0</v>
      </c>
      <c r="BI134" s="25">
        <f t="shared" si="342"/>
        <v>167721315</v>
      </c>
      <c r="BJ134" s="26">
        <f t="shared" si="342"/>
        <v>122386216</v>
      </c>
      <c r="BK134" s="26">
        <f t="shared" si="342"/>
        <v>114477605</v>
      </c>
      <c r="BL134" s="26">
        <f t="shared" si="342"/>
        <v>7908611</v>
      </c>
      <c r="BM134" s="26">
        <f t="shared" si="342"/>
        <v>665199</v>
      </c>
      <c r="BN134" s="26">
        <f t="shared" si="342"/>
        <v>465199</v>
      </c>
      <c r="BO134" s="26">
        <f t="shared" si="342"/>
        <v>200000</v>
      </c>
      <c r="BP134" s="26">
        <f t="shared" si="342"/>
        <v>41528783</v>
      </c>
      <c r="BQ134" s="26">
        <f t="shared" si="342"/>
        <v>1223862</v>
      </c>
      <c r="BR134" s="26">
        <f t="shared" si="342"/>
        <v>1917255</v>
      </c>
      <c r="BS134" s="27">
        <f t="shared" si="342"/>
        <v>214.59829999999994</v>
      </c>
      <c r="BT134" s="27">
        <f t="shared" si="342"/>
        <v>189.96939999999998</v>
      </c>
      <c r="BU134" s="426">
        <f t="shared" ref="BU134:CA134" si="343">SUMIF($F$12:$F$144,"=3113",BU$12:BU$144)</f>
        <v>24.628899999999998</v>
      </c>
      <c r="BV134" s="25">
        <f t="shared" si="343"/>
        <v>1748626</v>
      </c>
      <c r="BW134" s="26">
        <f t="shared" si="343"/>
        <v>1297200</v>
      </c>
      <c r="BX134" s="26">
        <f t="shared" si="343"/>
        <v>0</v>
      </c>
      <c r="BY134" s="26">
        <f t="shared" si="343"/>
        <v>438454</v>
      </c>
      <c r="BZ134" s="26">
        <f t="shared" si="343"/>
        <v>12972</v>
      </c>
      <c r="CA134" s="239">
        <f t="shared" si="343"/>
        <v>2.2999999999999998</v>
      </c>
    </row>
    <row r="135" spans="1:79" customFormat="1" ht="12.75" x14ac:dyDescent="0.2">
      <c r="D135" s="23"/>
      <c r="E135" s="24"/>
      <c r="F135" s="23"/>
      <c r="G135" s="41"/>
      <c r="H135" s="2">
        <v>3114</v>
      </c>
      <c r="I135" s="167">
        <f t="shared" ref="I135:AN135" si="344">SUMIF($F$12:$F$144,"=3114",I$12:I$144)</f>
        <v>14803086</v>
      </c>
      <c r="J135" s="16">
        <f t="shared" si="344"/>
        <v>10796097</v>
      </c>
      <c r="K135" s="16">
        <f t="shared" si="344"/>
        <v>10050111</v>
      </c>
      <c r="L135" s="16">
        <f t="shared" si="344"/>
        <v>745986</v>
      </c>
      <c r="M135" s="16">
        <f t="shared" si="344"/>
        <v>114208</v>
      </c>
      <c r="N135" s="16">
        <f t="shared" si="344"/>
        <v>60000</v>
      </c>
      <c r="O135" s="16">
        <f t="shared" si="344"/>
        <v>54208</v>
      </c>
      <c r="P135" s="16">
        <f t="shared" si="344"/>
        <v>3687682</v>
      </c>
      <c r="Q135" s="16">
        <f t="shared" si="344"/>
        <v>107961</v>
      </c>
      <c r="R135" s="16">
        <f t="shared" si="344"/>
        <v>97138</v>
      </c>
      <c r="S135" s="13">
        <f t="shared" si="344"/>
        <v>18.2255</v>
      </c>
      <c r="T135" s="13">
        <f t="shared" si="344"/>
        <v>16.092199999999998</v>
      </c>
      <c r="U135" s="17">
        <f t="shared" si="344"/>
        <v>2.1332999999999998</v>
      </c>
      <c r="V135" s="38">
        <f t="shared" si="344"/>
        <v>0</v>
      </c>
      <c r="W135" s="26">
        <f t="shared" si="344"/>
        <v>0</v>
      </c>
      <c r="X135" s="26">
        <f t="shared" si="344"/>
        <v>0</v>
      </c>
      <c r="Y135" s="26">
        <f t="shared" si="344"/>
        <v>0</v>
      </c>
      <c r="Z135" s="26">
        <f t="shared" si="344"/>
        <v>0</v>
      </c>
      <c r="AA135" s="26">
        <f t="shared" si="344"/>
        <v>0</v>
      </c>
      <c r="AB135" s="26">
        <f t="shared" si="344"/>
        <v>0</v>
      </c>
      <c r="AC135" s="26">
        <f t="shared" si="344"/>
        <v>0</v>
      </c>
      <c r="AD135" s="26">
        <f t="shared" si="344"/>
        <v>0</v>
      </c>
      <c r="AE135" s="26">
        <f t="shared" si="344"/>
        <v>0</v>
      </c>
      <c r="AF135" s="26">
        <f t="shared" si="344"/>
        <v>0</v>
      </c>
      <c r="AG135" s="26">
        <f t="shared" si="344"/>
        <v>0</v>
      </c>
      <c r="AH135" s="26">
        <f t="shared" si="344"/>
        <v>0</v>
      </c>
      <c r="AI135" s="26">
        <f t="shared" si="344"/>
        <v>0</v>
      </c>
      <c r="AJ135" s="26">
        <f t="shared" si="344"/>
        <v>0</v>
      </c>
      <c r="AK135" s="26">
        <f t="shared" si="344"/>
        <v>0</v>
      </c>
      <c r="AL135" s="26">
        <f t="shared" si="344"/>
        <v>0</v>
      </c>
      <c r="AM135" s="26">
        <f t="shared" si="344"/>
        <v>0</v>
      </c>
      <c r="AN135" s="26">
        <f t="shared" si="344"/>
        <v>0</v>
      </c>
      <c r="AO135" s="26">
        <f t="shared" ref="AO135:BT135" si="345">SUMIF($F$12:$F$144,"=3114",AO$12:AO$144)</f>
        <v>0</v>
      </c>
      <c r="AP135" s="26">
        <f t="shared" si="345"/>
        <v>0</v>
      </c>
      <c r="AQ135" s="26">
        <f t="shared" si="345"/>
        <v>0</v>
      </c>
      <c r="AR135" s="26">
        <f t="shared" si="345"/>
        <v>0</v>
      </c>
      <c r="AS135" s="26">
        <f t="shared" si="345"/>
        <v>0</v>
      </c>
      <c r="AT135" s="26">
        <f t="shared" si="345"/>
        <v>0</v>
      </c>
      <c r="AU135" s="26">
        <f t="shared" si="345"/>
        <v>0</v>
      </c>
      <c r="AV135" s="26">
        <f t="shared" si="345"/>
        <v>0</v>
      </c>
      <c r="AW135" s="26">
        <f t="shared" si="345"/>
        <v>0</v>
      </c>
      <c r="AX135" s="27">
        <f t="shared" si="345"/>
        <v>0</v>
      </c>
      <c r="AY135" s="27">
        <f t="shared" si="345"/>
        <v>0</v>
      </c>
      <c r="AZ135" s="27">
        <f t="shared" si="345"/>
        <v>0</v>
      </c>
      <c r="BA135" s="27">
        <f t="shared" si="345"/>
        <v>0</v>
      </c>
      <c r="BB135" s="27">
        <f t="shared" si="345"/>
        <v>0</v>
      </c>
      <c r="BC135" s="27">
        <f t="shared" si="345"/>
        <v>0</v>
      </c>
      <c r="BD135" s="27">
        <f t="shared" si="345"/>
        <v>0</v>
      </c>
      <c r="BE135" s="27">
        <f t="shared" si="345"/>
        <v>0</v>
      </c>
      <c r="BF135" s="27">
        <f t="shared" si="345"/>
        <v>0</v>
      </c>
      <c r="BG135" s="27">
        <f t="shared" si="345"/>
        <v>0</v>
      </c>
      <c r="BH135" s="426">
        <f t="shared" si="345"/>
        <v>0</v>
      </c>
      <c r="BI135" s="25">
        <f t="shared" si="345"/>
        <v>14803086</v>
      </c>
      <c r="BJ135" s="26">
        <f t="shared" si="345"/>
        <v>10796097</v>
      </c>
      <c r="BK135" s="26">
        <f t="shared" si="345"/>
        <v>10050111</v>
      </c>
      <c r="BL135" s="26">
        <f t="shared" si="345"/>
        <v>745986</v>
      </c>
      <c r="BM135" s="26">
        <f t="shared" si="345"/>
        <v>114208</v>
      </c>
      <c r="BN135" s="26">
        <f t="shared" si="345"/>
        <v>60000</v>
      </c>
      <c r="BO135" s="26">
        <f t="shared" si="345"/>
        <v>54208</v>
      </c>
      <c r="BP135" s="26">
        <f t="shared" si="345"/>
        <v>3687682</v>
      </c>
      <c r="BQ135" s="26">
        <f t="shared" si="345"/>
        <v>107961</v>
      </c>
      <c r="BR135" s="26">
        <f t="shared" si="345"/>
        <v>97138</v>
      </c>
      <c r="BS135" s="27">
        <f t="shared" si="345"/>
        <v>18.2255</v>
      </c>
      <c r="BT135" s="27">
        <f t="shared" si="345"/>
        <v>16.092199999999998</v>
      </c>
      <c r="BU135" s="426">
        <f t="shared" ref="BU135:CA135" si="346">SUMIF($F$12:$F$144,"=3114",BU$12:BU$144)</f>
        <v>2.1332999999999998</v>
      </c>
      <c r="BV135" s="25">
        <f t="shared" si="346"/>
        <v>0</v>
      </c>
      <c r="BW135" s="26">
        <f t="shared" si="346"/>
        <v>0</v>
      </c>
      <c r="BX135" s="26">
        <f t="shared" si="346"/>
        <v>0</v>
      </c>
      <c r="BY135" s="26">
        <f t="shared" si="346"/>
        <v>0</v>
      </c>
      <c r="BZ135" s="26">
        <f t="shared" si="346"/>
        <v>0</v>
      </c>
      <c r="CA135" s="239">
        <f t="shared" si="346"/>
        <v>0</v>
      </c>
    </row>
    <row r="136" spans="1:79" customFormat="1" ht="12.75" x14ac:dyDescent="0.2">
      <c r="D136" s="23"/>
      <c r="E136" s="24"/>
      <c r="F136" s="23"/>
      <c r="G136" s="41"/>
      <c r="H136" s="2">
        <v>3117</v>
      </c>
      <c r="I136" s="167">
        <f t="shared" ref="I136:AN136" si="347">SUMIF($F$12:$F$144,"=3117",I$12:I$144)</f>
        <v>39963494</v>
      </c>
      <c r="J136" s="16">
        <f t="shared" si="347"/>
        <v>29151204</v>
      </c>
      <c r="K136" s="16">
        <f t="shared" si="347"/>
        <v>26401318</v>
      </c>
      <c r="L136" s="16">
        <f t="shared" si="347"/>
        <v>2749886</v>
      </c>
      <c r="M136" s="16">
        <f t="shared" si="347"/>
        <v>161311</v>
      </c>
      <c r="N136" s="16">
        <f t="shared" si="347"/>
        <v>101311</v>
      </c>
      <c r="O136" s="16">
        <f t="shared" si="347"/>
        <v>60000</v>
      </c>
      <c r="P136" s="16">
        <f t="shared" si="347"/>
        <v>9907631</v>
      </c>
      <c r="Q136" s="16">
        <f t="shared" si="347"/>
        <v>291511</v>
      </c>
      <c r="R136" s="16">
        <f t="shared" si="347"/>
        <v>451837</v>
      </c>
      <c r="S136" s="13">
        <f t="shared" si="347"/>
        <v>56.114799999999988</v>
      </c>
      <c r="T136" s="13">
        <f t="shared" si="347"/>
        <v>48.481999999999999</v>
      </c>
      <c r="U136" s="17">
        <f t="shared" si="347"/>
        <v>7.6328000000000005</v>
      </c>
      <c r="V136" s="38">
        <f t="shared" si="347"/>
        <v>0</v>
      </c>
      <c r="W136" s="26">
        <f t="shared" si="347"/>
        <v>0</v>
      </c>
      <c r="X136" s="26">
        <f t="shared" si="347"/>
        <v>0</v>
      </c>
      <c r="Y136" s="26">
        <f t="shared" si="347"/>
        <v>0</v>
      </c>
      <c r="Z136" s="26">
        <f t="shared" si="347"/>
        <v>0</v>
      </c>
      <c r="AA136" s="26">
        <f t="shared" si="347"/>
        <v>0</v>
      </c>
      <c r="AB136" s="26">
        <f t="shared" si="347"/>
        <v>0</v>
      </c>
      <c r="AC136" s="26">
        <f t="shared" si="347"/>
        <v>0</v>
      </c>
      <c r="AD136" s="26">
        <f t="shared" si="347"/>
        <v>0</v>
      </c>
      <c r="AE136" s="26">
        <f t="shared" si="347"/>
        <v>0</v>
      </c>
      <c r="AF136" s="26">
        <f t="shared" si="347"/>
        <v>0</v>
      </c>
      <c r="AG136" s="26">
        <f t="shared" si="347"/>
        <v>0</v>
      </c>
      <c r="AH136" s="26">
        <f t="shared" si="347"/>
        <v>0</v>
      </c>
      <c r="AI136" s="26">
        <f t="shared" si="347"/>
        <v>0</v>
      </c>
      <c r="AJ136" s="26">
        <f t="shared" si="347"/>
        <v>0</v>
      </c>
      <c r="AK136" s="26">
        <f t="shared" si="347"/>
        <v>0</v>
      </c>
      <c r="AL136" s="26">
        <f t="shared" si="347"/>
        <v>0</v>
      </c>
      <c r="AM136" s="26">
        <f t="shared" si="347"/>
        <v>0</v>
      </c>
      <c r="AN136" s="26">
        <f t="shared" si="347"/>
        <v>0</v>
      </c>
      <c r="AO136" s="26">
        <f t="shared" ref="AO136:BT136" si="348">SUMIF($F$12:$F$144,"=3117",AO$12:AO$144)</f>
        <v>0</v>
      </c>
      <c r="AP136" s="26">
        <f t="shared" si="348"/>
        <v>0</v>
      </c>
      <c r="AQ136" s="26">
        <f t="shared" si="348"/>
        <v>0</v>
      </c>
      <c r="AR136" s="26">
        <f t="shared" si="348"/>
        <v>0</v>
      </c>
      <c r="AS136" s="26">
        <f t="shared" si="348"/>
        <v>0</v>
      </c>
      <c r="AT136" s="26">
        <f t="shared" si="348"/>
        <v>0</v>
      </c>
      <c r="AU136" s="26">
        <f t="shared" si="348"/>
        <v>0</v>
      </c>
      <c r="AV136" s="26">
        <f t="shared" si="348"/>
        <v>0</v>
      </c>
      <c r="AW136" s="26">
        <f t="shared" si="348"/>
        <v>0</v>
      </c>
      <c r="AX136" s="27">
        <f t="shared" si="348"/>
        <v>0</v>
      </c>
      <c r="AY136" s="27">
        <f t="shared" si="348"/>
        <v>0</v>
      </c>
      <c r="AZ136" s="27">
        <f t="shared" si="348"/>
        <v>0</v>
      </c>
      <c r="BA136" s="27">
        <f t="shared" si="348"/>
        <v>0</v>
      </c>
      <c r="BB136" s="27">
        <f t="shared" si="348"/>
        <v>0</v>
      </c>
      <c r="BC136" s="27">
        <f t="shared" si="348"/>
        <v>0</v>
      </c>
      <c r="BD136" s="27">
        <f t="shared" si="348"/>
        <v>0</v>
      </c>
      <c r="BE136" s="27">
        <f t="shared" si="348"/>
        <v>0</v>
      </c>
      <c r="BF136" s="27">
        <f t="shared" si="348"/>
        <v>0</v>
      </c>
      <c r="BG136" s="27">
        <f t="shared" si="348"/>
        <v>0</v>
      </c>
      <c r="BH136" s="426">
        <f t="shared" si="348"/>
        <v>0</v>
      </c>
      <c r="BI136" s="25">
        <f t="shared" si="348"/>
        <v>39963494</v>
      </c>
      <c r="BJ136" s="26">
        <f t="shared" si="348"/>
        <v>29151204</v>
      </c>
      <c r="BK136" s="26">
        <f t="shared" si="348"/>
        <v>26401318</v>
      </c>
      <c r="BL136" s="26">
        <f t="shared" si="348"/>
        <v>2749886</v>
      </c>
      <c r="BM136" s="26">
        <f t="shared" si="348"/>
        <v>161311</v>
      </c>
      <c r="BN136" s="26">
        <f t="shared" si="348"/>
        <v>101311</v>
      </c>
      <c r="BO136" s="26">
        <f t="shared" si="348"/>
        <v>60000</v>
      </c>
      <c r="BP136" s="26">
        <f t="shared" si="348"/>
        <v>9907631</v>
      </c>
      <c r="BQ136" s="26">
        <f t="shared" si="348"/>
        <v>291511</v>
      </c>
      <c r="BR136" s="26">
        <f t="shared" si="348"/>
        <v>451837</v>
      </c>
      <c r="BS136" s="27">
        <f t="shared" si="348"/>
        <v>56.114799999999988</v>
      </c>
      <c r="BT136" s="27">
        <f t="shared" si="348"/>
        <v>48.481999999999999</v>
      </c>
      <c r="BU136" s="426">
        <f t="shared" ref="BU136:CA136" si="349">SUMIF($F$12:$F$144,"=3117",BU$12:BU$144)</f>
        <v>7.6328000000000005</v>
      </c>
      <c r="BV136" s="25">
        <f t="shared" si="349"/>
        <v>152054</v>
      </c>
      <c r="BW136" s="26">
        <f t="shared" si="349"/>
        <v>112800</v>
      </c>
      <c r="BX136" s="26">
        <f t="shared" si="349"/>
        <v>0</v>
      </c>
      <c r="BY136" s="26">
        <f t="shared" si="349"/>
        <v>38126</v>
      </c>
      <c r="BZ136" s="26">
        <f t="shared" si="349"/>
        <v>1128</v>
      </c>
      <c r="CA136" s="239">
        <f t="shared" si="349"/>
        <v>0.2</v>
      </c>
    </row>
    <row r="137" spans="1:79" customFormat="1" x14ac:dyDescent="0.25">
      <c r="D137" s="23"/>
      <c r="E137" s="24"/>
      <c r="F137" s="90"/>
      <c r="G137" s="41"/>
      <c r="H137" s="2">
        <v>3122</v>
      </c>
      <c r="I137" s="167">
        <f t="shared" ref="I137:AN137" si="350">SUMIF($F$12:$F$144,"=3122",I$12:I$144)</f>
        <v>0</v>
      </c>
      <c r="J137" s="16">
        <f t="shared" si="350"/>
        <v>0</v>
      </c>
      <c r="K137" s="16">
        <f t="shared" si="350"/>
        <v>0</v>
      </c>
      <c r="L137" s="16">
        <f t="shared" si="350"/>
        <v>0</v>
      </c>
      <c r="M137" s="16">
        <f t="shared" si="350"/>
        <v>0</v>
      </c>
      <c r="N137" s="16">
        <f t="shared" si="350"/>
        <v>0</v>
      </c>
      <c r="O137" s="16">
        <f t="shared" si="350"/>
        <v>0</v>
      </c>
      <c r="P137" s="16">
        <f t="shared" si="350"/>
        <v>0</v>
      </c>
      <c r="Q137" s="16">
        <f t="shared" si="350"/>
        <v>0</v>
      </c>
      <c r="R137" s="16">
        <f t="shared" si="350"/>
        <v>0</v>
      </c>
      <c r="S137" s="13">
        <f t="shared" si="350"/>
        <v>0</v>
      </c>
      <c r="T137" s="13">
        <f t="shared" si="350"/>
        <v>0</v>
      </c>
      <c r="U137" s="17">
        <f t="shared" si="350"/>
        <v>0</v>
      </c>
      <c r="V137" s="38">
        <f t="shared" si="350"/>
        <v>0</v>
      </c>
      <c r="W137" s="26">
        <f t="shared" si="350"/>
        <v>0</v>
      </c>
      <c r="X137" s="26">
        <f t="shared" si="350"/>
        <v>0</v>
      </c>
      <c r="Y137" s="26">
        <f t="shared" si="350"/>
        <v>0</v>
      </c>
      <c r="Z137" s="26">
        <f t="shared" si="350"/>
        <v>0</v>
      </c>
      <c r="AA137" s="26">
        <f t="shared" si="350"/>
        <v>0</v>
      </c>
      <c r="AB137" s="26">
        <f t="shared" si="350"/>
        <v>0</v>
      </c>
      <c r="AC137" s="26">
        <f t="shared" si="350"/>
        <v>0</v>
      </c>
      <c r="AD137" s="26">
        <f t="shared" si="350"/>
        <v>0</v>
      </c>
      <c r="AE137" s="26">
        <f t="shared" si="350"/>
        <v>0</v>
      </c>
      <c r="AF137" s="26">
        <f t="shared" si="350"/>
        <v>0</v>
      </c>
      <c r="AG137" s="26">
        <f t="shared" si="350"/>
        <v>0</v>
      </c>
      <c r="AH137" s="26">
        <f t="shared" si="350"/>
        <v>0</v>
      </c>
      <c r="AI137" s="26">
        <f t="shared" si="350"/>
        <v>0</v>
      </c>
      <c r="AJ137" s="26">
        <f t="shared" si="350"/>
        <v>0</v>
      </c>
      <c r="AK137" s="26">
        <f t="shared" si="350"/>
        <v>0</v>
      </c>
      <c r="AL137" s="26">
        <f t="shared" si="350"/>
        <v>0</v>
      </c>
      <c r="AM137" s="26">
        <f t="shared" si="350"/>
        <v>0</v>
      </c>
      <c r="AN137" s="26">
        <f t="shared" si="350"/>
        <v>0</v>
      </c>
      <c r="AO137" s="26">
        <f t="shared" ref="AO137:BT137" si="351">SUMIF($F$12:$F$144,"=3122",AO$12:AO$144)</f>
        <v>0</v>
      </c>
      <c r="AP137" s="26">
        <f t="shared" si="351"/>
        <v>0</v>
      </c>
      <c r="AQ137" s="26">
        <f t="shared" si="351"/>
        <v>0</v>
      </c>
      <c r="AR137" s="26">
        <f t="shared" si="351"/>
        <v>0</v>
      </c>
      <c r="AS137" s="26">
        <f t="shared" si="351"/>
        <v>0</v>
      </c>
      <c r="AT137" s="26">
        <f t="shared" si="351"/>
        <v>0</v>
      </c>
      <c r="AU137" s="26">
        <f t="shared" si="351"/>
        <v>0</v>
      </c>
      <c r="AV137" s="26">
        <f t="shared" si="351"/>
        <v>0</v>
      </c>
      <c r="AW137" s="26">
        <f t="shared" si="351"/>
        <v>0</v>
      </c>
      <c r="AX137" s="27">
        <f t="shared" si="351"/>
        <v>0</v>
      </c>
      <c r="AY137" s="27">
        <f t="shared" si="351"/>
        <v>0</v>
      </c>
      <c r="AZ137" s="27">
        <f t="shared" si="351"/>
        <v>0</v>
      </c>
      <c r="BA137" s="27">
        <f t="shared" si="351"/>
        <v>0</v>
      </c>
      <c r="BB137" s="27">
        <f t="shared" si="351"/>
        <v>0</v>
      </c>
      <c r="BC137" s="27">
        <f t="shared" si="351"/>
        <v>0</v>
      </c>
      <c r="BD137" s="27">
        <f t="shared" si="351"/>
        <v>0</v>
      </c>
      <c r="BE137" s="27">
        <f t="shared" si="351"/>
        <v>0</v>
      </c>
      <c r="BF137" s="27">
        <f t="shared" si="351"/>
        <v>0</v>
      </c>
      <c r="BG137" s="27">
        <f t="shared" si="351"/>
        <v>0</v>
      </c>
      <c r="BH137" s="426">
        <f t="shared" si="351"/>
        <v>0</v>
      </c>
      <c r="BI137" s="25">
        <f t="shared" si="351"/>
        <v>0</v>
      </c>
      <c r="BJ137" s="26">
        <f t="shared" si="351"/>
        <v>0</v>
      </c>
      <c r="BK137" s="26">
        <f t="shared" si="351"/>
        <v>0</v>
      </c>
      <c r="BL137" s="26">
        <f t="shared" si="351"/>
        <v>0</v>
      </c>
      <c r="BM137" s="26">
        <f t="shared" si="351"/>
        <v>0</v>
      </c>
      <c r="BN137" s="26">
        <f t="shared" si="351"/>
        <v>0</v>
      </c>
      <c r="BO137" s="26">
        <f t="shared" si="351"/>
        <v>0</v>
      </c>
      <c r="BP137" s="26">
        <f t="shared" si="351"/>
        <v>0</v>
      </c>
      <c r="BQ137" s="26">
        <f t="shared" si="351"/>
        <v>0</v>
      </c>
      <c r="BR137" s="26">
        <f t="shared" si="351"/>
        <v>0</v>
      </c>
      <c r="BS137" s="27">
        <f t="shared" si="351"/>
        <v>0</v>
      </c>
      <c r="BT137" s="27">
        <f t="shared" si="351"/>
        <v>0</v>
      </c>
      <c r="BU137" s="426">
        <f t="shared" ref="BU137:CA137" si="352">SUMIF($F$12:$F$144,"=3122",BU$12:BU$144)</f>
        <v>0</v>
      </c>
      <c r="BV137" s="25">
        <f t="shared" si="352"/>
        <v>0</v>
      </c>
      <c r="BW137" s="26">
        <f t="shared" si="352"/>
        <v>0</v>
      </c>
      <c r="BX137" s="26">
        <f t="shared" si="352"/>
        <v>0</v>
      </c>
      <c r="BY137" s="26">
        <f t="shared" si="352"/>
        <v>0</v>
      </c>
      <c r="BZ137" s="26">
        <f t="shared" si="352"/>
        <v>0</v>
      </c>
      <c r="CA137" s="239">
        <f t="shared" si="352"/>
        <v>0</v>
      </c>
    </row>
    <row r="138" spans="1:79" customFormat="1" ht="12.75" x14ac:dyDescent="0.2">
      <c r="C138" s="8"/>
      <c r="D138" s="23"/>
      <c r="E138" s="24"/>
      <c r="F138" s="23"/>
      <c r="G138" s="41"/>
      <c r="H138" s="2">
        <v>3124</v>
      </c>
      <c r="I138" s="167">
        <f t="shared" ref="I138:AN138" si="353">SUMIF($F$12:$F$144,"=3124",I$12:I$144)</f>
        <v>0</v>
      </c>
      <c r="J138" s="16">
        <f t="shared" si="353"/>
        <v>0</v>
      </c>
      <c r="K138" s="16">
        <f t="shared" si="353"/>
        <v>0</v>
      </c>
      <c r="L138" s="16">
        <f t="shared" si="353"/>
        <v>0</v>
      </c>
      <c r="M138" s="16">
        <f t="shared" si="353"/>
        <v>0</v>
      </c>
      <c r="N138" s="16">
        <f t="shared" si="353"/>
        <v>0</v>
      </c>
      <c r="O138" s="16">
        <f t="shared" si="353"/>
        <v>0</v>
      </c>
      <c r="P138" s="16">
        <f t="shared" si="353"/>
        <v>0</v>
      </c>
      <c r="Q138" s="16">
        <f t="shared" si="353"/>
        <v>0</v>
      </c>
      <c r="R138" s="16">
        <f t="shared" si="353"/>
        <v>0</v>
      </c>
      <c r="S138" s="13">
        <f t="shared" si="353"/>
        <v>0</v>
      </c>
      <c r="T138" s="13">
        <f t="shared" si="353"/>
        <v>0</v>
      </c>
      <c r="U138" s="17">
        <f t="shared" si="353"/>
        <v>0</v>
      </c>
      <c r="V138" s="38">
        <f t="shared" si="353"/>
        <v>0</v>
      </c>
      <c r="W138" s="26">
        <f t="shared" si="353"/>
        <v>0</v>
      </c>
      <c r="X138" s="26">
        <f t="shared" si="353"/>
        <v>0</v>
      </c>
      <c r="Y138" s="26">
        <f t="shared" si="353"/>
        <v>0</v>
      </c>
      <c r="Z138" s="26">
        <f t="shared" si="353"/>
        <v>0</v>
      </c>
      <c r="AA138" s="26">
        <f t="shared" si="353"/>
        <v>0</v>
      </c>
      <c r="AB138" s="26">
        <f t="shared" si="353"/>
        <v>0</v>
      </c>
      <c r="AC138" s="26">
        <f t="shared" si="353"/>
        <v>0</v>
      </c>
      <c r="AD138" s="26">
        <f t="shared" si="353"/>
        <v>0</v>
      </c>
      <c r="AE138" s="26">
        <f t="shared" si="353"/>
        <v>0</v>
      </c>
      <c r="AF138" s="26">
        <f t="shared" si="353"/>
        <v>0</v>
      </c>
      <c r="AG138" s="26">
        <f t="shared" si="353"/>
        <v>0</v>
      </c>
      <c r="AH138" s="26">
        <f t="shared" si="353"/>
        <v>0</v>
      </c>
      <c r="AI138" s="26">
        <f t="shared" si="353"/>
        <v>0</v>
      </c>
      <c r="AJ138" s="26">
        <f t="shared" si="353"/>
        <v>0</v>
      </c>
      <c r="AK138" s="26">
        <f t="shared" si="353"/>
        <v>0</v>
      </c>
      <c r="AL138" s="26">
        <f t="shared" si="353"/>
        <v>0</v>
      </c>
      <c r="AM138" s="26">
        <f t="shared" si="353"/>
        <v>0</v>
      </c>
      <c r="AN138" s="26">
        <f t="shared" si="353"/>
        <v>0</v>
      </c>
      <c r="AO138" s="26">
        <f t="shared" ref="AO138:BT138" si="354">SUMIF($F$12:$F$144,"=3124",AO$12:AO$144)</f>
        <v>0</v>
      </c>
      <c r="AP138" s="26">
        <f t="shared" si="354"/>
        <v>0</v>
      </c>
      <c r="AQ138" s="26">
        <f t="shared" si="354"/>
        <v>0</v>
      </c>
      <c r="AR138" s="26">
        <f t="shared" si="354"/>
        <v>0</v>
      </c>
      <c r="AS138" s="26">
        <f t="shared" si="354"/>
        <v>0</v>
      </c>
      <c r="AT138" s="26">
        <f t="shared" si="354"/>
        <v>0</v>
      </c>
      <c r="AU138" s="26">
        <f t="shared" si="354"/>
        <v>0</v>
      </c>
      <c r="AV138" s="26">
        <f t="shared" si="354"/>
        <v>0</v>
      </c>
      <c r="AW138" s="26">
        <f t="shared" si="354"/>
        <v>0</v>
      </c>
      <c r="AX138" s="27">
        <f t="shared" si="354"/>
        <v>0</v>
      </c>
      <c r="AY138" s="27">
        <f t="shared" si="354"/>
        <v>0</v>
      </c>
      <c r="AZ138" s="27">
        <f t="shared" si="354"/>
        <v>0</v>
      </c>
      <c r="BA138" s="27">
        <f t="shared" si="354"/>
        <v>0</v>
      </c>
      <c r="BB138" s="27">
        <f t="shared" si="354"/>
        <v>0</v>
      </c>
      <c r="BC138" s="27">
        <f t="shared" si="354"/>
        <v>0</v>
      </c>
      <c r="BD138" s="27">
        <f t="shared" si="354"/>
        <v>0</v>
      </c>
      <c r="BE138" s="27">
        <f t="shared" si="354"/>
        <v>0</v>
      </c>
      <c r="BF138" s="27">
        <f t="shared" si="354"/>
        <v>0</v>
      </c>
      <c r="BG138" s="27">
        <f t="shared" si="354"/>
        <v>0</v>
      </c>
      <c r="BH138" s="426">
        <f t="shared" si="354"/>
        <v>0</v>
      </c>
      <c r="BI138" s="25">
        <f t="shared" si="354"/>
        <v>0</v>
      </c>
      <c r="BJ138" s="26">
        <f t="shared" si="354"/>
        <v>0</v>
      </c>
      <c r="BK138" s="26">
        <f t="shared" si="354"/>
        <v>0</v>
      </c>
      <c r="BL138" s="26">
        <f t="shared" si="354"/>
        <v>0</v>
      </c>
      <c r="BM138" s="26">
        <f t="shared" si="354"/>
        <v>0</v>
      </c>
      <c r="BN138" s="26">
        <f t="shared" si="354"/>
        <v>0</v>
      </c>
      <c r="BO138" s="26">
        <f t="shared" si="354"/>
        <v>0</v>
      </c>
      <c r="BP138" s="26">
        <f t="shared" si="354"/>
        <v>0</v>
      </c>
      <c r="BQ138" s="26">
        <f t="shared" si="354"/>
        <v>0</v>
      </c>
      <c r="BR138" s="26">
        <f t="shared" si="354"/>
        <v>0</v>
      </c>
      <c r="BS138" s="27">
        <f t="shared" si="354"/>
        <v>0</v>
      </c>
      <c r="BT138" s="27">
        <f t="shared" si="354"/>
        <v>0</v>
      </c>
      <c r="BU138" s="426">
        <f t="shared" ref="BU138:CA138" si="355">SUMIF($F$12:$F$144,"=3124",BU$12:BU$144)</f>
        <v>0</v>
      </c>
      <c r="BV138" s="25">
        <f t="shared" si="355"/>
        <v>0</v>
      </c>
      <c r="BW138" s="26">
        <f t="shared" si="355"/>
        <v>0</v>
      </c>
      <c r="BX138" s="26">
        <f t="shared" si="355"/>
        <v>0</v>
      </c>
      <c r="BY138" s="26">
        <f t="shared" si="355"/>
        <v>0</v>
      </c>
      <c r="BZ138" s="26">
        <f t="shared" si="355"/>
        <v>0</v>
      </c>
      <c r="CA138" s="239">
        <f t="shared" si="355"/>
        <v>0</v>
      </c>
    </row>
    <row r="139" spans="1:79" customFormat="1" ht="12.75" x14ac:dyDescent="0.2">
      <c r="D139" s="23"/>
      <c r="E139" s="24"/>
      <c r="F139" s="24"/>
      <c r="G139" s="41"/>
      <c r="H139" s="2">
        <v>3141</v>
      </c>
      <c r="I139" s="167">
        <f t="shared" ref="I139:AN139" si="356">SUMIF($F$12:$F$144,"=3141",I$12:I$144)</f>
        <v>17195292</v>
      </c>
      <c r="J139" s="16">
        <f t="shared" si="356"/>
        <v>12434380</v>
      </c>
      <c r="K139" s="16">
        <f t="shared" si="356"/>
        <v>0</v>
      </c>
      <c r="L139" s="16">
        <f t="shared" si="356"/>
        <v>12434380</v>
      </c>
      <c r="M139" s="16">
        <f t="shared" si="356"/>
        <v>249000</v>
      </c>
      <c r="N139" s="16">
        <f t="shared" si="356"/>
        <v>0</v>
      </c>
      <c r="O139" s="16">
        <f t="shared" si="356"/>
        <v>249000</v>
      </c>
      <c r="P139" s="16">
        <f t="shared" si="356"/>
        <v>4286983</v>
      </c>
      <c r="Q139" s="16">
        <f t="shared" si="356"/>
        <v>124342</v>
      </c>
      <c r="R139" s="16">
        <f t="shared" si="356"/>
        <v>100587</v>
      </c>
      <c r="S139" s="13">
        <f t="shared" si="356"/>
        <v>37.693399999999997</v>
      </c>
      <c r="T139" s="13">
        <f t="shared" si="356"/>
        <v>0</v>
      </c>
      <c r="U139" s="17">
        <f t="shared" si="356"/>
        <v>37.693399999999997</v>
      </c>
      <c r="V139" s="38">
        <f t="shared" si="356"/>
        <v>0</v>
      </c>
      <c r="W139" s="26">
        <f t="shared" si="356"/>
        <v>0</v>
      </c>
      <c r="X139" s="26">
        <f t="shared" si="356"/>
        <v>0</v>
      </c>
      <c r="Y139" s="26">
        <f t="shared" si="356"/>
        <v>0</v>
      </c>
      <c r="Z139" s="26">
        <f t="shared" si="356"/>
        <v>0</v>
      </c>
      <c r="AA139" s="26">
        <f t="shared" si="356"/>
        <v>6175706</v>
      </c>
      <c r="AB139" s="26">
        <f t="shared" si="356"/>
        <v>0</v>
      </c>
      <c r="AC139" s="26">
        <f t="shared" si="356"/>
        <v>170075</v>
      </c>
      <c r="AD139" s="26">
        <f t="shared" si="356"/>
        <v>0</v>
      </c>
      <c r="AE139" s="26">
        <f t="shared" si="356"/>
        <v>6345781</v>
      </c>
      <c r="AF139" s="26">
        <f t="shared" si="356"/>
        <v>6345781</v>
      </c>
      <c r="AG139" s="26">
        <f t="shared" si="356"/>
        <v>0</v>
      </c>
      <c r="AH139" s="26">
        <f t="shared" si="356"/>
        <v>0</v>
      </c>
      <c r="AI139" s="26">
        <f t="shared" si="356"/>
        <v>0</v>
      </c>
      <c r="AJ139" s="26">
        <f t="shared" si="356"/>
        <v>0</v>
      </c>
      <c r="AK139" s="26">
        <f t="shared" si="356"/>
        <v>0</v>
      </c>
      <c r="AL139" s="26">
        <f t="shared" si="356"/>
        <v>0</v>
      </c>
      <c r="AM139" s="26">
        <f t="shared" si="356"/>
        <v>0</v>
      </c>
      <c r="AN139" s="26">
        <f t="shared" si="356"/>
        <v>0</v>
      </c>
      <c r="AO139" s="26">
        <f t="shared" ref="AO139:BT139" si="357">SUMIF($F$12:$F$144,"=3141",AO$12:AO$144)</f>
        <v>0</v>
      </c>
      <c r="AP139" s="26">
        <f t="shared" si="357"/>
        <v>6345781</v>
      </c>
      <c r="AQ139" s="26">
        <f t="shared" si="357"/>
        <v>6345781</v>
      </c>
      <c r="AR139" s="26">
        <f t="shared" si="357"/>
        <v>2144874</v>
      </c>
      <c r="AS139" s="26">
        <f t="shared" si="357"/>
        <v>63459</v>
      </c>
      <c r="AT139" s="26">
        <f t="shared" si="357"/>
        <v>0</v>
      </c>
      <c r="AU139" s="26">
        <f t="shared" si="357"/>
        <v>48585</v>
      </c>
      <c r="AV139" s="26">
        <f t="shared" si="357"/>
        <v>48585</v>
      </c>
      <c r="AW139" s="26">
        <f t="shared" si="357"/>
        <v>8602699</v>
      </c>
      <c r="AX139" s="27">
        <f t="shared" si="357"/>
        <v>0</v>
      </c>
      <c r="AY139" s="27">
        <f t="shared" si="357"/>
        <v>0</v>
      </c>
      <c r="AZ139" s="27">
        <f t="shared" si="357"/>
        <v>0</v>
      </c>
      <c r="BA139" s="27">
        <f t="shared" si="357"/>
        <v>0</v>
      </c>
      <c r="BB139" s="27">
        <f t="shared" si="357"/>
        <v>19</v>
      </c>
      <c r="BC139" s="27">
        <f t="shared" si="357"/>
        <v>0</v>
      </c>
      <c r="BD139" s="27">
        <f t="shared" si="357"/>
        <v>0</v>
      </c>
      <c r="BE139" s="27">
        <f t="shared" si="357"/>
        <v>0</v>
      </c>
      <c r="BF139" s="27">
        <f t="shared" si="357"/>
        <v>0</v>
      </c>
      <c r="BG139" s="27">
        <f t="shared" si="357"/>
        <v>19</v>
      </c>
      <c r="BH139" s="426">
        <f t="shared" si="357"/>
        <v>19</v>
      </c>
      <c r="BI139" s="25">
        <f t="shared" si="357"/>
        <v>25797991</v>
      </c>
      <c r="BJ139" s="26">
        <f t="shared" si="357"/>
        <v>18780161</v>
      </c>
      <c r="BK139" s="26">
        <f t="shared" si="357"/>
        <v>0</v>
      </c>
      <c r="BL139" s="26">
        <f t="shared" si="357"/>
        <v>18780161</v>
      </c>
      <c r="BM139" s="26">
        <f t="shared" si="357"/>
        <v>249000</v>
      </c>
      <c r="BN139" s="26">
        <f t="shared" si="357"/>
        <v>0</v>
      </c>
      <c r="BO139" s="26">
        <f t="shared" si="357"/>
        <v>249000</v>
      </c>
      <c r="BP139" s="26">
        <f t="shared" si="357"/>
        <v>6431857</v>
      </c>
      <c r="BQ139" s="26">
        <f t="shared" si="357"/>
        <v>187801</v>
      </c>
      <c r="BR139" s="26">
        <f t="shared" si="357"/>
        <v>149172</v>
      </c>
      <c r="BS139" s="27">
        <f t="shared" si="357"/>
        <v>56.693399999999997</v>
      </c>
      <c r="BT139" s="27">
        <f t="shared" si="357"/>
        <v>0</v>
      </c>
      <c r="BU139" s="426">
        <f t="shared" ref="BU139:CA139" si="358">SUMIF($F$12:$F$144,"=3141",BU$12:BU$144)</f>
        <v>56.693399999999997</v>
      </c>
      <c r="BV139" s="25">
        <f t="shared" si="358"/>
        <v>0</v>
      </c>
      <c r="BW139" s="26">
        <f t="shared" si="358"/>
        <v>0</v>
      </c>
      <c r="BX139" s="26">
        <f t="shared" si="358"/>
        <v>0</v>
      </c>
      <c r="BY139" s="26">
        <f t="shared" si="358"/>
        <v>0</v>
      </c>
      <c r="BZ139" s="26">
        <f t="shared" si="358"/>
        <v>0</v>
      </c>
      <c r="CA139" s="239">
        <f t="shared" si="358"/>
        <v>0</v>
      </c>
    </row>
    <row r="140" spans="1:79" customFormat="1" ht="12.75" x14ac:dyDescent="0.2">
      <c r="C140" s="8"/>
      <c r="D140" s="23"/>
      <c r="E140" s="24"/>
      <c r="F140" s="23"/>
      <c r="G140" s="41"/>
      <c r="H140" s="2">
        <v>3143</v>
      </c>
      <c r="I140" s="167">
        <f t="shared" ref="I140:AN140" si="359">SUMIF($F$12:$F$144,"=3143",I$12:I$144)</f>
        <v>17710868</v>
      </c>
      <c r="J140" s="16">
        <f t="shared" si="359"/>
        <v>12977790</v>
      </c>
      <c r="K140" s="16">
        <f t="shared" si="359"/>
        <v>12700194</v>
      </c>
      <c r="L140" s="16">
        <f t="shared" si="359"/>
        <v>277596</v>
      </c>
      <c r="M140" s="16">
        <f t="shared" si="359"/>
        <v>152000</v>
      </c>
      <c r="N140" s="16">
        <f t="shared" si="359"/>
        <v>152000</v>
      </c>
      <c r="O140" s="16">
        <f t="shared" si="359"/>
        <v>0</v>
      </c>
      <c r="P140" s="16">
        <f t="shared" si="359"/>
        <v>4437868</v>
      </c>
      <c r="Q140" s="16">
        <f t="shared" si="359"/>
        <v>129782</v>
      </c>
      <c r="R140" s="16">
        <f t="shared" si="359"/>
        <v>13428</v>
      </c>
      <c r="S140" s="13">
        <f t="shared" si="359"/>
        <v>27.27020000000001</v>
      </c>
      <c r="T140" s="13">
        <f t="shared" si="359"/>
        <v>26.214500000000005</v>
      </c>
      <c r="U140" s="17">
        <f t="shared" si="359"/>
        <v>1.0557000000000001</v>
      </c>
      <c r="V140" s="38">
        <f t="shared" si="359"/>
        <v>0</v>
      </c>
      <c r="W140" s="26">
        <f t="shared" si="359"/>
        <v>0</v>
      </c>
      <c r="X140" s="26">
        <f t="shared" si="359"/>
        <v>0</v>
      </c>
      <c r="Y140" s="26">
        <f t="shared" si="359"/>
        <v>0</v>
      </c>
      <c r="Z140" s="26">
        <f t="shared" si="359"/>
        <v>0</v>
      </c>
      <c r="AA140" s="26">
        <f t="shared" si="359"/>
        <v>138754</v>
      </c>
      <c r="AB140" s="26">
        <f t="shared" si="359"/>
        <v>0</v>
      </c>
      <c r="AC140" s="26">
        <f t="shared" si="359"/>
        <v>0</v>
      </c>
      <c r="AD140" s="26">
        <f t="shared" si="359"/>
        <v>0</v>
      </c>
      <c r="AE140" s="26">
        <f t="shared" si="359"/>
        <v>138754</v>
      </c>
      <c r="AF140" s="26">
        <f t="shared" si="359"/>
        <v>138754</v>
      </c>
      <c r="AG140" s="26">
        <f t="shared" si="359"/>
        <v>0</v>
      </c>
      <c r="AH140" s="26">
        <f t="shared" si="359"/>
        <v>0</v>
      </c>
      <c r="AI140" s="26">
        <f t="shared" si="359"/>
        <v>0</v>
      </c>
      <c r="AJ140" s="26">
        <f t="shared" si="359"/>
        <v>0</v>
      </c>
      <c r="AK140" s="26">
        <f t="shared" si="359"/>
        <v>0</v>
      </c>
      <c r="AL140" s="26">
        <f t="shared" si="359"/>
        <v>0</v>
      </c>
      <c r="AM140" s="26">
        <f t="shared" si="359"/>
        <v>0</v>
      </c>
      <c r="AN140" s="26">
        <f t="shared" si="359"/>
        <v>0</v>
      </c>
      <c r="AO140" s="26">
        <f t="shared" ref="AO140:BT140" si="360">SUMIF($F$12:$F$144,"=3143",AO$12:AO$144)</f>
        <v>0</v>
      </c>
      <c r="AP140" s="26">
        <f t="shared" si="360"/>
        <v>138754</v>
      </c>
      <c r="AQ140" s="26">
        <f t="shared" si="360"/>
        <v>138754</v>
      </c>
      <c r="AR140" s="26">
        <f t="shared" si="360"/>
        <v>46900</v>
      </c>
      <c r="AS140" s="26">
        <f t="shared" si="360"/>
        <v>1387</v>
      </c>
      <c r="AT140" s="26">
        <f t="shared" si="360"/>
        <v>0</v>
      </c>
      <c r="AU140" s="26">
        <f t="shared" si="360"/>
        <v>6714</v>
      </c>
      <c r="AV140" s="26">
        <f t="shared" si="360"/>
        <v>6714</v>
      </c>
      <c r="AW140" s="26">
        <f t="shared" si="360"/>
        <v>193755</v>
      </c>
      <c r="AX140" s="27">
        <f t="shared" si="360"/>
        <v>0</v>
      </c>
      <c r="AY140" s="27">
        <f t="shared" si="360"/>
        <v>0</v>
      </c>
      <c r="AZ140" s="27">
        <f t="shared" si="360"/>
        <v>0</v>
      </c>
      <c r="BA140" s="27">
        <f t="shared" si="360"/>
        <v>0</v>
      </c>
      <c r="BB140" s="27">
        <f t="shared" si="360"/>
        <v>0.53</v>
      </c>
      <c r="BC140" s="27">
        <f t="shared" si="360"/>
        <v>0</v>
      </c>
      <c r="BD140" s="27">
        <f t="shared" si="360"/>
        <v>0</v>
      </c>
      <c r="BE140" s="27">
        <f t="shared" si="360"/>
        <v>0</v>
      </c>
      <c r="BF140" s="27">
        <f t="shared" si="360"/>
        <v>0</v>
      </c>
      <c r="BG140" s="27">
        <f t="shared" si="360"/>
        <v>0.53</v>
      </c>
      <c r="BH140" s="426">
        <f t="shared" si="360"/>
        <v>0.53</v>
      </c>
      <c r="BI140" s="25">
        <f t="shared" si="360"/>
        <v>17904623</v>
      </c>
      <c r="BJ140" s="26">
        <f t="shared" si="360"/>
        <v>13116544</v>
      </c>
      <c r="BK140" s="26">
        <f t="shared" si="360"/>
        <v>12700194</v>
      </c>
      <c r="BL140" s="26">
        <f t="shared" si="360"/>
        <v>416350</v>
      </c>
      <c r="BM140" s="26">
        <f t="shared" si="360"/>
        <v>152000</v>
      </c>
      <c r="BN140" s="26">
        <f t="shared" si="360"/>
        <v>152000</v>
      </c>
      <c r="BO140" s="26">
        <f t="shared" si="360"/>
        <v>0</v>
      </c>
      <c r="BP140" s="26">
        <f t="shared" si="360"/>
        <v>4484768</v>
      </c>
      <c r="BQ140" s="26">
        <f t="shared" si="360"/>
        <v>131169</v>
      </c>
      <c r="BR140" s="26">
        <f t="shared" si="360"/>
        <v>20142</v>
      </c>
      <c r="BS140" s="27">
        <f t="shared" si="360"/>
        <v>27.800199999999997</v>
      </c>
      <c r="BT140" s="27">
        <f t="shared" si="360"/>
        <v>26.214500000000005</v>
      </c>
      <c r="BU140" s="426">
        <f t="shared" ref="BU140:CA140" si="361">SUMIF($F$12:$F$144,"=3143",BU$12:BU$144)</f>
        <v>1.5857000000000001</v>
      </c>
      <c r="BV140" s="25">
        <f t="shared" si="361"/>
        <v>0</v>
      </c>
      <c r="BW140" s="26">
        <f t="shared" si="361"/>
        <v>0</v>
      </c>
      <c r="BX140" s="26">
        <f t="shared" si="361"/>
        <v>0</v>
      </c>
      <c r="BY140" s="26">
        <f t="shared" si="361"/>
        <v>0</v>
      </c>
      <c r="BZ140" s="26">
        <f t="shared" si="361"/>
        <v>0</v>
      </c>
      <c r="CA140" s="239">
        <f t="shared" si="361"/>
        <v>0</v>
      </c>
    </row>
    <row r="141" spans="1:79" customFormat="1" ht="12.75" x14ac:dyDescent="0.2">
      <c r="D141" s="23"/>
      <c r="E141" s="24"/>
      <c r="F141" s="23"/>
      <c r="G141" s="41"/>
      <c r="H141" s="2">
        <v>3231</v>
      </c>
      <c r="I141" s="167">
        <f t="shared" ref="I141:AN141" si="362">SUMIF($F$12:$F$144,"=3231",I$12:I$144)</f>
        <v>14759864</v>
      </c>
      <c r="J141" s="16">
        <f t="shared" si="362"/>
        <v>10791049</v>
      </c>
      <c r="K141" s="16">
        <f t="shared" si="362"/>
        <v>10434955</v>
      </c>
      <c r="L141" s="16">
        <f t="shared" si="362"/>
        <v>356094</v>
      </c>
      <c r="M141" s="16">
        <f t="shared" si="362"/>
        <v>140000</v>
      </c>
      <c r="N141" s="16">
        <f t="shared" si="362"/>
        <v>90000</v>
      </c>
      <c r="O141" s="16">
        <f t="shared" si="362"/>
        <v>50000</v>
      </c>
      <c r="P141" s="16">
        <f t="shared" si="362"/>
        <v>3694694</v>
      </c>
      <c r="Q141" s="16">
        <f t="shared" si="362"/>
        <v>107910</v>
      </c>
      <c r="R141" s="16">
        <f t="shared" si="362"/>
        <v>26211</v>
      </c>
      <c r="S141" s="13">
        <f t="shared" si="362"/>
        <v>17.370100000000001</v>
      </c>
      <c r="T141" s="13">
        <f t="shared" si="362"/>
        <v>16.3706</v>
      </c>
      <c r="U141" s="17">
        <f t="shared" si="362"/>
        <v>0.99950000000000006</v>
      </c>
      <c r="V141" s="38">
        <f t="shared" si="362"/>
        <v>0</v>
      </c>
      <c r="W141" s="26">
        <f t="shared" si="362"/>
        <v>0</v>
      </c>
      <c r="X141" s="26">
        <f t="shared" si="362"/>
        <v>0</v>
      </c>
      <c r="Y141" s="26">
        <f t="shared" si="362"/>
        <v>0</v>
      </c>
      <c r="Z141" s="26">
        <f t="shared" si="362"/>
        <v>0</v>
      </c>
      <c r="AA141" s="26">
        <f t="shared" si="362"/>
        <v>0</v>
      </c>
      <c r="AB141" s="26">
        <f t="shared" si="362"/>
        <v>0</v>
      </c>
      <c r="AC141" s="26">
        <f t="shared" si="362"/>
        <v>0</v>
      </c>
      <c r="AD141" s="26">
        <f t="shared" si="362"/>
        <v>0</v>
      </c>
      <c r="AE141" s="26">
        <f t="shared" si="362"/>
        <v>0</v>
      </c>
      <c r="AF141" s="26">
        <f t="shared" si="362"/>
        <v>0</v>
      </c>
      <c r="AG141" s="26">
        <f t="shared" si="362"/>
        <v>0</v>
      </c>
      <c r="AH141" s="26">
        <f t="shared" si="362"/>
        <v>0</v>
      </c>
      <c r="AI141" s="26">
        <f t="shared" si="362"/>
        <v>0</v>
      </c>
      <c r="AJ141" s="26">
        <f t="shared" si="362"/>
        <v>0</v>
      </c>
      <c r="AK141" s="26">
        <f t="shared" si="362"/>
        <v>0</v>
      </c>
      <c r="AL141" s="26">
        <f t="shared" si="362"/>
        <v>0</v>
      </c>
      <c r="AM141" s="26">
        <f t="shared" si="362"/>
        <v>0</v>
      </c>
      <c r="AN141" s="26">
        <f t="shared" si="362"/>
        <v>0</v>
      </c>
      <c r="AO141" s="26">
        <f t="shared" ref="AO141:BT141" si="363">SUMIF($F$12:$F$144,"=3231",AO$12:AO$144)</f>
        <v>0</v>
      </c>
      <c r="AP141" s="26">
        <f t="shared" si="363"/>
        <v>0</v>
      </c>
      <c r="AQ141" s="26">
        <f t="shared" si="363"/>
        <v>0</v>
      </c>
      <c r="AR141" s="26">
        <f t="shared" si="363"/>
        <v>0</v>
      </c>
      <c r="AS141" s="26">
        <f t="shared" si="363"/>
        <v>0</v>
      </c>
      <c r="AT141" s="26">
        <f t="shared" si="363"/>
        <v>0</v>
      </c>
      <c r="AU141" s="26">
        <f t="shared" si="363"/>
        <v>0</v>
      </c>
      <c r="AV141" s="26">
        <f t="shared" si="363"/>
        <v>0</v>
      </c>
      <c r="AW141" s="26">
        <f t="shared" si="363"/>
        <v>0</v>
      </c>
      <c r="AX141" s="27">
        <f t="shared" si="363"/>
        <v>0</v>
      </c>
      <c r="AY141" s="27">
        <f t="shared" si="363"/>
        <v>0</v>
      </c>
      <c r="AZ141" s="27">
        <f t="shared" si="363"/>
        <v>0</v>
      </c>
      <c r="BA141" s="27">
        <f t="shared" si="363"/>
        <v>0</v>
      </c>
      <c r="BB141" s="27">
        <f t="shared" si="363"/>
        <v>0</v>
      </c>
      <c r="BC141" s="27">
        <f t="shared" si="363"/>
        <v>0</v>
      </c>
      <c r="BD141" s="27">
        <f t="shared" si="363"/>
        <v>0</v>
      </c>
      <c r="BE141" s="27">
        <f t="shared" si="363"/>
        <v>0</v>
      </c>
      <c r="BF141" s="27">
        <f t="shared" si="363"/>
        <v>0</v>
      </c>
      <c r="BG141" s="27">
        <f t="shared" si="363"/>
        <v>0</v>
      </c>
      <c r="BH141" s="426">
        <f t="shared" si="363"/>
        <v>0</v>
      </c>
      <c r="BI141" s="25">
        <f t="shared" si="363"/>
        <v>14759864</v>
      </c>
      <c r="BJ141" s="26">
        <f t="shared" si="363"/>
        <v>10791049</v>
      </c>
      <c r="BK141" s="26">
        <f t="shared" si="363"/>
        <v>10434955</v>
      </c>
      <c r="BL141" s="26">
        <f t="shared" si="363"/>
        <v>356094</v>
      </c>
      <c r="BM141" s="26">
        <f t="shared" si="363"/>
        <v>140000</v>
      </c>
      <c r="BN141" s="26">
        <f t="shared" si="363"/>
        <v>90000</v>
      </c>
      <c r="BO141" s="26">
        <f t="shared" si="363"/>
        <v>50000</v>
      </c>
      <c r="BP141" s="26">
        <f t="shared" si="363"/>
        <v>3694694</v>
      </c>
      <c r="BQ141" s="26">
        <f t="shared" si="363"/>
        <v>107910</v>
      </c>
      <c r="BR141" s="26">
        <f t="shared" si="363"/>
        <v>26211</v>
      </c>
      <c r="BS141" s="27">
        <f t="shared" si="363"/>
        <v>17.370100000000001</v>
      </c>
      <c r="BT141" s="27">
        <f t="shared" si="363"/>
        <v>16.3706</v>
      </c>
      <c r="BU141" s="426">
        <f t="shared" ref="BU141:CA141" si="364">SUMIF($F$12:$F$144,"=3231",BU$12:BU$144)</f>
        <v>0.99950000000000006</v>
      </c>
      <c r="BV141" s="25">
        <f t="shared" si="364"/>
        <v>0</v>
      </c>
      <c r="BW141" s="26">
        <f t="shared" si="364"/>
        <v>0</v>
      </c>
      <c r="BX141" s="26">
        <f t="shared" si="364"/>
        <v>0</v>
      </c>
      <c r="BY141" s="26">
        <f t="shared" si="364"/>
        <v>0</v>
      </c>
      <c r="BZ141" s="26">
        <f t="shared" si="364"/>
        <v>0</v>
      </c>
      <c r="CA141" s="239">
        <f t="shared" si="364"/>
        <v>0</v>
      </c>
    </row>
    <row r="142" spans="1:79" customFormat="1" ht="13.5" thickBot="1" x14ac:dyDescent="0.25">
      <c r="D142" s="23"/>
      <c r="E142" s="24"/>
      <c r="F142" s="23"/>
      <c r="G142" s="41"/>
      <c r="H142" s="151">
        <v>3233</v>
      </c>
      <c r="I142" s="170">
        <f t="shared" ref="I142:AN142" si="365">SUMIF($F$12:$F$144,"=3233",I$12:I$144)</f>
        <v>3442979</v>
      </c>
      <c r="J142" s="171">
        <f t="shared" si="365"/>
        <v>2155508</v>
      </c>
      <c r="K142" s="171">
        <f t="shared" si="365"/>
        <v>1995807</v>
      </c>
      <c r="L142" s="171">
        <f t="shared" si="365"/>
        <v>159701</v>
      </c>
      <c r="M142" s="171">
        <f t="shared" si="365"/>
        <v>400000</v>
      </c>
      <c r="N142" s="171">
        <f t="shared" si="365"/>
        <v>226000</v>
      </c>
      <c r="O142" s="171">
        <f t="shared" si="365"/>
        <v>174000</v>
      </c>
      <c r="P142" s="171">
        <f t="shared" si="365"/>
        <v>863761</v>
      </c>
      <c r="Q142" s="171">
        <f t="shared" si="365"/>
        <v>21555</v>
      </c>
      <c r="R142" s="171">
        <f t="shared" si="365"/>
        <v>2155</v>
      </c>
      <c r="S142" s="172">
        <f t="shared" si="365"/>
        <v>4.1199999999999992</v>
      </c>
      <c r="T142" s="172">
        <f t="shared" si="365"/>
        <v>3.6100000000000003</v>
      </c>
      <c r="U142" s="173">
        <f t="shared" si="365"/>
        <v>0.5099999999999999</v>
      </c>
      <c r="V142" s="150">
        <f t="shared" si="365"/>
        <v>0</v>
      </c>
      <c r="W142" s="29">
        <f t="shared" si="365"/>
        <v>0</v>
      </c>
      <c r="X142" s="29">
        <f t="shared" si="365"/>
        <v>0</v>
      </c>
      <c r="Y142" s="29">
        <f t="shared" si="365"/>
        <v>0</v>
      </c>
      <c r="Z142" s="29">
        <f t="shared" si="365"/>
        <v>0</v>
      </c>
      <c r="AA142" s="29">
        <f t="shared" si="365"/>
        <v>166858</v>
      </c>
      <c r="AB142" s="29">
        <f t="shared" si="365"/>
        <v>0</v>
      </c>
      <c r="AC142" s="29">
        <f t="shared" si="365"/>
        <v>0</v>
      </c>
      <c r="AD142" s="29">
        <f t="shared" si="365"/>
        <v>0</v>
      </c>
      <c r="AE142" s="29">
        <f t="shared" si="365"/>
        <v>166858</v>
      </c>
      <c r="AF142" s="29">
        <f t="shared" si="365"/>
        <v>166858</v>
      </c>
      <c r="AG142" s="29">
        <f t="shared" si="365"/>
        <v>0</v>
      </c>
      <c r="AH142" s="29">
        <f t="shared" si="365"/>
        <v>0</v>
      </c>
      <c r="AI142" s="29">
        <f t="shared" si="365"/>
        <v>0</v>
      </c>
      <c r="AJ142" s="29">
        <f t="shared" si="365"/>
        <v>0</v>
      </c>
      <c r="AK142" s="29">
        <f t="shared" si="365"/>
        <v>0</v>
      </c>
      <c r="AL142" s="29">
        <f t="shared" si="365"/>
        <v>0</v>
      </c>
      <c r="AM142" s="29">
        <f t="shared" si="365"/>
        <v>0</v>
      </c>
      <c r="AN142" s="29">
        <f t="shared" si="365"/>
        <v>0</v>
      </c>
      <c r="AO142" s="29">
        <f t="shared" ref="AO142:BT142" si="366">SUMIF($F$12:$F$144,"=3233",AO$12:AO$144)</f>
        <v>0</v>
      </c>
      <c r="AP142" s="29">
        <f t="shared" si="366"/>
        <v>166858</v>
      </c>
      <c r="AQ142" s="29">
        <f t="shared" si="366"/>
        <v>166858</v>
      </c>
      <c r="AR142" s="29">
        <f t="shared" si="366"/>
        <v>56398</v>
      </c>
      <c r="AS142" s="29">
        <f t="shared" si="366"/>
        <v>1668</v>
      </c>
      <c r="AT142" s="29">
        <f t="shared" si="366"/>
        <v>0</v>
      </c>
      <c r="AU142" s="29">
        <f t="shared" si="366"/>
        <v>862</v>
      </c>
      <c r="AV142" s="29">
        <f t="shared" si="366"/>
        <v>862</v>
      </c>
      <c r="AW142" s="29">
        <f t="shared" si="366"/>
        <v>225786</v>
      </c>
      <c r="AX142" s="145">
        <f t="shared" si="366"/>
        <v>0</v>
      </c>
      <c r="AY142" s="145">
        <f t="shared" si="366"/>
        <v>0</v>
      </c>
      <c r="AZ142" s="145">
        <f t="shared" si="366"/>
        <v>0</v>
      </c>
      <c r="BA142" s="145">
        <f t="shared" si="366"/>
        <v>0</v>
      </c>
      <c r="BB142" s="145">
        <f t="shared" si="366"/>
        <v>0.54</v>
      </c>
      <c r="BC142" s="145">
        <f t="shared" si="366"/>
        <v>0</v>
      </c>
      <c r="BD142" s="145">
        <f t="shared" si="366"/>
        <v>0</v>
      </c>
      <c r="BE142" s="145">
        <f t="shared" si="366"/>
        <v>0</v>
      </c>
      <c r="BF142" s="145">
        <f t="shared" si="366"/>
        <v>0</v>
      </c>
      <c r="BG142" s="145">
        <f t="shared" si="366"/>
        <v>0.54</v>
      </c>
      <c r="BH142" s="427">
        <f t="shared" si="366"/>
        <v>0.54</v>
      </c>
      <c r="BI142" s="28">
        <f t="shared" si="366"/>
        <v>3668765</v>
      </c>
      <c r="BJ142" s="29">
        <f t="shared" si="366"/>
        <v>2322366</v>
      </c>
      <c r="BK142" s="29">
        <f t="shared" si="366"/>
        <v>1995807</v>
      </c>
      <c r="BL142" s="29">
        <f t="shared" si="366"/>
        <v>326559</v>
      </c>
      <c r="BM142" s="29">
        <f t="shared" si="366"/>
        <v>400000</v>
      </c>
      <c r="BN142" s="29">
        <f t="shared" si="366"/>
        <v>226000</v>
      </c>
      <c r="BO142" s="29">
        <f t="shared" si="366"/>
        <v>174000</v>
      </c>
      <c r="BP142" s="29">
        <f t="shared" si="366"/>
        <v>920159</v>
      </c>
      <c r="BQ142" s="29">
        <f t="shared" si="366"/>
        <v>23223</v>
      </c>
      <c r="BR142" s="29">
        <f t="shared" si="366"/>
        <v>3017</v>
      </c>
      <c r="BS142" s="145">
        <f t="shared" si="366"/>
        <v>4.66</v>
      </c>
      <c r="BT142" s="145">
        <f t="shared" si="366"/>
        <v>3.6100000000000003</v>
      </c>
      <c r="BU142" s="427">
        <f t="shared" ref="BU142:CA142" si="367">SUMIF($F$12:$F$144,"=3233",BU$12:BU$144)</f>
        <v>1.0499999999999998</v>
      </c>
      <c r="BV142" s="28">
        <f t="shared" si="367"/>
        <v>0</v>
      </c>
      <c r="BW142" s="29">
        <f t="shared" si="367"/>
        <v>0</v>
      </c>
      <c r="BX142" s="29">
        <f t="shared" si="367"/>
        <v>0</v>
      </c>
      <c r="BY142" s="29">
        <f t="shared" si="367"/>
        <v>0</v>
      </c>
      <c r="BZ142" s="29">
        <f t="shared" si="367"/>
        <v>0</v>
      </c>
      <c r="CA142" s="240">
        <f t="shared" si="367"/>
        <v>0</v>
      </c>
    </row>
    <row r="144" spans="1:79" s="54" customFormat="1" x14ac:dyDescent="0.25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590"/>
      <c r="T144" s="590"/>
      <c r="U144" s="590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S144" s="55"/>
      <c r="BT144" s="55"/>
      <c r="BU144" s="55"/>
      <c r="CA144" s="55"/>
    </row>
  </sheetData>
  <mergeCells count="54">
    <mergeCell ref="AB9:AC9"/>
    <mergeCell ref="AD9:AE9"/>
    <mergeCell ref="V9:W9"/>
    <mergeCell ref="X9:X10"/>
    <mergeCell ref="Y9:Y10"/>
    <mergeCell ref="Z9:AA9"/>
    <mergeCell ref="AX8:AY9"/>
    <mergeCell ref="AF9:AF10"/>
    <mergeCell ref="AG9:AH9"/>
    <mergeCell ref="AI9:AI10"/>
    <mergeCell ref="AN9:AN10"/>
    <mergeCell ref="AL9:AM9"/>
    <mergeCell ref="AJ9:AK9"/>
    <mergeCell ref="AO7:AQ9"/>
    <mergeCell ref="AR7:AR10"/>
    <mergeCell ref="AS7:AS10"/>
    <mergeCell ref="AT7:AV9"/>
    <mergeCell ref="AW7:AW10"/>
    <mergeCell ref="A3:E3"/>
    <mergeCell ref="I8:I10"/>
    <mergeCell ref="Q9:Q10"/>
    <mergeCell ref="R9:R10"/>
    <mergeCell ref="J9:J10"/>
    <mergeCell ref="K9:L9"/>
    <mergeCell ref="M9:M10"/>
    <mergeCell ref="N9:O9"/>
    <mergeCell ref="P9:P10"/>
    <mergeCell ref="I6:U7"/>
    <mergeCell ref="J8:R8"/>
    <mergeCell ref="S8:S10"/>
    <mergeCell ref="T8:U9"/>
    <mergeCell ref="BT8:BU9"/>
    <mergeCell ref="BN9:BO9"/>
    <mergeCell ref="BP9:BP10"/>
    <mergeCell ref="BS8:BS10"/>
    <mergeCell ref="BJ9:BJ10"/>
    <mergeCell ref="BK9:BL9"/>
    <mergeCell ref="BM9:BM10"/>
    <mergeCell ref="BV6:CA7"/>
    <mergeCell ref="BV8:CA9"/>
    <mergeCell ref="AX7:BH7"/>
    <mergeCell ref="AZ8:AZ9"/>
    <mergeCell ref="BA8:BB8"/>
    <mergeCell ref="BC8:BC9"/>
    <mergeCell ref="BD8:BE9"/>
    <mergeCell ref="BF8:BH9"/>
    <mergeCell ref="BR9:BR10"/>
    <mergeCell ref="V6:BH6"/>
    <mergeCell ref="BI6:BU7"/>
    <mergeCell ref="V7:AF8"/>
    <mergeCell ref="AG7:AN8"/>
    <mergeCell ref="BQ9:BQ10"/>
    <mergeCell ref="BI8:BI10"/>
    <mergeCell ref="BJ8:BR8"/>
  </mergeCells>
  <phoneticPr fontId="41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A207"/>
  <sheetViews>
    <sheetView zoomScaleNormal="100" workbookViewId="0">
      <pane xSplit="8" ySplit="11" topLeftCell="AG22" activePane="bottomRight" state="frozen"/>
      <selection activeCell="E477" sqref="E477"/>
      <selection pane="topRight" activeCell="E477" sqref="E477"/>
      <selection pane="bottomLeft" activeCell="E477" sqref="E477"/>
      <selection pane="bottomRight" activeCell="BI6" sqref="BI6:BU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4.7109375" style="8" customWidth="1"/>
    <col min="48" max="48" width="10.28515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85" max="185" width="6.85546875" customWidth="1"/>
    <col min="186" max="186" width="35" customWidth="1"/>
    <col min="187" max="187" width="8" customWidth="1"/>
    <col min="188" max="188" width="31.85546875" customWidth="1"/>
    <col min="189" max="189" width="12" customWidth="1"/>
    <col min="190" max="190" width="11.5703125" customWidth="1"/>
    <col min="191" max="191" width="12" customWidth="1"/>
    <col min="192" max="192" width="11.140625" customWidth="1"/>
    <col min="193" max="194" width="10" customWidth="1"/>
    <col min="197" max="197" width="10.7109375" customWidth="1"/>
    <col min="441" max="441" width="6.85546875" customWidth="1"/>
    <col min="442" max="442" width="35" customWidth="1"/>
    <col min="443" max="443" width="8" customWidth="1"/>
    <col min="444" max="444" width="31.85546875" customWidth="1"/>
    <col min="445" max="445" width="12" customWidth="1"/>
    <col min="446" max="446" width="11.5703125" customWidth="1"/>
    <col min="447" max="447" width="12" customWidth="1"/>
    <col min="448" max="448" width="11.140625" customWidth="1"/>
    <col min="449" max="450" width="10" customWidth="1"/>
    <col min="453" max="453" width="10.7109375" customWidth="1"/>
    <col min="697" max="697" width="6.85546875" customWidth="1"/>
    <col min="698" max="698" width="35" customWidth="1"/>
    <col min="699" max="699" width="8" customWidth="1"/>
    <col min="700" max="700" width="31.85546875" customWidth="1"/>
    <col min="701" max="701" width="12" customWidth="1"/>
    <col min="702" max="702" width="11.5703125" customWidth="1"/>
    <col min="703" max="703" width="12" customWidth="1"/>
    <col min="704" max="704" width="11.140625" customWidth="1"/>
    <col min="705" max="706" width="10" customWidth="1"/>
    <col min="709" max="709" width="10.7109375" customWidth="1"/>
    <col min="953" max="953" width="6.85546875" customWidth="1"/>
    <col min="954" max="954" width="35" customWidth="1"/>
    <col min="955" max="955" width="8" customWidth="1"/>
    <col min="956" max="956" width="31.85546875" customWidth="1"/>
    <col min="957" max="957" width="12" customWidth="1"/>
    <col min="958" max="958" width="11.5703125" customWidth="1"/>
    <col min="959" max="959" width="12" customWidth="1"/>
    <col min="960" max="960" width="11.140625" customWidth="1"/>
    <col min="961" max="962" width="10" customWidth="1"/>
    <col min="965" max="965" width="10.7109375" customWidth="1"/>
    <col min="1209" max="1209" width="6.85546875" customWidth="1"/>
    <col min="1210" max="1210" width="35" customWidth="1"/>
    <col min="1211" max="1211" width="8" customWidth="1"/>
    <col min="1212" max="1212" width="31.85546875" customWidth="1"/>
    <col min="1213" max="1213" width="12" customWidth="1"/>
    <col min="1214" max="1214" width="11.5703125" customWidth="1"/>
    <col min="1215" max="1215" width="12" customWidth="1"/>
    <col min="1216" max="1216" width="11.140625" customWidth="1"/>
    <col min="1217" max="1218" width="10" customWidth="1"/>
    <col min="1221" max="1221" width="10.7109375" customWidth="1"/>
    <col min="1465" max="1465" width="6.85546875" customWidth="1"/>
    <col min="1466" max="1466" width="35" customWidth="1"/>
    <col min="1467" max="1467" width="8" customWidth="1"/>
    <col min="1468" max="1468" width="31.85546875" customWidth="1"/>
    <col min="1469" max="1469" width="12" customWidth="1"/>
    <col min="1470" max="1470" width="11.5703125" customWidth="1"/>
    <col min="1471" max="1471" width="12" customWidth="1"/>
    <col min="1472" max="1472" width="11.140625" customWidth="1"/>
    <col min="1473" max="1474" width="10" customWidth="1"/>
    <col min="1477" max="1477" width="10.7109375" customWidth="1"/>
    <col min="1721" max="1721" width="6.85546875" customWidth="1"/>
    <col min="1722" max="1722" width="35" customWidth="1"/>
    <col min="1723" max="1723" width="8" customWidth="1"/>
    <col min="1724" max="1724" width="31.85546875" customWidth="1"/>
    <col min="1725" max="1725" width="12" customWidth="1"/>
    <col min="1726" max="1726" width="11.5703125" customWidth="1"/>
    <col min="1727" max="1727" width="12" customWidth="1"/>
    <col min="1728" max="1728" width="11.140625" customWidth="1"/>
    <col min="1729" max="1730" width="10" customWidth="1"/>
    <col min="1733" max="1733" width="10.7109375" customWidth="1"/>
    <col min="1977" max="1977" width="6.85546875" customWidth="1"/>
    <col min="1978" max="1978" width="35" customWidth="1"/>
    <col min="1979" max="1979" width="8" customWidth="1"/>
    <col min="1980" max="1980" width="31.85546875" customWidth="1"/>
    <col min="1981" max="1981" width="12" customWidth="1"/>
    <col min="1982" max="1982" width="11.5703125" customWidth="1"/>
    <col min="1983" max="1983" width="12" customWidth="1"/>
    <col min="1984" max="1984" width="11.140625" customWidth="1"/>
    <col min="1985" max="1986" width="10" customWidth="1"/>
    <col min="1989" max="1989" width="10.7109375" customWidth="1"/>
    <col min="2233" max="2233" width="6.85546875" customWidth="1"/>
    <col min="2234" max="2234" width="35" customWidth="1"/>
    <col min="2235" max="2235" width="8" customWidth="1"/>
    <col min="2236" max="2236" width="31.85546875" customWidth="1"/>
    <col min="2237" max="2237" width="12" customWidth="1"/>
    <col min="2238" max="2238" width="11.5703125" customWidth="1"/>
    <col min="2239" max="2239" width="12" customWidth="1"/>
    <col min="2240" max="2240" width="11.140625" customWidth="1"/>
    <col min="2241" max="2242" width="10" customWidth="1"/>
    <col min="2245" max="2245" width="10.7109375" customWidth="1"/>
    <col min="2489" max="2489" width="6.85546875" customWidth="1"/>
    <col min="2490" max="2490" width="35" customWidth="1"/>
    <col min="2491" max="2491" width="8" customWidth="1"/>
    <col min="2492" max="2492" width="31.85546875" customWidth="1"/>
    <col min="2493" max="2493" width="12" customWidth="1"/>
    <col min="2494" max="2494" width="11.5703125" customWidth="1"/>
    <col min="2495" max="2495" width="12" customWidth="1"/>
    <col min="2496" max="2496" width="11.140625" customWidth="1"/>
    <col min="2497" max="2498" width="10" customWidth="1"/>
    <col min="2501" max="2501" width="10.7109375" customWidth="1"/>
    <col min="2745" max="2745" width="6.85546875" customWidth="1"/>
    <col min="2746" max="2746" width="35" customWidth="1"/>
    <col min="2747" max="2747" width="8" customWidth="1"/>
    <col min="2748" max="2748" width="31.85546875" customWidth="1"/>
    <col min="2749" max="2749" width="12" customWidth="1"/>
    <col min="2750" max="2750" width="11.5703125" customWidth="1"/>
    <col min="2751" max="2751" width="12" customWidth="1"/>
    <col min="2752" max="2752" width="11.140625" customWidth="1"/>
    <col min="2753" max="2754" width="10" customWidth="1"/>
    <col min="2757" max="2757" width="10.7109375" customWidth="1"/>
    <col min="3001" max="3001" width="6.85546875" customWidth="1"/>
    <col min="3002" max="3002" width="35" customWidth="1"/>
    <col min="3003" max="3003" width="8" customWidth="1"/>
    <col min="3004" max="3004" width="31.85546875" customWidth="1"/>
    <col min="3005" max="3005" width="12" customWidth="1"/>
    <col min="3006" max="3006" width="11.5703125" customWidth="1"/>
    <col min="3007" max="3007" width="12" customWidth="1"/>
    <col min="3008" max="3008" width="11.140625" customWidth="1"/>
    <col min="3009" max="3010" width="10" customWidth="1"/>
    <col min="3013" max="3013" width="10.7109375" customWidth="1"/>
    <col min="3257" max="3257" width="6.85546875" customWidth="1"/>
    <col min="3258" max="3258" width="35" customWidth="1"/>
    <col min="3259" max="3259" width="8" customWidth="1"/>
    <col min="3260" max="3260" width="31.85546875" customWidth="1"/>
    <col min="3261" max="3261" width="12" customWidth="1"/>
    <col min="3262" max="3262" width="11.5703125" customWidth="1"/>
    <col min="3263" max="3263" width="12" customWidth="1"/>
    <col min="3264" max="3264" width="11.140625" customWidth="1"/>
    <col min="3265" max="3266" width="10" customWidth="1"/>
    <col min="3269" max="3269" width="10.7109375" customWidth="1"/>
    <col min="3513" max="3513" width="6.85546875" customWidth="1"/>
    <col min="3514" max="3514" width="35" customWidth="1"/>
    <col min="3515" max="3515" width="8" customWidth="1"/>
    <col min="3516" max="3516" width="31.85546875" customWidth="1"/>
    <col min="3517" max="3517" width="12" customWidth="1"/>
    <col min="3518" max="3518" width="11.5703125" customWidth="1"/>
    <col min="3519" max="3519" width="12" customWidth="1"/>
    <col min="3520" max="3520" width="11.140625" customWidth="1"/>
    <col min="3521" max="3522" width="10" customWidth="1"/>
    <col min="3525" max="3525" width="10.7109375" customWidth="1"/>
    <col min="3769" max="3769" width="6.85546875" customWidth="1"/>
    <col min="3770" max="3770" width="35" customWidth="1"/>
    <col min="3771" max="3771" width="8" customWidth="1"/>
    <col min="3772" max="3772" width="31.85546875" customWidth="1"/>
    <col min="3773" max="3773" width="12" customWidth="1"/>
    <col min="3774" max="3774" width="11.5703125" customWidth="1"/>
    <col min="3775" max="3775" width="12" customWidth="1"/>
    <col min="3776" max="3776" width="11.140625" customWidth="1"/>
    <col min="3777" max="3778" width="10" customWidth="1"/>
    <col min="3781" max="3781" width="10.7109375" customWidth="1"/>
    <col min="4025" max="4025" width="6.85546875" customWidth="1"/>
    <col min="4026" max="4026" width="35" customWidth="1"/>
    <col min="4027" max="4027" width="8" customWidth="1"/>
    <col min="4028" max="4028" width="31.85546875" customWidth="1"/>
    <col min="4029" max="4029" width="12" customWidth="1"/>
    <col min="4030" max="4030" width="11.5703125" customWidth="1"/>
    <col min="4031" max="4031" width="12" customWidth="1"/>
    <col min="4032" max="4032" width="11.140625" customWidth="1"/>
    <col min="4033" max="4034" width="10" customWidth="1"/>
    <col min="4037" max="4037" width="10.7109375" customWidth="1"/>
    <col min="4281" max="4281" width="6.85546875" customWidth="1"/>
    <col min="4282" max="4282" width="35" customWidth="1"/>
    <col min="4283" max="4283" width="8" customWidth="1"/>
    <col min="4284" max="4284" width="31.85546875" customWidth="1"/>
    <col min="4285" max="4285" width="12" customWidth="1"/>
    <col min="4286" max="4286" width="11.5703125" customWidth="1"/>
    <col min="4287" max="4287" width="12" customWidth="1"/>
    <col min="4288" max="4288" width="11.140625" customWidth="1"/>
    <col min="4289" max="4290" width="10" customWidth="1"/>
    <col min="4293" max="4293" width="10.7109375" customWidth="1"/>
    <col min="4537" max="4537" width="6.85546875" customWidth="1"/>
    <col min="4538" max="4538" width="35" customWidth="1"/>
    <col min="4539" max="4539" width="8" customWidth="1"/>
    <col min="4540" max="4540" width="31.85546875" customWidth="1"/>
    <col min="4541" max="4541" width="12" customWidth="1"/>
    <col min="4542" max="4542" width="11.5703125" customWidth="1"/>
    <col min="4543" max="4543" width="12" customWidth="1"/>
    <col min="4544" max="4544" width="11.140625" customWidth="1"/>
    <col min="4545" max="4546" width="10" customWidth="1"/>
    <col min="4549" max="4549" width="10.7109375" customWidth="1"/>
    <col min="4793" max="4793" width="6.85546875" customWidth="1"/>
    <col min="4794" max="4794" width="35" customWidth="1"/>
    <col min="4795" max="4795" width="8" customWidth="1"/>
    <col min="4796" max="4796" width="31.85546875" customWidth="1"/>
    <col min="4797" max="4797" width="12" customWidth="1"/>
    <col min="4798" max="4798" width="11.5703125" customWidth="1"/>
    <col min="4799" max="4799" width="12" customWidth="1"/>
    <col min="4800" max="4800" width="11.140625" customWidth="1"/>
    <col min="4801" max="4802" width="10" customWidth="1"/>
    <col min="4805" max="4805" width="10.7109375" customWidth="1"/>
    <col min="5049" max="5049" width="6.85546875" customWidth="1"/>
    <col min="5050" max="5050" width="35" customWidth="1"/>
    <col min="5051" max="5051" width="8" customWidth="1"/>
    <col min="5052" max="5052" width="31.85546875" customWidth="1"/>
    <col min="5053" max="5053" width="12" customWidth="1"/>
    <col min="5054" max="5054" width="11.5703125" customWidth="1"/>
    <col min="5055" max="5055" width="12" customWidth="1"/>
    <col min="5056" max="5056" width="11.140625" customWidth="1"/>
    <col min="5057" max="5058" width="10" customWidth="1"/>
    <col min="5061" max="5061" width="10.7109375" customWidth="1"/>
    <col min="5305" max="5305" width="6.85546875" customWidth="1"/>
    <col min="5306" max="5306" width="35" customWidth="1"/>
    <col min="5307" max="5307" width="8" customWidth="1"/>
    <col min="5308" max="5308" width="31.85546875" customWidth="1"/>
    <col min="5309" max="5309" width="12" customWidth="1"/>
    <col min="5310" max="5310" width="11.5703125" customWidth="1"/>
    <col min="5311" max="5311" width="12" customWidth="1"/>
    <col min="5312" max="5312" width="11.140625" customWidth="1"/>
    <col min="5313" max="5314" width="10" customWidth="1"/>
    <col min="5317" max="5317" width="10.7109375" customWidth="1"/>
    <col min="5561" max="5561" width="6.85546875" customWidth="1"/>
    <col min="5562" max="5562" width="35" customWidth="1"/>
    <col min="5563" max="5563" width="8" customWidth="1"/>
    <col min="5564" max="5564" width="31.85546875" customWidth="1"/>
    <col min="5565" max="5565" width="12" customWidth="1"/>
    <col min="5566" max="5566" width="11.5703125" customWidth="1"/>
    <col min="5567" max="5567" width="12" customWidth="1"/>
    <col min="5568" max="5568" width="11.140625" customWidth="1"/>
    <col min="5569" max="5570" width="10" customWidth="1"/>
    <col min="5573" max="5573" width="10.7109375" customWidth="1"/>
    <col min="5817" max="5817" width="6.85546875" customWidth="1"/>
    <col min="5818" max="5818" width="35" customWidth="1"/>
    <col min="5819" max="5819" width="8" customWidth="1"/>
    <col min="5820" max="5820" width="31.85546875" customWidth="1"/>
    <col min="5821" max="5821" width="12" customWidth="1"/>
    <col min="5822" max="5822" width="11.5703125" customWidth="1"/>
    <col min="5823" max="5823" width="12" customWidth="1"/>
    <col min="5824" max="5824" width="11.140625" customWidth="1"/>
    <col min="5825" max="5826" width="10" customWidth="1"/>
    <col min="5829" max="5829" width="10.7109375" customWidth="1"/>
    <col min="6073" max="6073" width="6.85546875" customWidth="1"/>
    <col min="6074" max="6074" width="35" customWidth="1"/>
    <col min="6075" max="6075" width="8" customWidth="1"/>
    <col min="6076" max="6076" width="31.85546875" customWidth="1"/>
    <col min="6077" max="6077" width="12" customWidth="1"/>
    <col min="6078" max="6078" width="11.5703125" customWidth="1"/>
    <col min="6079" max="6079" width="12" customWidth="1"/>
    <col min="6080" max="6080" width="11.140625" customWidth="1"/>
    <col min="6081" max="6082" width="10" customWidth="1"/>
    <col min="6085" max="6085" width="10.7109375" customWidth="1"/>
    <col min="6329" max="6329" width="6.85546875" customWidth="1"/>
    <col min="6330" max="6330" width="35" customWidth="1"/>
    <col min="6331" max="6331" width="8" customWidth="1"/>
    <col min="6332" max="6332" width="31.85546875" customWidth="1"/>
    <col min="6333" max="6333" width="12" customWidth="1"/>
    <col min="6334" max="6334" width="11.5703125" customWidth="1"/>
    <col min="6335" max="6335" width="12" customWidth="1"/>
    <col min="6336" max="6336" width="11.140625" customWidth="1"/>
    <col min="6337" max="6338" width="10" customWidth="1"/>
    <col min="6341" max="6341" width="10.7109375" customWidth="1"/>
    <col min="6585" max="6585" width="6.85546875" customWidth="1"/>
    <col min="6586" max="6586" width="35" customWidth="1"/>
    <col min="6587" max="6587" width="8" customWidth="1"/>
    <col min="6588" max="6588" width="31.85546875" customWidth="1"/>
    <col min="6589" max="6589" width="12" customWidth="1"/>
    <col min="6590" max="6590" width="11.5703125" customWidth="1"/>
    <col min="6591" max="6591" width="12" customWidth="1"/>
    <col min="6592" max="6592" width="11.140625" customWidth="1"/>
    <col min="6593" max="6594" width="10" customWidth="1"/>
    <col min="6597" max="6597" width="10.7109375" customWidth="1"/>
    <col min="6841" max="6841" width="6.85546875" customWidth="1"/>
    <col min="6842" max="6842" width="35" customWidth="1"/>
    <col min="6843" max="6843" width="8" customWidth="1"/>
    <col min="6844" max="6844" width="31.85546875" customWidth="1"/>
    <col min="6845" max="6845" width="12" customWidth="1"/>
    <col min="6846" max="6846" width="11.5703125" customWidth="1"/>
    <col min="6847" max="6847" width="12" customWidth="1"/>
    <col min="6848" max="6848" width="11.140625" customWidth="1"/>
    <col min="6849" max="6850" width="10" customWidth="1"/>
    <col min="6853" max="6853" width="10.7109375" customWidth="1"/>
    <col min="7097" max="7097" width="6.85546875" customWidth="1"/>
    <col min="7098" max="7098" width="35" customWidth="1"/>
    <col min="7099" max="7099" width="8" customWidth="1"/>
    <col min="7100" max="7100" width="31.85546875" customWidth="1"/>
    <col min="7101" max="7101" width="12" customWidth="1"/>
    <col min="7102" max="7102" width="11.5703125" customWidth="1"/>
    <col min="7103" max="7103" width="12" customWidth="1"/>
    <col min="7104" max="7104" width="11.140625" customWidth="1"/>
    <col min="7105" max="7106" width="10" customWidth="1"/>
    <col min="7109" max="7109" width="10.7109375" customWidth="1"/>
    <col min="7353" max="7353" width="6.85546875" customWidth="1"/>
    <col min="7354" max="7354" width="35" customWidth="1"/>
    <col min="7355" max="7355" width="8" customWidth="1"/>
    <col min="7356" max="7356" width="31.85546875" customWidth="1"/>
    <col min="7357" max="7357" width="12" customWidth="1"/>
    <col min="7358" max="7358" width="11.5703125" customWidth="1"/>
    <col min="7359" max="7359" width="12" customWidth="1"/>
    <col min="7360" max="7360" width="11.140625" customWidth="1"/>
    <col min="7361" max="7362" width="10" customWidth="1"/>
    <col min="7365" max="7365" width="10.7109375" customWidth="1"/>
    <col min="7609" max="7609" width="6.85546875" customWidth="1"/>
    <col min="7610" max="7610" width="35" customWidth="1"/>
    <col min="7611" max="7611" width="8" customWidth="1"/>
    <col min="7612" max="7612" width="31.85546875" customWidth="1"/>
    <col min="7613" max="7613" width="12" customWidth="1"/>
    <col min="7614" max="7614" width="11.5703125" customWidth="1"/>
    <col min="7615" max="7615" width="12" customWidth="1"/>
    <col min="7616" max="7616" width="11.140625" customWidth="1"/>
    <col min="7617" max="7618" width="10" customWidth="1"/>
    <col min="7621" max="7621" width="10.7109375" customWidth="1"/>
    <col min="7865" max="7865" width="6.85546875" customWidth="1"/>
    <col min="7866" max="7866" width="35" customWidth="1"/>
    <col min="7867" max="7867" width="8" customWidth="1"/>
    <col min="7868" max="7868" width="31.85546875" customWidth="1"/>
    <col min="7869" max="7869" width="12" customWidth="1"/>
    <col min="7870" max="7870" width="11.5703125" customWidth="1"/>
    <col min="7871" max="7871" width="12" customWidth="1"/>
    <col min="7872" max="7872" width="11.140625" customWidth="1"/>
    <col min="7873" max="7874" width="10" customWidth="1"/>
    <col min="7877" max="7877" width="10.7109375" customWidth="1"/>
    <col min="8121" max="8121" width="6.85546875" customWidth="1"/>
    <col min="8122" max="8122" width="35" customWidth="1"/>
    <col min="8123" max="8123" width="8" customWidth="1"/>
    <col min="8124" max="8124" width="31.85546875" customWidth="1"/>
    <col min="8125" max="8125" width="12" customWidth="1"/>
    <col min="8126" max="8126" width="11.5703125" customWidth="1"/>
    <col min="8127" max="8127" width="12" customWidth="1"/>
    <col min="8128" max="8128" width="11.140625" customWidth="1"/>
    <col min="8129" max="8130" width="10" customWidth="1"/>
    <col min="8133" max="8133" width="10.7109375" customWidth="1"/>
    <col min="8377" max="8377" width="6.85546875" customWidth="1"/>
    <col min="8378" max="8378" width="35" customWidth="1"/>
    <col min="8379" max="8379" width="8" customWidth="1"/>
    <col min="8380" max="8380" width="31.85546875" customWidth="1"/>
    <col min="8381" max="8381" width="12" customWidth="1"/>
    <col min="8382" max="8382" width="11.5703125" customWidth="1"/>
    <col min="8383" max="8383" width="12" customWidth="1"/>
    <col min="8384" max="8384" width="11.140625" customWidth="1"/>
    <col min="8385" max="8386" width="10" customWidth="1"/>
    <col min="8389" max="8389" width="10.7109375" customWidth="1"/>
    <col min="8633" max="8633" width="6.85546875" customWidth="1"/>
    <col min="8634" max="8634" width="35" customWidth="1"/>
    <col min="8635" max="8635" width="8" customWidth="1"/>
    <col min="8636" max="8636" width="31.85546875" customWidth="1"/>
    <col min="8637" max="8637" width="12" customWidth="1"/>
    <col min="8638" max="8638" width="11.5703125" customWidth="1"/>
    <col min="8639" max="8639" width="12" customWidth="1"/>
    <col min="8640" max="8640" width="11.140625" customWidth="1"/>
    <col min="8641" max="8642" width="10" customWidth="1"/>
    <col min="8645" max="8645" width="10.7109375" customWidth="1"/>
    <col min="8889" max="8889" width="6.85546875" customWidth="1"/>
    <col min="8890" max="8890" width="35" customWidth="1"/>
    <col min="8891" max="8891" width="8" customWidth="1"/>
    <col min="8892" max="8892" width="31.85546875" customWidth="1"/>
    <col min="8893" max="8893" width="12" customWidth="1"/>
    <col min="8894" max="8894" width="11.5703125" customWidth="1"/>
    <col min="8895" max="8895" width="12" customWidth="1"/>
    <col min="8896" max="8896" width="11.140625" customWidth="1"/>
    <col min="8897" max="8898" width="10" customWidth="1"/>
    <col min="8901" max="8901" width="10.7109375" customWidth="1"/>
    <col min="9145" max="9145" width="6.85546875" customWidth="1"/>
    <col min="9146" max="9146" width="35" customWidth="1"/>
    <col min="9147" max="9147" width="8" customWidth="1"/>
    <col min="9148" max="9148" width="31.85546875" customWidth="1"/>
    <col min="9149" max="9149" width="12" customWidth="1"/>
    <col min="9150" max="9150" width="11.5703125" customWidth="1"/>
    <col min="9151" max="9151" width="12" customWidth="1"/>
    <col min="9152" max="9152" width="11.140625" customWidth="1"/>
    <col min="9153" max="9154" width="10" customWidth="1"/>
    <col min="9157" max="9157" width="10.7109375" customWidth="1"/>
    <col min="9401" max="9401" width="6.85546875" customWidth="1"/>
    <col min="9402" max="9402" width="35" customWidth="1"/>
    <col min="9403" max="9403" width="8" customWidth="1"/>
    <col min="9404" max="9404" width="31.85546875" customWidth="1"/>
    <col min="9405" max="9405" width="12" customWidth="1"/>
    <col min="9406" max="9406" width="11.5703125" customWidth="1"/>
    <col min="9407" max="9407" width="12" customWidth="1"/>
    <col min="9408" max="9408" width="11.140625" customWidth="1"/>
    <col min="9409" max="9410" width="10" customWidth="1"/>
    <col min="9413" max="9413" width="10.7109375" customWidth="1"/>
    <col min="9657" max="9657" width="6.85546875" customWidth="1"/>
    <col min="9658" max="9658" width="35" customWidth="1"/>
    <col min="9659" max="9659" width="8" customWidth="1"/>
    <col min="9660" max="9660" width="31.85546875" customWidth="1"/>
    <col min="9661" max="9661" width="12" customWidth="1"/>
    <col min="9662" max="9662" width="11.5703125" customWidth="1"/>
    <col min="9663" max="9663" width="12" customWidth="1"/>
    <col min="9664" max="9664" width="11.140625" customWidth="1"/>
    <col min="9665" max="9666" width="10" customWidth="1"/>
    <col min="9669" max="9669" width="10.7109375" customWidth="1"/>
    <col min="9913" max="9913" width="6.85546875" customWidth="1"/>
    <col min="9914" max="9914" width="35" customWidth="1"/>
    <col min="9915" max="9915" width="8" customWidth="1"/>
    <col min="9916" max="9916" width="31.85546875" customWidth="1"/>
    <col min="9917" max="9917" width="12" customWidth="1"/>
    <col min="9918" max="9918" width="11.5703125" customWidth="1"/>
    <col min="9919" max="9919" width="12" customWidth="1"/>
    <col min="9920" max="9920" width="11.140625" customWidth="1"/>
    <col min="9921" max="9922" width="10" customWidth="1"/>
    <col min="9925" max="9925" width="10.7109375" customWidth="1"/>
    <col min="10169" max="10169" width="6.85546875" customWidth="1"/>
    <col min="10170" max="10170" width="35" customWidth="1"/>
    <col min="10171" max="10171" width="8" customWidth="1"/>
    <col min="10172" max="10172" width="31.85546875" customWidth="1"/>
    <col min="10173" max="10173" width="12" customWidth="1"/>
    <col min="10174" max="10174" width="11.5703125" customWidth="1"/>
    <col min="10175" max="10175" width="12" customWidth="1"/>
    <col min="10176" max="10176" width="11.140625" customWidth="1"/>
    <col min="10177" max="10178" width="10" customWidth="1"/>
    <col min="10181" max="10181" width="10.7109375" customWidth="1"/>
    <col min="10425" max="10425" width="6.85546875" customWidth="1"/>
    <col min="10426" max="10426" width="35" customWidth="1"/>
    <col min="10427" max="10427" width="8" customWidth="1"/>
    <col min="10428" max="10428" width="31.85546875" customWidth="1"/>
    <col min="10429" max="10429" width="12" customWidth="1"/>
    <col min="10430" max="10430" width="11.5703125" customWidth="1"/>
    <col min="10431" max="10431" width="12" customWidth="1"/>
    <col min="10432" max="10432" width="11.140625" customWidth="1"/>
    <col min="10433" max="10434" width="10" customWidth="1"/>
    <col min="10437" max="10437" width="10.7109375" customWidth="1"/>
    <col min="10681" max="10681" width="6.85546875" customWidth="1"/>
    <col min="10682" max="10682" width="35" customWidth="1"/>
    <col min="10683" max="10683" width="8" customWidth="1"/>
    <col min="10684" max="10684" width="31.85546875" customWidth="1"/>
    <col min="10685" max="10685" width="12" customWidth="1"/>
    <col min="10686" max="10686" width="11.5703125" customWidth="1"/>
    <col min="10687" max="10687" width="12" customWidth="1"/>
    <col min="10688" max="10688" width="11.140625" customWidth="1"/>
    <col min="10689" max="10690" width="10" customWidth="1"/>
    <col min="10693" max="10693" width="10.7109375" customWidth="1"/>
    <col min="10937" max="10937" width="6.85546875" customWidth="1"/>
    <col min="10938" max="10938" width="35" customWidth="1"/>
    <col min="10939" max="10939" width="8" customWidth="1"/>
    <col min="10940" max="10940" width="31.85546875" customWidth="1"/>
    <col min="10941" max="10941" width="12" customWidth="1"/>
    <col min="10942" max="10942" width="11.5703125" customWidth="1"/>
    <col min="10943" max="10943" width="12" customWidth="1"/>
    <col min="10944" max="10944" width="11.140625" customWidth="1"/>
    <col min="10945" max="10946" width="10" customWidth="1"/>
    <col min="10949" max="10949" width="10.7109375" customWidth="1"/>
    <col min="11193" max="11193" width="6.85546875" customWidth="1"/>
    <col min="11194" max="11194" width="35" customWidth="1"/>
    <col min="11195" max="11195" width="8" customWidth="1"/>
    <col min="11196" max="11196" width="31.85546875" customWidth="1"/>
    <col min="11197" max="11197" width="12" customWidth="1"/>
    <col min="11198" max="11198" width="11.5703125" customWidth="1"/>
    <col min="11199" max="11199" width="12" customWidth="1"/>
    <col min="11200" max="11200" width="11.140625" customWidth="1"/>
    <col min="11201" max="11202" width="10" customWidth="1"/>
    <col min="11205" max="11205" width="10.7109375" customWidth="1"/>
    <col min="11449" max="11449" width="6.85546875" customWidth="1"/>
    <col min="11450" max="11450" width="35" customWidth="1"/>
    <col min="11451" max="11451" width="8" customWidth="1"/>
    <col min="11452" max="11452" width="31.85546875" customWidth="1"/>
    <col min="11453" max="11453" width="12" customWidth="1"/>
    <col min="11454" max="11454" width="11.5703125" customWidth="1"/>
    <col min="11455" max="11455" width="12" customWidth="1"/>
    <col min="11456" max="11456" width="11.140625" customWidth="1"/>
    <col min="11457" max="11458" width="10" customWidth="1"/>
    <col min="11461" max="11461" width="10.7109375" customWidth="1"/>
    <col min="11705" max="11705" width="6.85546875" customWidth="1"/>
    <col min="11706" max="11706" width="35" customWidth="1"/>
    <col min="11707" max="11707" width="8" customWidth="1"/>
    <col min="11708" max="11708" width="31.85546875" customWidth="1"/>
    <col min="11709" max="11709" width="12" customWidth="1"/>
    <col min="11710" max="11710" width="11.5703125" customWidth="1"/>
    <col min="11711" max="11711" width="12" customWidth="1"/>
    <col min="11712" max="11712" width="11.140625" customWidth="1"/>
    <col min="11713" max="11714" width="10" customWidth="1"/>
    <col min="11717" max="11717" width="10.7109375" customWidth="1"/>
    <col min="11961" max="11961" width="6.85546875" customWidth="1"/>
    <col min="11962" max="11962" width="35" customWidth="1"/>
    <col min="11963" max="11963" width="8" customWidth="1"/>
    <col min="11964" max="11964" width="31.85546875" customWidth="1"/>
    <col min="11965" max="11965" width="12" customWidth="1"/>
    <col min="11966" max="11966" width="11.5703125" customWidth="1"/>
    <col min="11967" max="11967" width="12" customWidth="1"/>
    <col min="11968" max="11968" width="11.140625" customWidth="1"/>
    <col min="11969" max="11970" width="10" customWidth="1"/>
    <col min="11973" max="11973" width="10.7109375" customWidth="1"/>
    <col min="12217" max="12217" width="6.85546875" customWidth="1"/>
    <col min="12218" max="12218" width="35" customWidth="1"/>
    <col min="12219" max="12219" width="8" customWidth="1"/>
    <col min="12220" max="12220" width="31.85546875" customWidth="1"/>
    <col min="12221" max="12221" width="12" customWidth="1"/>
    <col min="12222" max="12222" width="11.5703125" customWidth="1"/>
    <col min="12223" max="12223" width="12" customWidth="1"/>
    <col min="12224" max="12224" width="11.140625" customWidth="1"/>
    <col min="12225" max="12226" width="10" customWidth="1"/>
    <col min="12229" max="12229" width="10.7109375" customWidth="1"/>
    <col min="12473" max="12473" width="6.85546875" customWidth="1"/>
    <col min="12474" max="12474" width="35" customWidth="1"/>
    <col min="12475" max="12475" width="8" customWidth="1"/>
    <col min="12476" max="12476" width="31.85546875" customWidth="1"/>
    <col min="12477" max="12477" width="12" customWidth="1"/>
    <col min="12478" max="12478" width="11.5703125" customWidth="1"/>
    <col min="12479" max="12479" width="12" customWidth="1"/>
    <col min="12480" max="12480" width="11.140625" customWidth="1"/>
    <col min="12481" max="12482" width="10" customWidth="1"/>
    <col min="12485" max="12485" width="10.7109375" customWidth="1"/>
    <col min="12729" max="12729" width="6.85546875" customWidth="1"/>
    <col min="12730" max="12730" width="35" customWidth="1"/>
    <col min="12731" max="12731" width="8" customWidth="1"/>
    <col min="12732" max="12732" width="31.85546875" customWidth="1"/>
    <col min="12733" max="12733" width="12" customWidth="1"/>
    <col min="12734" max="12734" width="11.5703125" customWidth="1"/>
    <col min="12735" max="12735" width="12" customWidth="1"/>
    <col min="12736" max="12736" width="11.140625" customWidth="1"/>
    <col min="12737" max="12738" width="10" customWidth="1"/>
    <col min="12741" max="12741" width="10.7109375" customWidth="1"/>
    <col min="12985" max="12985" width="6.85546875" customWidth="1"/>
    <col min="12986" max="12986" width="35" customWidth="1"/>
    <col min="12987" max="12987" width="8" customWidth="1"/>
    <col min="12988" max="12988" width="31.85546875" customWidth="1"/>
    <col min="12989" max="12989" width="12" customWidth="1"/>
    <col min="12990" max="12990" width="11.5703125" customWidth="1"/>
    <col min="12991" max="12991" width="12" customWidth="1"/>
    <col min="12992" max="12992" width="11.140625" customWidth="1"/>
    <col min="12993" max="12994" width="10" customWidth="1"/>
    <col min="12997" max="12997" width="10.7109375" customWidth="1"/>
    <col min="13241" max="13241" width="6.85546875" customWidth="1"/>
    <col min="13242" max="13242" width="35" customWidth="1"/>
    <col min="13243" max="13243" width="8" customWidth="1"/>
    <col min="13244" max="13244" width="31.85546875" customWidth="1"/>
    <col min="13245" max="13245" width="12" customWidth="1"/>
    <col min="13246" max="13246" width="11.5703125" customWidth="1"/>
    <col min="13247" max="13247" width="12" customWidth="1"/>
    <col min="13248" max="13248" width="11.140625" customWidth="1"/>
    <col min="13249" max="13250" width="10" customWidth="1"/>
    <col min="13253" max="13253" width="10.7109375" customWidth="1"/>
    <col min="13497" max="13497" width="6.85546875" customWidth="1"/>
    <col min="13498" max="13498" width="35" customWidth="1"/>
    <col min="13499" max="13499" width="8" customWidth="1"/>
    <col min="13500" max="13500" width="31.85546875" customWidth="1"/>
    <col min="13501" max="13501" width="12" customWidth="1"/>
    <col min="13502" max="13502" width="11.5703125" customWidth="1"/>
    <col min="13503" max="13503" width="12" customWidth="1"/>
    <col min="13504" max="13504" width="11.140625" customWidth="1"/>
    <col min="13505" max="13506" width="10" customWidth="1"/>
    <col min="13509" max="13509" width="10.7109375" customWidth="1"/>
    <col min="13753" max="13753" width="6.85546875" customWidth="1"/>
    <col min="13754" max="13754" width="35" customWidth="1"/>
    <col min="13755" max="13755" width="8" customWidth="1"/>
    <col min="13756" max="13756" width="31.85546875" customWidth="1"/>
    <col min="13757" max="13757" width="12" customWidth="1"/>
    <col min="13758" max="13758" width="11.5703125" customWidth="1"/>
    <col min="13759" max="13759" width="12" customWidth="1"/>
    <col min="13760" max="13760" width="11.140625" customWidth="1"/>
    <col min="13761" max="13762" width="10" customWidth="1"/>
    <col min="13765" max="13765" width="10.7109375" customWidth="1"/>
    <col min="14009" max="14009" width="6.85546875" customWidth="1"/>
    <col min="14010" max="14010" width="35" customWidth="1"/>
    <col min="14011" max="14011" width="8" customWidth="1"/>
    <col min="14012" max="14012" width="31.85546875" customWidth="1"/>
    <col min="14013" max="14013" width="12" customWidth="1"/>
    <col min="14014" max="14014" width="11.5703125" customWidth="1"/>
    <col min="14015" max="14015" width="12" customWidth="1"/>
    <col min="14016" max="14016" width="11.140625" customWidth="1"/>
    <col min="14017" max="14018" width="10" customWidth="1"/>
    <col min="14021" max="14021" width="10.7109375" customWidth="1"/>
    <col min="14265" max="14265" width="6.85546875" customWidth="1"/>
    <col min="14266" max="14266" width="35" customWidth="1"/>
    <col min="14267" max="14267" width="8" customWidth="1"/>
    <col min="14268" max="14268" width="31.85546875" customWidth="1"/>
    <col min="14269" max="14269" width="12" customWidth="1"/>
    <col min="14270" max="14270" width="11.5703125" customWidth="1"/>
    <col min="14271" max="14271" width="12" customWidth="1"/>
    <col min="14272" max="14272" width="11.140625" customWidth="1"/>
    <col min="14273" max="14274" width="10" customWidth="1"/>
    <col min="14277" max="14277" width="10.7109375" customWidth="1"/>
    <col min="14521" max="14521" width="6.85546875" customWidth="1"/>
    <col min="14522" max="14522" width="35" customWidth="1"/>
    <col min="14523" max="14523" width="8" customWidth="1"/>
    <col min="14524" max="14524" width="31.85546875" customWidth="1"/>
    <col min="14525" max="14525" width="12" customWidth="1"/>
    <col min="14526" max="14526" width="11.5703125" customWidth="1"/>
    <col min="14527" max="14527" width="12" customWidth="1"/>
    <col min="14528" max="14528" width="11.140625" customWidth="1"/>
    <col min="14529" max="14530" width="10" customWidth="1"/>
    <col min="14533" max="14533" width="10.7109375" customWidth="1"/>
    <col min="14777" max="14777" width="6.85546875" customWidth="1"/>
    <col min="14778" max="14778" width="35" customWidth="1"/>
    <col min="14779" max="14779" width="8" customWidth="1"/>
    <col min="14780" max="14780" width="31.85546875" customWidth="1"/>
    <col min="14781" max="14781" width="12" customWidth="1"/>
    <col min="14782" max="14782" width="11.5703125" customWidth="1"/>
    <col min="14783" max="14783" width="12" customWidth="1"/>
    <col min="14784" max="14784" width="11.140625" customWidth="1"/>
    <col min="14785" max="14786" width="10" customWidth="1"/>
    <col min="14789" max="14789" width="10.7109375" customWidth="1"/>
    <col min="15033" max="15033" width="6.85546875" customWidth="1"/>
    <col min="15034" max="15034" width="35" customWidth="1"/>
    <col min="15035" max="15035" width="8" customWidth="1"/>
    <col min="15036" max="15036" width="31.85546875" customWidth="1"/>
    <col min="15037" max="15037" width="12" customWidth="1"/>
    <col min="15038" max="15038" width="11.5703125" customWidth="1"/>
    <col min="15039" max="15039" width="12" customWidth="1"/>
    <col min="15040" max="15040" width="11.140625" customWidth="1"/>
    <col min="15041" max="15042" width="10" customWidth="1"/>
    <col min="15045" max="15045" width="10.7109375" customWidth="1"/>
    <col min="15289" max="15289" width="6.85546875" customWidth="1"/>
    <col min="15290" max="15290" width="35" customWidth="1"/>
    <col min="15291" max="15291" width="8" customWidth="1"/>
    <col min="15292" max="15292" width="31.85546875" customWidth="1"/>
    <col min="15293" max="15293" width="12" customWidth="1"/>
    <col min="15294" max="15294" width="11.5703125" customWidth="1"/>
    <col min="15295" max="15295" width="12" customWidth="1"/>
    <col min="15296" max="15296" width="11.140625" customWidth="1"/>
    <col min="15297" max="15298" width="10" customWidth="1"/>
    <col min="15301" max="15301" width="10.7109375" customWidth="1"/>
    <col min="15545" max="15545" width="6.85546875" customWidth="1"/>
    <col min="15546" max="15546" width="35" customWidth="1"/>
    <col min="15547" max="15547" width="8" customWidth="1"/>
    <col min="15548" max="15548" width="31.85546875" customWidth="1"/>
    <col min="15549" max="15549" width="12" customWidth="1"/>
    <col min="15550" max="15550" width="11.5703125" customWidth="1"/>
    <col min="15551" max="15551" width="12" customWidth="1"/>
    <col min="15552" max="15552" width="11.140625" customWidth="1"/>
    <col min="15553" max="15554" width="10" customWidth="1"/>
    <col min="15557" max="15557" width="10.7109375" customWidth="1"/>
    <col min="15801" max="15801" width="6.85546875" customWidth="1"/>
    <col min="15802" max="15802" width="35" customWidth="1"/>
    <col min="15803" max="15803" width="8" customWidth="1"/>
    <col min="15804" max="15804" width="31.85546875" customWidth="1"/>
    <col min="15805" max="15805" width="12" customWidth="1"/>
    <col min="15806" max="15806" width="11.5703125" customWidth="1"/>
    <col min="15807" max="15807" width="12" customWidth="1"/>
    <col min="15808" max="15808" width="11.140625" customWidth="1"/>
    <col min="15809" max="15810" width="10" customWidth="1"/>
    <col min="15813" max="15813" width="10.7109375" customWidth="1"/>
    <col min="16057" max="16057" width="6.85546875" customWidth="1"/>
    <col min="16058" max="16058" width="35" customWidth="1"/>
    <col min="16059" max="16059" width="8" customWidth="1"/>
    <col min="16060" max="16060" width="31.85546875" customWidth="1"/>
    <col min="16061" max="16061" width="12" customWidth="1"/>
    <col min="16062" max="16062" width="11.5703125" customWidth="1"/>
    <col min="16063" max="16063" width="12" customWidth="1"/>
    <col min="16064" max="16064" width="11.140625" customWidth="1"/>
    <col min="16065" max="16066" width="10" customWidth="1"/>
    <col min="16069" max="16069" width="10.710937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89"/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customHeight="1" x14ac:dyDescent="0.25">
      <c r="A2" s="50" t="s">
        <v>3</v>
      </c>
      <c r="B2" s="50"/>
      <c r="C2" s="42"/>
      <c r="D2" s="50"/>
      <c r="E2" s="50"/>
      <c r="F2" s="90"/>
      <c r="G2" s="89"/>
      <c r="H2" s="90"/>
    </row>
    <row r="3" spans="1:79" ht="12.75" customHeight="1" x14ac:dyDescent="0.25">
      <c r="A3" s="1045" t="s">
        <v>4</v>
      </c>
      <c r="B3" s="1045"/>
      <c r="C3" s="1045"/>
      <c r="D3" s="1045"/>
      <c r="E3" s="1045"/>
      <c r="F3" s="90"/>
      <c r="G3" s="89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89"/>
      <c r="H4" s="90"/>
      <c r="X4" s="903" t="s">
        <v>855</v>
      </c>
      <c r="AU4" s="506"/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52"/>
      <c r="X5" s="903" t="s">
        <v>856</v>
      </c>
      <c r="AU5" s="506"/>
      <c r="AV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90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8" customHeight="1" thickBot="1" x14ac:dyDescent="0.3">
      <c r="A7" s="89"/>
      <c r="B7" s="6"/>
      <c r="D7" s="10"/>
      <c r="E7" s="6"/>
      <c r="F7" s="90"/>
      <c r="G7" s="89"/>
      <c r="H7" s="90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38.25" customHeight="1" x14ac:dyDescent="0.25">
      <c r="A8" s="117"/>
      <c r="B8" s="91"/>
      <c r="C8" s="91"/>
      <c r="D8" s="91"/>
      <c r="E8" s="91"/>
      <c r="F8" s="91"/>
      <c r="G8" s="91"/>
      <c r="H8" s="91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2" t="s">
        <v>851</v>
      </c>
      <c r="BB8" s="1083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4.75" customHeight="1" thickBot="1" x14ac:dyDescent="0.25">
      <c r="A9" s="12" t="s">
        <v>769</v>
      </c>
      <c r="D9" s="12"/>
      <c r="F9" s="59"/>
      <c r="G9" s="60"/>
      <c r="H9" s="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763" t="s">
        <v>805</v>
      </c>
      <c r="BB9" s="763" t="s">
        <v>806</v>
      </c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6.5" customHeight="1" thickBot="1" x14ac:dyDescent="0.25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216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122" customFormat="1" ht="11.25" customHeight="1" thickBot="1" x14ac:dyDescent="0.25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217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136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37" t="s">
        <v>815</v>
      </c>
      <c r="AC11" s="137" t="s">
        <v>816</v>
      </c>
      <c r="AD11" s="137" t="s">
        <v>815</v>
      </c>
      <c r="AE11" s="137" t="s">
        <v>816</v>
      </c>
      <c r="AF11" s="884" t="s">
        <v>824</v>
      </c>
      <c r="AG11" s="604" t="s">
        <v>817</v>
      </c>
      <c r="AH11" s="137" t="s">
        <v>818</v>
      </c>
      <c r="AI11" s="137" t="s">
        <v>817</v>
      </c>
      <c r="AJ11" s="137" t="s">
        <v>817</v>
      </c>
      <c r="AK11" s="137" t="s">
        <v>818</v>
      </c>
      <c r="AL11" s="137" t="s">
        <v>817</v>
      </c>
      <c r="AM11" s="137" t="s">
        <v>818</v>
      </c>
      <c r="AN11" s="137" t="s">
        <v>825</v>
      </c>
      <c r="AO11" s="604" t="s">
        <v>819</v>
      </c>
      <c r="AP11" s="604" t="s">
        <v>820</v>
      </c>
      <c r="AQ11" s="137" t="s">
        <v>821</v>
      </c>
      <c r="AR11" s="137" t="s">
        <v>282</v>
      </c>
      <c r="AS11" s="137" t="s">
        <v>283</v>
      </c>
      <c r="AT11" s="137" t="s">
        <v>284</v>
      </c>
      <c r="AU11" s="137" t="s">
        <v>284</v>
      </c>
      <c r="AV11" s="137" t="s">
        <v>284</v>
      </c>
      <c r="AW11" s="137" t="s">
        <v>289</v>
      </c>
      <c r="AX11" s="503" t="s">
        <v>285</v>
      </c>
      <c r="AY11" s="187" t="s">
        <v>286</v>
      </c>
      <c r="AZ11" s="187" t="s">
        <v>285</v>
      </c>
      <c r="BA11" s="187" t="s">
        <v>285</v>
      </c>
      <c r="BB11" s="187" t="s">
        <v>286</v>
      </c>
      <c r="BC11" s="187" t="s">
        <v>285</v>
      </c>
      <c r="BD11" s="187" t="s">
        <v>285</v>
      </c>
      <c r="BE11" s="187" t="s">
        <v>286</v>
      </c>
      <c r="BF11" s="187" t="s">
        <v>285</v>
      </c>
      <c r="BG11" s="187" t="s">
        <v>286</v>
      </c>
      <c r="BH11" s="934" t="s">
        <v>287</v>
      </c>
      <c r="BI11" s="136" t="s">
        <v>262</v>
      </c>
      <c r="BJ11" s="137" t="s">
        <v>263</v>
      </c>
      <c r="BK11" s="137" t="s">
        <v>801</v>
      </c>
      <c r="BL11" s="137" t="s">
        <v>802</v>
      </c>
      <c r="BM11" s="137" t="s">
        <v>269</v>
      </c>
      <c r="BN11" s="137" t="s">
        <v>803</v>
      </c>
      <c r="BO11" s="137" t="s">
        <v>804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532</v>
      </c>
      <c r="BU11" s="188" t="s">
        <v>533</v>
      </c>
      <c r="BV11" s="705" t="s">
        <v>843</v>
      </c>
      <c r="BW11" s="663" t="s">
        <v>837</v>
      </c>
      <c r="BX11" s="663" t="s">
        <v>838</v>
      </c>
      <c r="BY11" s="663" t="s">
        <v>844</v>
      </c>
      <c r="BZ11" s="663" t="s">
        <v>845</v>
      </c>
      <c r="CA11" s="709" t="s">
        <v>839</v>
      </c>
    </row>
    <row r="12" spans="1:79" s="221" customFormat="1" ht="14.1" customHeight="1" x14ac:dyDescent="0.2">
      <c r="A12" s="218">
        <v>1</v>
      </c>
      <c r="B12" s="219">
        <v>3454</v>
      </c>
      <c r="C12" s="219">
        <v>600029085</v>
      </c>
      <c r="D12" s="219">
        <v>75122294</v>
      </c>
      <c r="E12" s="220" t="s">
        <v>8</v>
      </c>
      <c r="F12" s="219">
        <v>3233</v>
      </c>
      <c r="G12" s="220" t="s">
        <v>297</v>
      </c>
      <c r="H12" s="573" t="s">
        <v>272</v>
      </c>
      <c r="I12" s="565">
        <v>5472326</v>
      </c>
      <c r="J12" s="566">
        <v>4053343</v>
      </c>
      <c r="K12" s="566">
        <v>3170701</v>
      </c>
      <c r="L12" s="566">
        <v>882642</v>
      </c>
      <c r="M12" s="566">
        <v>0</v>
      </c>
      <c r="N12" s="566">
        <v>0</v>
      </c>
      <c r="O12" s="566">
        <v>0</v>
      </c>
      <c r="P12" s="627">
        <v>1370030</v>
      </c>
      <c r="Q12" s="627">
        <v>40533</v>
      </c>
      <c r="R12" s="566">
        <v>8420</v>
      </c>
      <c r="S12" s="542">
        <v>8.58</v>
      </c>
      <c r="T12" s="545">
        <v>5.74</v>
      </c>
      <c r="U12" s="765">
        <v>2.84</v>
      </c>
      <c r="V12" s="879">
        <f>AG12*-1</f>
        <v>0</v>
      </c>
      <c r="W12" s="880">
        <f>AH12*-1</f>
        <v>0</v>
      </c>
      <c r="X12" s="880">
        <v>0</v>
      </c>
      <c r="Y12" s="880">
        <v>0</v>
      </c>
      <c r="Z12" s="880">
        <v>0</v>
      </c>
      <c r="AA12" s="566">
        <v>441310</v>
      </c>
      <c r="AB12" s="880">
        <v>0</v>
      </c>
      <c r="AC12" s="880">
        <v>0</v>
      </c>
      <c r="AD12" s="880">
        <f>V12+X12+Y12+Z12+AB12</f>
        <v>0</v>
      </c>
      <c r="AE12" s="880">
        <f>W12+AA12+AC12</f>
        <v>441310</v>
      </c>
      <c r="AF12" s="880">
        <f>SUM(AD12:AE12)</f>
        <v>441310</v>
      </c>
      <c r="AG12" s="880">
        <v>0</v>
      </c>
      <c r="AH12" s="880">
        <v>0</v>
      </c>
      <c r="AI12" s="880">
        <v>0</v>
      </c>
      <c r="AJ12" s="880">
        <v>0</v>
      </c>
      <c r="AK12" s="880">
        <v>0</v>
      </c>
      <c r="AL12" s="880">
        <f>AG12+AI12+AJ12</f>
        <v>0</v>
      </c>
      <c r="AM12" s="880">
        <f>AH12+AK12</f>
        <v>0</v>
      </c>
      <c r="AN12" s="880">
        <f>SUM(AL12:AM12)</f>
        <v>0</v>
      </c>
      <c r="AO12" s="880">
        <f>AD12+AL12</f>
        <v>0</v>
      </c>
      <c r="AP12" s="880">
        <f>AE12+AM12</f>
        <v>441310</v>
      </c>
      <c r="AQ12" s="880">
        <f>SUM(AO12:AP12)</f>
        <v>441310</v>
      </c>
      <c r="AR12" s="627">
        <f>ROUND((AF12+AG12+AH12+AI12)*33.8%,0)</f>
        <v>149163</v>
      </c>
      <c r="AS12" s="627">
        <f>ROUND(AF12*1%,0)</f>
        <v>4413</v>
      </c>
      <c r="AT12" s="880">
        <v>0</v>
      </c>
      <c r="AU12" s="897">
        <v>3368</v>
      </c>
      <c r="AV12" s="880">
        <f>AT12+AU12</f>
        <v>3368</v>
      </c>
      <c r="AW12" s="880">
        <f>AQ12+AR12+AS12+AV12</f>
        <v>598254</v>
      </c>
      <c r="AX12" s="883">
        <v>0</v>
      </c>
      <c r="AY12" s="883">
        <v>0</v>
      </c>
      <c r="AZ12" s="883">
        <v>0</v>
      </c>
      <c r="BA12" s="883">
        <v>0</v>
      </c>
      <c r="BB12" s="935">
        <v>1.42</v>
      </c>
      <c r="BC12" s="936">
        <v>0</v>
      </c>
      <c r="BD12" s="883">
        <v>0</v>
      </c>
      <c r="BE12" s="883">
        <v>0</v>
      </c>
      <c r="BF12" s="883">
        <f>AX12+AZ12+BA12+BC12+BD12</f>
        <v>0</v>
      </c>
      <c r="BG12" s="883">
        <f>AY12+BB12+BE12</f>
        <v>1.42</v>
      </c>
      <c r="BH12" s="937">
        <f>SUM(BF12:BG12)</f>
        <v>1.42</v>
      </c>
      <c r="BI12" s="882">
        <f>I12+AW12</f>
        <v>6070580</v>
      </c>
      <c r="BJ12" s="880">
        <f>J12+AF12</f>
        <v>4494653</v>
      </c>
      <c r="BK12" s="880">
        <f>K12+AD12</f>
        <v>3170701</v>
      </c>
      <c r="BL12" s="880">
        <f>L12+AE12</f>
        <v>1323952</v>
      </c>
      <c r="BM12" s="880">
        <f>M12+AN12</f>
        <v>0</v>
      </c>
      <c r="BN12" s="880">
        <f>N12+AL12</f>
        <v>0</v>
      </c>
      <c r="BO12" s="880">
        <f>O12+AM12</f>
        <v>0</v>
      </c>
      <c r="BP12" s="880">
        <f>P12+AR12</f>
        <v>1519193</v>
      </c>
      <c r="BQ12" s="880">
        <f>Q12+AS12</f>
        <v>44946</v>
      </c>
      <c r="BR12" s="880">
        <f>R12+AV12</f>
        <v>11788</v>
      </c>
      <c r="BS12" s="883">
        <f>S12+BH12</f>
        <v>10</v>
      </c>
      <c r="BT12" s="883">
        <f>T12+BF12</f>
        <v>5.74</v>
      </c>
      <c r="BU12" s="937">
        <f>U12+BG12</f>
        <v>4.26</v>
      </c>
      <c r="BV12" s="406"/>
      <c r="BW12" s="407"/>
      <c r="BX12" s="407"/>
      <c r="BY12" s="407"/>
      <c r="BZ12" s="407"/>
      <c r="CA12" s="495"/>
    </row>
    <row r="13" spans="1:79" s="221" customFormat="1" ht="12.75" customHeight="1" x14ac:dyDescent="0.2">
      <c r="A13" s="153">
        <v>1</v>
      </c>
      <c r="B13" s="14">
        <v>3454</v>
      </c>
      <c r="C13" s="152">
        <v>600029085</v>
      </c>
      <c r="D13" s="152">
        <v>75122294</v>
      </c>
      <c r="E13" s="222" t="s">
        <v>9</v>
      </c>
      <c r="F13" s="14"/>
      <c r="G13" s="222"/>
      <c r="H13" s="560"/>
      <c r="I13" s="583">
        <v>5472326</v>
      </c>
      <c r="J13" s="584">
        <v>4053343</v>
      </c>
      <c r="K13" s="504">
        <v>3170701</v>
      </c>
      <c r="L13" s="504">
        <v>882642</v>
      </c>
      <c r="M13" s="584">
        <v>0</v>
      </c>
      <c r="N13" s="584">
        <v>0</v>
      </c>
      <c r="O13" s="584">
        <v>0</v>
      </c>
      <c r="P13" s="610">
        <v>1370030</v>
      </c>
      <c r="Q13" s="610">
        <v>40533</v>
      </c>
      <c r="R13" s="504">
        <v>8420</v>
      </c>
      <c r="S13" s="544">
        <v>8.58</v>
      </c>
      <c r="T13" s="544">
        <v>5.74</v>
      </c>
      <c r="U13" s="401">
        <v>2.84</v>
      </c>
      <c r="V13" s="505">
        <f t="shared" ref="V13:CA13" si="0">SUM(V12)</f>
        <v>0</v>
      </c>
      <c r="W13" s="504">
        <f t="shared" si="0"/>
        <v>0</v>
      </c>
      <c r="X13" s="504">
        <f t="shared" si="0"/>
        <v>0</v>
      </c>
      <c r="Y13" s="504">
        <f t="shared" si="0"/>
        <v>0</v>
      </c>
      <c r="Z13" s="504">
        <f t="shared" si="0"/>
        <v>0</v>
      </c>
      <c r="AA13" s="575">
        <f t="shared" si="0"/>
        <v>441310</v>
      </c>
      <c r="AB13" s="504">
        <f t="shared" si="0"/>
        <v>0</v>
      </c>
      <c r="AC13" s="504">
        <f t="shared" si="0"/>
        <v>0</v>
      </c>
      <c r="AD13" s="504">
        <f t="shared" si="0"/>
        <v>0</v>
      </c>
      <c r="AE13" s="504">
        <f t="shared" si="0"/>
        <v>441310</v>
      </c>
      <c r="AF13" s="504">
        <f t="shared" si="0"/>
        <v>441310</v>
      </c>
      <c r="AG13" s="504">
        <f t="shared" si="0"/>
        <v>0</v>
      </c>
      <c r="AH13" s="504">
        <f t="shared" si="0"/>
        <v>0</v>
      </c>
      <c r="AI13" s="504">
        <f t="shared" si="0"/>
        <v>0</v>
      </c>
      <c r="AJ13" s="504">
        <f t="shared" si="0"/>
        <v>0</v>
      </c>
      <c r="AK13" s="504">
        <f t="shared" si="0"/>
        <v>0</v>
      </c>
      <c r="AL13" s="504">
        <f t="shared" si="0"/>
        <v>0</v>
      </c>
      <c r="AM13" s="504">
        <f t="shared" si="0"/>
        <v>0</v>
      </c>
      <c r="AN13" s="504">
        <f t="shared" si="0"/>
        <v>0</v>
      </c>
      <c r="AO13" s="504">
        <f t="shared" si="0"/>
        <v>0</v>
      </c>
      <c r="AP13" s="504">
        <f t="shared" si="0"/>
        <v>441310</v>
      </c>
      <c r="AQ13" s="504">
        <f t="shared" si="0"/>
        <v>441310</v>
      </c>
      <c r="AR13" s="504">
        <f t="shared" si="0"/>
        <v>149163</v>
      </c>
      <c r="AS13" s="504">
        <f t="shared" si="0"/>
        <v>4413</v>
      </c>
      <c r="AT13" s="504">
        <f t="shared" si="0"/>
        <v>0</v>
      </c>
      <c r="AU13" s="504">
        <f t="shared" si="0"/>
        <v>3368</v>
      </c>
      <c r="AV13" s="504">
        <f t="shared" si="0"/>
        <v>3368</v>
      </c>
      <c r="AW13" s="504">
        <f t="shared" si="0"/>
        <v>598254</v>
      </c>
      <c r="AX13" s="544">
        <f t="shared" si="0"/>
        <v>0</v>
      </c>
      <c r="AY13" s="544">
        <f t="shared" si="0"/>
        <v>0</v>
      </c>
      <c r="AZ13" s="544">
        <f t="shared" si="0"/>
        <v>0</v>
      </c>
      <c r="BA13" s="544">
        <f t="shared" si="0"/>
        <v>0</v>
      </c>
      <c r="BB13" s="544">
        <f t="shared" si="0"/>
        <v>1.42</v>
      </c>
      <c r="BC13" s="938">
        <f t="shared" si="0"/>
        <v>0</v>
      </c>
      <c r="BD13" s="544">
        <f t="shared" si="0"/>
        <v>0</v>
      </c>
      <c r="BE13" s="544">
        <f t="shared" si="0"/>
        <v>0</v>
      </c>
      <c r="BF13" s="544">
        <f t="shared" si="0"/>
        <v>0</v>
      </c>
      <c r="BG13" s="544">
        <f t="shared" si="0"/>
        <v>1.42</v>
      </c>
      <c r="BH13" s="442">
        <f t="shared" si="0"/>
        <v>1.42</v>
      </c>
      <c r="BI13" s="806">
        <f t="shared" si="0"/>
        <v>6070580</v>
      </c>
      <c r="BJ13" s="504">
        <f t="shared" si="0"/>
        <v>4494653</v>
      </c>
      <c r="BK13" s="504">
        <f t="shared" si="0"/>
        <v>3170701</v>
      </c>
      <c r="BL13" s="504">
        <f t="shared" si="0"/>
        <v>1323952</v>
      </c>
      <c r="BM13" s="504">
        <f t="shared" si="0"/>
        <v>0</v>
      </c>
      <c r="BN13" s="504">
        <f t="shared" si="0"/>
        <v>0</v>
      </c>
      <c r="BO13" s="504">
        <f t="shared" si="0"/>
        <v>0</v>
      </c>
      <c r="BP13" s="504">
        <f t="shared" si="0"/>
        <v>1519193</v>
      </c>
      <c r="BQ13" s="504">
        <f t="shared" si="0"/>
        <v>44946</v>
      </c>
      <c r="BR13" s="504">
        <f t="shared" si="0"/>
        <v>11788</v>
      </c>
      <c r="BS13" s="544">
        <f t="shared" si="0"/>
        <v>10</v>
      </c>
      <c r="BT13" s="544">
        <f t="shared" si="0"/>
        <v>5.74</v>
      </c>
      <c r="BU13" s="442">
        <f t="shared" si="0"/>
        <v>4.26</v>
      </c>
      <c r="BV13" s="824">
        <f t="shared" si="0"/>
        <v>0</v>
      </c>
      <c r="BW13" s="710">
        <f t="shared" si="0"/>
        <v>0</v>
      </c>
      <c r="BX13" s="710">
        <f t="shared" si="0"/>
        <v>0</v>
      </c>
      <c r="BY13" s="710">
        <f t="shared" si="0"/>
        <v>0</v>
      </c>
      <c r="BZ13" s="710">
        <f t="shared" si="0"/>
        <v>0</v>
      </c>
      <c r="CA13" s="825">
        <f t="shared" si="0"/>
        <v>0</v>
      </c>
    </row>
    <row r="14" spans="1:79" s="221" customFormat="1" ht="12.75" customHeight="1" x14ac:dyDescent="0.2">
      <c r="A14" s="223">
        <v>2</v>
      </c>
      <c r="B14" s="224">
        <v>3470</v>
      </c>
      <c r="C14" s="224">
        <v>691003572</v>
      </c>
      <c r="D14" s="224">
        <v>72550341</v>
      </c>
      <c r="E14" s="225" t="s">
        <v>10</v>
      </c>
      <c r="F14" s="224">
        <v>3111</v>
      </c>
      <c r="G14" s="225" t="s">
        <v>290</v>
      </c>
      <c r="H14" s="226" t="s">
        <v>271</v>
      </c>
      <c r="I14" s="420">
        <v>5204603</v>
      </c>
      <c r="J14" s="415">
        <v>3824681</v>
      </c>
      <c r="K14" s="415">
        <v>3496020</v>
      </c>
      <c r="L14" s="415">
        <v>328661</v>
      </c>
      <c r="M14" s="415">
        <v>24000</v>
      </c>
      <c r="N14" s="415">
        <v>0</v>
      </c>
      <c r="O14" s="415">
        <v>24000</v>
      </c>
      <c r="P14" s="68">
        <v>1300854</v>
      </c>
      <c r="Q14" s="68">
        <v>38247</v>
      </c>
      <c r="R14" s="566">
        <v>16821</v>
      </c>
      <c r="S14" s="542">
        <v>7.1001000000000003</v>
      </c>
      <c r="T14" s="545">
        <v>6</v>
      </c>
      <c r="U14" s="765">
        <v>1.1000999999999999</v>
      </c>
      <c r="V14" s="424">
        <f t="shared" ref="V14:W16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6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5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6">
        <v>0</v>
      </c>
      <c r="BC14" s="93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780">
        <f>I14+AW14</f>
        <v>5204603</v>
      </c>
      <c r="BJ14" s="418">
        <f>J14+AF14</f>
        <v>3824681</v>
      </c>
      <c r="BK14" s="418">
        <f t="shared" ref="BK14:BL16" si="3">K14+AD14</f>
        <v>3496020</v>
      </c>
      <c r="BL14" s="418">
        <f t="shared" si="3"/>
        <v>328661</v>
      </c>
      <c r="BM14" s="418">
        <f>M14+AN14</f>
        <v>24000</v>
      </c>
      <c r="BN14" s="418">
        <f t="shared" ref="BN14:BO16" si="4">N14+AL14</f>
        <v>0</v>
      </c>
      <c r="BO14" s="418">
        <f t="shared" si="4"/>
        <v>24000</v>
      </c>
      <c r="BP14" s="418">
        <f t="shared" ref="BP14:BQ16" si="5">P14+AR14</f>
        <v>1300854</v>
      </c>
      <c r="BQ14" s="418">
        <f t="shared" si="5"/>
        <v>38247</v>
      </c>
      <c r="BR14" s="418">
        <f>R14+AV14</f>
        <v>16821</v>
      </c>
      <c r="BS14" s="419">
        <f>S14+BH14</f>
        <v>7.1001000000000003</v>
      </c>
      <c r="BT14" s="419">
        <f t="shared" ref="BT14:BU16" si="6">T14+BF14</f>
        <v>6</v>
      </c>
      <c r="BU14" s="421">
        <f t="shared" si="6"/>
        <v>1.1000999999999999</v>
      </c>
      <c r="BV14" s="420"/>
      <c r="BW14" s="415"/>
      <c r="BX14" s="415"/>
      <c r="BY14" s="415"/>
      <c r="BZ14" s="415"/>
      <c r="CA14" s="510"/>
    </row>
    <row r="15" spans="1:79" s="221" customFormat="1" ht="12.75" customHeight="1" x14ac:dyDescent="0.2">
      <c r="A15" s="223">
        <v>2</v>
      </c>
      <c r="B15" s="224">
        <v>3470</v>
      </c>
      <c r="C15" s="224">
        <v>691003572</v>
      </c>
      <c r="D15" s="224">
        <v>72550341</v>
      </c>
      <c r="E15" s="225" t="s">
        <v>10</v>
      </c>
      <c r="F15" s="224">
        <v>3111</v>
      </c>
      <c r="G15" s="225" t="s">
        <v>298</v>
      </c>
      <c r="H15" s="226" t="s">
        <v>272</v>
      </c>
      <c r="I15" s="420">
        <v>183276</v>
      </c>
      <c r="J15" s="415">
        <v>135961</v>
      </c>
      <c r="K15" s="415">
        <v>135961</v>
      </c>
      <c r="L15" s="415">
        <v>0</v>
      </c>
      <c r="M15" s="415">
        <v>0</v>
      </c>
      <c r="N15" s="415">
        <v>0</v>
      </c>
      <c r="O15" s="415">
        <v>0</v>
      </c>
      <c r="P15" s="68">
        <v>45955</v>
      </c>
      <c r="Q15" s="68">
        <v>1360</v>
      </c>
      <c r="R15" s="415">
        <v>0</v>
      </c>
      <c r="S15" s="416">
        <v>0.5</v>
      </c>
      <c r="T15" s="417">
        <v>0.5</v>
      </c>
      <c r="U15" s="423">
        <v>0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5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6">
        <v>0</v>
      </c>
      <c r="BC15" s="93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780">
        <f>I15+AW15</f>
        <v>183276</v>
      </c>
      <c r="BJ15" s="418">
        <f>J15+AF15</f>
        <v>135961</v>
      </c>
      <c r="BK15" s="418">
        <f t="shared" si="3"/>
        <v>135961</v>
      </c>
      <c r="BL15" s="418">
        <f t="shared" si="3"/>
        <v>0</v>
      </c>
      <c r="BM15" s="418">
        <f>M15+AN15</f>
        <v>0</v>
      </c>
      <c r="BN15" s="418">
        <f t="shared" si="4"/>
        <v>0</v>
      </c>
      <c r="BO15" s="418">
        <f t="shared" si="4"/>
        <v>0</v>
      </c>
      <c r="BP15" s="418">
        <f t="shared" si="5"/>
        <v>45955</v>
      </c>
      <c r="BQ15" s="418">
        <f t="shared" si="5"/>
        <v>1360</v>
      </c>
      <c r="BR15" s="418">
        <f>R15+AV15</f>
        <v>0</v>
      </c>
      <c r="BS15" s="419">
        <f>S15+BH15</f>
        <v>0.5</v>
      </c>
      <c r="BT15" s="419">
        <f t="shared" si="6"/>
        <v>0.5</v>
      </c>
      <c r="BU15" s="421">
        <f t="shared" si="6"/>
        <v>0</v>
      </c>
      <c r="BV15" s="420"/>
      <c r="BW15" s="415"/>
      <c r="BX15" s="415"/>
      <c r="BY15" s="415"/>
      <c r="BZ15" s="415"/>
      <c r="CA15" s="510"/>
    </row>
    <row r="16" spans="1:79" s="221" customFormat="1" ht="12.75" customHeight="1" x14ac:dyDescent="0.2">
      <c r="A16" s="223">
        <v>2</v>
      </c>
      <c r="B16" s="224">
        <v>3470</v>
      </c>
      <c r="C16" s="224">
        <v>691003572</v>
      </c>
      <c r="D16" s="224">
        <v>72550341</v>
      </c>
      <c r="E16" s="225" t="s">
        <v>10</v>
      </c>
      <c r="F16" s="224">
        <v>3141</v>
      </c>
      <c r="G16" s="225" t="s">
        <v>294</v>
      </c>
      <c r="H16" s="226" t="s">
        <v>272</v>
      </c>
      <c r="I16" s="420">
        <v>535628</v>
      </c>
      <c r="J16" s="415">
        <v>395741</v>
      </c>
      <c r="K16" s="415">
        <v>0</v>
      </c>
      <c r="L16" s="415">
        <v>395741</v>
      </c>
      <c r="M16" s="415">
        <v>0</v>
      </c>
      <c r="N16" s="415">
        <v>0</v>
      </c>
      <c r="O16" s="415">
        <v>0</v>
      </c>
      <c r="P16" s="68">
        <v>133760</v>
      </c>
      <c r="Q16" s="68">
        <v>3957</v>
      </c>
      <c r="R16" s="415">
        <v>2170</v>
      </c>
      <c r="S16" s="416">
        <v>1.19</v>
      </c>
      <c r="T16" s="417">
        <v>0</v>
      </c>
      <c r="U16" s="423">
        <v>1.19</v>
      </c>
      <c r="V16" s="424">
        <f t="shared" si="1"/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605">
        <v>198982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198982</v>
      </c>
      <c r="AF16" s="418">
        <f>SUM(AD16:AE16)</f>
        <v>198982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198982</v>
      </c>
      <c r="AQ16" s="418">
        <f>SUM(AO16:AP16)</f>
        <v>198982</v>
      </c>
      <c r="AR16" s="68">
        <f>ROUND((AF16+AG16+AH16+AI16)*33.8%,0)</f>
        <v>67256</v>
      </c>
      <c r="AS16" s="68">
        <f>ROUND(AF16*1%,0)</f>
        <v>1990</v>
      </c>
      <c r="AT16" s="418">
        <v>0</v>
      </c>
      <c r="AU16" s="605">
        <v>1054</v>
      </c>
      <c r="AV16" s="418">
        <f>AT16+AU16</f>
        <v>1054</v>
      </c>
      <c r="AW16" s="418">
        <f>AQ16+AR16+AS16+AV16</f>
        <v>269282</v>
      </c>
      <c r="AX16" s="419">
        <v>0</v>
      </c>
      <c r="AY16" s="419">
        <v>0</v>
      </c>
      <c r="AZ16" s="419">
        <v>0</v>
      </c>
      <c r="BA16" s="419">
        <v>0</v>
      </c>
      <c r="BB16" s="607">
        <v>0.59</v>
      </c>
      <c r="BC16" s="93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0.59</v>
      </c>
      <c r="BH16" s="421">
        <f>SUM(BF16:BG16)</f>
        <v>0.59</v>
      </c>
      <c r="BI16" s="780">
        <f>I16+AW16</f>
        <v>804910</v>
      </c>
      <c r="BJ16" s="418">
        <f>J16+AF16</f>
        <v>594723</v>
      </c>
      <c r="BK16" s="418">
        <f t="shared" si="3"/>
        <v>0</v>
      </c>
      <c r="BL16" s="418">
        <f t="shared" si="3"/>
        <v>594723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201016</v>
      </c>
      <c r="BQ16" s="418">
        <f t="shared" si="5"/>
        <v>5947</v>
      </c>
      <c r="BR16" s="418">
        <f>R16+AV16</f>
        <v>3224</v>
      </c>
      <c r="BS16" s="419">
        <f>S16+BH16</f>
        <v>1.7799999999999998</v>
      </c>
      <c r="BT16" s="419">
        <f t="shared" si="6"/>
        <v>0</v>
      </c>
      <c r="BU16" s="421">
        <f t="shared" si="6"/>
        <v>1.7799999999999998</v>
      </c>
      <c r="BV16" s="420"/>
      <c r="BW16" s="415"/>
      <c r="BX16" s="415"/>
      <c r="BY16" s="415"/>
      <c r="BZ16" s="415"/>
      <c r="CA16" s="510"/>
    </row>
    <row r="17" spans="1:79" s="221" customFormat="1" ht="12.75" customHeight="1" x14ac:dyDescent="0.2">
      <c r="A17" s="153">
        <v>2</v>
      </c>
      <c r="B17" s="14">
        <v>3470</v>
      </c>
      <c r="C17" s="152">
        <v>691003572</v>
      </c>
      <c r="D17" s="152">
        <v>72550341</v>
      </c>
      <c r="E17" s="222" t="s">
        <v>11</v>
      </c>
      <c r="F17" s="14"/>
      <c r="G17" s="222"/>
      <c r="H17" s="560"/>
      <c r="I17" s="505">
        <v>5923507</v>
      </c>
      <c r="J17" s="504">
        <v>4356383</v>
      </c>
      <c r="K17" s="504">
        <v>3631981</v>
      </c>
      <c r="L17" s="504">
        <v>724402</v>
      </c>
      <c r="M17" s="504">
        <v>24000</v>
      </c>
      <c r="N17" s="504">
        <v>0</v>
      </c>
      <c r="O17" s="504">
        <v>24000</v>
      </c>
      <c r="P17" s="504">
        <v>1480569</v>
      </c>
      <c r="Q17" s="504">
        <v>43564</v>
      </c>
      <c r="R17" s="504">
        <v>18991</v>
      </c>
      <c r="S17" s="544">
        <v>8.7901000000000007</v>
      </c>
      <c r="T17" s="544">
        <v>6.5</v>
      </c>
      <c r="U17" s="401">
        <v>2.2900999999999998</v>
      </c>
      <c r="V17" s="505">
        <f t="shared" ref="V17:CA17" si="7">SUM(V14:V16)</f>
        <v>0</v>
      </c>
      <c r="W17" s="504">
        <f t="shared" si="7"/>
        <v>0</v>
      </c>
      <c r="X17" s="504">
        <f t="shared" si="7"/>
        <v>0</v>
      </c>
      <c r="Y17" s="504">
        <f t="shared" si="7"/>
        <v>0</v>
      </c>
      <c r="Z17" s="504">
        <f t="shared" si="7"/>
        <v>0</v>
      </c>
      <c r="AA17" s="575">
        <f t="shared" si="7"/>
        <v>198982</v>
      </c>
      <c r="AB17" s="504">
        <f t="shared" si="7"/>
        <v>0</v>
      </c>
      <c r="AC17" s="504">
        <f t="shared" si="7"/>
        <v>0</v>
      </c>
      <c r="AD17" s="504">
        <f t="shared" si="7"/>
        <v>0</v>
      </c>
      <c r="AE17" s="504">
        <f t="shared" si="7"/>
        <v>198982</v>
      </c>
      <c r="AF17" s="504">
        <f t="shared" si="7"/>
        <v>198982</v>
      </c>
      <c r="AG17" s="504">
        <f t="shared" si="7"/>
        <v>0</v>
      </c>
      <c r="AH17" s="504">
        <f t="shared" si="7"/>
        <v>0</v>
      </c>
      <c r="AI17" s="504">
        <f t="shared" si="7"/>
        <v>0</v>
      </c>
      <c r="AJ17" s="504">
        <f t="shared" si="7"/>
        <v>0</v>
      </c>
      <c r="AK17" s="504">
        <f t="shared" si="7"/>
        <v>0</v>
      </c>
      <c r="AL17" s="504">
        <f t="shared" si="7"/>
        <v>0</v>
      </c>
      <c r="AM17" s="504">
        <f t="shared" si="7"/>
        <v>0</v>
      </c>
      <c r="AN17" s="504">
        <f t="shared" si="7"/>
        <v>0</v>
      </c>
      <c r="AO17" s="504">
        <f t="shared" si="7"/>
        <v>0</v>
      </c>
      <c r="AP17" s="504">
        <f t="shared" si="7"/>
        <v>198982</v>
      </c>
      <c r="AQ17" s="504">
        <f t="shared" si="7"/>
        <v>198982</v>
      </c>
      <c r="AR17" s="504">
        <f t="shared" si="7"/>
        <v>67256</v>
      </c>
      <c r="AS17" s="504">
        <f t="shared" si="7"/>
        <v>1990</v>
      </c>
      <c r="AT17" s="504">
        <f t="shared" si="7"/>
        <v>0</v>
      </c>
      <c r="AU17" s="504">
        <f t="shared" si="7"/>
        <v>1054</v>
      </c>
      <c r="AV17" s="504">
        <f t="shared" si="7"/>
        <v>1054</v>
      </c>
      <c r="AW17" s="504">
        <f t="shared" si="7"/>
        <v>269282</v>
      </c>
      <c r="AX17" s="544">
        <f t="shared" si="7"/>
        <v>0</v>
      </c>
      <c r="AY17" s="544">
        <f t="shared" si="7"/>
        <v>0</v>
      </c>
      <c r="AZ17" s="544">
        <f t="shared" si="7"/>
        <v>0</v>
      </c>
      <c r="BA17" s="544">
        <f t="shared" si="7"/>
        <v>0</v>
      </c>
      <c r="BB17" s="544">
        <f t="shared" si="7"/>
        <v>0.59</v>
      </c>
      <c r="BC17" s="938">
        <f t="shared" si="7"/>
        <v>0</v>
      </c>
      <c r="BD17" s="544">
        <f t="shared" si="7"/>
        <v>0</v>
      </c>
      <c r="BE17" s="544">
        <f t="shared" si="7"/>
        <v>0</v>
      </c>
      <c r="BF17" s="544">
        <f t="shared" si="7"/>
        <v>0</v>
      </c>
      <c r="BG17" s="544">
        <f t="shared" si="7"/>
        <v>0.59</v>
      </c>
      <c r="BH17" s="442">
        <f t="shared" si="7"/>
        <v>0.59</v>
      </c>
      <c r="BI17" s="806">
        <f t="shared" si="7"/>
        <v>6192789</v>
      </c>
      <c r="BJ17" s="504">
        <f t="shared" si="7"/>
        <v>4555365</v>
      </c>
      <c r="BK17" s="504">
        <f t="shared" si="7"/>
        <v>3631981</v>
      </c>
      <c r="BL17" s="504">
        <f t="shared" si="7"/>
        <v>923384</v>
      </c>
      <c r="BM17" s="504">
        <f t="shared" si="7"/>
        <v>24000</v>
      </c>
      <c r="BN17" s="504">
        <f t="shared" si="7"/>
        <v>0</v>
      </c>
      <c r="BO17" s="504">
        <f t="shared" si="7"/>
        <v>24000</v>
      </c>
      <c r="BP17" s="504">
        <f t="shared" si="7"/>
        <v>1547825</v>
      </c>
      <c r="BQ17" s="504">
        <f t="shared" si="7"/>
        <v>45554</v>
      </c>
      <c r="BR17" s="504">
        <f t="shared" si="7"/>
        <v>20045</v>
      </c>
      <c r="BS17" s="544">
        <f t="shared" si="7"/>
        <v>9.3801000000000005</v>
      </c>
      <c r="BT17" s="544">
        <f t="shared" si="7"/>
        <v>6.5</v>
      </c>
      <c r="BU17" s="442">
        <f t="shared" si="7"/>
        <v>2.8800999999999997</v>
      </c>
      <c r="BV17" s="824">
        <f t="shared" si="7"/>
        <v>0</v>
      </c>
      <c r="BW17" s="710">
        <f t="shared" si="7"/>
        <v>0</v>
      </c>
      <c r="BX17" s="710">
        <f t="shared" si="7"/>
        <v>0</v>
      </c>
      <c r="BY17" s="710">
        <f t="shared" si="7"/>
        <v>0</v>
      </c>
      <c r="BZ17" s="710">
        <f t="shared" si="7"/>
        <v>0</v>
      </c>
      <c r="CA17" s="825">
        <f t="shared" si="7"/>
        <v>0</v>
      </c>
    </row>
    <row r="18" spans="1:79" s="221" customFormat="1" ht="12.75" customHeight="1" x14ac:dyDescent="0.2">
      <c r="A18" s="223">
        <v>3</v>
      </c>
      <c r="B18" s="224">
        <v>3469</v>
      </c>
      <c r="C18" s="224">
        <v>691003548</v>
      </c>
      <c r="D18" s="224">
        <v>72550384</v>
      </c>
      <c r="E18" s="225" t="s">
        <v>12</v>
      </c>
      <c r="F18" s="224">
        <v>3111</v>
      </c>
      <c r="G18" s="225" t="s">
        <v>290</v>
      </c>
      <c r="H18" s="226" t="s">
        <v>271</v>
      </c>
      <c r="I18" s="420">
        <v>6726245</v>
      </c>
      <c r="J18" s="415">
        <v>4948938</v>
      </c>
      <c r="K18" s="415">
        <v>4530392</v>
      </c>
      <c r="L18" s="415">
        <v>418546</v>
      </c>
      <c r="M18" s="415">
        <v>25000</v>
      </c>
      <c r="N18" s="415">
        <v>0</v>
      </c>
      <c r="O18" s="415">
        <v>25000</v>
      </c>
      <c r="P18" s="68">
        <v>1681191</v>
      </c>
      <c r="Q18" s="68">
        <v>49489</v>
      </c>
      <c r="R18" s="415">
        <v>21627</v>
      </c>
      <c r="S18" s="416">
        <v>9.3833000000000002</v>
      </c>
      <c r="T18" s="417">
        <v>8</v>
      </c>
      <c r="U18" s="423">
        <v>1.3833</v>
      </c>
      <c r="V18" s="424">
        <f t="shared" ref="V18:W20" si="8">AG18*-1</f>
        <v>0</v>
      </c>
      <c r="W18" s="418">
        <f t="shared" si="8"/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ref="AO18:AP20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5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6">
        <v>0</v>
      </c>
      <c r="BC18" s="93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780">
        <f>I18+AW18</f>
        <v>6726245</v>
      </c>
      <c r="BJ18" s="418">
        <f>J18+AF18</f>
        <v>4948938</v>
      </c>
      <c r="BK18" s="418">
        <f t="shared" ref="BK18:BL20" si="10">K18+AD18</f>
        <v>4530392</v>
      </c>
      <c r="BL18" s="418">
        <f t="shared" si="10"/>
        <v>418546</v>
      </c>
      <c r="BM18" s="418">
        <f>M18+AN18</f>
        <v>25000</v>
      </c>
      <c r="BN18" s="418">
        <f t="shared" ref="BN18:BO20" si="11">N18+AL18</f>
        <v>0</v>
      </c>
      <c r="BO18" s="418">
        <f t="shared" si="11"/>
        <v>25000</v>
      </c>
      <c r="BP18" s="418">
        <f t="shared" ref="BP18:BQ20" si="12">P18+AR18</f>
        <v>1681191</v>
      </c>
      <c r="BQ18" s="418">
        <f t="shared" si="12"/>
        <v>49489</v>
      </c>
      <c r="BR18" s="418">
        <f>R18+AV18</f>
        <v>21627</v>
      </c>
      <c r="BS18" s="419">
        <f>S18+BH18</f>
        <v>9.3833000000000002</v>
      </c>
      <c r="BT18" s="419">
        <f t="shared" ref="BT18:BU20" si="13">T18+BF18</f>
        <v>8</v>
      </c>
      <c r="BU18" s="421">
        <f t="shared" si="13"/>
        <v>1.3833</v>
      </c>
      <c r="BV18" s="420"/>
      <c r="BW18" s="415"/>
      <c r="BX18" s="415"/>
      <c r="BY18" s="415"/>
      <c r="BZ18" s="415"/>
      <c r="CA18" s="510"/>
    </row>
    <row r="19" spans="1:79" s="221" customFormat="1" ht="12.75" customHeight="1" x14ac:dyDescent="0.2">
      <c r="A19" s="223">
        <v>3</v>
      </c>
      <c r="B19" s="224">
        <v>3469</v>
      </c>
      <c r="C19" s="224">
        <v>691003548</v>
      </c>
      <c r="D19" s="224">
        <v>72550384</v>
      </c>
      <c r="E19" s="225" t="s">
        <v>12</v>
      </c>
      <c r="F19" s="224">
        <v>3111</v>
      </c>
      <c r="G19" s="225" t="s">
        <v>298</v>
      </c>
      <c r="H19" s="226" t="s">
        <v>272</v>
      </c>
      <c r="I19" s="420">
        <v>274912</v>
      </c>
      <c r="J19" s="415">
        <v>203941</v>
      </c>
      <c r="K19" s="415">
        <v>203941</v>
      </c>
      <c r="L19" s="415">
        <v>0</v>
      </c>
      <c r="M19" s="415">
        <v>0</v>
      </c>
      <c r="N19" s="415">
        <v>0</v>
      </c>
      <c r="O19" s="415">
        <v>0</v>
      </c>
      <c r="P19" s="68">
        <v>68932</v>
      </c>
      <c r="Q19" s="68">
        <v>2039</v>
      </c>
      <c r="R19" s="415">
        <v>0</v>
      </c>
      <c r="S19" s="416">
        <v>0.75</v>
      </c>
      <c r="T19" s="417">
        <v>0.75</v>
      </c>
      <c r="U19" s="423">
        <v>0</v>
      </c>
      <c r="V19" s="424">
        <f t="shared" si="8"/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5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6">
        <v>0</v>
      </c>
      <c r="BC19" s="93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780">
        <f>I19+AW19</f>
        <v>274912</v>
      </c>
      <c r="BJ19" s="418">
        <f>J19+AF19</f>
        <v>203941</v>
      </c>
      <c r="BK19" s="418">
        <f t="shared" si="10"/>
        <v>203941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68932</v>
      </c>
      <c r="BQ19" s="418">
        <f t="shared" si="12"/>
        <v>2039</v>
      </c>
      <c r="BR19" s="418">
        <f>R19+AV19</f>
        <v>0</v>
      </c>
      <c r="BS19" s="419">
        <f>S19+BH19</f>
        <v>0.75</v>
      </c>
      <c r="BT19" s="419">
        <f t="shared" si="13"/>
        <v>0.75</v>
      </c>
      <c r="BU19" s="421">
        <f t="shared" si="13"/>
        <v>0</v>
      </c>
      <c r="BV19" s="420"/>
      <c r="BW19" s="415"/>
      <c r="BX19" s="415"/>
      <c r="BY19" s="415"/>
      <c r="BZ19" s="415"/>
      <c r="CA19" s="510"/>
    </row>
    <row r="20" spans="1:79" s="221" customFormat="1" ht="12.75" customHeight="1" x14ac:dyDescent="0.2">
      <c r="A20" s="223">
        <v>3</v>
      </c>
      <c r="B20" s="224">
        <v>3469</v>
      </c>
      <c r="C20" s="224">
        <v>691003548</v>
      </c>
      <c r="D20" s="224">
        <v>72550384</v>
      </c>
      <c r="E20" s="225" t="s">
        <v>12</v>
      </c>
      <c r="F20" s="224">
        <v>3141</v>
      </c>
      <c r="G20" s="225" t="s">
        <v>294</v>
      </c>
      <c r="H20" s="226" t="s">
        <v>272</v>
      </c>
      <c r="I20" s="420">
        <v>653242</v>
      </c>
      <c r="J20" s="415">
        <v>482446</v>
      </c>
      <c r="K20" s="415">
        <v>0</v>
      </c>
      <c r="L20" s="415">
        <v>482446</v>
      </c>
      <c r="M20" s="415">
        <v>0</v>
      </c>
      <c r="N20" s="415">
        <v>0</v>
      </c>
      <c r="O20" s="415">
        <v>0</v>
      </c>
      <c r="P20" s="68">
        <v>163067</v>
      </c>
      <c r="Q20" s="68">
        <v>4824</v>
      </c>
      <c r="R20" s="415">
        <v>2905</v>
      </c>
      <c r="S20" s="416">
        <v>1.45</v>
      </c>
      <c r="T20" s="417">
        <v>0</v>
      </c>
      <c r="U20" s="423">
        <v>1.45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605">
        <v>242078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242078</v>
      </c>
      <c r="AF20" s="418">
        <f>SUM(AD20:AE20)</f>
        <v>242078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242078</v>
      </c>
      <c r="AQ20" s="418">
        <f>SUM(AO20:AP20)</f>
        <v>242078</v>
      </c>
      <c r="AR20" s="68">
        <f>ROUND((AF20+AG20+AH20+AI20)*33.8%,0)</f>
        <v>81822</v>
      </c>
      <c r="AS20" s="68">
        <f>ROUND(AF20*1%,0)</f>
        <v>2421</v>
      </c>
      <c r="AT20" s="418">
        <v>0</v>
      </c>
      <c r="AU20" s="605">
        <v>1411</v>
      </c>
      <c r="AV20" s="418">
        <f>AT20+AU20</f>
        <v>1411</v>
      </c>
      <c r="AW20" s="418">
        <f>AQ20+AR20+AS20+AV20</f>
        <v>327732</v>
      </c>
      <c r="AX20" s="419">
        <v>0</v>
      </c>
      <c r="AY20" s="419">
        <v>0</v>
      </c>
      <c r="AZ20" s="419">
        <v>0</v>
      </c>
      <c r="BA20" s="419">
        <v>0</v>
      </c>
      <c r="BB20" s="607">
        <v>0.72</v>
      </c>
      <c r="BC20" s="93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0.72</v>
      </c>
      <c r="BH20" s="421">
        <f>SUM(BF20:BG20)</f>
        <v>0.72</v>
      </c>
      <c r="BI20" s="780">
        <f>I20+AW20</f>
        <v>980974</v>
      </c>
      <c r="BJ20" s="418">
        <f>J20+AF20</f>
        <v>724524</v>
      </c>
      <c r="BK20" s="418">
        <f t="shared" si="10"/>
        <v>0</v>
      </c>
      <c r="BL20" s="418">
        <f t="shared" si="10"/>
        <v>724524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244889</v>
      </c>
      <c r="BQ20" s="418">
        <f t="shared" si="12"/>
        <v>7245</v>
      </c>
      <c r="BR20" s="418">
        <f>R20+AV20</f>
        <v>4316</v>
      </c>
      <c r="BS20" s="419">
        <f>S20+BH20</f>
        <v>2.17</v>
      </c>
      <c r="BT20" s="419">
        <f t="shared" si="13"/>
        <v>0</v>
      </c>
      <c r="BU20" s="421">
        <f t="shared" si="13"/>
        <v>2.17</v>
      </c>
      <c r="BV20" s="420"/>
      <c r="BW20" s="415"/>
      <c r="BX20" s="415"/>
      <c r="BY20" s="415"/>
      <c r="BZ20" s="415"/>
      <c r="CA20" s="510"/>
    </row>
    <row r="21" spans="1:79" s="221" customFormat="1" ht="12.75" customHeight="1" x14ac:dyDescent="0.2">
      <c r="A21" s="153">
        <v>3</v>
      </c>
      <c r="B21" s="14">
        <v>3469</v>
      </c>
      <c r="C21" s="152">
        <v>691003548</v>
      </c>
      <c r="D21" s="152">
        <v>72550384</v>
      </c>
      <c r="E21" s="222" t="s">
        <v>13</v>
      </c>
      <c r="F21" s="14"/>
      <c r="G21" s="222"/>
      <c r="H21" s="560"/>
      <c r="I21" s="505">
        <v>7654399</v>
      </c>
      <c r="J21" s="504">
        <v>5635325</v>
      </c>
      <c r="K21" s="504">
        <v>4734333</v>
      </c>
      <c r="L21" s="504">
        <v>900992</v>
      </c>
      <c r="M21" s="504">
        <v>25000</v>
      </c>
      <c r="N21" s="504">
        <v>0</v>
      </c>
      <c r="O21" s="504">
        <v>25000</v>
      </c>
      <c r="P21" s="504">
        <v>1913190</v>
      </c>
      <c r="Q21" s="504">
        <v>56352</v>
      </c>
      <c r="R21" s="504">
        <v>24532</v>
      </c>
      <c r="S21" s="544">
        <v>11.583299999999999</v>
      </c>
      <c r="T21" s="544">
        <v>8.75</v>
      </c>
      <c r="U21" s="401">
        <v>2.8332999999999999</v>
      </c>
      <c r="V21" s="505">
        <f t="shared" ref="V21:CA21" si="14">SUM(V18:V20)</f>
        <v>0</v>
      </c>
      <c r="W21" s="504">
        <f t="shared" si="14"/>
        <v>0</v>
      </c>
      <c r="X21" s="504">
        <f t="shared" si="14"/>
        <v>0</v>
      </c>
      <c r="Y21" s="504">
        <f t="shared" si="14"/>
        <v>0</v>
      </c>
      <c r="Z21" s="504">
        <f t="shared" si="14"/>
        <v>0</v>
      </c>
      <c r="AA21" s="575">
        <f t="shared" si="14"/>
        <v>242078</v>
      </c>
      <c r="AB21" s="504">
        <f t="shared" si="14"/>
        <v>0</v>
      </c>
      <c r="AC21" s="504">
        <f t="shared" si="14"/>
        <v>0</v>
      </c>
      <c r="AD21" s="504">
        <f t="shared" si="14"/>
        <v>0</v>
      </c>
      <c r="AE21" s="504">
        <f t="shared" si="14"/>
        <v>242078</v>
      </c>
      <c r="AF21" s="504">
        <f t="shared" si="14"/>
        <v>242078</v>
      </c>
      <c r="AG21" s="504">
        <f t="shared" si="14"/>
        <v>0</v>
      </c>
      <c r="AH21" s="504">
        <f t="shared" si="14"/>
        <v>0</v>
      </c>
      <c r="AI21" s="504">
        <f t="shared" si="14"/>
        <v>0</v>
      </c>
      <c r="AJ21" s="504">
        <f t="shared" si="14"/>
        <v>0</v>
      </c>
      <c r="AK21" s="504">
        <f t="shared" si="14"/>
        <v>0</v>
      </c>
      <c r="AL21" s="504">
        <f t="shared" si="14"/>
        <v>0</v>
      </c>
      <c r="AM21" s="504">
        <f t="shared" si="14"/>
        <v>0</v>
      </c>
      <c r="AN21" s="504">
        <f t="shared" si="14"/>
        <v>0</v>
      </c>
      <c r="AO21" s="504">
        <f t="shared" si="14"/>
        <v>0</v>
      </c>
      <c r="AP21" s="504">
        <f t="shared" si="14"/>
        <v>242078</v>
      </c>
      <c r="AQ21" s="504">
        <f t="shared" si="14"/>
        <v>242078</v>
      </c>
      <c r="AR21" s="504">
        <f t="shared" si="14"/>
        <v>81822</v>
      </c>
      <c r="AS21" s="504">
        <f t="shared" si="14"/>
        <v>2421</v>
      </c>
      <c r="AT21" s="504">
        <f t="shared" si="14"/>
        <v>0</v>
      </c>
      <c r="AU21" s="504">
        <f t="shared" si="14"/>
        <v>1411</v>
      </c>
      <c r="AV21" s="504">
        <f t="shared" si="14"/>
        <v>1411</v>
      </c>
      <c r="AW21" s="504">
        <f t="shared" si="14"/>
        <v>327732</v>
      </c>
      <c r="AX21" s="544">
        <f t="shared" si="14"/>
        <v>0</v>
      </c>
      <c r="AY21" s="544">
        <f t="shared" si="14"/>
        <v>0</v>
      </c>
      <c r="AZ21" s="544">
        <f t="shared" si="14"/>
        <v>0</v>
      </c>
      <c r="BA21" s="544">
        <f t="shared" si="14"/>
        <v>0</v>
      </c>
      <c r="BB21" s="544">
        <f t="shared" si="14"/>
        <v>0.72</v>
      </c>
      <c r="BC21" s="938">
        <f t="shared" si="14"/>
        <v>0</v>
      </c>
      <c r="BD21" s="544">
        <f t="shared" si="14"/>
        <v>0</v>
      </c>
      <c r="BE21" s="544">
        <f t="shared" si="14"/>
        <v>0</v>
      </c>
      <c r="BF21" s="544">
        <f t="shared" si="14"/>
        <v>0</v>
      </c>
      <c r="BG21" s="544">
        <f t="shared" si="14"/>
        <v>0.72</v>
      </c>
      <c r="BH21" s="442">
        <f t="shared" si="14"/>
        <v>0.72</v>
      </c>
      <c r="BI21" s="806">
        <f t="shared" si="14"/>
        <v>7982131</v>
      </c>
      <c r="BJ21" s="504">
        <f t="shared" si="14"/>
        <v>5877403</v>
      </c>
      <c r="BK21" s="504">
        <f t="shared" si="14"/>
        <v>4734333</v>
      </c>
      <c r="BL21" s="504">
        <f t="shared" si="14"/>
        <v>1143070</v>
      </c>
      <c r="BM21" s="504">
        <f t="shared" si="14"/>
        <v>25000</v>
      </c>
      <c r="BN21" s="504">
        <f t="shared" si="14"/>
        <v>0</v>
      </c>
      <c r="BO21" s="504">
        <f t="shared" si="14"/>
        <v>25000</v>
      </c>
      <c r="BP21" s="504">
        <f t="shared" si="14"/>
        <v>1995012</v>
      </c>
      <c r="BQ21" s="504">
        <f t="shared" si="14"/>
        <v>58773</v>
      </c>
      <c r="BR21" s="504">
        <f t="shared" si="14"/>
        <v>25943</v>
      </c>
      <c r="BS21" s="544">
        <f t="shared" si="14"/>
        <v>12.3033</v>
      </c>
      <c r="BT21" s="544">
        <f t="shared" si="14"/>
        <v>8.75</v>
      </c>
      <c r="BU21" s="442">
        <f t="shared" si="14"/>
        <v>3.5533000000000001</v>
      </c>
      <c r="BV21" s="824">
        <f t="shared" si="14"/>
        <v>0</v>
      </c>
      <c r="BW21" s="710">
        <f t="shared" si="14"/>
        <v>0</v>
      </c>
      <c r="BX21" s="710">
        <f t="shared" si="14"/>
        <v>0</v>
      </c>
      <c r="BY21" s="710">
        <f t="shared" si="14"/>
        <v>0</v>
      </c>
      <c r="BZ21" s="710">
        <f t="shared" si="14"/>
        <v>0</v>
      </c>
      <c r="CA21" s="825">
        <f t="shared" si="14"/>
        <v>0</v>
      </c>
    </row>
    <row r="22" spans="1:79" s="221" customFormat="1" ht="12.75" customHeight="1" x14ac:dyDescent="0.2">
      <c r="A22" s="223">
        <v>4</v>
      </c>
      <c r="B22" s="224">
        <v>3462</v>
      </c>
      <c r="C22" s="224">
        <v>691001294</v>
      </c>
      <c r="D22" s="224">
        <v>72048115</v>
      </c>
      <c r="E22" s="225" t="s">
        <v>14</v>
      </c>
      <c r="F22" s="224">
        <v>3111</v>
      </c>
      <c r="G22" s="225" t="s">
        <v>290</v>
      </c>
      <c r="H22" s="226" t="s">
        <v>271</v>
      </c>
      <c r="I22" s="420">
        <v>5247104</v>
      </c>
      <c r="J22" s="415">
        <v>3830801</v>
      </c>
      <c r="K22" s="415">
        <v>3478140</v>
      </c>
      <c r="L22" s="415">
        <v>352661</v>
      </c>
      <c r="M22" s="415">
        <v>49000</v>
      </c>
      <c r="N22" s="415">
        <v>49000</v>
      </c>
      <c r="O22" s="415">
        <v>0</v>
      </c>
      <c r="P22" s="68">
        <v>1311373</v>
      </c>
      <c r="Q22" s="68">
        <v>38308</v>
      </c>
      <c r="R22" s="415">
        <v>17622</v>
      </c>
      <c r="S22" s="416">
        <v>7.1200999999999999</v>
      </c>
      <c r="T22" s="417">
        <v>5.92</v>
      </c>
      <c r="U22" s="423">
        <v>1.2000999999999999</v>
      </c>
      <c r="V22" s="424">
        <f t="shared" ref="V22:W24" si="15">AG22*-1</f>
        <v>0</v>
      </c>
      <c r="W22" s="418">
        <f t="shared" si="15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ref="AO22:AP24" si="16">AD22+AL22</f>
        <v>0</v>
      </c>
      <c r="AP22" s="418">
        <f t="shared" si="16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5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6">
        <v>0</v>
      </c>
      <c r="BC22" s="93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780">
        <f>I22+AW22</f>
        <v>5247104</v>
      </c>
      <c r="BJ22" s="418">
        <f>J22+AF22</f>
        <v>3830801</v>
      </c>
      <c r="BK22" s="418">
        <f t="shared" ref="BK22:BL24" si="17">K22+AD22</f>
        <v>3478140</v>
      </c>
      <c r="BL22" s="418">
        <f t="shared" si="17"/>
        <v>352661</v>
      </c>
      <c r="BM22" s="418">
        <f>M22+AN22</f>
        <v>49000</v>
      </c>
      <c r="BN22" s="418">
        <f t="shared" ref="BN22:BO24" si="18">N22+AL22</f>
        <v>49000</v>
      </c>
      <c r="BO22" s="418">
        <f t="shared" si="18"/>
        <v>0</v>
      </c>
      <c r="BP22" s="418">
        <f t="shared" ref="BP22:BQ24" si="19">P22+AR22</f>
        <v>1311373</v>
      </c>
      <c r="BQ22" s="418">
        <f t="shared" si="19"/>
        <v>38308</v>
      </c>
      <c r="BR22" s="418">
        <f>R22+AV22</f>
        <v>17622</v>
      </c>
      <c r="BS22" s="419">
        <f>S22+BH22</f>
        <v>7.1200999999999999</v>
      </c>
      <c r="BT22" s="419">
        <f t="shared" ref="BT22:BU24" si="20">T22+BF22</f>
        <v>5.92</v>
      </c>
      <c r="BU22" s="421">
        <f t="shared" si="20"/>
        <v>1.2000999999999999</v>
      </c>
      <c r="BV22" s="420"/>
      <c r="BW22" s="415"/>
      <c r="BX22" s="415"/>
      <c r="BY22" s="415"/>
      <c r="BZ22" s="415"/>
      <c r="CA22" s="510"/>
    </row>
    <row r="23" spans="1:79" s="221" customFormat="1" ht="12.75" customHeight="1" x14ac:dyDescent="0.2">
      <c r="A23" s="223">
        <v>4</v>
      </c>
      <c r="B23" s="224">
        <v>3462</v>
      </c>
      <c r="C23" s="224">
        <v>691001294</v>
      </c>
      <c r="D23" s="224">
        <v>72048115</v>
      </c>
      <c r="E23" s="225" t="s">
        <v>14</v>
      </c>
      <c r="F23" s="224">
        <v>3111</v>
      </c>
      <c r="G23" s="225" t="s">
        <v>291</v>
      </c>
      <c r="H23" s="226" t="s">
        <v>272</v>
      </c>
      <c r="I23" s="420">
        <v>0</v>
      </c>
      <c r="J23" s="415">
        <v>0</v>
      </c>
      <c r="K23" s="415">
        <v>0</v>
      </c>
      <c r="L23" s="415">
        <v>0</v>
      </c>
      <c r="M23" s="415">
        <v>0</v>
      </c>
      <c r="N23" s="415">
        <v>0</v>
      </c>
      <c r="O23" s="415">
        <v>0</v>
      </c>
      <c r="P23" s="68">
        <v>0</v>
      </c>
      <c r="Q23" s="68">
        <v>0</v>
      </c>
      <c r="R23" s="415">
        <v>0</v>
      </c>
      <c r="S23" s="416">
        <v>0</v>
      </c>
      <c r="T23" s="417">
        <v>0</v>
      </c>
      <c r="U23" s="423">
        <v>0</v>
      </c>
      <c r="V23" s="424">
        <f t="shared" si="15"/>
        <v>0</v>
      </c>
      <c r="W23" s="418">
        <f t="shared" si="15"/>
        <v>0</v>
      </c>
      <c r="X23" s="418">
        <v>0</v>
      </c>
      <c r="Y23" s="418">
        <v>0</v>
      </c>
      <c r="Z23" s="418">
        <v>0</v>
      </c>
      <c r="AA23" s="418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6"/>
        <v>0</v>
      </c>
      <c r="AP23" s="418">
        <f t="shared" si="1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5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6">
        <v>0</v>
      </c>
      <c r="BC23" s="93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780">
        <f>I23+AW23</f>
        <v>0</v>
      </c>
      <c r="BJ23" s="418">
        <f>J23+AF23</f>
        <v>0</v>
      </c>
      <c r="BK23" s="418">
        <f t="shared" si="17"/>
        <v>0</v>
      </c>
      <c r="BL23" s="418">
        <f t="shared" si="17"/>
        <v>0</v>
      </c>
      <c r="BM23" s="418">
        <f>M23+AN23</f>
        <v>0</v>
      </c>
      <c r="BN23" s="418">
        <f t="shared" si="18"/>
        <v>0</v>
      </c>
      <c r="BO23" s="418">
        <f t="shared" si="18"/>
        <v>0</v>
      </c>
      <c r="BP23" s="418">
        <f t="shared" si="19"/>
        <v>0</v>
      </c>
      <c r="BQ23" s="418">
        <f t="shared" si="19"/>
        <v>0</v>
      </c>
      <c r="BR23" s="418">
        <f>R23+AV23</f>
        <v>0</v>
      </c>
      <c r="BS23" s="419">
        <f>S23+BH23</f>
        <v>0</v>
      </c>
      <c r="BT23" s="419">
        <f t="shared" si="20"/>
        <v>0</v>
      </c>
      <c r="BU23" s="421">
        <f t="shared" si="20"/>
        <v>0</v>
      </c>
      <c r="BV23" s="420"/>
      <c r="BW23" s="415"/>
      <c r="BX23" s="415"/>
      <c r="BY23" s="415"/>
      <c r="BZ23" s="415"/>
      <c r="CA23" s="510"/>
    </row>
    <row r="24" spans="1:79" s="221" customFormat="1" ht="12.75" customHeight="1" x14ac:dyDescent="0.2">
      <c r="A24" s="223">
        <v>4</v>
      </c>
      <c r="B24" s="224">
        <v>3462</v>
      </c>
      <c r="C24" s="224">
        <v>691001294</v>
      </c>
      <c r="D24" s="224">
        <v>72048115</v>
      </c>
      <c r="E24" s="225" t="s">
        <v>14</v>
      </c>
      <c r="F24" s="224">
        <v>3141</v>
      </c>
      <c r="G24" s="225" t="s">
        <v>294</v>
      </c>
      <c r="H24" s="226" t="s">
        <v>272</v>
      </c>
      <c r="I24" s="420">
        <v>559728</v>
      </c>
      <c r="J24" s="415">
        <v>413515</v>
      </c>
      <c r="K24" s="415">
        <v>0</v>
      </c>
      <c r="L24" s="415">
        <v>413515</v>
      </c>
      <c r="M24" s="415">
        <v>0</v>
      </c>
      <c r="N24" s="415">
        <v>0</v>
      </c>
      <c r="O24" s="415">
        <v>0</v>
      </c>
      <c r="P24" s="68">
        <v>139768</v>
      </c>
      <c r="Q24" s="68">
        <v>4135</v>
      </c>
      <c r="R24" s="415">
        <v>2310</v>
      </c>
      <c r="S24" s="416">
        <v>1.24</v>
      </c>
      <c r="T24" s="417">
        <v>0</v>
      </c>
      <c r="U24" s="423">
        <v>1.24</v>
      </c>
      <c r="V24" s="424">
        <f t="shared" si="15"/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605">
        <v>206748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206748</v>
      </c>
      <c r="AF24" s="418">
        <f>SUM(AD24:AE24)</f>
        <v>206748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6"/>
        <v>0</v>
      </c>
      <c r="AP24" s="418">
        <f t="shared" si="16"/>
        <v>206748</v>
      </c>
      <c r="AQ24" s="418">
        <f>SUM(AO24:AP24)</f>
        <v>206748</v>
      </c>
      <c r="AR24" s="68">
        <f>ROUND((AF24+AG24+AH24+AI24)*33.8%,0)</f>
        <v>69881</v>
      </c>
      <c r="AS24" s="68">
        <f>ROUND(AF24*1%,0)</f>
        <v>2067</v>
      </c>
      <c r="AT24" s="418">
        <v>0</v>
      </c>
      <c r="AU24" s="605">
        <v>1122</v>
      </c>
      <c r="AV24" s="418">
        <f>AT24+AU24</f>
        <v>1122</v>
      </c>
      <c r="AW24" s="418">
        <f>AQ24+AR24+AS24+AV24</f>
        <v>279818</v>
      </c>
      <c r="AX24" s="419">
        <v>0</v>
      </c>
      <c r="AY24" s="419">
        <v>0</v>
      </c>
      <c r="AZ24" s="419">
        <v>0</v>
      </c>
      <c r="BA24" s="419">
        <v>0</v>
      </c>
      <c r="BB24" s="607">
        <v>0.62000000000000011</v>
      </c>
      <c r="BC24" s="93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0.62000000000000011</v>
      </c>
      <c r="BH24" s="421">
        <f>SUM(BF24:BG24)</f>
        <v>0.62000000000000011</v>
      </c>
      <c r="BI24" s="780">
        <f>I24+AW24</f>
        <v>839546</v>
      </c>
      <c r="BJ24" s="418">
        <f>J24+AF24</f>
        <v>620263</v>
      </c>
      <c r="BK24" s="418">
        <f t="shared" si="17"/>
        <v>0</v>
      </c>
      <c r="BL24" s="418">
        <f t="shared" si="17"/>
        <v>620263</v>
      </c>
      <c r="BM24" s="418">
        <f>M24+AN24</f>
        <v>0</v>
      </c>
      <c r="BN24" s="418">
        <f t="shared" si="18"/>
        <v>0</v>
      </c>
      <c r="BO24" s="418">
        <f t="shared" si="18"/>
        <v>0</v>
      </c>
      <c r="BP24" s="418">
        <f t="shared" si="19"/>
        <v>209649</v>
      </c>
      <c r="BQ24" s="418">
        <f t="shared" si="19"/>
        <v>6202</v>
      </c>
      <c r="BR24" s="418">
        <f>R24+AV24</f>
        <v>3432</v>
      </c>
      <c r="BS24" s="419">
        <f>S24+BH24</f>
        <v>1.86</v>
      </c>
      <c r="BT24" s="419">
        <f t="shared" si="20"/>
        <v>0</v>
      </c>
      <c r="BU24" s="421">
        <f t="shared" si="20"/>
        <v>1.86</v>
      </c>
      <c r="BV24" s="420"/>
      <c r="BW24" s="415"/>
      <c r="BX24" s="415"/>
      <c r="BY24" s="415"/>
      <c r="BZ24" s="415"/>
      <c r="CA24" s="510"/>
    </row>
    <row r="25" spans="1:79" s="221" customFormat="1" ht="12.75" customHeight="1" x14ac:dyDescent="0.2">
      <c r="A25" s="153">
        <v>4</v>
      </c>
      <c r="B25" s="14">
        <v>3462</v>
      </c>
      <c r="C25" s="152">
        <v>691001294</v>
      </c>
      <c r="D25" s="152">
        <v>72048115</v>
      </c>
      <c r="E25" s="222" t="s">
        <v>15</v>
      </c>
      <c r="F25" s="14"/>
      <c r="G25" s="222"/>
      <c r="H25" s="560"/>
      <c r="I25" s="505">
        <v>5806832</v>
      </c>
      <c r="J25" s="504">
        <v>4244316</v>
      </c>
      <c r="K25" s="504">
        <v>3478140</v>
      </c>
      <c r="L25" s="504">
        <v>766176</v>
      </c>
      <c r="M25" s="504">
        <v>49000</v>
      </c>
      <c r="N25" s="504">
        <v>49000</v>
      </c>
      <c r="O25" s="504">
        <v>0</v>
      </c>
      <c r="P25" s="504">
        <v>1451141</v>
      </c>
      <c r="Q25" s="504">
        <v>42443</v>
      </c>
      <c r="R25" s="504">
        <v>19932</v>
      </c>
      <c r="S25" s="544">
        <v>8.3600999999999992</v>
      </c>
      <c r="T25" s="544">
        <v>5.92</v>
      </c>
      <c r="U25" s="401">
        <v>2.4401000000000002</v>
      </c>
      <c r="V25" s="505">
        <f t="shared" ref="V25:CA25" si="21">SUM(V22:V24)</f>
        <v>0</v>
      </c>
      <c r="W25" s="504">
        <f t="shared" si="21"/>
        <v>0</v>
      </c>
      <c r="X25" s="504">
        <f t="shared" si="21"/>
        <v>0</v>
      </c>
      <c r="Y25" s="504">
        <f t="shared" si="21"/>
        <v>0</v>
      </c>
      <c r="Z25" s="504">
        <f t="shared" si="21"/>
        <v>0</v>
      </c>
      <c r="AA25" s="575">
        <f t="shared" si="21"/>
        <v>206748</v>
      </c>
      <c r="AB25" s="504">
        <f t="shared" si="21"/>
        <v>0</v>
      </c>
      <c r="AC25" s="504">
        <f t="shared" si="21"/>
        <v>0</v>
      </c>
      <c r="AD25" s="504">
        <f t="shared" si="21"/>
        <v>0</v>
      </c>
      <c r="AE25" s="504">
        <f t="shared" si="21"/>
        <v>206748</v>
      </c>
      <c r="AF25" s="504">
        <f t="shared" si="21"/>
        <v>206748</v>
      </c>
      <c r="AG25" s="504">
        <f t="shared" si="21"/>
        <v>0</v>
      </c>
      <c r="AH25" s="504">
        <f t="shared" si="21"/>
        <v>0</v>
      </c>
      <c r="AI25" s="504">
        <f t="shared" si="21"/>
        <v>0</v>
      </c>
      <c r="AJ25" s="504">
        <f t="shared" si="21"/>
        <v>0</v>
      </c>
      <c r="AK25" s="504">
        <f t="shared" si="21"/>
        <v>0</v>
      </c>
      <c r="AL25" s="504">
        <f t="shared" si="21"/>
        <v>0</v>
      </c>
      <c r="AM25" s="504">
        <f t="shared" si="21"/>
        <v>0</v>
      </c>
      <c r="AN25" s="504">
        <f t="shared" si="21"/>
        <v>0</v>
      </c>
      <c r="AO25" s="504">
        <f t="shared" si="21"/>
        <v>0</v>
      </c>
      <c r="AP25" s="504">
        <f t="shared" si="21"/>
        <v>206748</v>
      </c>
      <c r="AQ25" s="504">
        <f t="shared" si="21"/>
        <v>206748</v>
      </c>
      <c r="AR25" s="504">
        <f t="shared" si="21"/>
        <v>69881</v>
      </c>
      <c r="AS25" s="504">
        <f t="shared" si="21"/>
        <v>2067</v>
      </c>
      <c r="AT25" s="504">
        <f t="shared" si="21"/>
        <v>0</v>
      </c>
      <c r="AU25" s="504">
        <f t="shared" si="21"/>
        <v>1122</v>
      </c>
      <c r="AV25" s="504">
        <f t="shared" si="21"/>
        <v>1122</v>
      </c>
      <c r="AW25" s="504">
        <f t="shared" si="21"/>
        <v>279818</v>
      </c>
      <c r="AX25" s="544">
        <f t="shared" si="21"/>
        <v>0</v>
      </c>
      <c r="AY25" s="544">
        <f t="shared" si="21"/>
        <v>0</v>
      </c>
      <c r="AZ25" s="544">
        <f t="shared" si="21"/>
        <v>0</v>
      </c>
      <c r="BA25" s="544">
        <f t="shared" si="21"/>
        <v>0</v>
      </c>
      <c r="BB25" s="544">
        <f t="shared" si="21"/>
        <v>0.62000000000000011</v>
      </c>
      <c r="BC25" s="938">
        <f t="shared" si="21"/>
        <v>0</v>
      </c>
      <c r="BD25" s="544">
        <f t="shared" si="21"/>
        <v>0</v>
      </c>
      <c r="BE25" s="544">
        <f t="shared" si="21"/>
        <v>0</v>
      </c>
      <c r="BF25" s="544">
        <f t="shared" si="21"/>
        <v>0</v>
      </c>
      <c r="BG25" s="544">
        <f t="shared" si="21"/>
        <v>0.62000000000000011</v>
      </c>
      <c r="BH25" s="442">
        <f t="shared" si="21"/>
        <v>0.62000000000000011</v>
      </c>
      <c r="BI25" s="806">
        <f t="shared" si="21"/>
        <v>6086650</v>
      </c>
      <c r="BJ25" s="504">
        <f t="shared" si="21"/>
        <v>4451064</v>
      </c>
      <c r="BK25" s="504">
        <f t="shared" si="21"/>
        <v>3478140</v>
      </c>
      <c r="BL25" s="504">
        <f t="shared" si="21"/>
        <v>972924</v>
      </c>
      <c r="BM25" s="504">
        <f t="shared" si="21"/>
        <v>49000</v>
      </c>
      <c r="BN25" s="504">
        <f t="shared" si="21"/>
        <v>49000</v>
      </c>
      <c r="BO25" s="504">
        <f t="shared" si="21"/>
        <v>0</v>
      </c>
      <c r="BP25" s="504">
        <f t="shared" si="21"/>
        <v>1521022</v>
      </c>
      <c r="BQ25" s="504">
        <f t="shared" si="21"/>
        <v>44510</v>
      </c>
      <c r="BR25" s="504">
        <f t="shared" si="21"/>
        <v>21054</v>
      </c>
      <c r="BS25" s="544">
        <f t="shared" si="21"/>
        <v>8.9801000000000002</v>
      </c>
      <c r="BT25" s="544">
        <f t="shared" si="21"/>
        <v>5.92</v>
      </c>
      <c r="BU25" s="442">
        <f t="shared" si="21"/>
        <v>3.0601000000000003</v>
      </c>
      <c r="BV25" s="824">
        <f t="shared" si="21"/>
        <v>0</v>
      </c>
      <c r="BW25" s="710">
        <f t="shared" si="21"/>
        <v>0</v>
      </c>
      <c r="BX25" s="710">
        <f t="shared" si="21"/>
        <v>0</v>
      </c>
      <c r="BY25" s="710">
        <f t="shared" si="21"/>
        <v>0</v>
      </c>
      <c r="BZ25" s="710">
        <f t="shared" si="21"/>
        <v>0</v>
      </c>
      <c r="CA25" s="825">
        <f t="shared" si="21"/>
        <v>0</v>
      </c>
    </row>
    <row r="26" spans="1:79" s="221" customFormat="1" ht="12.75" customHeight="1" x14ac:dyDescent="0.2">
      <c r="A26" s="223">
        <v>5</v>
      </c>
      <c r="B26" s="224">
        <v>3464</v>
      </c>
      <c r="C26" s="224">
        <v>691001316</v>
      </c>
      <c r="D26" s="224">
        <v>72048140</v>
      </c>
      <c r="E26" s="225" t="s">
        <v>16</v>
      </c>
      <c r="F26" s="224">
        <v>3111</v>
      </c>
      <c r="G26" s="225" t="s">
        <v>290</v>
      </c>
      <c r="H26" s="226" t="s">
        <v>271</v>
      </c>
      <c r="I26" s="420">
        <v>6938426</v>
      </c>
      <c r="J26" s="415">
        <v>5091455</v>
      </c>
      <c r="K26" s="415">
        <v>4640453</v>
      </c>
      <c r="L26" s="415">
        <v>451002</v>
      </c>
      <c r="M26" s="415">
        <v>39200</v>
      </c>
      <c r="N26" s="415">
        <v>20000</v>
      </c>
      <c r="O26" s="415">
        <v>19200</v>
      </c>
      <c r="P26" s="68">
        <v>1734161</v>
      </c>
      <c r="Q26" s="68">
        <v>50915</v>
      </c>
      <c r="R26" s="415">
        <v>22695</v>
      </c>
      <c r="S26" s="416">
        <v>9.5200999999999993</v>
      </c>
      <c r="T26" s="417">
        <v>8</v>
      </c>
      <c r="U26" s="423">
        <v>1.5200999999999998</v>
      </c>
      <c r="V26" s="424">
        <f t="shared" ref="V26:W28" si="22">AG26*-1</f>
        <v>0</v>
      </c>
      <c r="W26" s="418">
        <f t="shared" si="22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ref="AO26:AP28" si="23">AD26+AL26</f>
        <v>0</v>
      </c>
      <c r="AP26" s="418">
        <f t="shared" si="23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5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6">
        <v>0</v>
      </c>
      <c r="BC26" s="93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780">
        <f>I26+AW26</f>
        <v>6938426</v>
      </c>
      <c r="BJ26" s="418">
        <f>J26+AF26</f>
        <v>5091455</v>
      </c>
      <c r="BK26" s="418">
        <f t="shared" ref="BK26:BL28" si="24">K26+AD26</f>
        <v>4640453</v>
      </c>
      <c r="BL26" s="418">
        <f t="shared" si="24"/>
        <v>451002</v>
      </c>
      <c r="BM26" s="418">
        <f>M26+AN26</f>
        <v>39200</v>
      </c>
      <c r="BN26" s="418">
        <f t="shared" ref="BN26:BO28" si="25">N26+AL26</f>
        <v>20000</v>
      </c>
      <c r="BO26" s="418">
        <f t="shared" si="25"/>
        <v>19200</v>
      </c>
      <c r="BP26" s="418">
        <f t="shared" ref="BP26:BQ28" si="26">P26+AR26</f>
        <v>1734161</v>
      </c>
      <c r="BQ26" s="418">
        <f t="shared" si="26"/>
        <v>50915</v>
      </c>
      <c r="BR26" s="418">
        <f>R26+AV26</f>
        <v>22695</v>
      </c>
      <c r="BS26" s="419">
        <f>S26+BH26</f>
        <v>9.5200999999999993</v>
      </c>
      <c r="BT26" s="419">
        <f t="shared" ref="BT26:BU28" si="27">T26+BF26</f>
        <v>8</v>
      </c>
      <c r="BU26" s="421">
        <f t="shared" si="27"/>
        <v>1.5200999999999998</v>
      </c>
      <c r="BV26" s="420"/>
      <c r="BW26" s="415"/>
      <c r="BX26" s="415"/>
      <c r="BY26" s="415"/>
      <c r="BZ26" s="415"/>
      <c r="CA26" s="510"/>
    </row>
    <row r="27" spans="1:79" s="221" customFormat="1" ht="12.75" customHeight="1" x14ac:dyDescent="0.2">
      <c r="A27" s="223">
        <v>5</v>
      </c>
      <c r="B27" s="224">
        <v>3464</v>
      </c>
      <c r="C27" s="224">
        <v>691001316</v>
      </c>
      <c r="D27" s="224">
        <v>72048140</v>
      </c>
      <c r="E27" s="225" t="s">
        <v>16</v>
      </c>
      <c r="F27" s="224">
        <v>3111</v>
      </c>
      <c r="G27" s="225" t="s">
        <v>291</v>
      </c>
      <c r="H27" s="226" t="s">
        <v>272</v>
      </c>
      <c r="I27" s="420">
        <v>728934</v>
      </c>
      <c r="J27" s="415">
        <v>540752</v>
      </c>
      <c r="K27" s="415">
        <v>540752</v>
      </c>
      <c r="L27" s="415">
        <v>0</v>
      </c>
      <c r="M27" s="415">
        <v>0</v>
      </c>
      <c r="N27" s="415">
        <v>0</v>
      </c>
      <c r="O27" s="415">
        <v>0</v>
      </c>
      <c r="P27" s="68">
        <v>182774</v>
      </c>
      <c r="Q27" s="68">
        <v>5408</v>
      </c>
      <c r="R27" s="415">
        <v>0</v>
      </c>
      <c r="S27" s="416">
        <v>1.46</v>
      </c>
      <c r="T27" s="417">
        <v>1.46</v>
      </c>
      <c r="U27" s="423">
        <v>0</v>
      </c>
      <c r="V27" s="424">
        <f t="shared" si="22"/>
        <v>0</v>
      </c>
      <c r="W27" s="418">
        <f t="shared" si="22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0</v>
      </c>
      <c r="AF27" s="418">
        <f>SUM(AD27:AE27)</f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23"/>
        <v>0</v>
      </c>
      <c r="AP27" s="418">
        <f t="shared" si="23"/>
        <v>0</v>
      </c>
      <c r="AQ27" s="418">
        <f>SUM(AO27:AP27)</f>
        <v>0</v>
      </c>
      <c r="AR27" s="68">
        <f>ROUND((AF27+AG27+AH27+AI27)*33.8%,0)</f>
        <v>0</v>
      </c>
      <c r="AS27" s="68">
        <f>ROUND(AF27*1%,0)</f>
        <v>0</v>
      </c>
      <c r="AT27" s="418">
        <v>0</v>
      </c>
      <c r="AU27" s="415">
        <v>0</v>
      </c>
      <c r="AV27" s="418">
        <f>AT27+AU27</f>
        <v>0</v>
      </c>
      <c r="AW27" s="418">
        <f>AQ27+AR27+AS27+AV27</f>
        <v>0</v>
      </c>
      <c r="AX27" s="419">
        <v>0</v>
      </c>
      <c r="AY27" s="419">
        <v>0</v>
      </c>
      <c r="AZ27" s="419">
        <v>0</v>
      </c>
      <c r="BA27" s="419">
        <v>0</v>
      </c>
      <c r="BB27" s="416">
        <v>0</v>
      </c>
      <c r="BC27" s="93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</v>
      </c>
      <c r="BH27" s="421">
        <f>SUM(BF27:BG27)</f>
        <v>0</v>
      </c>
      <c r="BI27" s="780">
        <f>I27+AW27</f>
        <v>728934</v>
      </c>
      <c r="BJ27" s="418">
        <f>J27+AF27</f>
        <v>540752</v>
      </c>
      <c r="BK27" s="418">
        <f t="shared" si="24"/>
        <v>540752</v>
      </c>
      <c r="BL27" s="418">
        <f t="shared" si="24"/>
        <v>0</v>
      </c>
      <c r="BM27" s="418">
        <f>M27+AN27</f>
        <v>0</v>
      </c>
      <c r="BN27" s="418">
        <f t="shared" si="25"/>
        <v>0</v>
      </c>
      <c r="BO27" s="418">
        <f t="shared" si="25"/>
        <v>0</v>
      </c>
      <c r="BP27" s="418">
        <f t="shared" si="26"/>
        <v>182774</v>
      </c>
      <c r="BQ27" s="418">
        <f t="shared" si="26"/>
        <v>5408</v>
      </c>
      <c r="BR27" s="418">
        <f>R27+AV27</f>
        <v>0</v>
      </c>
      <c r="BS27" s="419">
        <f>S27+BH27</f>
        <v>1.46</v>
      </c>
      <c r="BT27" s="419">
        <f t="shared" si="27"/>
        <v>1.46</v>
      </c>
      <c r="BU27" s="421">
        <f t="shared" si="27"/>
        <v>0</v>
      </c>
      <c r="BV27" s="420"/>
      <c r="BW27" s="415"/>
      <c r="BX27" s="415"/>
      <c r="BY27" s="415"/>
      <c r="BZ27" s="415"/>
      <c r="CA27" s="510"/>
    </row>
    <row r="28" spans="1:79" s="221" customFormat="1" ht="12.75" customHeight="1" x14ac:dyDescent="0.2">
      <c r="A28" s="223">
        <v>5</v>
      </c>
      <c r="B28" s="224">
        <v>3464</v>
      </c>
      <c r="C28" s="224">
        <v>691001316</v>
      </c>
      <c r="D28" s="224">
        <v>72048140</v>
      </c>
      <c r="E28" s="225" t="s">
        <v>16</v>
      </c>
      <c r="F28" s="224">
        <v>3141</v>
      </c>
      <c r="G28" s="225" t="s">
        <v>294</v>
      </c>
      <c r="H28" s="226" t="s">
        <v>272</v>
      </c>
      <c r="I28" s="420">
        <v>659156</v>
      </c>
      <c r="J28" s="415">
        <v>476881</v>
      </c>
      <c r="K28" s="415">
        <v>0</v>
      </c>
      <c r="L28" s="415">
        <v>476881</v>
      </c>
      <c r="M28" s="415">
        <v>10000</v>
      </c>
      <c r="N28" s="415">
        <v>0</v>
      </c>
      <c r="O28" s="415">
        <v>10000</v>
      </c>
      <c r="P28" s="68">
        <v>164566</v>
      </c>
      <c r="Q28" s="68">
        <v>4769</v>
      </c>
      <c r="R28" s="415">
        <v>2940</v>
      </c>
      <c r="S28" s="416">
        <v>1.46</v>
      </c>
      <c r="T28" s="417">
        <v>0</v>
      </c>
      <c r="U28" s="423">
        <v>1.46</v>
      </c>
      <c r="V28" s="424">
        <f t="shared" si="22"/>
        <v>0</v>
      </c>
      <c r="W28" s="418">
        <f t="shared" si="22"/>
        <v>0</v>
      </c>
      <c r="X28" s="418">
        <v>0</v>
      </c>
      <c r="Y28" s="418">
        <v>0</v>
      </c>
      <c r="Z28" s="418">
        <v>0</v>
      </c>
      <c r="AA28" s="605">
        <v>243641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243641</v>
      </c>
      <c r="AF28" s="418">
        <f>SUM(AD28:AE28)</f>
        <v>243641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23"/>
        <v>0</v>
      </c>
      <c r="AP28" s="418">
        <f t="shared" si="23"/>
        <v>243641</v>
      </c>
      <c r="AQ28" s="418">
        <f>SUM(AO28:AP28)</f>
        <v>243641</v>
      </c>
      <c r="AR28" s="68">
        <f>ROUND((AF28+AG28+AH28+AI28)*33.8%,0)</f>
        <v>82351</v>
      </c>
      <c r="AS28" s="68">
        <f>ROUND(AF28*1%,0)</f>
        <v>2436</v>
      </c>
      <c r="AT28" s="418">
        <v>0</v>
      </c>
      <c r="AU28" s="605">
        <v>1428</v>
      </c>
      <c r="AV28" s="418">
        <f>AT28+AU28</f>
        <v>1428</v>
      </c>
      <c r="AW28" s="418">
        <f>AQ28+AR28+AS28+AV28</f>
        <v>329856</v>
      </c>
      <c r="AX28" s="419">
        <v>0</v>
      </c>
      <c r="AY28" s="419">
        <v>0</v>
      </c>
      <c r="AZ28" s="419">
        <v>0</v>
      </c>
      <c r="BA28" s="419">
        <v>0</v>
      </c>
      <c r="BB28" s="607">
        <v>0.73</v>
      </c>
      <c r="BC28" s="93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0.73</v>
      </c>
      <c r="BH28" s="421">
        <f>SUM(BF28:BG28)</f>
        <v>0.73</v>
      </c>
      <c r="BI28" s="780">
        <f>I28+AW28</f>
        <v>989012</v>
      </c>
      <c r="BJ28" s="418">
        <f>J28+AF28</f>
        <v>720522</v>
      </c>
      <c r="BK28" s="418">
        <f t="shared" si="24"/>
        <v>0</v>
      </c>
      <c r="BL28" s="418">
        <f t="shared" si="24"/>
        <v>720522</v>
      </c>
      <c r="BM28" s="418">
        <f>M28+AN28</f>
        <v>10000</v>
      </c>
      <c r="BN28" s="418">
        <f t="shared" si="25"/>
        <v>0</v>
      </c>
      <c r="BO28" s="418">
        <f t="shared" si="25"/>
        <v>10000</v>
      </c>
      <c r="BP28" s="418">
        <f t="shared" si="26"/>
        <v>246917</v>
      </c>
      <c r="BQ28" s="418">
        <f t="shared" si="26"/>
        <v>7205</v>
      </c>
      <c r="BR28" s="418">
        <f>R28+AV28</f>
        <v>4368</v>
      </c>
      <c r="BS28" s="419">
        <f>S28+BH28</f>
        <v>2.19</v>
      </c>
      <c r="BT28" s="419">
        <f t="shared" si="27"/>
        <v>0</v>
      </c>
      <c r="BU28" s="421">
        <f t="shared" si="27"/>
        <v>2.19</v>
      </c>
      <c r="BV28" s="420"/>
      <c r="BW28" s="415"/>
      <c r="BX28" s="415"/>
      <c r="BY28" s="415"/>
      <c r="BZ28" s="415"/>
      <c r="CA28" s="510"/>
    </row>
    <row r="29" spans="1:79" s="221" customFormat="1" ht="12.75" customHeight="1" x14ac:dyDescent="0.2">
      <c r="A29" s="153">
        <v>5</v>
      </c>
      <c r="B29" s="14">
        <v>3464</v>
      </c>
      <c r="C29" s="152">
        <v>691001316</v>
      </c>
      <c r="D29" s="152">
        <v>72048140</v>
      </c>
      <c r="E29" s="222" t="s">
        <v>17</v>
      </c>
      <c r="F29" s="14"/>
      <c r="G29" s="222"/>
      <c r="H29" s="560"/>
      <c r="I29" s="505">
        <v>8326516</v>
      </c>
      <c r="J29" s="504">
        <v>6109088</v>
      </c>
      <c r="K29" s="504">
        <v>5181205</v>
      </c>
      <c r="L29" s="504">
        <v>927883</v>
      </c>
      <c r="M29" s="504">
        <v>49200</v>
      </c>
      <c r="N29" s="504">
        <v>20000</v>
      </c>
      <c r="O29" s="504">
        <v>29200</v>
      </c>
      <c r="P29" s="504">
        <v>2081501</v>
      </c>
      <c r="Q29" s="504">
        <v>61092</v>
      </c>
      <c r="R29" s="504">
        <v>25635</v>
      </c>
      <c r="S29" s="544">
        <v>12.440100000000001</v>
      </c>
      <c r="T29" s="544">
        <v>9.4600000000000009</v>
      </c>
      <c r="U29" s="401">
        <v>2.9800999999999997</v>
      </c>
      <c r="V29" s="505">
        <f t="shared" ref="V29:CA29" si="28">SUM(V26:V28)</f>
        <v>0</v>
      </c>
      <c r="W29" s="504">
        <f t="shared" si="28"/>
        <v>0</v>
      </c>
      <c r="X29" s="504">
        <f t="shared" si="28"/>
        <v>0</v>
      </c>
      <c r="Y29" s="504">
        <f t="shared" si="28"/>
        <v>0</v>
      </c>
      <c r="Z29" s="504">
        <f t="shared" si="28"/>
        <v>0</v>
      </c>
      <c r="AA29" s="575">
        <f t="shared" si="28"/>
        <v>243641</v>
      </c>
      <c r="AB29" s="504">
        <f t="shared" si="28"/>
        <v>0</v>
      </c>
      <c r="AC29" s="504">
        <f t="shared" si="28"/>
        <v>0</v>
      </c>
      <c r="AD29" s="504">
        <f t="shared" si="28"/>
        <v>0</v>
      </c>
      <c r="AE29" s="504">
        <f t="shared" si="28"/>
        <v>243641</v>
      </c>
      <c r="AF29" s="504">
        <f t="shared" si="28"/>
        <v>243641</v>
      </c>
      <c r="AG29" s="504">
        <f t="shared" si="28"/>
        <v>0</v>
      </c>
      <c r="AH29" s="504">
        <f t="shared" si="28"/>
        <v>0</v>
      </c>
      <c r="AI29" s="504">
        <f t="shared" si="28"/>
        <v>0</v>
      </c>
      <c r="AJ29" s="504">
        <f t="shared" si="28"/>
        <v>0</v>
      </c>
      <c r="AK29" s="504">
        <f t="shared" si="28"/>
        <v>0</v>
      </c>
      <c r="AL29" s="504">
        <f t="shared" si="28"/>
        <v>0</v>
      </c>
      <c r="AM29" s="504">
        <f t="shared" si="28"/>
        <v>0</v>
      </c>
      <c r="AN29" s="504">
        <f t="shared" si="28"/>
        <v>0</v>
      </c>
      <c r="AO29" s="504">
        <f t="shared" si="28"/>
        <v>0</v>
      </c>
      <c r="AP29" s="504">
        <f t="shared" si="28"/>
        <v>243641</v>
      </c>
      <c r="AQ29" s="504">
        <f t="shared" si="28"/>
        <v>243641</v>
      </c>
      <c r="AR29" s="504">
        <f t="shared" si="28"/>
        <v>82351</v>
      </c>
      <c r="AS29" s="504">
        <f t="shared" si="28"/>
        <v>2436</v>
      </c>
      <c r="AT29" s="504">
        <f t="shared" si="28"/>
        <v>0</v>
      </c>
      <c r="AU29" s="504">
        <f t="shared" si="28"/>
        <v>1428</v>
      </c>
      <c r="AV29" s="504">
        <f t="shared" si="28"/>
        <v>1428</v>
      </c>
      <c r="AW29" s="504">
        <f t="shared" si="28"/>
        <v>329856</v>
      </c>
      <c r="AX29" s="544">
        <f t="shared" si="28"/>
        <v>0</v>
      </c>
      <c r="AY29" s="544">
        <f t="shared" si="28"/>
        <v>0</v>
      </c>
      <c r="AZ29" s="544">
        <f t="shared" si="28"/>
        <v>0</v>
      </c>
      <c r="BA29" s="544">
        <f t="shared" si="28"/>
        <v>0</v>
      </c>
      <c r="BB29" s="544">
        <f t="shared" si="28"/>
        <v>0.73</v>
      </c>
      <c r="BC29" s="938">
        <f t="shared" si="28"/>
        <v>0</v>
      </c>
      <c r="BD29" s="544">
        <f t="shared" si="28"/>
        <v>0</v>
      </c>
      <c r="BE29" s="544">
        <f t="shared" si="28"/>
        <v>0</v>
      </c>
      <c r="BF29" s="544">
        <f t="shared" si="28"/>
        <v>0</v>
      </c>
      <c r="BG29" s="544">
        <f t="shared" si="28"/>
        <v>0.73</v>
      </c>
      <c r="BH29" s="442">
        <f t="shared" si="28"/>
        <v>0.73</v>
      </c>
      <c r="BI29" s="806">
        <f t="shared" si="28"/>
        <v>8656372</v>
      </c>
      <c r="BJ29" s="504">
        <f t="shared" si="28"/>
        <v>6352729</v>
      </c>
      <c r="BK29" s="504">
        <f t="shared" si="28"/>
        <v>5181205</v>
      </c>
      <c r="BL29" s="504">
        <f t="shared" si="28"/>
        <v>1171524</v>
      </c>
      <c r="BM29" s="504">
        <f t="shared" si="28"/>
        <v>49200</v>
      </c>
      <c r="BN29" s="504">
        <f t="shared" si="28"/>
        <v>20000</v>
      </c>
      <c r="BO29" s="504">
        <f t="shared" si="28"/>
        <v>29200</v>
      </c>
      <c r="BP29" s="504">
        <f t="shared" si="28"/>
        <v>2163852</v>
      </c>
      <c r="BQ29" s="504">
        <f t="shared" si="28"/>
        <v>63528</v>
      </c>
      <c r="BR29" s="504">
        <f t="shared" si="28"/>
        <v>27063</v>
      </c>
      <c r="BS29" s="544">
        <f t="shared" si="28"/>
        <v>13.1701</v>
      </c>
      <c r="BT29" s="544">
        <f t="shared" si="28"/>
        <v>9.4600000000000009</v>
      </c>
      <c r="BU29" s="442">
        <f t="shared" si="28"/>
        <v>3.7100999999999997</v>
      </c>
      <c r="BV29" s="824">
        <f t="shared" si="28"/>
        <v>0</v>
      </c>
      <c r="BW29" s="710">
        <f t="shared" si="28"/>
        <v>0</v>
      </c>
      <c r="BX29" s="710">
        <f t="shared" si="28"/>
        <v>0</v>
      </c>
      <c r="BY29" s="710">
        <f t="shared" si="28"/>
        <v>0</v>
      </c>
      <c r="BZ29" s="710">
        <f t="shared" si="28"/>
        <v>0</v>
      </c>
      <c r="CA29" s="825">
        <f t="shared" si="28"/>
        <v>0</v>
      </c>
    </row>
    <row r="30" spans="1:79" s="221" customFormat="1" ht="12.75" customHeight="1" x14ac:dyDescent="0.2">
      <c r="A30" s="223">
        <v>6</v>
      </c>
      <c r="B30" s="224">
        <v>3453</v>
      </c>
      <c r="C30" s="224">
        <v>667101411</v>
      </c>
      <c r="D30" s="224">
        <v>75109522</v>
      </c>
      <c r="E30" s="225" t="s">
        <v>18</v>
      </c>
      <c r="F30" s="224">
        <v>3111</v>
      </c>
      <c r="G30" s="225" t="s">
        <v>290</v>
      </c>
      <c r="H30" s="226" t="s">
        <v>271</v>
      </c>
      <c r="I30" s="420">
        <v>6715961</v>
      </c>
      <c r="J30" s="415">
        <v>4813807</v>
      </c>
      <c r="K30" s="415">
        <v>4322133</v>
      </c>
      <c r="L30" s="415">
        <v>491674</v>
      </c>
      <c r="M30" s="415">
        <v>196000</v>
      </c>
      <c r="N30" s="415">
        <v>170000</v>
      </c>
      <c r="O30" s="415">
        <v>26000</v>
      </c>
      <c r="P30" s="68">
        <v>1635855</v>
      </c>
      <c r="Q30" s="68">
        <v>48138</v>
      </c>
      <c r="R30" s="415">
        <v>22161</v>
      </c>
      <c r="S30" s="416">
        <v>9.15</v>
      </c>
      <c r="T30" s="417">
        <v>7.5</v>
      </c>
      <c r="U30" s="423">
        <v>1.65</v>
      </c>
      <c r="V30" s="424">
        <f>AG30*-1</f>
        <v>0</v>
      </c>
      <c r="W30" s="418">
        <f>AH30*-1</f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-432216</v>
      </c>
      <c r="AC30" s="418">
        <v>-41253</v>
      </c>
      <c r="AD30" s="418">
        <f>V30+X30+Y30+Z30+AB30</f>
        <v>-432216</v>
      </c>
      <c r="AE30" s="418">
        <f>W30+AA30+AC30</f>
        <v>-41253</v>
      </c>
      <c r="AF30" s="418">
        <f>SUM(AD30:AE30)</f>
        <v>-473469</v>
      </c>
      <c r="AG30" s="418">
        <v>0</v>
      </c>
      <c r="AH30" s="418">
        <v>0</v>
      </c>
      <c r="AI30" s="418">
        <v>0</v>
      </c>
      <c r="AJ30" s="418">
        <v>127198</v>
      </c>
      <c r="AK30" s="418">
        <v>0</v>
      </c>
      <c r="AL30" s="418">
        <f>AG30+AI30+AJ30</f>
        <v>127198</v>
      </c>
      <c r="AM30" s="418">
        <f>AH30+AK30</f>
        <v>0</v>
      </c>
      <c r="AN30" s="418">
        <f>SUM(AL30:AM30)</f>
        <v>127198</v>
      </c>
      <c r="AO30" s="418">
        <f>AD30+AL30</f>
        <v>-305018</v>
      </c>
      <c r="AP30" s="418">
        <f>AE30+AM30</f>
        <v>-41253</v>
      </c>
      <c r="AQ30" s="418">
        <f>SUM(AO30:AP30)</f>
        <v>-346271</v>
      </c>
      <c r="AR30" s="68">
        <f>ROUND((AF30+AG30+AH30+AI30)*33.8%,0)</f>
        <v>-160033</v>
      </c>
      <c r="AS30" s="68">
        <f>ROUND(AF30*1%,0)</f>
        <v>-4735</v>
      </c>
      <c r="AT30" s="418">
        <v>0</v>
      </c>
      <c r="AU30" s="415">
        <v>0</v>
      </c>
      <c r="AV30" s="418">
        <f>AT30+AU30</f>
        <v>0</v>
      </c>
      <c r="AW30" s="418">
        <f>AQ30+AR30+AS30+AV30</f>
        <v>-511039</v>
      </c>
      <c r="AX30" s="419">
        <v>0</v>
      </c>
      <c r="AY30" s="419">
        <v>0</v>
      </c>
      <c r="AZ30" s="419">
        <v>0</v>
      </c>
      <c r="BA30" s="419">
        <v>0</v>
      </c>
      <c r="BB30" s="416">
        <v>0</v>
      </c>
      <c r="BC30" s="939">
        <v>0</v>
      </c>
      <c r="BD30" s="419">
        <v>-0.75</v>
      </c>
      <c r="BE30" s="419">
        <v>-0.14000000000000001</v>
      </c>
      <c r="BF30" s="419">
        <f>AX30+AZ30+BA30+BC30+BD30</f>
        <v>-0.75</v>
      </c>
      <c r="BG30" s="419">
        <f>AY30+BB30+BE30</f>
        <v>-0.14000000000000001</v>
      </c>
      <c r="BH30" s="421">
        <f>SUM(BF30:BG30)</f>
        <v>-0.89</v>
      </c>
      <c r="BI30" s="780">
        <f>I30+AW30</f>
        <v>6204922</v>
      </c>
      <c r="BJ30" s="418">
        <f>J30+AF30</f>
        <v>4340338</v>
      </c>
      <c r="BK30" s="418">
        <f>K30+AD30</f>
        <v>3889917</v>
      </c>
      <c r="BL30" s="418">
        <f>L30+AE30</f>
        <v>450421</v>
      </c>
      <c r="BM30" s="418">
        <f>M30+AN30</f>
        <v>323198</v>
      </c>
      <c r="BN30" s="418">
        <f>N30+AL30</f>
        <v>297198</v>
      </c>
      <c r="BO30" s="418">
        <f>O30+AM30</f>
        <v>26000</v>
      </c>
      <c r="BP30" s="418">
        <f>P30+AR30</f>
        <v>1475822</v>
      </c>
      <c r="BQ30" s="418">
        <f>Q30+AS30</f>
        <v>43403</v>
      </c>
      <c r="BR30" s="418">
        <f>R30+AV30</f>
        <v>22161</v>
      </c>
      <c r="BS30" s="419">
        <f>S30+BH30</f>
        <v>8.26</v>
      </c>
      <c r="BT30" s="419">
        <f>T30+BF30</f>
        <v>6.75</v>
      </c>
      <c r="BU30" s="421">
        <f>U30+BG30</f>
        <v>1.5099999999999998</v>
      </c>
      <c r="BV30" s="420"/>
      <c r="BW30" s="415"/>
      <c r="BX30" s="415"/>
      <c r="BY30" s="415"/>
      <c r="BZ30" s="415"/>
      <c r="CA30" s="510"/>
    </row>
    <row r="31" spans="1:79" s="221" customFormat="1" ht="12.75" customHeight="1" x14ac:dyDescent="0.2">
      <c r="A31" s="223">
        <v>6</v>
      </c>
      <c r="B31" s="224">
        <v>3453</v>
      </c>
      <c r="C31" s="224">
        <v>667101411</v>
      </c>
      <c r="D31" s="224">
        <v>75109522</v>
      </c>
      <c r="E31" s="225" t="s">
        <v>18</v>
      </c>
      <c r="F31" s="224">
        <v>3141</v>
      </c>
      <c r="G31" s="225" t="s">
        <v>294</v>
      </c>
      <c r="H31" s="226" t="s">
        <v>272</v>
      </c>
      <c r="I31" s="420">
        <v>541642</v>
      </c>
      <c r="J31" s="415">
        <v>400176</v>
      </c>
      <c r="K31" s="415">
        <v>0</v>
      </c>
      <c r="L31" s="415">
        <v>400176</v>
      </c>
      <c r="M31" s="415">
        <v>0</v>
      </c>
      <c r="N31" s="415">
        <v>0</v>
      </c>
      <c r="O31" s="415">
        <v>0</v>
      </c>
      <c r="P31" s="68">
        <v>135259</v>
      </c>
      <c r="Q31" s="68">
        <v>4002</v>
      </c>
      <c r="R31" s="415">
        <v>2205</v>
      </c>
      <c r="S31" s="416">
        <v>1.2</v>
      </c>
      <c r="T31" s="417">
        <v>0</v>
      </c>
      <c r="U31" s="423">
        <v>1.2</v>
      </c>
      <c r="V31" s="424">
        <f>AG31*-1</f>
        <v>0</v>
      </c>
      <c r="W31" s="418">
        <f>AH31*-1</f>
        <v>0</v>
      </c>
      <c r="X31" s="418">
        <v>0</v>
      </c>
      <c r="Y31" s="418">
        <v>0</v>
      </c>
      <c r="Z31" s="418">
        <v>0</v>
      </c>
      <c r="AA31" s="605">
        <v>200981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200981</v>
      </c>
      <c r="AF31" s="418">
        <f>SUM(AD31:AE31)</f>
        <v>200981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>AD31+AL31</f>
        <v>0</v>
      </c>
      <c r="AP31" s="418">
        <f>AE31+AM31</f>
        <v>200981</v>
      </c>
      <c r="AQ31" s="418">
        <f>SUM(AO31:AP31)</f>
        <v>200981</v>
      </c>
      <c r="AR31" s="68">
        <f>ROUND((AF31+AG31+AH31+AI31)*33.8%,0)</f>
        <v>67932</v>
      </c>
      <c r="AS31" s="68">
        <f>ROUND(AF31*1%,0)</f>
        <v>2010</v>
      </c>
      <c r="AT31" s="418">
        <v>0</v>
      </c>
      <c r="AU31" s="605">
        <v>1071</v>
      </c>
      <c r="AV31" s="418">
        <f>AT31+AU31</f>
        <v>1071</v>
      </c>
      <c r="AW31" s="418">
        <f>AQ31+AR31+AS31+AV31</f>
        <v>271994</v>
      </c>
      <c r="AX31" s="419">
        <v>0</v>
      </c>
      <c r="AY31" s="419">
        <v>0</v>
      </c>
      <c r="AZ31" s="419">
        <v>0</v>
      </c>
      <c r="BA31" s="419">
        <v>0</v>
      </c>
      <c r="BB31" s="607">
        <v>0.60000000000000009</v>
      </c>
      <c r="BC31" s="93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0.60000000000000009</v>
      </c>
      <c r="BH31" s="421">
        <f>SUM(BF31:BG31)</f>
        <v>0.60000000000000009</v>
      </c>
      <c r="BI31" s="780">
        <f>I31+AW31</f>
        <v>813636</v>
      </c>
      <c r="BJ31" s="418">
        <f>J31+AF31</f>
        <v>601157</v>
      </c>
      <c r="BK31" s="418">
        <f>K31+AD31</f>
        <v>0</v>
      </c>
      <c r="BL31" s="418">
        <f>L31+AE31</f>
        <v>601157</v>
      </c>
      <c r="BM31" s="418">
        <f>M31+AN31</f>
        <v>0</v>
      </c>
      <c r="BN31" s="418">
        <f>N31+AL31</f>
        <v>0</v>
      </c>
      <c r="BO31" s="418">
        <f>O31+AM31</f>
        <v>0</v>
      </c>
      <c r="BP31" s="418">
        <f>P31+AR31</f>
        <v>203191</v>
      </c>
      <c r="BQ31" s="418">
        <f>Q31+AS31</f>
        <v>6012</v>
      </c>
      <c r="BR31" s="418">
        <f>R31+AV31</f>
        <v>3276</v>
      </c>
      <c r="BS31" s="419">
        <f>S31+BH31</f>
        <v>1.8</v>
      </c>
      <c r="BT31" s="419">
        <f>T31+BF31</f>
        <v>0</v>
      </c>
      <c r="BU31" s="421">
        <f>U31+BG31</f>
        <v>1.8</v>
      </c>
      <c r="BV31" s="420"/>
      <c r="BW31" s="415"/>
      <c r="BX31" s="415"/>
      <c r="BY31" s="415"/>
      <c r="BZ31" s="415"/>
      <c r="CA31" s="510"/>
    </row>
    <row r="32" spans="1:79" s="221" customFormat="1" ht="12.75" customHeight="1" x14ac:dyDescent="0.2">
      <c r="A32" s="153">
        <v>6</v>
      </c>
      <c r="B32" s="14">
        <v>3453</v>
      </c>
      <c r="C32" s="152">
        <v>667101411</v>
      </c>
      <c r="D32" s="152">
        <v>75109522</v>
      </c>
      <c r="E32" s="222" t="s">
        <v>19</v>
      </c>
      <c r="F32" s="14"/>
      <c r="G32" s="222"/>
      <c r="H32" s="560"/>
      <c r="I32" s="505">
        <v>7257603</v>
      </c>
      <c r="J32" s="504">
        <v>5213983</v>
      </c>
      <c r="K32" s="504">
        <v>4322133</v>
      </c>
      <c r="L32" s="504">
        <v>891850</v>
      </c>
      <c r="M32" s="504">
        <v>196000</v>
      </c>
      <c r="N32" s="504">
        <v>170000</v>
      </c>
      <c r="O32" s="504">
        <v>26000</v>
      </c>
      <c r="P32" s="504">
        <v>1771114</v>
      </c>
      <c r="Q32" s="504">
        <v>52140</v>
      </c>
      <c r="R32" s="504">
        <v>24366</v>
      </c>
      <c r="S32" s="544">
        <v>10.35</v>
      </c>
      <c r="T32" s="544">
        <v>7.5</v>
      </c>
      <c r="U32" s="401">
        <v>2.8499999999999996</v>
      </c>
      <c r="V32" s="505">
        <f t="shared" ref="V32:CA32" si="29">SUM(V30:V31)</f>
        <v>0</v>
      </c>
      <c r="W32" s="504">
        <f t="shared" si="29"/>
        <v>0</v>
      </c>
      <c r="X32" s="504">
        <f t="shared" si="29"/>
        <v>0</v>
      </c>
      <c r="Y32" s="504">
        <f t="shared" si="29"/>
        <v>0</v>
      </c>
      <c r="Z32" s="504">
        <f t="shared" si="29"/>
        <v>0</v>
      </c>
      <c r="AA32" s="575">
        <f t="shared" si="29"/>
        <v>200981</v>
      </c>
      <c r="AB32" s="504">
        <f t="shared" si="29"/>
        <v>-432216</v>
      </c>
      <c r="AC32" s="504">
        <f t="shared" si="29"/>
        <v>-41253</v>
      </c>
      <c r="AD32" s="504">
        <f t="shared" si="29"/>
        <v>-432216</v>
      </c>
      <c r="AE32" s="504">
        <f t="shared" si="29"/>
        <v>159728</v>
      </c>
      <c r="AF32" s="504">
        <f t="shared" si="29"/>
        <v>-272488</v>
      </c>
      <c r="AG32" s="504">
        <f t="shared" si="29"/>
        <v>0</v>
      </c>
      <c r="AH32" s="504">
        <f t="shared" si="29"/>
        <v>0</v>
      </c>
      <c r="AI32" s="504">
        <f t="shared" si="29"/>
        <v>0</v>
      </c>
      <c r="AJ32" s="504">
        <f t="shared" si="29"/>
        <v>127198</v>
      </c>
      <c r="AK32" s="504">
        <f t="shared" si="29"/>
        <v>0</v>
      </c>
      <c r="AL32" s="504">
        <f t="shared" si="29"/>
        <v>127198</v>
      </c>
      <c r="AM32" s="504">
        <f t="shared" si="29"/>
        <v>0</v>
      </c>
      <c r="AN32" s="504">
        <f t="shared" si="29"/>
        <v>127198</v>
      </c>
      <c r="AO32" s="504">
        <f t="shared" si="29"/>
        <v>-305018</v>
      </c>
      <c r="AP32" s="504">
        <f t="shared" si="29"/>
        <v>159728</v>
      </c>
      <c r="AQ32" s="504">
        <f t="shared" si="29"/>
        <v>-145290</v>
      </c>
      <c r="AR32" s="504">
        <f t="shared" si="29"/>
        <v>-92101</v>
      </c>
      <c r="AS32" s="504">
        <f t="shared" si="29"/>
        <v>-2725</v>
      </c>
      <c r="AT32" s="504">
        <f t="shared" si="29"/>
        <v>0</v>
      </c>
      <c r="AU32" s="504">
        <f t="shared" si="29"/>
        <v>1071</v>
      </c>
      <c r="AV32" s="504">
        <f t="shared" si="29"/>
        <v>1071</v>
      </c>
      <c r="AW32" s="504">
        <f t="shared" si="29"/>
        <v>-239045</v>
      </c>
      <c r="AX32" s="544">
        <f t="shared" si="29"/>
        <v>0</v>
      </c>
      <c r="AY32" s="544">
        <f t="shared" si="29"/>
        <v>0</v>
      </c>
      <c r="AZ32" s="544">
        <f t="shared" si="29"/>
        <v>0</v>
      </c>
      <c r="BA32" s="544">
        <f t="shared" si="29"/>
        <v>0</v>
      </c>
      <c r="BB32" s="544">
        <f t="shared" si="29"/>
        <v>0.60000000000000009</v>
      </c>
      <c r="BC32" s="938">
        <f t="shared" si="29"/>
        <v>0</v>
      </c>
      <c r="BD32" s="544">
        <f t="shared" si="29"/>
        <v>-0.75</v>
      </c>
      <c r="BE32" s="544">
        <f t="shared" si="29"/>
        <v>-0.14000000000000001</v>
      </c>
      <c r="BF32" s="544">
        <f t="shared" si="29"/>
        <v>-0.75</v>
      </c>
      <c r="BG32" s="544">
        <f t="shared" si="29"/>
        <v>0.46000000000000008</v>
      </c>
      <c r="BH32" s="442">
        <f t="shared" si="29"/>
        <v>-0.28999999999999992</v>
      </c>
      <c r="BI32" s="806">
        <f t="shared" si="29"/>
        <v>7018558</v>
      </c>
      <c r="BJ32" s="504">
        <f t="shared" si="29"/>
        <v>4941495</v>
      </c>
      <c r="BK32" s="504">
        <f t="shared" si="29"/>
        <v>3889917</v>
      </c>
      <c r="BL32" s="504">
        <f t="shared" si="29"/>
        <v>1051578</v>
      </c>
      <c r="BM32" s="504">
        <f t="shared" si="29"/>
        <v>323198</v>
      </c>
      <c r="BN32" s="504">
        <f t="shared" si="29"/>
        <v>297198</v>
      </c>
      <c r="BO32" s="504">
        <f t="shared" si="29"/>
        <v>26000</v>
      </c>
      <c r="BP32" s="504">
        <f t="shared" si="29"/>
        <v>1679013</v>
      </c>
      <c r="BQ32" s="504">
        <f t="shared" si="29"/>
        <v>49415</v>
      </c>
      <c r="BR32" s="504">
        <f t="shared" si="29"/>
        <v>25437</v>
      </c>
      <c r="BS32" s="544">
        <f t="shared" si="29"/>
        <v>10.06</v>
      </c>
      <c r="BT32" s="544">
        <f t="shared" si="29"/>
        <v>6.75</v>
      </c>
      <c r="BU32" s="442">
        <f t="shared" si="29"/>
        <v>3.3099999999999996</v>
      </c>
      <c r="BV32" s="824">
        <f t="shared" si="29"/>
        <v>0</v>
      </c>
      <c r="BW32" s="710">
        <f t="shared" si="29"/>
        <v>0</v>
      </c>
      <c r="BX32" s="710">
        <f t="shared" si="29"/>
        <v>0</v>
      </c>
      <c r="BY32" s="710">
        <f t="shared" si="29"/>
        <v>0</v>
      </c>
      <c r="BZ32" s="710">
        <f t="shared" si="29"/>
        <v>0</v>
      </c>
      <c r="CA32" s="825">
        <f t="shared" si="29"/>
        <v>0</v>
      </c>
    </row>
    <row r="33" spans="1:79" s="221" customFormat="1" ht="12.75" customHeight="1" x14ac:dyDescent="0.2">
      <c r="A33" s="223">
        <v>7</v>
      </c>
      <c r="B33" s="224">
        <v>3471</v>
      </c>
      <c r="C33" s="224">
        <v>691003491</v>
      </c>
      <c r="D33" s="224">
        <v>72550376</v>
      </c>
      <c r="E33" s="225" t="s">
        <v>20</v>
      </c>
      <c r="F33" s="224">
        <v>3111</v>
      </c>
      <c r="G33" s="225" t="s">
        <v>290</v>
      </c>
      <c r="H33" s="226" t="s">
        <v>271</v>
      </c>
      <c r="I33" s="420">
        <v>6634128</v>
      </c>
      <c r="J33" s="415">
        <v>4901210</v>
      </c>
      <c r="K33" s="415">
        <v>4431008</v>
      </c>
      <c r="L33" s="415">
        <v>470202</v>
      </c>
      <c r="M33" s="415">
        <v>0</v>
      </c>
      <c r="N33" s="415">
        <v>0</v>
      </c>
      <c r="O33" s="415">
        <v>0</v>
      </c>
      <c r="P33" s="68">
        <v>1656609</v>
      </c>
      <c r="Q33" s="68">
        <v>49012</v>
      </c>
      <c r="R33" s="415">
        <v>27297</v>
      </c>
      <c r="S33" s="416">
        <v>9.1806999999999999</v>
      </c>
      <c r="T33" s="417">
        <v>7.5805999999999996</v>
      </c>
      <c r="U33" s="423">
        <v>1.6000999999999999</v>
      </c>
      <c r="V33" s="424">
        <f t="shared" ref="V33:W35" si="30">AG33*-1</f>
        <v>0</v>
      </c>
      <c r="W33" s="418">
        <f t="shared" si="30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ref="AO33:AP35" si="31">AD33+AL33</f>
        <v>0</v>
      </c>
      <c r="AP33" s="418">
        <f t="shared" si="31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5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6">
        <v>0</v>
      </c>
      <c r="BC33" s="93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421">
        <f>SUM(BF33:BG33)</f>
        <v>0</v>
      </c>
      <c r="BI33" s="780">
        <f>I33+AW33</f>
        <v>6634128</v>
      </c>
      <c r="BJ33" s="418">
        <f>J33+AF33</f>
        <v>4901210</v>
      </c>
      <c r="BK33" s="418">
        <f t="shared" ref="BK33:BL35" si="32">K33+AD33</f>
        <v>4431008</v>
      </c>
      <c r="BL33" s="418">
        <f t="shared" si="32"/>
        <v>470202</v>
      </c>
      <c r="BM33" s="418">
        <f>M33+AN33</f>
        <v>0</v>
      </c>
      <c r="BN33" s="418">
        <f t="shared" ref="BN33:BO35" si="33">N33+AL33</f>
        <v>0</v>
      </c>
      <c r="BO33" s="418">
        <f t="shared" si="33"/>
        <v>0</v>
      </c>
      <c r="BP33" s="418">
        <f t="shared" ref="BP33:BQ35" si="34">P33+AR33</f>
        <v>1656609</v>
      </c>
      <c r="BQ33" s="418">
        <f t="shared" si="34"/>
        <v>49012</v>
      </c>
      <c r="BR33" s="418">
        <f>R33+AV33</f>
        <v>27297</v>
      </c>
      <c r="BS33" s="419">
        <f>S33+BH33</f>
        <v>9.1806999999999999</v>
      </c>
      <c r="BT33" s="419">
        <f t="shared" ref="BT33:BU35" si="35">T33+BF33</f>
        <v>7.5805999999999996</v>
      </c>
      <c r="BU33" s="421">
        <f t="shared" si="35"/>
        <v>1.6000999999999999</v>
      </c>
      <c r="BV33" s="420"/>
      <c r="BW33" s="415"/>
      <c r="BX33" s="415"/>
      <c r="BY33" s="415"/>
      <c r="BZ33" s="415"/>
      <c r="CA33" s="510"/>
    </row>
    <row r="34" spans="1:79" s="221" customFormat="1" ht="12.75" customHeight="1" x14ac:dyDescent="0.2">
      <c r="A34" s="223">
        <v>7</v>
      </c>
      <c r="B34" s="224">
        <v>3471</v>
      </c>
      <c r="C34" s="224">
        <v>691003491</v>
      </c>
      <c r="D34" s="224">
        <v>72550376</v>
      </c>
      <c r="E34" s="225" t="s">
        <v>20</v>
      </c>
      <c r="F34" s="224">
        <v>3111</v>
      </c>
      <c r="G34" s="225" t="s">
        <v>291</v>
      </c>
      <c r="H34" s="226" t="s">
        <v>272</v>
      </c>
      <c r="I34" s="420">
        <v>0</v>
      </c>
      <c r="J34" s="415">
        <v>0</v>
      </c>
      <c r="K34" s="415">
        <v>0</v>
      </c>
      <c r="L34" s="415">
        <v>0</v>
      </c>
      <c r="M34" s="415">
        <v>0</v>
      </c>
      <c r="N34" s="415">
        <v>0</v>
      </c>
      <c r="O34" s="415">
        <v>0</v>
      </c>
      <c r="P34" s="68">
        <v>0</v>
      </c>
      <c r="Q34" s="68">
        <v>0</v>
      </c>
      <c r="R34" s="415">
        <v>0</v>
      </c>
      <c r="S34" s="416">
        <v>0</v>
      </c>
      <c r="T34" s="417">
        <v>0</v>
      </c>
      <c r="U34" s="423">
        <v>0</v>
      </c>
      <c r="V34" s="424">
        <f t="shared" si="30"/>
        <v>0</v>
      </c>
      <c r="W34" s="418">
        <f t="shared" si="30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31"/>
        <v>0</v>
      </c>
      <c r="AP34" s="418">
        <f t="shared" si="31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5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6">
        <v>0</v>
      </c>
      <c r="BC34" s="93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780">
        <f>I34+AW34</f>
        <v>0</v>
      </c>
      <c r="BJ34" s="418">
        <f>J34+AF34</f>
        <v>0</v>
      </c>
      <c r="BK34" s="418">
        <f t="shared" si="32"/>
        <v>0</v>
      </c>
      <c r="BL34" s="418">
        <f t="shared" si="32"/>
        <v>0</v>
      </c>
      <c r="BM34" s="418">
        <f>M34+AN34</f>
        <v>0</v>
      </c>
      <c r="BN34" s="418">
        <f t="shared" si="33"/>
        <v>0</v>
      </c>
      <c r="BO34" s="418">
        <f t="shared" si="33"/>
        <v>0</v>
      </c>
      <c r="BP34" s="418">
        <f t="shared" si="34"/>
        <v>0</v>
      </c>
      <c r="BQ34" s="418">
        <f t="shared" si="34"/>
        <v>0</v>
      </c>
      <c r="BR34" s="418">
        <f>R34+AV34</f>
        <v>0</v>
      </c>
      <c r="BS34" s="419">
        <f>S34+BH34</f>
        <v>0</v>
      </c>
      <c r="BT34" s="419">
        <f t="shared" si="35"/>
        <v>0</v>
      </c>
      <c r="BU34" s="421">
        <f t="shared" si="35"/>
        <v>0</v>
      </c>
      <c r="BV34" s="420"/>
      <c r="BW34" s="415"/>
      <c r="BX34" s="415"/>
      <c r="BY34" s="415"/>
      <c r="BZ34" s="415"/>
      <c r="CA34" s="510"/>
    </row>
    <row r="35" spans="1:79" s="221" customFormat="1" ht="12.75" customHeight="1" x14ac:dyDescent="0.2">
      <c r="A35" s="223">
        <v>7</v>
      </c>
      <c r="B35" s="224">
        <v>3471</v>
      </c>
      <c r="C35" s="224">
        <v>691003491</v>
      </c>
      <c r="D35" s="224">
        <v>72550376</v>
      </c>
      <c r="E35" s="225" t="s">
        <v>20</v>
      </c>
      <c r="F35" s="224">
        <v>3141</v>
      </c>
      <c r="G35" s="225" t="s">
        <v>294</v>
      </c>
      <c r="H35" s="226" t="s">
        <v>272</v>
      </c>
      <c r="I35" s="420">
        <v>698475</v>
      </c>
      <c r="J35" s="415">
        <v>515794</v>
      </c>
      <c r="K35" s="415">
        <v>0</v>
      </c>
      <c r="L35" s="415">
        <v>515794</v>
      </c>
      <c r="M35" s="415">
        <v>0</v>
      </c>
      <c r="N35" s="415">
        <v>0</v>
      </c>
      <c r="O35" s="415">
        <v>0</v>
      </c>
      <c r="P35" s="68">
        <v>174338</v>
      </c>
      <c r="Q35" s="68">
        <v>5158</v>
      </c>
      <c r="R35" s="415">
        <v>3185</v>
      </c>
      <c r="S35" s="416">
        <v>1.55</v>
      </c>
      <c r="T35" s="417">
        <v>0</v>
      </c>
      <c r="U35" s="423">
        <v>1.55</v>
      </c>
      <c r="V35" s="424">
        <f t="shared" si="30"/>
        <v>0</v>
      </c>
      <c r="W35" s="418">
        <f t="shared" si="30"/>
        <v>0</v>
      </c>
      <c r="X35" s="418">
        <v>0</v>
      </c>
      <c r="Y35" s="418">
        <v>0</v>
      </c>
      <c r="Z35" s="418">
        <v>0</v>
      </c>
      <c r="AA35" s="605">
        <v>256526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256526</v>
      </c>
      <c r="AF35" s="418">
        <f>SUM(AD35:AE35)</f>
        <v>256526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31"/>
        <v>0</v>
      </c>
      <c r="AP35" s="418">
        <f t="shared" si="31"/>
        <v>256526</v>
      </c>
      <c r="AQ35" s="418">
        <f>SUM(AO35:AP35)</f>
        <v>256526</v>
      </c>
      <c r="AR35" s="68">
        <f>ROUND((AF35+AG35+AH35+AI35)*33.8%,0)</f>
        <v>86706</v>
      </c>
      <c r="AS35" s="68">
        <f>ROUND(AF35*1%,0)</f>
        <v>2565</v>
      </c>
      <c r="AT35" s="418">
        <v>0</v>
      </c>
      <c r="AU35" s="605">
        <v>1547</v>
      </c>
      <c r="AV35" s="418">
        <f>AT35+AU35</f>
        <v>1547</v>
      </c>
      <c r="AW35" s="418">
        <f>AQ35+AR35+AS35+AV35</f>
        <v>347344</v>
      </c>
      <c r="AX35" s="419">
        <v>0</v>
      </c>
      <c r="AY35" s="419">
        <v>0</v>
      </c>
      <c r="AZ35" s="419">
        <v>0</v>
      </c>
      <c r="BA35" s="419">
        <v>0</v>
      </c>
      <c r="BB35" s="607">
        <v>0.77</v>
      </c>
      <c r="BC35" s="93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0.77</v>
      </c>
      <c r="BH35" s="421">
        <f>SUM(BF35:BG35)</f>
        <v>0.77</v>
      </c>
      <c r="BI35" s="780">
        <f>I35+AW35</f>
        <v>1045819</v>
      </c>
      <c r="BJ35" s="418">
        <f>J35+AF35</f>
        <v>772320</v>
      </c>
      <c r="BK35" s="418">
        <f t="shared" si="32"/>
        <v>0</v>
      </c>
      <c r="BL35" s="418">
        <f t="shared" si="32"/>
        <v>772320</v>
      </c>
      <c r="BM35" s="418">
        <f>M35+AN35</f>
        <v>0</v>
      </c>
      <c r="BN35" s="418">
        <f t="shared" si="33"/>
        <v>0</v>
      </c>
      <c r="BO35" s="418">
        <f t="shared" si="33"/>
        <v>0</v>
      </c>
      <c r="BP35" s="418">
        <f t="shared" si="34"/>
        <v>261044</v>
      </c>
      <c r="BQ35" s="418">
        <f t="shared" si="34"/>
        <v>7723</v>
      </c>
      <c r="BR35" s="418">
        <f>R35+AV35</f>
        <v>4732</v>
      </c>
      <c r="BS35" s="419">
        <f>S35+BH35</f>
        <v>2.3200000000000003</v>
      </c>
      <c r="BT35" s="419">
        <f t="shared" si="35"/>
        <v>0</v>
      </c>
      <c r="BU35" s="421">
        <f t="shared" si="35"/>
        <v>2.3200000000000003</v>
      </c>
      <c r="BV35" s="420"/>
      <c r="BW35" s="415"/>
      <c r="BX35" s="415"/>
      <c r="BY35" s="415"/>
      <c r="BZ35" s="415"/>
      <c r="CA35" s="510"/>
    </row>
    <row r="36" spans="1:79" s="221" customFormat="1" ht="12.75" customHeight="1" x14ac:dyDescent="0.2">
      <c r="A36" s="153">
        <v>7</v>
      </c>
      <c r="B36" s="14">
        <v>3471</v>
      </c>
      <c r="C36" s="152">
        <v>691003491</v>
      </c>
      <c r="D36" s="152">
        <v>72550376</v>
      </c>
      <c r="E36" s="222" t="s">
        <v>21</v>
      </c>
      <c r="F36" s="14"/>
      <c r="G36" s="222"/>
      <c r="H36" s="560"/>
      <c r="I36" s="505">
        <v>7332603</v>
      </c>
      <c r="J36" s="504">
        <v>5417004</v>
      </c>
      <c r="K36" s="504">
        <v>4431008</v>
      </c>
      <c r="L36" s="504">
        <v>985996</v>
      </c>
      <c r="M36" s="504">
        <v>0</v>
      </c>
      <c r="N36" s="504">
        <v>0</v>
      </c>
      <c r="O36" s="504">
        <v>0</v>
      </c>
      <c r="P36" s="504">
        <v>1830947</v>
      </c>
      <c r="Q36" s="504">
        <v>54170</v>
      </c>
      <c r="R36" s="504">
        <v>30482</v>
      </c>
      <c r="S36" s="544">
        <v>10.730700000000001</v>
      </c>
      <c r="T36" s="544">
        <v>7.5805999999999996</v>
      </c>
      <c r="U36" s="401">
        <v>3.1501000000000001</v>
      </c>
      <c r="V36" s="505">
        <f t="shared" ref="V36:CA36" si="36">SUM(V33:V35)</f>
        <v>0</v>
      </c>
      <c r="W36" s="504">
        <f t="shared" si="36"/>
        <v>0</v>
      </c>
      <c r="X36" s="504">
        <f t="shared" si="36"/>
        <v>0</v>
      </c>
      <c r="Y36" s="504">
        <f t="shared" si="36"/>
        <v>0</v>
      </c>
      <c r="Z36" s="504">
        <f t="shared" si="36"/>
        <v>0</v>
      </c>
      <c r="AA36" s="575">
        <f t="shared" si="36"/>
        <v>256526</v>
      </c>
      <c r="AB36" s="504">
        <f t="shared" si="36"/>
        <v>0</v>
      </c>
      <c r="AC36" s="504">
        <f t="shared" si="36"/>
        <v>0</v>
      </c>
      <c r="AD36" s="504">
        <f t="shared" si="36"/>
        <v>0</v>
      </c>
      <c r="AE36" s="504">
        <f t="shared" si="36"/>
        <v>256526</v>
      </c>
      <c r="AF36" s="504">
        <f t="shared" si="36"/>
        <v>256526</v>
      </c>
      <c r="AG36" s="504">
        <f t="shared" si="36"/>
        <v>0</v>
      </c>
      <c r="AH36" s="504">
        <f t="shared" si="36"/>
        <v>0</v>
      </c>
      <c r="AI36" s="504">
        <f t="shared" si="36"/>
        <v>0</v>
      </c>
      <c r="AJ36" s="504">
        <f t="shared" si="36"/>
        <v>0</v>
      </c>
      <c r="AK36" s="504">
        <f t="shared" si="36"/>
        <v>0</v>
      </c>
      <c r="AL36" s="504">
        <f t="shared" si="36"/>
        <v>0</v>
      </c>
      <c r="AM36" s="504">
        <f t="shared" si="36"/>
        <v>0</v>
      </c>
      <c r="AN36" s="504">
        <f t="shared" si="36"/>
        <v>0</v>
      </c>
      <c r="AO36" s="504">
        <f t="shared" si="36"/>
        <v>0</v>
      </c>
      <c r="AP36" s="504">
        <f t="shared" si="36"/>
        <v>256526</v>
      </c>
      <c r="AQ36" s="504">
        <f t="shared" si="36"/>
        <v>256526</v>
      </c>
      <c r="AR36" s="504">
        <f t="shared" si="36"/>
        <v>86706</v>
      </c>
      <c r="AS36" s="504">
        <f t="shared" si="36"/>
        <v>2565</v>
      </c>
      <c r="AT36" s="504">
        <f t="shared" si="36"/>
        <v>0</v>
      </c>
      <c r="AU36" s="504">
        <f t="shared" si="36"/>
        <v>1547</v>
      </c>
      <c r="AV36" s="504">
        <f t="shared" si="36"/>
        <v>1547</v>
      </c>
      <c r="AW36" s="504">
        <f t="shared" si="36"/>
        <v>347344</v>
      </c>
      <c r="AX36" s="544">
        <f t="shared" si="36"/>
        <v>0</v>
      </c>
      <c r="AY36" s="544">
        <f t="shared" si="36"/>
        <v>0</v>
      </c>
      <c r="AZ36" s="544">
        <f t="shared" si="36"/>
        <v>0</v>
      </c>
      <c r="BA36" s="544">
        <f t="shared" si="36"/>
        <v>0</v>
      </c>
      <c r="BB36" s="544">
        <f t="shared" si="36"/>
        <v>0.77</v>
      </c>
      <c r="BC36" s="938">
        <f t="shared" si="36"/>
        <v>0</v>
      </c>
      <c r="BD36" s="544">
        <f t="shared" si="36"/>
        <v>0</v>
      </c>
      <c r="BE36" s="544">
        <f t="shared" si="36"/>
        <v>0</v>
      </c>
      <c r="BF36" s="544">
        <f t="shared" si="36"/>
        <v>0</v>
      </c>
      <c r="BG36" s="544">
        <f t="shared" si="36"/>
        <v>0.77</v>
      </c>
      <c r="BH36" s="442">
        <f t="shared" si="36"/>
        <v>0.77</v>
      </c>
      <c r="BI36" s="806">
        <f t="shared" si="36"/>
        <v>7679947</v>
      </c>
      <c r="BJ36" s="504">
        <f t="shared" si="36"/>
        <v>5673530</v>
      </c>
      <c r="BK36" s="504">
        <f t="shared" si="36"/>
        <v>4431008</v>
      </c>
      <c r="BL36" s="504">
        <f t="shared" si="36"/>
        <v>1242522</v>
      </c>
      <c r="BM36" s="504">
        <f t="shared" si="36"/>
        <v>0</v>
      </c>
      <c r="BN36" s="504">
        <f t="shared" si="36"/>
        <v>0</v>
      </c>
      <c r="BO36" s="504">
        <f t="shared" si="36"/>
        <v>0</v>
      </c>
      <c r="BP36" s="504">
        <f t="shared" si="36"/>
        <v>1917653</v>
      </c>
      <c r="BQ36" s="504">
        <f t="shared" si="36"/>
        <v>56735</v>
      </c>
      <c r="BR36" s="504">
        <f t="shared" si="36"/>
        <v>32029</v>
      </c>
      <c r="BS36" s="544">
        <f t="shared" si="36"/>
        <v>11.5007</v>
      </c>
      <c r="BT36" s="544">
        <f t="shared" si="36"/>
        <v>7.5805999999999996</v>
      </c>
      <c r="BU36" s="442">
        <f t="shared" si="36"/>
        <v>3.9201000000000001</v>
      </c>
      <c r="BV36" s="824">
        <f t="shared" si="36"/>
        <v>0</v>
      </c>
      <c r="BW36" s="710">
        <f t="shared" si="36"/>
        <v>0</v>
      </c>
      <c r="BX36" s="710">
        <f t="shared" si="36"/>
        <v>0</v>
      </c>
      <c r="BY36" s="710">
        <f t="shared" si="36"/>
        <v>0</v>
      </c>
      <c r="BZ36" s="710">
        <f t="shared" si="36"/>
        <v>0</v>
      </c>
      <c r="CA36" s="825">
        <f t="shared" si="36"/>
        <v>0</v>
      </c>
    </row>
    <row r="37" spans="1:79" s="221" customFormat="1" ht="12.75" customHeight="1" x14ac:dyDescent="0.2">
      <c r="A37" s="223">
        <v>8</v>
      </c>
      <c r="B37" s="224">
        <v>3472</v>
      </c>
      <c r="C37" s="224">
        <v>691003564</v>
      </c>
      <c r="D37" s="224">
        <v>72550368</v>
      </c>
      <c r="E37" s="225" t="s">
        <v>22</v>
      </c>
      <c r="F37" s="224">
        <v>3111</v>
      </c>
      <c r="G37" s="225" t="s">
        <v>290</v>
      </c>
      <c r="H37" s="226" t="s">
        <v>271</v>
      </c>
      <c r="I37" s="420">
        <v>4845354</v>
      </c>
      <c r="J37" s="415">
        <v>3583582</v>
      </c>
      <c r="K37" s="415">
        <v>3250913</v>
      </c>
      <c r="L37" s="415">
        <v>332669</v>
      </c>
      <c r="M37" s="415">
        <v>0</v>
      </c>
      <c r="N37" s="415">
        <v>0</v>
      </c>
      <c r="O37" s="415">
        <v>0</v>
      </c>
      <c r="P37" s="68">
        <v>1211251</v>
      </c>
      <c r="Q37" s="68">
        <v>35836</v>
      </c>
      <c r="R37" s="415">
        <v>14685</v>
      </c>
      <c r="S37" s="416">
        <v>7.12</v>
      </c>
      <c r="T37" s="417">
        <v>6</v>
      </c>
      <c r="U37" s="423">
        <v>1.1200000000000001</v>
      </c>
      <c r="V37" s="424">
        <f t="shared" ref="V37:W39" si="37">AG37*-1</f>
        <v>0</v>
      </c>
      <c r="W37" s="418">
        <f t="shared" si="37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ref="AO37:AP39" si="38">AD37+AL37</f>
        <v>0</v>
      </c>
      <c r="AP37" s="418">
        <f t="shared" si="38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5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6">
        <v>0</v>
      </c>
      <c r="BC37" s="93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21">
        <f>SUM(BF37:BG37)</f>
        <v>0</v>
      </c>
      <c r="BI37" s="780">
        <f>I37+AW37</f>
        <v>4845354</v>
      </c>
      <c r="BJ37" s="418">
        <f>J37+AF37</f>
        <v>3583582</v>
      </c>
      <c r="BK37" s="418">
        <f t="shared" ref="BK37:BL39" si="39">K37+AD37</f>
        <v>3250913</v>
      </c>
      <c r="BL37" s="418">
        <f t="shared" si="39"/>
        <v>332669</v>
      </c>
      <c r="BM37" s="418">
        <f>M37+AN37</f>
        <v>0</v>
      </c>
      <c r="BN37" s="418">
        <f t="shared" ref="BN37:BO39" si="40">N37+AL37</f>
        <v>0</v>
      </c>
      <c r="BO37" s="418">
        <f t="shared" si="40"/>
        <v>0</v>
      </c>
      <c r="BP37" s="418">
        <f t="shared" ref="BP37:BQ39" si="41">P37+AR37</f>
        <v>1211251</v>
      </c>
      <c r="BQ37" s="418">
        <f t="shared" si="41"/>
        <v>35836</v>
      </c>
      <c r="BR37" s="418">
        <f>R37+AV37</f>
        <v>14685</v>
      </c>
      <c r="BS37" s="419">
        <f>S37+BH37</f>
        <v>7.12</v>
      </c>
      <c r="BT37" s="419">
        <f t="shared" ref="BT37:BU39" si="42">T37+BF37</f>
        <v>6</v>
      </c>
      <c r="BU37" s="421">
        <f t="shared" si="42"/>
        <v>1.1200000000000001</v>
      </c>
      <c r="BV37" s="420"/>
      <c r="BW37" s="415"/>
      <c r="BX37" s="415"/>
      <c r="BY37" s="415"/>
      <c r="BZ37" s="415"/>
      <c r="CA37" s="510"/>
    </row>
    <row r="38" spans="1:79" s="221" customFormat="1" ht="12.75" customHeight="1" x14ac:dyDescent="0.2">
      <c r="A38" s="223">
        <v>8</v>
      </c>
      <c r="B38" s="224">
        <v>3472</v>
      </c>
      <c r="C38" s="224">
        <v>691003564</v>
      </c>
      <c r="D38" s="224">
        <v>72550368</v>
      </c>
      <c r="E38" s="225" t="s">
        <v>22</v>
      </c>
      <c r="F38" s="224">
        <v>3111</v>
      </c>
      <c r="G38" s="225" t="s">
        <v>291</v>
      </c>
      <c r="H38" s="226" t="s">
        <v>272</v>
      </c>
      <c r="I38" s="420">
        <v>229094</v>
      </c>
      <c r="J38" s="415">
        <v>169951</v>
      </c>
      <c r="K38" s="415">
        <v>169951</v>
      </c>
      <c r="L38" s="415">
        <v>0</v>
      </c>
      <c r="M38" s="415">
        <v>0</v>
      </c>
      <c r="N38" s="415">
        <v>0</v>
      </c>
      <c r="O38" s="415">
        <v>0</v>
      </c>
      <c r="P38" s="68">
        <v>57443</v>
      </c>
      <c r="Q38" s="68">
        <v>1700</v>
      </c>
      <c r="R38" s="415">
        <v>0</v>
      </c>
      <c r="S38" s="416">
        <v>0.46</v>
      </c>
      <c r="T38" s="417">
        <v>0.46</v>
      </c>
      <c r="U38" s="423">
        <v>0</v>
      </c>
      <c r="V38" s="424">
        <f t="shared" si="37"/>
        <v>0</v>
      </c>
      <c r="W38" s="418">
        <f t="shared" si="37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8"/>
        <v>0</v>
      </c>
      <c r="AP38" s="418">
        <f t="shared" si="38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5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6">
        <v>0</v>
      </c>
      <c r="BC38" s="93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780">
        <f>I38+AW38</f>
        <v>229094</v>
      </c>
      <c r="BJ38" s="418">
        <f>J38+AF38</f>
        <v>169951</v>
      </c>
      <c r="BK38" s="418">
        <f t="shared" si="39"/>
        <v>169951</v>
      </c>
      <c r="BL38" s="418">
        <f t="shared" si="39"/>
        <v>0</v>
      </c>
      <c r="BM38" s="418">
        <f>M38+AN38</f>
        <v>0</v>
      </c>
      <c r="BN38" s="418">
        <f t="shared" si="40"/>
        <v>0</v>
      </c>
      <c r="BO38" s="418">
        <f t="shared" si="40"/>
        <v>0</v>
      </c>
      <c r="BP38" s="418">
        <f t="shared" si="41"/>
        <v>57443</v>
      </c>
      <c r="BQ38" s="418">
        <f t="shared" si="41"/>
        <v>1700</v>
      </c>
      <c r="BR38" s="418">
        <f>R38+AV38</f>
        <v>0</v>
      </c>
      <c r="BS38" s="419">
        <f>S38+BH38</f>
        <v>0.46</v>
      </c>
      <c r="BT38" s="419">
        <f t="shared" si="42"/>
        <v>0.46</v>
      </c>
      <c r="BU38" s="421">
        <f t="shared" si="42"/>
        <v>0</v>
      </c>
      <c r="BV38" s="420"/>
      <c r="BW38" s="415"/>
      <c r="BX38" s="415"/>
      <c r="BY38" s="415"/>
      <c r="BZ38" s="415"/>
      <c r="CA38" s="510"/>
    </row>
    <row r="39" spans="1:79" s="221" customFormat="1" ht="12.75" customHeight="1" x14ac:dyDescent="0.2">
      <c r="A39" s="223">
        <v>8</v>
      </c>
      <c r="B39" s="224">
        <v>3472</v>
      </c>
      <c r="C39" s="224">
        <v>691003564</v>
      </c>
      <c r="D39" s="224">
        <v>72550368</v>
      </c>
      <c r="E39" s="225" t="s">
        <v>22</v>
      </c>
      <c r="F39" s="224">
        <v>3141</v>
      </c>
      <c r="G39" s="225" t="s">
        <v>294</v>
      </c>
      <c r="H39" s="226" t="s">
        <v>272</v>
      </c>
      <c r="I39" s="420">
        <v>481369</v>
      </c>
      <c r="J39" s="415">
        <v>355723</v>
      </c>
      <c r="K39" s="415">
        <v>0</v>
      </c>
      <c r="L39" s="415">
        <v>355723</v>
      </c>
      <c r="M39" s="415">
        <v>0</v>
      </c>
      <c r="N39" s="415">
        <v>0</v>
      </c>
      <c r="O39" s="415">
        <v>0</v>
      </c>
      <c r="P39" s="68">
        <v>120234</v>
      </c>
      <c r="Q39" s="68">
        <v>3557</v>
      </c>
      <c r="R39" s="415">
        <v>1855</v>
      </c>
      <c r="S39" s="416">
        <v>1.07</v>
      </c>
      <c r="T39" s="417">
        <v>0</v>
      </c>
      <c r="U39" s="423">
        <v>1.07</v>
      </c>
      <c r="V39" s="424">
        <f t="shared" si="37"/>
        <v>0</v>
      </c>
      <c r="W39" s="418">
        <f t="shared" si="37"/>
        <v>0</v>
      </c>
      <c r="X39" s="418">
        <v>0</v>
      </c>
      <c r="Y39" s="418">
        <v>0</v>
      </c>
      <c r="Z39" s="418">
        <v>0</v>
      </c>
      <c r="AA39" s="605">
        <v>179267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179267</v>
      </c>
      <c r="AF39" s="418">
        <f>SUM(AD39:AE39)</f>
        <v>179267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si="38"/>
        <v>0</v>
      </c>
      <c r="AP39" s="418">
        <f t="shared" si="38"/>
        <v>179267</v>
      </c>
      <c r="AQ39" s="418">
        <f>SUM(AO39:AP39)</f>
        <v>179267</v>
      </c>
      <c r="AR39" s="68">
        <f>ROUND((AF39+AG39+AH39+AI39)*33.8%,0)</f>
        <v>60592</v>
      </c>
      <c r="AS39" s="68">
        <f>ROUND(AF39*1%,0)</f>
        <v>1793</v>
      </c>
      <c r="AT39" s="418">
        <v>0</v>
      </c>
      <c r="AU39" s="605">
        <v>901</v>
      </c>
      <c r="AV39" s="418">
        <f>AT39+AU39</f>
        <v>901</v>
      </c>
      <c r="AW39" s="418">
        <f>AQ39+AR39+AS39+AV39</f>
        <v>242553</v>
      </c>
      <c r="AX39" s="419">
        <v>0</v>
      </c>
      <c r="AY39" s="419">
        <v>0</v>
      </c>
      <c r="AZ39" s="419">
        <v>0</v>
      </c>
      <c r="BA39" s="419">
        <v>0</v>
      </c>
      <c r="BB39" s="607">
        <v>0.53</v>
      </c>
      <c r="BC39" s="93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0.53</v>
      </c>
      <c r="BH39" s="421">
        <f>SUM(BF39:BG39)</f>
        <v>0.53</v>
      </c>
      <c r="BI39" s="780">
        <f>I39+AW39</f>
        <v>723922</v>
      </c>
      <c r="BJ39" s="418">
        <f>J39+AF39</f>
        <v>534990</v>
      </c>
      <c r="BK39" s="418">
        <f t="shared" si="39"/>
        <v>0</v>
      </c>
      <c r="BL39" s="418">
        <f t="shared" si="39"/>
        <v>534990</v>
      </c>
      <c r="BM39" s="418">
        <f>M39+AN39</f>
        <v>0</v>
      </c>
      <c r="BN39" s="418">
        <f t="shared" si="40"/>
        <v>0</v>
      </c>
      <c r="BO39" s="418">
        <f t="shared" si="40"/>
        <v>0</v>
      </c>
      <c r="BP39" s="418">
        <f t="shared" si="41"/>
        <v>180826</v>
      </c>
      <c r="BQ39" s="418">
        <f t="shared" si="41"/>
        <v>5350</v>
      </c>
      <c r="BR39" s="418">
        <f>R39+AV39</f>
        <v>2756</v>
      </c>
      <c r="BS39" s="419">
        <f>S39+BH39</f>
        <v>1.6</v>
      </c>
      <c r="BT39" s="419">
        <f t="shared" si="42"/>
        <v>0</v>
      </c>
      <c r="BU39" s="421">
        <f t="shared" si="42"/>
        <v>1.6</v>
      </c>
      <c r="BV39" s="420"/>
      <c r="BW39" s="415"/>
      <c r="BX39" s="415"/>
      <c r="BY39" s="415"/>
      <c r="BZ39" s="415"/>
      <c r="CA39" s="510"/>
    </row>
    <row r="40" spans="1:79" s="221" customFormat="1" ht="12.75" customHeight="1" x14ac:dyDescent="0.2">
      <c r="A40" s="153">
        <v>8</v>
      </c>
      <c r="B40" s="14">
        <v>3472</v>
      </c>
      <c r="C40" s="152">
        <v>691003564</v>
      </c>
      <c r="D40" s="152">
        <v>72550368</v>
      </c>
      <c r="E40" s="222" t="s">
        <v>23</v>
      </c>
      <c r="F40" s="14"/>
      <c r="G40" s="222"/>
      <c r="H40" s="560"/>
      <c r="I40" s="505">
        <v>5555817</v>
      </c>
      <c r="J40" s="504">
        <v>4109256</v>
      </c>
      <c r="K40" s="504">
        <v>3420864</v>
      </c>
      <c r="L40" s="504">
        <v>688392</v>
      </c>
      <c r="M40" s="504">
        <v>0</v>
      </c>
      <c r="N40" s="504">
        <v>0</v>
      </c>
      <c r="O40" s="504">
        <v>0</v>
      </c>
      <c r="P40" s="504">
        <v>1388928</v>
      </c>
      <c r="Q40" s="504">
        <v>41093</v>
      </c>
      <c r="R40" s="504">
        <v>16540</v>
      </c>
      <c r="S40" s="544">
        <v>8.65</v>
      </c>
      <c r="T40" s="544">
        <v>6.46</v>
      </c>
      <c r="U40" s="401">
        <v>2.1900000000000004</v>
      </c>
      <c r="V40" s="505">
        <f t="shared" ref="V40:CA40" si="43">SUM(V37:V39)</f>
        <v>0</v>
      </c>
      <c r="W40" s="504">
        <f t="shared" si="43"/>
        <v>0</v>
      </c>
      <c r="X40" s="504">
        <f t="shared" si="43"/>
        <v>0</v>
      </c>
      <c r="Y40" s="504">
        <f t="shared" si="43"/>
        <v>0</v>
      </c>
      <c r="Z40" s="504">
        <f t="shared" si="43"/>
        <v>0</v>
      </c>
      <c r="AA40" s="575">
        <f t="shared" si="43"/>
        <v>179267</v>
      </c>
      <c r="AB40" s="504">
        <f t="shared" si="43"/>
        <v>0</v>
      </c>
      <c r="AC40" s="504">
        <f t="shared" si="43"/>
        <v>0</v>
      </c>
      <c r="AD40" s="504">
        <f t="shared" si="43"/>
        <v>0</v>
      </c>
      <c r="AE40" s="504">
        <f t="shared" si="43"/>
        <v>179267</v>
      </c>
      <c r="AF40" s="504">
        <f t="shared" si="43"/>
        <v>179267</v>
      </c>
      <c r="AG40" s="504">
        <f t="shared" si="43"/>
        <v>0</v>
      </c>
      <c r="AH40" s="504">
        <f t="shared" si="43"/>
        <v>0</v>
      </c>
      <c r="AI40" s="504">
        <f t="shared" si="43"/>
        <v>0</v>
      </c>
      <c r="AJ40" s="504">
        <f t="shared" si="43"/>
        <v>0</v>
      </c>
      <c r="AK40" s="504">
        <f t="shared" si="43"/>
        <v>0</v>
      </c>
      <c r="AL40" s="504">
        <f t="shared" si="43"/>
        <v>0</v>
      </c>
      <c r="AM40" s="504">
        <f t="shared" si="43"/>
        <v>0</v>
      </c>
      <c r="AN40" s="504">
        <f t="shared" si="43"/>
        <v>0</v>
      </c>
      <c r="AO40" s="504">
        <f t="shared" si="43"/>
        <v>0</v>
      </c>
      <c r="AP40" s="504">
        <f t="shared" si="43"/>
        <v>179267</v>
      </c>
      <c r="AQ40" s="504">
        <f t="shared" si="43"/>
        <v>179267</v>
      </c>
      <c r="AR40" s="504">
        <f t="shared" si="43"/>
        <v>60592</v>
      </c>
      <c r="AS40" s="504">
        <f t="shared" si="43"/>
        <v>1793</v>
      </c>
      <c r="AT40" s="504">
        <f t="shared" si="43"/>
        <v>0</v>
      </c>
      <c r="AU40" s="504">
        <f t="shared" si="43"/>
        <v>901</v>
      </c>
      <c r="AV40" s="504">
        <f t="shared" si="43"/>
        <v>901</v>
      </c>
      <c r="AW40" s="504">
        <f t="shared" si="43"/>
        <v>242553</v>
      </c>
      <c r="AX40" s="544">
        <f t="shared" si="43"/>
        <v>0</v>
      </c>
      <c r="AY40" s="544">
        <f t="shared" si="43"/>
        <v>0</v>
      </c>
      <c r="AZ40" s="544">
        <f t="shared" si="43"/>
        <v>0</v>
      </c>
      <c r="BA40" s="544">
        <f t="shared" si="43"/>
        <v>0</v>
      </c>
      <c r="BB40" s="544">
        <f t="shared" si="43"/>
        <v>0.53</v>
      </c>
      <c r="BC40" s="938">
        <f t="shared" si="43"/>
        <v>0</v>
      </c>
      <c r="BD40" s="544">
        <f t="shared" si="43"/>
        <v>0</v>
      </c>
      <c r="BE40" s="544">
        <f t="shared" si="43"/>
        <v>0</v>
      </c>
      <c r="BF40" s="544">
        <f t="shared" si="43"/>
        <v>0</v>
      </c>
      <c r="BG40" s="544">
        <f t="shared" si="43"/>
        <v>0.53</v>
      </c>
      <c r="BH40" s="442">
        <f t="shared" si="43"/>
        <v>0.53</v>
      </c>
      <c r="BI40" s="806">
        <f t="shared" si="43"/>
        <v>5798370</v>
      </c>
      <c r="BJ40" s="504">
        <f t="shared" si="43"/>
        <v>4288523</v>
      </c>
      <c r="BK40" s="504">
        <f t="shared" si="43"/>
        <v>3420864</v>
      </c>
      <c r="BL40" s="504">
        <f t="shared" si="43"/>
        <v>867659</v>
      </c>
      <c r="BM40" s="504">
        <f t="shared" si="43"/>
        <v>0</v>
      </c>
      <c r="BN40" s="504">
        <f t="shared" si="43"/>
        <v>0</v>
      </c>
      <c r="BO40" s="504">
        <f t="shared" si="43"/>
        <v>0</v>
      </c>
      <c r="BP40" s="504">
        <f t="shared" si="43"/>
        <v>1449520</v>
      </c>
      <c r="BQ40" s="504">
        <f t="shared" si="43"/>
        <v>42886</v>
      </c>
      <c r="BR40" s="504">
        <f t="shared" si="43"/>
        <v>17441</v>
      </c>
      <c r="BS40" s="544">
        <f t="shared" si="43"/>
        <v>9.18</v>
      </c>
      <c r="BT40" s="544">
        <f t="shared" si="43"/>
        <v>6.46</v>
      </c>
      <c r="BU40" s="442">
        <f t="shared" si="43"/>
        <v>2.72</v>
      </c>
      <c r="BV40" s="824">
        <f t="shared" si="43"/>
        <v>0</v>
      </c>
      <c r="BW40" s="710">
        <f t="shared" si="43"/>
        <v>0</v>
      </c>
      <c r="BX40" s="710">
        <f t="shared" si="43"/>
        <v>0</v>
      </c>
      <c r="BY40" s="710">
        <f t="shared" si="43"/>
        <v>0</v>
      </c>
      <c r="BZ40" s="710">
        <f t="shared" si="43"/>
        <v>0</v>
      </c>
      <c r="CA40" s="825">
        <f t="shared" si="43"/>
        <v>0</v>
      </c>
    </row>
    <row r="41" spans="1:79" s="221" customFormat="1" ht="12.75" customHeight="1" x14ac:dyDescent="0.2">
      <c r="A41" s="223">
        <v>9</v>
      </c>
      <c r="B41" s="224">
        <v>3467</v>
      </c>
      <c r="C41" s="224">
        <v>691001243</v>
      </c>
      <c r="D41" s="224">
        <v>72048174</v>
      </c>
      <c r="E41" s="225" t="s">
        <v>24</v>
      </c>
      <c r="F41" s="224">
        <v>3111</v>
      </c>
      <c r="G41" s="225" t="s">
        <v>290</v>
      </c>
      <c r="H41" s="226" t="s">
        <v>271</v>
      </c>
      <c r="I41" s="420">
        <v>9014655</v>
      </c>
      <c r="J41" s="415">
        <v>6664803</v>
      </c>
      <c r="K41" s="415">
        <v>6038776</v>
      </c>
      <c r="L41" s="415">
        <v>626027</v>
      </c>
      <c r="M41" s="415">
        <v>0</v>
      </c>
      <c r="N41" s="415">
        <v>0</v>
      </c>
      <c r="O41" s="415">
        <v>0</v>
      </c>
      <c r="P41" s="68">
        <v>2252703</v>
      </c>
      <c r="Q41" s="68">
        <v>66648</v>
      </c>
      <c r="R41" s="415">
        <v>30501</v>
      </c>
      <c r="S41" s="416">
        <v>12.674799999999999</v>
      </c>
      <c r="T41" s="417">
        <v>10.5481</v>
      </c>
      <c r="U41" s="423">
        <v>2.1267</v>
      </c>
      <c r="V41" s="424">
        <f t="shared" ref="V41:W43" si="44">AG41*-1</f>
        <v>0</v>
      </c>
      <c r="W41" s="418">
        <f t="shared" si="44"/>
        <v>0</v>
      </c>
      <c r="X41" s="418">
        <v>0</v>
      </c>
      <c r="Y41" s="418">
        <v>0</v>
      </c>
      <c r="Z41" s="418">
        <v>0</v>
      </c>
      <c r="AA41" s="418">
        <v>0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0</v>
      </c>
      <c r="AF41" s="418">
        <f>SUM(AD41:AE41)</f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ref="AO41:AP43" si="45">AD41+AL41</f>
        <v>0</v>
      </c>
      <c r="AP41" s="418">
        <f t="shared" si="45"/>
        <v>0</v>
      </c>
      <c r="AQ41" s="418">
        <f>SUM(AO41:AP41)</f>
        <v>0</v>
      </c>
      <c r="AR41" s="68">
        <f>ROUND((AF41+AG41+AH41+AI41)*33.8%,0)</f>
        <v>0</v>
      </c>
      <c r="AS41" s="68">
        <f>ROUND(AF41*1%,0)</f>
        <v>0</v>
      </c>
      <c r="AT41" s="418">
        <v>0</v>
      </c>
      <c r="AU41" s="415">
        <v>0</v>
      </c>
      <c r="AV41" s="418">
        <f>AT41+AU41</f>
        <v>0</v>
      </c>
      <c r="AW41" s="418">
        <f>AQ41+AR41+AS41+AV41</f>
        <v>0</v>
      </c>
      <c r="AX41" s="419">
        <v>0</v>
      </c>
      <c r="AY41" s="419">
        <v>0</v>
      </c>
      <c r="AZ41" s="419">
        <v>0</v>
      </c>
      <c r="BA41" s="419">
        <v>0</v>
      </c>
      <c r="BB41" s="416">
        <v>0</v>
      </c>
      <c r="BC41" s="93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</v>
      </c>
      <c r="BH41" s="421">
        <f>SUM(BF41:BG41)</f>
        <v>0</v>
      </c>
      <c r="BI41" s="780">
        <f>I41+AW41</f>
        <v>9014655</v>
      </c>
      <c r="BJ41" s="418">
        <f>J41+AF41</f>
        <v>6664803</v>
      </c>
      <c r="BK41" s="418">
        <f t="shared" ref="BK41:BL43" si="46">K41+AD41</f>
        <v>6038776</v>
      </c>
      <c r="BL41" s="418">
        <f t="shared" si="46"/>
        <v>626027</v>
      </c>
      <c r="BM41" s="418">
        <f>M41+AN41</f>
        <v>0</v>
      </c>
      <c r="BN41" s="418">
        <f t="shared" ref="BN41:BO43" si="47">N41+AL41</f>
        <v>0</v>
      </c>
      <c r="BO41" s="418">
        <f t="shared" si="47"/>
        <v>0</v>
      </c>
      <c r="BP41" s="418">
        <f t="shared" ref="BP41:BQ43" si="48">P41+AR41</f>
        <v>2252703</v>
      </c>
      <c r="BQ41" s="418">
        <f t="shared" si="48"/>
        <v>66648</v>
      </c>
      <c r="BR41" s="418">
        <f>R41+AV41</f>
        <v>30501</v>
      </c>
      <c r="BS41" s="419">
        <f>S41+BH41</f>
        <v>12.674799999999999</v>
      </c>
      <c r="BT41" s="419">
        <f t="shared" ref="BT41:BU43" si="49">T41+BF41</f>
        <v>10.5481</v>
      </c>
      <c r="BU41" s="421">
        <f t="shared" si="49"/>
        <v>2.1267</v>
      </c>
      <c r="BV41" s="420"/>
      <c r="BW41" s="415"/>
      <c r="BX41" s="415"/>
      <c r="BY41" s="415"/>
      <c r="BZ41" s="415"/>
      <c r="CA41" s="510"/>
    </row>
    <row r="42" spans="1:79" s="221" customFormat="1" x14ac:dyDescent="0.2">
      <c r="A42" s="223">
        <v>9</v>
      </c>
      <c r="B42" s="224">
        <v>3467</v>
      </c>
      <c r="C42" s="224">
        <v>691001243</v>
      </c>
      <c r="D42" s="224">
        <v>72048174</v>
      </c>
      <c r="E42" s="225" t="s">
        <v>24</v>
      </c>
      <c r="F42" s="224">
        <v>3111</v>
      </c>
      <c r="G42" s="225" t="s">
        <v>291</v>
      </c>
      <c r="H42" s="226" t="s">
        <v>272</v>
      </c>
      <c r="I42" s="420">
        <v>374880</v>
      </c>
      <c r="J42" s="415">
        <v>278101</v>
      </c>
      <c r="K42" s="415">
        <v>278101</v>
      </c>
      <c r="L42" s="415">
        <v>0</v>
      </c>
      <c r="M42" s="415">
        <v>0</v>
      </c>
      <c r="N42" s="415">
        <v>0</v>
      </c>
      <c r="O42" s="415">
        <v>0</v>
      </c>
      <c r="P42" s="68">
        <v>93998</v>
      </c>
      <c r="Q42" s="68">
        <v>2781</v>
      </c>
      <c r="R42" s="415">
        <v>0</v>
      </c>
      <c r="S42" s="416">
        <v>0.75</v>
      </c>
      <c r="T42" s="417">
        <v>0.75</v>
      </c>
      <c r="U42" s="423">
        <v>0</v>
      </c>
      <c r="V42" s="424">
        <f t="shared" si="44"/>
        <v>0</v>
      </c>
      <c r="W42" s="418">
        <f t="shared" si="44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0</v>
      </c>
      <c r="AF42" s="418">
        <f>SUM(AD42:AE42)</f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45"/>
        <v>0</v>
      </c>
      <c r="AP42" s="418">
        <f t="shared" si="45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0</v>
      </c>
      <c r="AT42" s="418">
        <v>0</v>
      </c>
      <c r="AU42" s="415">
        <v>0</v>
      </c>
      <c r="AV42" s="418">
        <f>AT42+AU42</f>
        <v>0</v>
      </c>
      <c r="AW42" s="418">
        <f>AQ42+AR42+AS42+AV42</f>
        <v>0</v>
      </c>
      <c r="AX42" s="419">
        <v>0</v>
      </c>
      <c r="AY42" s="419">
        <v>0</v>
      </c>
      <c r="AZ42" s="419">
        <v>0</v>
      </c>
      <c r="BA42" s="419">
        <v>0</v>
      </c>
      <c r="BB42" s="416">
        <v>0</v>
      </c>
      <c r="BC42" s="93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0</v>
      </c>
      <c r="BH42" s="421">
        <f>SUM(BF42:BG42)</f>
        <v>0</v>
      </c>
      <c r="BI42" s="780">
        <f>I42+AW42</f>
        <v>374880</v>
      </c>
      <c r="BJ42" s="418">
        <f>J42+AF42</f>
        <v>278101</v>
      </c>
      <c r="BK42" s="418">
        <f t="shared" si="46"/>
        <v>278101</v>
      </c>
      <c r="BL42" s="418">
        <f t="shared" si="46"/>
        <v>0</v>
      </c>
      <c r="BM42" s="418">
        <f>M42+AN42</f>
        <v>0</v>
      </c>
      <c r="BN42" s="418">
        <f t="shared" si="47"/>
        <v>0</v>
      </c>
      <c r="BO42" s="418">
        <f t="shared" si="47"/>
        <v>0</v>
      </c>
      <c r="BP42" s="418">
        <f t="shared" si="48"/>
        <v>93998</v>
      </c>
      <c r="BQ42" s="418">
        <f t="shared" si="48"/>
        <v>2781</v>
      </c>
      <c r="BR42" s="418">
        <f>R42+AV42</f>
        <v>0</v>
      </c>
      <c r="BS42" s="419">
        <f>S42+BH42</f>
        <v>0.75</v>
      </c>
      <c r="BT42" s="419">
        <f t="shared" si="49"/>
        <v>0.75</v>
      </c>
      <c r="BU42" s="421">
        <f t="shared" si="49"/>
        <v>0</v>
      </c>
      <c r="BV42" s="420"/>
      <c r="BW42" s="415"/>
      <c r="BX42" s="415"/>
      <c r="BY42" s="415"/>
      <c r="BZ42" s="415"/>
      <c r="CA42" s="510"/>
    </row>
    <row r="43" spans="1:79" s="221" customFormat="1" ht="12.75" customHeight="1" x14ac:dyDescent="0.2">
      <c r="A43" s="223">
        <v>9</v>
      </c>
      <c r="B43" s="224">
        <v>3467</v>
      </c>
      <c r="C43" s="224">
        <v>691001243</v>
      </c>
      <c r="D43" s="224">
        <v>72048174</v>
      </c>
      <c r="E43" s="225" t="s">
        <v>24</v>
      </c>
      <c r="F43" s="224">
        <v>3141</v>
      </c>
      <c r="G43" s="225" t="s">
        <v>294</v>
      </c>
      <c r="H43" s="226" t="s">
        <v>272</v>
      </c>
      <c r="I43" s="420">
        <v>896919</v>
      </c>
      <c r="J43" s="415">
        <v>662525</v>
      </c>
      <c r="K43" s="415">
        <v>0</v>
      </c>
      <c r="L43" s="415">
        <v>662525</v>
      </c>
      <c r="M43" s="415">
        <v>0</v>
      </c>
      <c r="N43" s="415">
        <v>0</v>
      </c>
      <c r="O43" s="415">
        <v>0</v>
      </c>
      <c r="P43" s="68">
        <v>223933</v>
      </c>
      <c r="Q43" s="68">
        <v>6625</v>
      </c>
      <c r="R43" s="415">
        <v>3836</v>
      </c>
      <c r="S43" s="416">
        <v>1.99</v>
      </c>
      <c r="T43" s="417">
        <v>0</v>
      </c>
      <c r="U43" s="423">
        <v>1.99</v>
      </c>
      <c r="V43" s="424">
        <f t="shared" si="44"/>
        <v>0</v>
      </c>
      <c r="W43" s="418">
        <f t="shared" si="44"/>
        <v>0</v>
      </c>
      <c r="X43" s="418">
        <v>0</v>
      </c>
      <c r="Y43" s="418">
        <v>0</v>
      </c>
      <c r="Z43" s="418">
        <v>0</v>
      </c>
      <c r="AA43" s="415">
        <v>329009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329009</v>
      </c>
      <c r="AF43" s="418">
        <f>SUM(AD43:AE43)</f>
        <v>329009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0</v>
      </c>
      <c r="AN43" s="418">
        <f>SUM(AL43:AM43)</f>
        <v>0</v>
      </c>
      <c r="AO43" s="418">
        <f t="shared" si="45"/>
        <v>0</v>
      </c>
      <c r="AP43" s="418">
        <f t="shared" si="45"/>
        <v>329009</v>
      </c>
      <c r="AQ43" s="418">
        <f>SUM(AO43:AP43)</f>
        <v>329009</v>
      </c>
      <c r="AR43" s="68">
        <f>ROUND((AF43+AG43+AH43+AI43)*33.8%,0)</f>
        <v>111205</v>
      </c>
      <c r="AS43" s="68">
        <f>ROUND(AF43*1%,0)</f>
        <v>3290</v>
      </c>
      <c r="AT43" s="418">
        <v>0</v>
      </c>
      <c r="AU43" s="415">
        <v>1856</v>
      </c>
      <c r="AV43" s="418">
        <f>AT43+AU43</f>
        <v>1856</v>
      </c>
      <c r="AW43" s="418">
        <f>AQ43+AR43+AS43+AV43</f>
        <v>445360</v>
      </c>
      <c r="AX43" s="419">
        <v>0</v>
      </c>
      <c r="AY43" s="419">
        <v>0</v>
      </c>
      <c r="AZ43" s="419">
        <v>0</v>
      </c>
      <c r="BA43" s="419">
        <v>0</v>
      </c>
      <c r="BB43" s="416">
        <v>0.99</v>
      </c>
      <c r="BC43" s="93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0.99</v>
      </c>
      <c r="BH43" s="421">
        <f>SUM(BF43:BG43)</f>
        <v>0.99</v>
      </c>
      <c r="BI43" s="780">
        <f>I43+AW43</f>
        <v>1342279</v>
      </c>
      <c r="BJ43" s="418">
        <f>J43+AF43</f>
        <v>991534</v>
      </c>
      <c r="BK43" s="418">
        <f t="shared" si="46"/>
        <v>0</v>
      </c>
      <c r="BL43" s="418">
        <f t="shared" si="46"/>
        <v>991534</v>
      </c>
      <c r="BM43" s="418">
        <f>M43+AN43</f>
        <v>0</v>
      </c>
      <c r="BN43" s="418">
        <f t="shared" si="47"/>
        <v>0</v>
      </c>
      <c r="BO43" s="418">
        <f t="shared" si="47"/>
        <v>0</v>
      </c>
      <c r="BP43" s="418">
        <f t="shared" si="48"/>
        <v>335138</v>
      </c>
      <c r="BQ43" s="418">
        <f t="shared" si="48"/>
        <v>9915</v>
      </c>
      <c r="BR43" s="418">
        <f>R43+AV43</f>
        <v>5692</v>
      </c>
      <c r="BS43" s="419">
        <f>S43+BH43</f>
        <v>2.98</v>
      </c>
      <c r="BT43" s="419">
        <f t="shared" si="49"/>
        <v>0</v>
      </c>
      <c r="BU43" s="421">
        <f t="shared" si="49"/>
        <v>2.98</v>
      </c>
      <c r="BV43" s="420"/>
      <c r="BW43" s="415"/>
      <c r="BX43" s="415"/>
      <c r="BY43" s="415"/>
      <c r="BZ43" s="415"/>
      <c r="CA43" s="510"/>
    </row>
    <row r="44" spans="1:79" s="221" customFormat="1" ht="12.75" customHeight="1" x14ac:dyDescent="0.2">
      <c r="A44" s="153">
        <v>9</v>
      </c>
      <c r="B44" s="14">
        <v>3467</v>
      </c>
      <c r="C44" s="152">
        <v>691001243</v>
      </c>
      <c r="D44" s="152">
        <v>72048174</v>
      </c>
      <c r="E44" s="222" t="s">
        <v>25</v>
      </c>
      <c r="F44" s="14"/>
      <c r="G44" s="222"/>
      <c r="H44" s="560"/>
      <c r="I44" s="505">
        <v>10286454</v>
      </c>
      <c r="J44" s="504">
        <v>7605429</v>
      </c>
      <c r="K44" s="504">
        <v>6316877</v>
      </c>
      <c r="L44" s="504">
        <v>1288552</v>
      </c>
      <c r="M44" s="504">
        <v>0</v>
      </c>
      <c r="N44" s="504">
        <v>0</v>
      </c>
      <c r="O44" s="504">
        <v>0</v>
      </c>
      <c r="P44" s="504">
        <v>2570634</v>
      </c>
      <c r="Q44" s="504">
        <v>76054</v>
      </c>
      <c r="R44" s="504">
        <v>34337</v>
      </c>
      <c r="S44" s="544">
        <v>15.4148</v>
      </c>
      <c r="T44" s="544">
        <v>11.2981</v>
      </c>
      <c r="U44" s="401">
        <v>4.1166999999999998</v>
      </c>
      <c r="V44" s="505">
        <f t="shared" ref="V44:CA44" si="50">SUM(V41:V43)</f>
        <v>0</v>
      </c>
      <c r="W44" s="504">
        <f t="shared" si="50"/>
        <v>0</v>
      </c>
      <c r="X44" s="504">
        <f t="shared" si="50"/>
        <v>0</v>
      </c>
      <c r="Y44" s="504">
        <f t="shared" si="50"/>
        <v>0</v>
      </c>
      <c r="Z44" s="504">
        <f t="shared" si="50"/>
        <v>0</v>
      </c>
      <c r="AA44" s="575">
        <f t="shared" si="50"/>
        <v>329009</v>
      </c>
      <c r="AB44" s="504">
        <f t="shared" si="50"/>
        <v>0</v>
      </c>
      <c r="AC44" s="504">
        <f t="shared" si="50"/>
        <v>0</v>
      </c>
      <c r="AD44" s="504">
        <f t="shared" si="50"/>
        <v>0</v>
      </c>
      <c r="AE44" s="504">
        <f t="shared" si="50"/>
        <v>329009</v>
      </c>
      <c r="AF44" s="504">
        <f t="shared" si="50"/>
        <v>329009</v>
      </c>
      <c r="AG44" s="504">
        <f t="shared" si="50"/>
        <v>0</v>
      </c>
      <c r="AH44" s="504">
        <f t="shared" si="50"/>
        <v>0</v>
      </c>
      <c r="AI44" s="504">
        <f t="shared" si="50"/>
        <v>0</v>
      </c>
      <c r="AJ44" s="504">
        <f t="shared" si="50"/>
        <v>0</v>
      </c>
      <c r="AK44" s="504">
        <f t="shared" si="50"/>
        <v>0</v>
      </c>
      <c r="AL44" s="504">
        <f t="shared" si="50"/>
        <v>0</v>
      </c>
      <c r="AM44" s="504">
        <f t="shared" si="50"/>
        <v>0</v>
      </c>
      <c r="AN44" s="504">
        <f t="shared" si="50"/>
        <v>0</v>
      </c>
      <c r="AO44" s="504">
        <f t="shared" si="50"/>
        <v>0</v>
      </c>
      <c r="AP44" s="504">
        <f t="shared" si="50"/>
        <v>329009</v>
      </c>
      <c r="AQ44" s="504">
        <f t="shared" si="50"/>
        <v>329009</v>
      </c>
      <c r="AR44" s="504">
        <f t="shared" si="50"/>
        <v>111205</v>
      </c>
      <c r="AS44" s="504">
        <f t="shared" si="50"/>
        <v>3290</v>
      </c>
      <c r="AT44" s="504">
        <f t="shared" si="50"/>
        <v>0</v>
      </c>
      <c r="AU44" s="504">
        <f t="shared" si="50"/>
        <v>1856</v>
      </c>
      <c r="AV44" s="504">
        <f t="shared" si="50"/>
        <v>1856</v>
      </c>
      <c r="AW44" s="504">
        <f t="shared" si="50"/>
        <v>445360</v>
      </c>
      <c r="AX44" s="544">
        <f t="shared" si="50"/>
        <v>0</v>
      </c>
      <c r="AY44" s="544">
        <f t="shared" si="50"/>
        <v>0</v>
      </c>
      <c r="AZ44" s="544">
        <f t="shared" si="50"/>
        <v>0</v>
      </c>
      <c r="BA44" s="544">
        <f t="shared" si="50"/>
        <v>0</v>
      </c>
      <c r="BB44" s="544">
        <f t="shared" si="50"/>
        <v>0.99</v>
      </c>
      <c r="BC44" s="938">
        <f t="shared" si="50"/>
        <v>0</v>
      </c>
      <c r="BD44" s="544">
        <f t="shared" si="50"/>
        <v>0</v>
      </c>
      <c r="BE44" s="544">
        <f t="shared" si="50"/>
        <v>0</v>
      </c>
      <c r="BF44" s="544">
        <f t="shared" si="50"/>
        <v>0</v>
      </c>
      <c r="BG44" s="544">
        <f t="shared" si="50"/>
        <v>0.99</v>
      </c>
      <c r="BH44" s="442">
        <f t="shared" si="50"/>
        <v>0.99</v>
      </c>
      <c r="BI44" s="806">
        <f t="shared" si="50"/>
        <v>10731814</v>
      </c>
      <c r="BJ44" s="504">
        <f t="shared" si="50"/>
        <v>7934438</v>
      </c>
      <c r="BK44" s="504">
        <f t="shared" si="50"/>
        <v>6316877</v>
      </c>
      <c r="BL44" s="504">
        <f t="shared" si="50"/>
        <v>1617561</v>
      </c>
      <c r="BM44" s="504">
        <f t="shared" si="50"/>
        <v>0</v>
      </c>
      <c r="BN44" s="504">
        <f t="shared" si="50"/>
        <v>0</v>
      </c>
      <c r="BO44" s="504">
        <f t="shared" si="50"/>
        <v>0</v>
      </c>
      <c r="BP44" s="504">
        <f t="shared" si="50"/>
        <v>2681839</v>
      </c>
      <c r="BQ44" s="504">
        <f t="shared" si="50"/>
        <v>79344</v>
      </c>
      <c r="BR44" s="504">
        <f t="shared" si="50"/>
        <v>36193</v>
      </c>
      <c r="BS44" s="544">
        <f t="shared" si="50"/>
        <v>16.404799999999998</v>
      </c>
      <c r="BT44" s="544">
        <f t="shared" si="50"/>
        <v>11.2981</v>
      </c>
      <c r="BU44" s="442">
        <f t="shared" si="50"/>
        <v>5.1067</v>
      </c>
      <c r="BV44" s="824">
        <f t="shared" si="50"/>
        <v>0</v>
      </c>
      <c r="BW44" s="710">
        <f t="shared" si="50"/>
        <v>0</v>
      </c>
      <c r="BX44" s="710">
        <f t="shared" si="50"/>
        <v>0</v>
      </c>
      <c r="BY44" s="710">
        <f t="shared" si="50"/>
        <v>0</v>
      </c>
      <c r="BZ44" s="710">
        <f t="shared" si="50"/>
        <v>0</v>
      </c>
      <c r="CA44" s="825">
        <f t="shared" si="50"/>
        <v>0</v>
      </c>
    </row>
    <row r="45" spans="1:79" s="221" customFormat="1" ht="12.75" customHeight="1" x14ac:dyDescent="0.2">
      <c r="A45" s="223">
        <v>10</v>
      </c>
      <c r="B45" s="224">
        <v>3461</v>
      </c>
      <c r="C45" s="224">
        <v>691001286</v>
      </c>
      <c r="D45" s="224">
        <v>72048107</v>
      </c>
      <c r="E45" s="225" t="s">
        <v>26</v>
      </c>
      <c r="F45" s="224">
        <v>3111</v>
      </c>
      <c r="G45" s="225" t="s">
        <v>290</v>
      </c>
      <c r="H45" s="226" t="s">
        <v>271</v>
      </c>
      <c r="I45" s="420">
        <v>9060062</v>
      </c>
      <c r="J45" s="415">
        <v>6698685</v>
      </c>
      <c r="K45" s="415">
        <v>6072658</v>
      </c>
      <c r="L45" s="415">
        <v>626027</v>
      </c>
      <c r="M45" s="415">
        <v>0</v>
      </c>
      <c r="N45" s="415">
        <v>0</v>
      </c>
      <c r="O45" s="415">
        <v>0</v>
      </c>
      <c r="P45" s="68">
        <v>2264156</v>
      </c>
      <c r="Q45" s="68">
        <v>66987</v>
      </c>
      <c r="R45" s="415">
        <v>30234</v>
      </c>
      <c r="S45" s="416">
        <v>12.826699999999999</v>
      </c>
      <c r="T45" s="417">
        <v>10.7</v>
      </c>
      <c r="U45" s="423">
        <v>2.1267</v>
      </c>
      <c r="V45" s="424">
        <f t="shared" ref="V45:W47" si="51">AG45*-1</f>
        <v>0</v>
      </c>
      <c r="W45" s="418">
        <f t="shared" si="51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ref="AO45:AP47" si="52">AD45+AL45</f>
        <v>0</v>
      </c>
      <c r="AP45" s="418">
        <f t="shared" si="52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5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6">
        <v>0</v>
      </c>
      <c r="BC45" s="93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421">
        <f>SUM(BF45:BG45)</f>
        <v>0</v>
      </c>
      <c r="BI45" s="780">
        <f>I45+AW45</f>
        <v>9060062</v>
      </c>
      <c r="BJ45" s="418">
        <f>J45+AF45</f>
        <v>6698685</v>
      </c>
      <c r="BK45" s="418">
        <f t="shared" ref="BK45:BL47" si="53">K45+AD45</f>
        <v>6072658</v>
      </c>
      <c r="BL45" s="418">
        <f t="shared" si="53"/>
        <v>626027</v>
      </c>
      <c r="BM45" s="418">
        <f>M45+AN45</f>
        <v>0</v>
      </c>
      <c r="BN45" s="418">
        <f t="shared" ref="BN45:BO47" si="54">N45+AL45</f>
        <v>0</v>
      </c>
      <c r="BO45" s="418">
        <f t="shared" si="54"/>
        <v>0</v>
      </c>
      <c r="BP45" s="418">
        <f t="shared" ref="BP45:BQ47" si="55">P45+AR45</f>
        <v>2264156</v>
      </c>
      <c r="BQ45" s="418">
        <f t="shared" si="55"/>
        <v>66987</v>
      </c>
      <c r="BR45" s="418">
        <f>R45+AV45</f>
        <v>30234</v>
      </c>
      <c r="BS45" s="419">
        <f>S45+BH45</f>
        <v>12.826699999999999</v>
      </c>
      <c r="BT45" s="419">
        <f t="shared" ref="BT45:BU47" si="56">T45+BF45</f>
        <v>10.7</v>
      </c>
      <c r="BU45" s="421">
        <f t="shared" si="56"/>
        <v>2.1267</v>
      </c>
      <c r="BV45" s="420"/>
      <c r="BW45" s="415"/>
      <c r="BX45" s="415"/>
      <c r="BY45" s="415"/>
      <c r="BZ45" s="415"/>
      <c r="CA45" s="510"/>
    </row>
    <row r="46" spans="1:79" s="221" customFormat="1" x14ac:dyDescent="0.2">
      <c r="A46" s="223">
        <v>10</v>
      </c>
      <c r="B46" s="224">
        <v>3461</v>
      </c>
      <c r="C46" s="224">
        <v>691001286</v>
      </c>
      <c r="D46" s="224">
        <v>72048107</v>
      </c>
      <c r="E46" s="225" t="s">
        <v>26</v>
      </c>
      <c r="F46" s="224">
        <v>3111</v>
      </c>
      <c r="G46" s="225" t="s">
        <v>291</v>
      </c>
      <c r="H46" s="226" t="s">
        <v>272</v>
      </c>
      <c r="I46" s="420">
        <v>620970</v>
      </c>
      <c r="J46" s="415">
        <v>457322</v>
      </c>
      <c r="K46" s="415">
        <v>457322</v>
      </c>
      <c r="L46" s="415">
        <v>0</v>
      </c>
      <c r="M46" s="415">
        <v>0</v>
      </c>
      <c r="N46" s="415">
        <v>0</v>
      </c>
      <c r="O46" s="415">
        <v>0</v>
      </c>
      <c r="P46" s="68">
        <v>154575</v>
      </c>
      <c r="Q46" s="68">
        <v>4573</v>
      </c>
      <c r="R46" s="415">
        <v>4500</v>
      </c>
      <c r="S46" s="416">
        <v>1.5</v>
      </c>
      <c r="T46" s="417">
        <v>1.5</v>
      </c>
      <c r="U46" s="423">
        <v>0</v>
      </c>
      <c r="V46" s="424">
        <f t="shared" si="51"/>
        <v>0</v>
      </c>
      <c r="W46" s="418">
        <f t="shared" si="51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52"/>
        <v>0</v>
      </c>
      <c r="AP46" s="418">
        <f t="shared" si="52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0</v>
      </c>
      <c r="AU46" s="415">
        <v>0</v>
      </c>
      <c r="AV46" s="418">
        <f>AT46+AU46</f>
        <v>0</v>
      </c>
      <c r="AW46" s="418">
        <f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6">
        <v>0</v>
      </c>
      <c r="BC46" s="93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421">
        <f>SUM(BF46:BG46)</f>
        <v>0</v>
      </c>
      <c r="BI46" s="780">
        <f>I46+AW46</f>
        <v>620970</v>
      </c>
      <c r="BJ46" s="418">
        <f>J46+AF46</f>
        <v>457322</v>
      </c>
      <c r="BK46" s="418">
        <f t="shared" si="53"/>
        <v>457322</v>
      </c>
      <c r="BL46" s="418">
        <f t="shared" si="53"/>
        <v>0</v>
      </c>
      <c r="BM46" s="418">
        <f>M46+AN46</f>
        <v>0</v>
      </c>
      <c r="BN46" s="418">
        <f t="shared" si="54"/>
        <v>0</v>
      </c>
      <c r="BO46" s="418">
        <f t="shared" si="54"/>
        <v>0</v>
      </c>
      <c r="BP46" s="418">
        <f t="shared" si="55"/>
        <v>154575</v>
      </c>
      <c r="BQ46" s="418">
        <f t="shared" si="55"/>
        <v>4573</v>
      </c>
      <c r="BR46" s="418">
        <f>R46+AV46</f>
        <v>4500</v>
      </c>
      <c r="BS46" s="419">
        <f>S46+BH46</f>
        <v>1.5</v>
      </c>
      <c r="BT46" s="419">
        <f t="shared" si="56"/>
        <v>1.5</v>
      </c>
      <c r="BU46" s="421">
        <f t="shared" si="56"/>
        <v>0</v>
      </c>
      <c r="BV46" s="420"/>
      <c r="BW46" s="415"/>
      <c r="BX46" s="415"/>
      <c r="BY46" s="415"/>
      <c r="BZ46" s="415"/>
      <c r="CA46" s="510"/>
    </row>
    <row r="47" spans="1:79" s="221" customFormat="1" ht="12.75" customHeight="1" x14ac:dyDescent="0.2">
      <c r="A47" s="223">
        <v>10</v>
      </c>
      <c r="B47" s="224">
        <v>3461</v>
      </c>
      <c r="C47" s="224">
        <v>691001286</v>
      </c>
      <c r="D47" s="224">
        <v>72048107</v>
      </c>
      <c r="E47" s="225" t="s">
        <v>26</v>
      </c>
      <c r="F47" s="224">
        <v>3141</v>
      </c>
      <c r="G47" s="225" t="s">
        <v>294</v>
      </c>
      <c r="H47" s="226" t="s">
        <v>272</v>
      </c>
      <c r="I47" s="420">
        <v>929605</v>
      </c>
      <c r="J47" s="415">
        <v>686969</v>
      </c>
      <c r="K47" s="415">
        <v>0</v>
      </c>
      <c r="L47" s="415">
        <v>686969</v>
      </c>
      <c r="M47" s="415">
        <v>0</v>
      </c>
      <c r="N47" s="415">
        <v>0</v>
      </c>
      <c r="O47" s="415">
        <v>0</v>
      </c>
      <c r="P47" s="68">
        <v>232196</v>
      </c>
      <c r="Q47" s="68">
        <v>6870</v>
      </c>
      <c r="R47" s="415">
        <v>3570</v>
      </c>
      <c r="S47" s="416">
        <v>2.06</v>
      </c>
      <c r="T47" s="417">
        <v>0</v>
      </c>
      <c r="U47" s="423">
        <v>2.06</v>
      </c>
      <c r="V47" s="424">
        <f t="shared" si="51"/>
        <v>0</v>
      </c>
      <c r="W47" s="418">
        <f t="shared" si="51"/>
        <v>0</v>
      </c>
      <c r="X47" s="418">
        <v>0</v>
      </c>
      <c r="Y47" s="418">
        <v>0</v>
      </c>
      <c r="Z47" s="418">
        <v>0</v>
      </c>
      <c r="AA47" s="415">
        <v>342274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342274</v>
      </c>
      <c r="AF47" s="418">
        <f>SUM(AD47:AE47)</f>
        <v>342274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52"/>
        <v>0</v>
      </c>
      <c r="AP47" s="418">
        <f t="shared" si="52"/>
        <v>342274</v>
      </c>
      <c r="AQ47" s="418">
        <f>SUM(AO47:AP47)</f>
        <v>342274</v>
      </c>
      <c r="AR47" s="68">
        <f>ROUND((AF47+AG47+AH47+AI47)*33.8%,0)</f>
        <v>115689</v>
      </c>
      <c r="AS47" s="68">
        <f>ROUND(AF47*1%,0)</f>
        <v>3423</v>
      </c>
      <c r="AT47" s="418">
        <v>0</v>
      </c>
      <c r="AU47" s="415">
        <v>1734</v>
      </c>
      <c r="AV47" s="418">
        <f>AT47+AU47</f>
        <v>1734</v>
      </c>
      <c r="AW47" s="418">
        <f>AQ47+AR47+AS47+AV47</f>
        <v>463120</v>
      </c>
      <c r="AX47" s="419">
        <v>0</v>
      </c>
      <c r="AY47" s="419">
        <v>0</v>
      </c>
      <c r="AZ47" s="419">
        <v>0</v>
      </c>
      <c r="BA47" s="419">
        <v>0</v>
      </c>
      <c r="BB47" s="416">
        <v>1.0300000000000002</v>
      </c>
      <c r="BC47" s="93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1.0300000000000002</v>
      </c>
      <c r="BH47" s="421">
        <f>SUM(BF47:BG47)</f>
        <v>1.0300000000000002</v>
      </c>
      <c r="BI47" s="780">
        <f>I47+AW47</f>
        <v>1392725</v>
      </c>
      <c r="BJ47" s="418">
        <f>J47+AF47</f>
        <v>1029243</v>
      </c>
      <c r="BK47" s="418">
        <f t="shared" si="53"/>
        <v>0</v>
      </c>
      <c r="BL47" s="418">
        <f t="shared" si="53"/>
        <v>1029243</v>
      </c>
      <c r="BM47" s="418">
        <f>M47+AN47</f>
        <v>0</v>
      </c>
      <c r="BN47" s="418">
        <f t="shared" si="54"/>
        <v>0</v>
      </c>
      <c r="BO47" s="418">
        <f t="shared" si="54"/>
        <v>0</v>
      </c>
      <c r="BP47" s="418">
        <f t="shared" si="55"/>
        <v>347885</v>
      </c>
      <c r="BQ47" s="418">
        <f t="shared" si="55"/>
        <v>10293</v>
      </c>
      <c r="BR47" s="418">
        <f>R47+AV47</f>
        <v>5304</v>
      </c>
      <c r="BS47" s="419">
        <f>S47+BH47</f>
        <v>3.0900000000000003</v>
      </c>
      <c r="BT47" s="419">
        <f t="shared" si="56"/>
        <v>0</v>
      </c>
      <c r="BU47" s="421">
        <f t="shared" si="56"/>
        <v>3.0900000000000003</v>
      </c>
      <c r="BV47" s="420"/>
      <c r="BW47" s="415"/>
      <c r="BX47" s="415"/>
      <c r="BY47" s="415"/>
      <c r="BZ47" s="415"/>
      <c r="CA47" s="510"/>
    </row>
    <row r="48" spans="1:79" s="221" customFormat="1" ht="12.75" customHeight="1" x14ac:dyDescent="0.2">
      <c r="A48" s="153">
        <v>10</v>
      </c>
      <c r="B48" s="14">
        <v>3461</v>
      </c>
      <c r="C48" s="152">
        <v>691001286</v>
      </c>
      <c r="D48" s="152">
        <v>72048107</v>
      </c>
      <c r="E48" s="222" t="s">
        <v>27</v>
      </c>
      <c r="F48" s="14"/>
      <c r="G48" s="222"/>
      <c r="H48" s="560"/>
      <c r="I48" s="505">
        <v>10610637</v>
      </c>
      <c r="J48" s="504">
        <v>7842976</v>
      </c>
      <c r="K48" s="504">
        <v>6529980</v>
      </c>
      <c r="L48" s="504">
        <v>1312996</v>
      </c>
      <c r="M48" s="504">
        <v>0</v>
      </c>
      <c r="N48" s="504">
        <v>0</v>
      </c>
      <c r="O48" s="504">
        <v>0</v>
      </c>
      <c r="P48" s="504">
        <v>2650927</v>
      </c>
      <c r="Q48" s="504">
        <v>78430</v>
      </c>
      <c r="R48" s="504">
        <v>38304</v>
      </c>
      <c r="S48" s="544">
        <v>16.386699999999998</v>
      </c>
      <c r="T48" s="544">
        <v>12.2</v>
      </c>
      <c r="U48" s="401">
        <v>4.1867000000000001</v>
      </c>
      <c r="V48" s="505">
        <f t="shared" ref="V48:CA48" si="57">SUM(V45:V47)</f>
        <v>0</v>
      </c>
      <c r="W48" s="504">
        <f t="shared" si="57"/>
        <v>0</v>
      </c>
      <c r="X48" s="504">
        <f t="shared" si="57"/>
        <v>0</v>
      </c>
      <c r="Y48" s="504">
        <f t="shared" si="57"/>
        <v>0</v>
      </c>
      <c r="Z48" s="504">
        <f t="shared" si="57"/>
        <v>0</v>
      </c>
      <c r="AA48" s="575">
        <f t="shared" si="57"/>
        <v>342274</v>
      </c>
      <c r="AB48" s="504">
        <f t="shared" si="57"/>
        <v>0</v>
      </c>
      <c r="AC48" s="504">
        <f t="shared" si="57"/>
        <v>0</v>
      </c>
      <c r="AD48" s="504">
        <f t="shared" si="57"/>
        <v>0</v>
      </c>
      <c r="AE48" s="504">
        <f t="shared" si="57"/>
        <v>342274</v>
      </c>
      <c r="AF48" s="504">
        <f t="shared" si="57"/>
        <v>342274</v>
      </c>
      <c r="AG48" s="504">
        <f t="shared" si="57"/>
        <v>0</v>
      </c>
      <c r="AH48" s="504">
        <f t="shared" si="57"/>
        <v>0</v>
      </c>
      <c r="AI48" s="504">
        <f t="shared" si="57"/>
        <v>0</v>
      </c>
      <c r="AJ48" s="504">
        <f t="shared" si="57"/>
        <v>0</v>
      </c>
      <c r="AK48" s="504">
        <f t="shared" si="57"/>
        <v>0</v>
      </c>
      <c r="AL48" s="504">
        <f t="shared" si="57"/>
        <v>0</v>
      </c>
      <c r="AM48" s="504">
        <f t="shared" si="57"/>
        <v>0</v>
      </c>
      <c r="AN48" s="504">
        <f t="shared" si="57"/>
        <v>0</v>
      </c>
      <c r="AO48" s="504">
        <f t="shared" si="57"/>
        <v>0</v>
      </c>
      <c r="AP48" s="504">
        <f t="shared" si="57"/>
        <v>342274</v>
      </c>
      <c r="AQ48" s="504">
        <f t="shared" si="57"/>
        <v>342274</v>
      </c>
      <c r="AR48" s="504">
        <f t="shared" si="57"/>
        <v>115689</v>
      </c>
      <c r="AS48" s="504">
        <f t="shared" si="57"/>
        <v>3423</v>
      </c>
      <c r="AT48" s="504">
        <f t="shared" si="57"/>
        <v>0</v>
      </c>
      <c r="AU48" s="504">
        <f t="shared" si="57"/>
        <v>1734</v>
      </c>
      <c r="AV48" s="504">
        <f t="shared" si="57"/>
        <v>1734</v>
      </c>
      <c r="AW48" s="504">
        <f t="shared" si="57"/>
        <v>463120</v>
      </c>
      <c r="AX48" s="544">
        <f t="shared" si="57"/>
        <v>0</v>
      </c>
      <c r="AY48" s="544">
        <f t="shared" si="57"/>
        <v>0</v>
      </c>
      <c r="AZ48" s="544">
        <f t="shared" si="57"/>
        <v>0</v>
      </c>
      <c r="BA48" s="544">
        <f t="shared" si="57"/>
        <v>0</v>
      </c>
      <c r="BB48" s="544">
        <f t="shared" si="57"/>
        <v>1.0300000000000002</v>
      </c>
      <c r="BC48" s="938">
        <f t="shared" si="57"/>
        <v>0</v>
      </c>
      <c r="BD48" s="544">
        <f t="shared" si="57"/>
        <v>0</v>
      </c>
      <c r="BE48" s="544">
        <f t="shared" si="57"/>
        <v>0</v>
      </c>
      <c r="BF48" s="544">
        <f t="shared" si="57"/>
        <v>0</v>
      </c>
      <c r="BG48" s="544">
        <f t="shared" si="57"/>
        <v>1.0300000000000002</v>
      </c>
      <c r="BH48" s="442">
        <f t="shared" si="57"/>
        <v>1.0300000000000002</v>
      </c>
      <c r="BI48" s="806">
        <f t="shared" si="57"/>
        <v>11073757</v>
      </c>
      <c r="BJ48" s="504">
        <f t="shared" si="57"/>
        <v>8185250</v>
      </c>
      <c r="BK48" s="504">
        <f t="shared" si="57"/>
        <v>6529980</v>
      </c>
      <c r="BL48" s="504">
        <f t="shared" si="57"/>
        <v>1655270</v>
      </c>
      <c r="BM48" s="504">
        <f t="shared" si="57"/>
        <v>0</v>
      </c>
      <c r="BN48" s="504">
        <f t="shared" si="57"/>
        <v>0</v>
      </c>
      <c r="BO48" s="504">
        <f t="shared" si="57"/>
        <v>0</v>
      </c>
      <c r="BP48" s="504">
        <f t="shared" si="57"/>
        <v>2766616</v>
      </c>
      <c r="BQ48" s="504">
        <f t="shared" si="57"/>
        <v>81853</v>
      </c>
      <c r="BR48" s="504">
        <f t="shared" si="57"/>
        <v>40038</v>
      </c>
      <c r="BS48" s="544">
        <f t="shared" si="57"/>
        <v>17.416699999999999</v>
      </c>
      <c r="BT48" s="544">
        <f t="shared" si="57"/>
        <v>12.2</v>
      </c>
      <c r="BU48" s="442">
        <f t="shared" si="57"/>
        <v>5.2167000000000003</v>
      </c>
      <c r="BV48" s="824">
        <f t="shared" si="57"/>
        <v>0</v>
      </c>
      <c r="BW48" s="710">
        <f t="shared" si="57"/>
        <v>0</v>
      </c>
      <c r="BX48" s="710">
        <f t="shared" si="57"/>
        <v>0</v>
      </c>
      <c r="BY48" s="710">
        <f t="shared" si="57"/>
        <v>0</v>
      </c>
      <c r="BZ48" s="710">
        <f t="shared" si="57"/>
        <v>0</v>
      </c>
      <c r="CA48" s="825">
        <f t="shared" si="57"/>
        <v>0</v>
      </c>
    </row>
    <row r="49" spans="1:79" s="221" customFormat="1" ht="12.75" customHeight="1" x14ac:dyDescent="0.2">
      <c r="A49" s="223">
        <v>11</v>
      </c>
      <c r="B49" s="224">
        <v>3468</v>
      </c>
      <c r="C49" s="224">
        <v>691000891</v>
      </c>
      <c r="D49" s="224">
        <v>72048069</v>
      </c>
      <c r="E49" s="225" t="s">
        <v>28</v>
      </c>
      <c r="F49" s="224">
        <v>3111</v>
      </c>
      <c r="G49" s="225" t="s">
        <v>290</v>
      </c>
      <c r="H49" s="226" t="s">
        <v>271</v>
      </c>
      <c r="I49" s="420">
        <v>6840440</v>
      </c>
      <c r="J49" s="415">
        <v>5035154</v>
      </c>
      <c r="K49" s="415">
        <v>4611608</v>
      </c>
      <c r="L49" s="415">
        <v>423546</v>
      </c>
      <c r="M49" s="415">
        <v>20000</v>
      </c>
      <c r="N49" s="415">
        <v>0</v>
      </c>
      <c r="O49" s="415">
        <v>20000</v>
      </c>
      <c r="P49" s="68">
        <v>1708642</v>
      </c>
      <c r="Q49" s="68">
        <v>50352</v>
      </c>
      <c r="R49" s="415">
        <v>26292</v>
      </c>
      <c r="S49" s="416">
        <v>9.51</v>
      </c>
      <c r="T49" s="417">
        <v>8.0967000000000002</v>
      </c>
      <c r="U49" s="423">
        <v>1.4133</v>
      </c>
      <c r="V49" s="424">
        <f t="shared" ref="V49:W51" si="58">AG49*-1</f>
        <v>0</v>
      </c>
      <c r="W49" s="418">
        <f t="shared" si="58"/>
        <v>0</v>
      </c>
      <c r="X49" s="418">
        <v>0</v>
      </c>
      <c r="Y49" s="418">
        <v>0</v>
      </c>
      <c r="Z49" s="418">
        <v>0</v>
      </c>
      <c r="AA49" s="418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ref="AO49:AP51" si="59">AD49+AL49</f>
        <v>0</v>
      </c>
      <c r="AP49" s="418">
        <f t="shared" si="59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5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6">
        <v>0</v>
      </c>
      <c r="BC49" s="93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421">
        <f>SUM(BF49:BG49)</f>
        <v>0</v>
      </c>
      <c r="BI49" s="780">
        <f>I49+AW49</f>
        <v>6840440</v>
      </c>
      <c r="BJ49" s="418">
        <f>J49+AF49</f>
        <v>5035154</v>
      </c>
      <c r="BK49" s="418">
        <f t="shared" ref="BK49:BL51" si="60">K49+AD49</f>
        <v>4611608</v>
      </c>
      <c r="BL49" s="418">
        <f t="shared" si="60"/>
        <v>423546</v>
      </c>
      <c r="BM49" s="418">
        <f>M49+AN49</f>
        <v>20000</v>
      </c>
      <c r="BN49" s="418">
        <f t="shared" ref="BN49:BO51" si="61">N49+AL49</f>
        <v>0</v>
      </c>
      <c r="BO49" s="418">
        <f t="shared" si="61"/>
        <v>20000</v>
      </c>
      <c r="BP49" s="418">
        <f t="shared" ref="BP49:BQ51" si="62">P49+AR49</f>
        <v>1708642</v>
      </c>
      <c r="BQ49" s="418">
        <f t="shared" si="62"/>
        <v>50352</v>
      </c>
      <c r="BR49" s="418">
        <f>R49+AV49</f>
        <v>26292</v>
      </c>
      <c r="BS49" s="419">
        <f>S49+BH49</f>
        <v>9.51</v>
      </c>
      <c r="BT49" s="419">
        <f t="shared" ref="BT49:BU51" si="63">T49+BF49</f>
        <v>8.0967000000000002</v>
      </c>
      <c r="BU49" s="421">
        <f t="shared" si="63"/>
        <v>1.4133</v>
      </c>
      <c r="BV49" s="420"/>
      <c r="BW49" s="415"/>
      <c r="BX49" s="415"/>
      <c r="BY49" s="415"/>
      <c r="BZ49" s="415"/>
      <c r="CA49" s="510"/>
    </row>
    <row r="50" spans="1:79" s="221" customFormat="1" x14ac:dyDescent="0.2">
      <c r="A50" s="223">
        <v>11</v>
      </c>
      <c r="B50" s="224">
        <v>3468</v>
      </c>
      <c r="C50" s="224">
        <v>691000891</v>
      </c>
      <c r="D50" s="224">
        <v>72048069</v>
      </c>
      <c r="E50" s="225" t="s">
        <v>28</v>
      </c>
      <c r="F50" s="224">
        <v>3111</v>
      </c>
      <c r="G50" s="225" t="s">
        <v>291</v>
      </c>
      <c r="H50" s="226" t="s">
        <v>272</v>
      </c>
      <c r="I50" s="420">
        <v>1374560</v>
      </c>
      <c r="J50" s="415">
        <v>1019703</v>
      </c>
      <c r="K50" s="415">
        <v>1019703</v>
      </c>
      <c r="L50" s="415">
        <v>0</v>
      </c>
      <c r="M50" s="415">
        <v>0</v>
      </c>
      <c r="N50" s="415">
        <v>0</v>
      </c>
      <c r="O50" s="415">
        <v>0</v>
      </c>
      <c r="P50" s="68">
        <v>344660</v>
      </c>
      <c r="Q50" s="68">
        <v>10197</v>
      </c>
      <c r="R50" s="415">
        <v>0</v>
      </c>
      <c r="S50" s="416">
        <v>2.75</v>
      </c>
      <c r="T50" s="417">
        <v>2.75</v>
      </c>
      <c r="U50" s="423">
        <v>0</v>
      </c>
      <c r="V50" s="424">
        <f t="shared" si="58"/>
        <v>0</v>
      </c>
      <c r="W50" s="418">
        <f t="shared" si="58"/>
        <v>0</v>
      </c>
      <c r="X50" s="418">
        <v>0</v>
      </c>
      <c r="Y50" s="418">
        <v>0</v>
      </c>
      <c r="Z50" s="418">
        <v>0</v>
      </c>
      <c r="AA50" s="418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59"/>
        <v>0</v>
      </c>
      <c r="AP50" s="418">
        <f t="shared" si="59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5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6">
        <v>0</v>
      </c>
      <c r="BC50" s="93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421">
        <f>SUM(BF50:BG50)</f>
        <v>0</v>
      </c>
      <c r="BI50" s="780">
        <f>I50+AW50</f>
        <v>1374560</v>
      </c>
      <c r="BJ50" s="418">
        <f>J50+AF50</f>
        <v>1019703</v>
      </c>
      <c r="BK50" s="418">
        <f t="shared" si="60"/>
        <v>1019703</v>
      </c>
      <c r="BL50" s="418">
        <f t="shared" si="60"/>
        <v>0</v>
      </c>
      <c r="BM50" s="418">
        <f>M50+AN50</f>
        <v>0</v>
      </c>
      <c r="BN50" s="418">
        <f t="shared" si="61"/>
        <v>0</v>
      </c>
      <c r="BO50" s="418">
        <f t="shared" si="61"/>
        <v>0</v>
      </c>
      <c r="BP50" s="418">
        <f t="shared" si="62"/>
        <v>344660</v>
      </c>
      <c r="BQ50" s="418">
        <f t="shared" si="62"/>
        <v>10197</v>
      </c>
      <c r="BR50" s="418">
        <f>R50+AV50</f>
        <v>0</v>
      </c>
      <c r="BS50" s="419">
        <f>S50+BH50</f>
        <v>2.75</v>
      </c>
      <c r="BT50" s="419">
        <f t="shared" si="63"/>
        <v>2.75</v>
      </c>
      <c r="BU50" s="421">
        <f t="shared" si="63"/>
        <v>0</v>
      </c>
      <c r="BV50" s="420"/>
      <c r="BW50" s="415"/>
      <c r="BX50" s="415"/>
      <c r="BY50" s="415"/>
      <c r="BZ50" s="415"/>
      <c r="CA50" s="510"/>
    </row>
    <row r="51" spans="1:79" s="221" customFormat="1" ht="12.75" customHeight="1" x14ac:dyDescent="0.2">
      <c r="A51" s="223">
        <v>11</v>
      </c>
      <c r="B51" s="224">
        <v>3468</v>
      </c>
      <c r="C51" s="224">
        <v>691000891</v>
      </c>
      <c r="D51" s="224">
        <v>72048069</v>
      </c>
      <c r="E51" s="225" t="s">
        <v>28</v>
      </c>
      <c r="F51" s="224">
        <v>3141</v>
      </c>
      <c r="G51" s="225" t="s">
        <v>294</v>
      </c>
      <c r="H51" s="226" t="s">
        <v>272</v>
      </c>
      <c r="I51" s="420">
        <v>617034</v>
      </c>
      <c r="J51" s="415">
        <v>455767</v>
      </c>
      <c r="K51" s="415">
        <v>0</v>
      </c>
      <c r="L51" s="415">
        <v>455767</v>
      </c>
      <c r="M51" s="415">
        <v>0</v>
      </c>
      <c r="N51" s="415">
        <v>0</v>
      </c>
      <c r="O51" s="415">
        <v>0</v>
      </c>
      <c r="P51" s="68">
        <v>154049</v>
      </c>
      <c r="Q51" s="68">
        <v>4558</v>
      </c>
      <c r="R51" s="415">
        <v>2660</v>
      </c>
      <c r="S51" s="416">
        <v>1.37</v>
      </c>
      <c r="T51" s="417">
        <v>0</v>
      </c>
      <c r="U51" s="423">
        <v>1.37</v>
      </c>
      <c r="V51" s="424">
        <f t="shared" si="58"/>
        <v>0</v>
      </c>
      <c r="W51" s="418">
        <f t="shared" si="58"/>
        <v>0</v>
      </c>
      <c r="X51" s="418">
        <v>0</v>
      </c>
      <c r="Y51" s="418">
        <v>0</v>
      </c>
      <c r="Z51" s="418">
        <v>0</v>
      </c>
      <c r="AA51" s="605">
        <v>226460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226460</v>
      </c>
      <c r="AF51" s="418">
        <f>SUM(AD51:AE51)</f>
        <v>226460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59"/>
        <v>0</v>
      </c>
      <c r="AP51" s="418">
        <f t="shared" si="59"/>
        <v>226460</v>
      </c>
      <c r="AQ51" s="418">
        <f>SUM(AO51:AP51)</f>
        <v>226460</v>
      </c>
      <c r="AR51" s="68">
        <f>ROUND((AF51+AG51+AH51+AI51)*33.8%,0)</f>
        <v>76543</v>
      </c>
      <c r="AS51" s="68">
        <f>ROUND(AF51*1%,0)</f>
        <v>2265</v>
      </c>
      <c r="AT51" s="418">
        <v>0</v>
      </c>
      <c r="AU51" s="605">
        <v>1292</v>
      </c>
      <c r="AV51" s="418">
        <f>AT51+AU51</f>
        <v>1292</v>
      </c>
      <c r="AW51" s="418">
        <f>AQ51+AR51+AS51+AV51</f>
        <v>306560</v>
      </c>
      <c r="AX51" s="419">
        <v>0</v>
      </c>
      <c r="AY51" s="419">
        <v>0</v>
      </c>
      <c r="AZ51" s="419">
        <v>0</v>
      </c>
      <c r="BA51" s="419">
        <v>0</v>
      </c>
      <c r="BB51" s="607">
        <v>0.68</v>
      </c>
      <c r="BC51" s="93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0.68</v>
      </c>
      <c r="BH51" s="421">
        <f>SUM(BF51:BG51)</f>
        <v>0.68</v>
      </c>
      <c r="BI51" s="780">
        <f>I51+AW51</f>
        <v>923594</v>
      </c>
      <c r="BJ51" s="418">
        <f>J51+AF51</f>
        <v>682227</v>
      </c>
      <c r="BK51" s="418">
        <f t="shared" si="60"/>
        <v>0</v>
      </c>
      <c r="BL51" s="418">
        <f t="shared" si="60"/>
        <v>682227</v>
      </c>
      <c r="BM51" s="418">
        <f>M51+AN51</f>
        <v>0</v>
      </c>
      <c r="BN51" s="418">
        <f t="shared" si="61"/>
        <v>0</v>
      </c>
      <c r="BO51" s="418">
        <f t="shared" si="61"/>
        <v>0</v>
      </c>
      <c r="BP51" s="418">
        <f t="shared" si="62"/>
        <v>230592</v>
      </c>
      <c r="BQ51" s="418">
        <f t="shared" si="62"/>
        <v>6823</v>
      </c>
      <c r="BR51" s="418">
        <f>R51+AV51</f>
        <v>3952</v>
      </c>
      <c r="BS51" s="419">
        <f>S51+BH51</f>
        <v>2.0500000000000003</v>
      </c>
      <c r="BT51" s="419">
        <f t="shared" si="63"/>
        <v>0</v>
      </c>
      <c r="BU51" s="421">
        <f t="shared" si="63"/>
        <v>2.0500000000000003</v>
      </c>
      <c r="BV51" s="420"/>
      <c r="BW51" s="415"/>
      <c r="BX51" s="415"/>
      <c r="BY51" s="415"/>
      <c r="BZ51" s="415"/>
      <c r="CA51" s="510"/>
    </row>
    <row r="52" spans="1:79" s="221" customFormat="1" ht="12.75" customHeight="1" x14ac:dyDescent="0.2">
      <c r="A52" s="153">
        <v>11</v>
      </c>
      <c r="B52" s="14">
        <v>3468</v>
      </c>
      <c r="C52" s="152">
        <v>691000891</v>
      </c>
      <c r="D52" s="152">
        <v>72048069</v>
      </c>
      <c r="E52" s="222" t="s">
        <v>29</v>
      </c>
      <c r="F52" s="14"/>
      <c r="G52" s="222"/>
      <c r="H52" s="560"/>
      <c r="I52" s="505">
        <v>8832034</v>
      </c>
      <c r="J52" s="504">
        <v>6510624</v>
      </c>
      <c r="K52" s="504">
        <v>5631311</v>
      </c>
      <c r="L52" s="504">
        <v>879313</v>
      </c>
      <c r="M52" s="504">
        <v>20000</v>
      </c>
      <c r="N52" s="504">
        <v>0</v>
      </c>
      <c r="O52" s="504">
        <v>20000</v>
      </c>
      <c r="P52" s="504">
        <v>2207351</v>
      </c>
      <c r="Q52" s="504">
        <v>65107</v>
      </c>
      <c r="R52" s="504">
        <v>28952</v>
      </c>
      <c r="S52" s="544">
        <v>13.629999999999999</v>
      </c>
      <c r="T52" s="544">
        <v>10.8467</v>
      </c>
      <c r="U52" s="401">
        <v>2.7833000000000001</v>
      </c>
      <c r="V52" s="505">
        <f t="shared" ref="V52:CA52" si="64">SUM(V49:V51)</f>
        <v>0</v>
      </c>
      <c r="W52" s="504">
        <f t="shared" si="64"/>
        <v>0</v>
      </c>
      <c r="X52" s="504">
        <f t="shared" si="64"/>
        <v>0</v>
      </c>
      <c r="Y52" s="504">
        <f t="shared" si="64"/>
        <v>0</v>
      </c>
      <c r="Z52" s="504">
        <f t="shared" si="64"/>
        <v>0</v>
      </c>
      <c r="AA52" s="575">
        <f t="shared" si="64"/>
        <v>226460</v>
      </c>
      <c r="AB52" s="504">
        <f t="shared" si="64"/>
        <v>0</v>
      </c>
      <c r="AC52" s="504">
        <f t="shared" si="64"/>
        <v>0</v>
      </c>
      <c r="AD52" s="504">
        <f t="shared" si="64"/>
        <v>0</v>
      </c>
      <c r="AE52" s="504">
        <f t="shared" si="64"/>
        <v>226460</v>
      </c>
      <c r="AF52" s="504">
        <f t="shared" si="64"/>
        <v>226460</v>
      </c>
      <c r="AG52" s="504">
        <f t="shared" si="64"/>
        <v>0</v>
      </c>
      <c r="AH52" s="504">
        <f t="shared" si="64"/>
        <v>0</v>
      </c>
      <c r="AI52" s="504">
        <f t="shared" si="64"/>
        <v>0</v>
      </c>
      <c r="AJ52" s="504">
        <f t="shared" si="64"/>
        <v>0</v>
      </c>
      <c r="AK52" s="504">
        <f t="shared" si="64"/>
        <v>0</v>
      </c>
      <c r="AL52" s="504">
        <f t="shared" si="64"/>
        <v>0</v>
      </c>
      <c r="AM52" s="504">
        <f t="shared" si="64"/>
        <v>0</v>
      </c>
      <c r="AN52" s="504">
        <f t="shared" si="64"/>
        <v>0</v>
      </c>
      <c r="AO52" s="504">
        <f t="shared" si="64"/>
        <v>0</v>
      </c>
      <c r="AP52" s="504">
        <f t="shared" si="64"/>
        <v>226460</v>
      </c>
      <c r="AQ52" s="504">
        <f t="shared" si="64"/>
        <v>226460</v>
      </c>
      <c r="AR52" s="504">
        <f t="shared" si="64"/>
        <v>76543</v>
      </c>
      <c r="AS52" s="504">
        <f t="shared" si="64"/>
        <v>2265</v>
      </c>
      <c r="AT52" s="504">
        <f t="shared" si="64"/>
        <v>0</v>
      </c>
      <c r="AU52" s="504">
        <f t="shared" si="64"/>
        <v>1292</v>
      </c>
      <c r="AV52" s="504">
        <f t="shared" si="64"/>
        <v>1292</v>
      </c>
      <c r="AW52" s="504">
        <f t="shared" si="64"/>
        <v>306560</v>
      </c>
      <c r="AX52" s="544">
        <f t="shared" si="64"/>
        <v>0</v>
      </c>
      <c r="AY52" s="544">
        <f t="shared" si="64"/>
        <v>0</v>
      </c>
      <c r="AZ52" s="544">
        <f t="shared" si="64"/>
        <v>0</v>
      </c>
      <c r="BA52" s="544">
        <f t="shared" si="64"/>
        <v>0</v>
      </c>
      <c r="BB52" s="544">
        <f t="shared" si="64"/>
        <v>0.68</v>
      </c>
      <c r="BC52" s="938">
        <f t="shared" si="64"/>
        <v>0</v>
      </c>
      <c r="BD52" s="544">
        <f t="shared" si="64"/>
        <v>0</v>
      </c>
      <c r="BE52" s="544">
        <f t="shared" si="64"/>
        <v>0</v>
      </c>
      <c r="BF52" s="544">
        <f t="shared" si="64"/>
        <v>0</v>
      </c>
      <c r="BG52" s="544">
        <f t="shared" si="64"/>
        <v>0.68</v>
      </c>
      <c r="BH52" s="442">
        <f t="shared" si="64"/>
        <v>0.68</v>
      </c>
      <c r="BI52" s="806">
        <f t="shared" si="64"/>
        <v>9138594</v>
      </c>
      <c r="BJ52" s="504">
        <f t="shared" si="64"/>
        <v>6737084</v>
      </c>
      <c r="BK52" s="504">
        <f t="shared" si="64"/>
        <v>5631311</v>
      </c>
      <c r="BL52" s="504">
        <f t="shared" si="64"/>
        <v>1105773</v>
      </c>
      <c r="BM52" s="504">
        <f t="shared" si="64"/>
        <v>20000</v>
      </c>
      <c r="BN52" s="504">
        <f t="shared" si="64"/>
        <v>0</v>
      </c>
      <c r="BO52" s="504">
        <f t="shared" si="64"/>
        <v>20000</v>
      </c>
      <c r="BP52" s="504">
        <f t="shared" si="64"/>
        <v>2283894</v>
      </c>
      <c r="BQ52" s="504">
        <f t="shared" si="64"/>
        <v>67372</v>
      </c>
      <c r="BR52" s="504">
        <f t="shared" si="64"/>
        <v>30244</v>
      </c>
      <c r="BS52" s="544">
        <f t="shared" si="64"/>
        <v>14.31</v>
      </c>
      <c r="BT52" s="544">
        <f t="shared" si="64"/>
        <v>10.8467</v>
      </c>
      <c r="BU52" s="442">
        <f t="shared" si="64"/>
        <v>3.4633000000000003</v>
      </c>
      <c r="BV52" s="824">
        <f t="shared" si="64"/>
        <v>0</v>
      </c>
      <c r="BW52" s="710">
        <f t="shared" si="64"/>
        <v>0</v>
      </c>
      <c r="BX52" s="710">
        <f t="shared" si="64"/>
        <v>0</v>
      </c>
      <c r="BY52" s="710">
        <f t="shared" si="64"/>
        <v>0</v>
      </c>
      <c r="BZ52" s="710">
        <f t="shared" si="64"/>
        <v>0</v>
      </c>
      <c r="CA52" s="825">
        <f t="shared" si="64"/>
        <v>0</v>
      </c>
    </row>
    <row r="53" spans="1:79" s="221" customFormat="1" ht="12.75" customHeight="1" x14ac:dyDescent="0.2">
      <c r="A53" s="223">
        <v>12</v>
      </c>
      <c r="B53" s="224">
        <v>3465</v>
      </c>
      <c r="C53" s="224">
        <v>691001278</v>
      </c>
      <c r="D53" s="224">
        <v>72048131</v>
      </c>
      <c r="E53" s="225" t="s">
        <v>30</v>
      </c>
      <c r="F53" s="224">
        <v>3111</v>
      </c>
      <c r="G53" s="225" t="s">
        <v>290</v>
      </c>
      <c r="H53" s="226" t="s">
        <v>271</v>
      </c>
      <c r="I53" s="420">
        <v>7030896</v>
      </c>
      <c r="J53" s="415">
        <v>5177724</v>
      </c>
      <c r="K53" s="415">
        <v>4707522</v>
      </c>
      <c r="L53" s="415">
        <v>470202</v>
      </c>
      <c r="M53" s="415">
        <v>20000</v>
      </c>
      <c r="N53" s="415">
        <v>20000</v>
      </c>
      <c r="O53" s="415">
        <v>0</v>
      </c>
      <c r="P53" s="68">
        <v>1756831</v>
      </c>
      <c r="Q53" s="68">
        <v>51777</v>
      </c>
      <c r="R53" s="415">
        <v>24564</v>
      </c>
      <c r="S53" s="416">
        <v>9.6000999999999994</v>
      </c>
      <c r="T53" s="417">
        <v>8</v>
      </c>
      <c r="U53" s="423">
        <v>1.6000999999999999</v>
      </c>
      <c r="V53" s="424">
        <f t="shared" ref="V53:W55" si="65">AG53*-1</f>
        <v>0</v>
      </c>
      <c r="W53" s="418">
        <f t="shared" si="65"/>
        <v>0</v>
      </c>
      <c r="X53" s="418">
        <v>0</v>
      </c>
      <c r="Y53" s="418">
        <v>0</v>
      </c>
      <c r="Z53" s="418">
        <v>0</v>
      </c>
      <c r="AA53" s="418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ref="AO53:AP55" si="66">AD53+AL53</f>
        <v>0</v>
      </c>
      <c r="AP53" s="418">
        <f t="shared" si="66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5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6">
        <v>0</v>
      </c>
      <c r="BC53" s="93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780">
        <f>I53+AW53</f>
        <v>7030896</v>
      </c>
      <c r="BJ53" s="418">
        <f>J53+AF53</f>
        <v>5177724</v>
      </c>
      <c r="BK53" s="418">
        <f t="shared" ref="BK53:BL55" si="67">K53+AD53</f>
        <v>4707522</v>
      </c>
      <c r="BL53" s="418">
        <f t="shared" si="67"/>
        <v>470202</v>
      </c>
      <c r="BM53" s="418">
        <f>M53+AN53</f>
        <v>20000</v>
      </c>
      <c r="BN53" s="418">
        <f t="shared" ref="BN53:BO55" si="68">N53+AL53</f>
        <v>20000</v>
      </c>
      <c r="BO53" s="418">
        <f t="shared" si="68"/>
        <v>0</v>
      </c>
      <c r="BP53" s="418">
        <f t="shared" ref="BP53:BQ55" si="69">P53+AR53</f>
        <v>1756831</v>
      </c>
      <c r="BQ53" s="418">
        <f t="shared" si="69"/>
        <v>51777</v>
      </c>
      <c r="BR53" s="418">
        <f>R53+AV53</f>
        <v>24564</v>
      </c>
      <c r="BS53" s="419">
        <f>S53+BH53</f>
        <v>9.6000999999999994</v>
      </c>
      <c r="BT53" s="419">
        <f t="shared" ref="BT53:BU55" si="70">T53+BF53</f>
        <v>8</v>
      </c>
      <c r="BU53" s="421">
        <f t="shared" si="70"/>
        <v>1.6000999999999999</v>
      </c>
      <c r="BV53" s="420"/>
      <c r="BW53" s="415"/>
      <c r="BX53" s="415"/>
      <c r="BY53" s="415"/>
      <c r="BZ53" s="415"/>
      <c r="CA53" s="510"/>
    </row>
    <row r="54" spans="1:79" s="221" customFormat="1" x14ac:dyDescent="0.2">
      <c r="A54" s="223">
        <v>12</v>
      </c>
      <c r="B54" s="224">
        <v>3465</v>
      </c>
      <c r="C54" s="224">
        <v>691001278</v>
      </c>
      <c r="D54" s="224">
        <v>72048131</v>
      </c>
      <c r="E54" s="225" t="s">
        <v>30</v>
      </c>
      <c r="F54" s="224">
        <v>3111</v>
      </c>
      <c r="G54" s="225" t="s">
        <v>291</v>
      </c>
      <c r="H54" s="226" t="s">
        <v>272</v>
      </c>
      <c r="I54" s="420">
        <v>274912</v>
      </c>
      <c r="J54" s="415">
        <v>203941</v>
      </c>
      <c r="K54" s="415">
        <v>203941</v>
      </c>
      <c r="L54" s="415">
        <v>0</v>
      </c>
      <c r="M54" s="415">
        <v>0</v>
      </c>
      <c r="N54" s="415">
        <v>0</v>
      </c>
      <c r="O54" s="415">
        <v>0</v>
      </c>
      <c r="P54" s="68">
        <v>68932</v>
      </c>
      <c r="Q54" s="68">
        <v>2039</v>
      </c>
      <c r="R54" s="415">
        <v>0</v>
      </c>
      <c r="S54" s="416">
        <v>0.75</v>
      </c>
      <c r="T54" s="417">
        <v>0.75</v>
      </c>
      <c r="U54" s="423">
        <v>0</v>
      </c>
      <c r="V54" s="424">
        <f t="shared" si="65"/>
        <v>0</v>
      </c>
      <c r="W54" s="418">
        <f t="shared" si="65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66"/>
        <v>0</v>
      </c>
      <c r="AP54" s="418">
        <f t="shared" si="66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5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6">
        <v>0</v>
      </c>
      <c r="BC54" s="93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421">
        <f>SUM(BF54:BG54)</f>
        <v>0</v>
      </c>
      <c r="BI54" s="780">
        <f>I54+AW54</f>
        <v>274912</v>
      </c>
      <c r="BJ54" s="418">
        <f>J54+AF54</f>
        <v>203941</v>
      </c>
      <c r="BK54" s="418">
        <f t="shared" si="67"/>
        <v>203941</v>
      </c>
      <c r="BL54" s="418">
        <f t="shared" si="67"/>
        <v>0</v>
      </c>
      <c r="BM54" s="418">
        <f>M54+AN54</f>
        <v>0</v>
      </c>
      <c r="BN54" s="418">
        <f t="shared" si="68"/>
        <v>0</v>
      </c>
      <c r="BO54" s="418">
        <f t="shared" si="68"/>
        <v>0</v>
      </c>
      <c r="BP54" s="418">
        <f t="shared" si="69"/>
        <v>68932</v>
      </c>
      <c r="BQ54" s="418">
        <f t="shared" si="69"/>
        <v>2039</v>
      </c>
      <c r="BR54" s="418">
        <f>R54+AV54</f>
        <v>0</v>
      </c>
      <c r="BS54" s="419">
        <f>S54+BH54</f>
        <v>0.75</v>
      </c>
      <c r="BT54" s="419">
        <f t="shared" si="70"/>
        <v>0.75</v>
      </c>
      <c r="BU54" s="421">
        <f t="shared" si="70"/>
        <v>0</v>
      </c>
      <c r="BV54" s="420"/>
      <c r="BW54" s="415"/>
      <c r="BX54" s="415"/>
      <c r="BY54" s="415"/>
      <c r="BZ54" s="415"/>
      <c r="CA54" s="510"/>
    </row>
    <row r="55" spans="1:79" s="221" customFormat="1" ht="12.75" customHeight="1" x14ac:dyDescent="0.2">
      <c r="A55" s="223">
        <v>12</v>
      </c>
      <c r="B55" s="224">
        <v>3465</v>
      </c>
      <c r="C55" s="224">
        <v>691001278</v>
      </c>
      <c r="D55" s="224">
        <v>72048131</v>
      </c>
      <c r="E55" s="225" t="s">
        <v>30</v>
      </c>
      <c r="F55" s="224">
        <v>3141</v>
      </c>
      <c r="G55" s="225" t="s">
        <v>294</v>
      </c>
      <c r="H55" s="226" t="s">
        <v>272</v>
      </c>
      <c r="I55" s="420">
        <v>701476</v>
      </c>
      <c r="J55" s="415">
        <v>517994</v>
      </c>
      <c r="K55" s="415">
        <v>0</v>
      </c>
      <c r="L55" s="415">
        <v>517994</v>
      </c>
      <c r="M55" s="415">
        <v>0</v>
      </c>
      <c r="N55" s="415">
        <v>0</v>
      </c>
      <c r="O55" s="415">
        <v>0</v>
      </c>
      <c r="P55" s="68">
        <v>175082</v>
      </c>
      <c r="Q55" s="68">
        <v>5180</v>
      </c>
      <c r="R55" s="415">
        <v>3220</v>
      </c>
      <c r="S55" s="416">
        <v>1.55</v>
      </c>
      <c r="T55" s="417">
        <v>0</v>
      </c>
      <c r="U55" s="423">
        <v>1.55</v>
      </c>
      <c r="V55" s="424">
        <f t="shared" si="65"/>
        <v>0</v>
      </c>
      <c r="W55" s="418">
        <f t="shared" si="65"/>
        <v>0</v>
      </c>
      <c r="X55" s="418">
        <v>0</v>
      </c>
      <c r="Y55" s="418">
        <v>0</v>
      </c>
      <c r="Z55" s="418">
        <v>0</v>
      </c>
      <c r="AA55" s="605">
        <v>260283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260283</v>
      </c>
      <c r="AF55" s="418">
        <f>SUM(AD55:AE55)</f>
        <v>260283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66"/>
        <v>0</v>
      </c>
      <c r="AP55" s="418">
        <f t="shared" si="66"/>
        <v>260283</v>
      </c>
      <c r="AQ55" s="418">
        <f>SUM(AO55:AP55)</f>
        <v>260283</v>
      </c>
      <c r="AR55" s="68">
        <f>ROUND((AF55+AG55+AH55+AI55)*33.8%,0)</f>
        <v>87976</v>
      </c>
      <c r="AS55" s="68">
        <f>ROUND(AF55*1%,0)</f>
        <v>2603</v>
      </c>
      <c r="AT55" s="418">
        <v>0</v>
      </c>
      <c r="AU55" s="605">
        <v>1564</v>
      </c>
      <c r="AV55" s="418">
        <f>AT55+AU55</f>
        <v>1564</v>
      </c>
      <c r="AW55" s="418">
        <f>AQ55+AR55+AS55+AV55</f>
        <v>352426</v>
      </c>
      <c r="AX55" s="419">
        <v>0</v>
      </c>
      <c r="AY55" s="419">
        <v>0</v>
      </c>
      <c r="AZ55" s="419">
        <v>0</v>
      </c>
      <c r="BA55" s="419">
        <v>0</v>
      </c>
      <c r="BB55" s="607">
        <v>0.78</v>
      </c>
      <c r="BC55" s="93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0.78</v>
      </c>
      <c r="BH55" s="421">
        <f>SUM(BF55:BG55)</f>
        <v>0.78</v>
      </c>
      <c r="BI55" s="780">
        <f>I55+AW55</f>
        <v>1053902</v>
      </c>
      <c r="BJ55" s="418">
        <f>J55+AF55</f>
        <v>778277</v>
      </c>
      <c r="BK55" s="418">
        <f t="shared" si="67"/>
        <v>0</v>
      </c>
      <c r="BL55" s="418">
        <f t="shared" si="67"/>
        <v>778277</v>
      </c>
      <c r="BM55" s="418">
        <f>M55+AN55</f>
        <v>0</v>
      </c>
      <c r="BN55" s="418">
        <f t="shared" si="68"/>
        <v>0</v>
      </c>
      <c r="BO55" s="418">
        <f t="shared" si="68"/>
        <v>0</v>
      </c>
      <c r="BP55" s="418">
        <f t="shared" si="69"/>
        <v>263058</v>
      </c>
      <c r="BQ55" s="418">
        <f t="shared" si="69"/>
        <v>7783</v>
      </c>
      <c r="BR55" s="418">
        <f>R55+AV55</f>
        <v>4784</v>
      </c>
      <c r="BS55" s="419">
        <f>S55+BH55</f>
        <v>2.33</v>
      </c>
      <c r="BT55" s="419">
        <f t="shared" si="70"/>
        <v>0</v>
      </c>
      <c r="BU55" s="421">
        <f t="shared" si="70"/>
        <v>2.33</v>
      </c>
      <c r="BV55" s="420"/>
      <c r="BW55" s="415"/>
      <c r="BX55" s="415"/>
      <c r="BY55" s="415"/>
      <c r="BZ55" s="415"/>
      <c r="CA55" s="510"/>
    </row>
    <row r="56" spans="1:79" s="221" customFormat="1" ht="12.75" customHeight="1" x14ac:dyDescent="0.2">
      <c r="A56" s="153">
        <v>12</v>
      </c>
      <c r="B56" s="14">
        <v>3465</v>
      </c>
      <c r="C56" s="152">
        <v>691001278</v>
      </c>
      <c r="D56" s="152">
        <v>72048131</v>
      </c>
      <c r="E56" s="222" t="s">
        <v>31</v>
      </c>
      <c r="F56" s="14"/>
      <c r="G56" s="222"/>
      <c r="H56" s="560"/>
      <c r="I56" s="505">
        <v>8007284</v>
      </c>
      <c r="J56" s="504">
        <v>5899659</v>
      </c>
      <c r="K56" s="504">
        <v>4911463</v>
      </c>
      <c r="L56" s="504">
        <v>988196</v>
      </c>
      <c r="M56" s="504">
        <v>20000</v>
      </c>
      <c r="N56" s="504">
        <v>20000</v>
      </c>
      <c r="O56" s="504">
        <v>0</v>
      </c>
      <c r="P56" s="504">
        <v>2000845</v>
      </c>
      <c r="Q56" s="504">
        <v>58996</v>
      </c>
      <c r="R56" s="504">
        <v>27784</v>
      </c>
      <c r="S56" s="544">
        <v>11.9001</v>
      </c>
      <c r="T56" s="544">
        <v>8.75</v>
      </c>
      <c r="U56" s="401">
        <v>3.1501000000000001</v>
      </c>
      <c r="V56" s="505">
        <f t="shared" ref="V56:CA56" si="71">SUM(V53:V55)</f>
        <v>0</v>
      </c>
      <c r="W56" s="504">
        <f t="shared" si="71"/>
        <v>0</v>
      </c>
      <c r="X56" s="504">
        <f t="shared" si="71"/>
        <v>0</v>
      </c>
      <c r="Y56" s="504">
        <f t="shared" si="71"/>
        <v>0</v>
      </c>
      <c r="Z56" s="504">
        <f t="shared" si="71"/>
        <v>0</v>
      </c>
      <c r="AA56" s="575">
        <f t="shared" si="71"/>
        <v>260283</v>
      </c>
      <c r="AB56" s="504">
        <f t="shared" si="71"/>
        <v>0</v>
      </c>
      <c r="AC56" s="504">
        <f t="shared" si="71"/>
        <v>0</v>
      </c>
      <c r="AD56" s="504">
        <f t="shared" si="71"/>
        <v>0</v>
      </c>
      <c r="AE56" s="504">
        <f t="shared" si="71"/>
        <v>260283</v>
      </c>
      <c r="AF56" s="504">
        <f t="shared" si="71"/>
        <v>260283</v>
      </c>
      <c r="AG56" s="504">
        <f t="shared" si="71"/>
        <v>0</v>
      </c>
      <c r="AH56" s="504">
        <f t="shared" si="71"/>
        <v>0</v>
      </c>
      <c r="AI56" s="504">
        <f t="shared" si="71"/>
        <v>0</v>
      </c>
      <c r="AJ56" s="504">
        <f t="shared" si="71"/>
        <v>0</v>
      </c>
      <c r="AK56" s="504">
        <f t="shared" si="71"/>
        <v>0</v>
      </c>
      <c r="AL56" s="504">
        <f t="shared" si="71"/>
        <v>0</v>
      </c>
      <c r="AM56" s="504">
        <f t="shared" si="71"/>
        <v>0</v>
      </c>
      <c r="AN56" s="504">
        <f t="shared" si="71"/>
        <v>0</v>
      </c>
      <c r="AO56" s="504">
        <f t="shared" si="71"/>
        <v>0</v>
      </c>
      <c r="AP56" s="504">
        <f t="shared" si="71"/>
        <v>260283</v>
      </c>
      <c r="AQ56" s="504">
        <f t="shared" si="71"/>
        <v>260283</v>
      </c>
      <c r="AR56" s="504">
        <f t="shared" si="71"/>
        <v>87976</v>
      </c>
      <c r="AS56" s="504">
        <f t="shared" si="71"/>
        <v>2603</v>
      </c>
      <c r="AT56" s="504">
        <f t="shared" si="71"/>
        <v>0</v>
      </c>
      <c r="AU56" s="504">
        <f t="shared" si="71"/>
        <v>1564</v>
      </c>
      <c r="AV56" s="504">
        <f t="shared" si="71"/>
        <v>1564</v>
      </c>
      <c r="AW56" s="504">
        <f t="shared" si="71"/>
        <v>352426</v>
      </c>
      <c r="AX56" s="544">
        <f t="shared" si="71"/>
        <v>0</v>
      </c>
      <c r="AY56" s="544">
        <f t="shared" si="71"/>
        <v>0</v>
      </c>
      <c r="AZ56" s="544">
        <f t="shared" si="71"/>
        <v>0</v>
      </c>
      <c r="BA56" s="544">
        <f t="shared" si="71"/>
        <v>0</v>
      </c>
      <c r="BB56" s="544">
        <f t="shared" si="71"/>
        <v>0.78</v>
      </c>
      <c r="BC56" s="938">
        <f t="shared" si="71"/>
        <v>0</v>
      </c>
      <c r="BD56" s="544">
        <f t="shared" si="71"/>
        <v>0</v>
      </c>
      <c r="BE56" s="544">
        <f t="shared" si="71"/>
        <v>0</v>
      </c>
      <c r="BF56" s="544">
        <f t="shared" si="71"/>
        <v>0</v>
      </c>
      <c r="BG56" s="544">
        <f t="shared" si="71"/>
        <v>0.78</v>
      </c>
      <c r="BH56" s="442">
        <f t="shared" si="71"/>
        <v>0.78</v>
      </c>
      <c r="BI56" s="806">
        <f t="shared" si="71"/>
        <v>8359710</v>
      </c>
      <c r="BJ56" s="504">
        <f t="shared" si="71"/>
        <v>6159942</v>
      </c>
      <c r="BK56" s="504">
        <f t="shared" si="71"/>
        <v>4911463</v>
      </c>
      <c r="BL56" s="504">
        <f t="shared" si="71"/>
        <v>1248479</v>
      </c>
      <c r="BM56" s="504">
        <f t="shared" si="71"/>
        <v>20000</v>
      </c>
      <c r="BN56" s="504">
        <f t="shared" si="71"/>
        <v>20000</v>
      </c>
      <c r="BO56" s="504">
        <f t="shared" si="71"/>
        <v>0</v>
      </c>
      <c r="BP56" s="504">
        <f t="shared" si="71"/>
        <v>2088821</v>
      </c>
      <c r="BQ56" s="504">
        <f t="shared" si="71"/>
        <v>61599</v>
      </c>
      <c r="BR56" s="504">
        <f t="shared" si="71"/>
        <v>29348</v>
      </c>
      <c r="BS56" s="544">
        <f t="shared" si="71"/>
        <v>12.680099999999999</v>
      </c>
      <c r="BT56" s="544">
        <f t="shared" si="71"/>
        <v>8.75</v>
      </c>
      <c r="BU56" s="442">
        <f t="shared" si="71"/>
        <v>3.9300999999999999</v>
      </c>
      <c r="BV56" s="824">
        <f t="shared" si="71"/>
        <v>0</v>
      </c>
      <c r="BW56" s="710">
        <f t="shared" si="71"/>
        <v>0</v>
      </c>
      <c r="BX56" s="710">
        <f t="shared" si="71"/>
        <v>0</v>
      </c>
      <c r="BY56" s="710">
        <f t="shared" si="71"/>
        <v>0</v>
      </c>
      <c r="BZ56" s="710">
        <f t="shared" si="71"/>
        <v>0</v>
      </c>
      <c r="CA56" s="825">
        <f t="shared" si="71"/>
        <v>0</v>
      </c>
    </row>
    <row r="57" spans="1:79" s="221" customFormat="1" ht="12.75" customHeight="1" x14ac:dyDescent="0.2">
      <c r="A57" s="223">
        <v>13</v>
      </c>
      <c r="B57" s="224">
        <v>3473</v>
      </c>
      <c r="C57" s="224">
        <v>691003530</v>
      </c>
      <c r="D57" s="224">
        <v>72550392</v>
      </c>
      <c r="E57" s="225" t="s">
        <v>32</v>
      </c>
      <c r="F57" s="224">
        <v>3111</v>
      </c>
      <c r="G57" s="225" t="s">
        <v>290</v>
      </c>
      <c r="H57" s="226" t="s">
        <v>271</v>
      </c>
      <c r="I57" s="420">
        <v>8550194</v>
      </c>
      <c r="J57" s="415">
        <v>6322274</v>
      </c>
      <c r="K57" s="415">
        <v>5770375</v>
      </c>
      <c r="L57" s="415">
        <v>551899</v>
      </c>
      <c r="M57" s="415">
        <v>0</v>
      </c>
      <c r="N57" s="415">
        <v>0</v>
      </c>
      <c r="O57" s="415">
        <v>0</v>
      </c>
      <c r="P57" s="68">
        <v>2136929</v>
      </c>
      <c r="Q57" s="68">
        <v>63223</v>
      </c>
      <c r="R57" s="415">
        <v>27768</v>
      </c>
      <c r="S57" s="416">
        <v>11.86</v>
      </c>
      <c r="T57" s="417">
        <v>10</v>
      </c>
      <c r="U57" s="423">
        <v>1.86</v>
      </c>
      <c r="V57" s="424">
        <f>AG57*-1</f>
        <v>0</v>
      </c>
      <c r="W57" s="418">
        <f>AH57*-1</f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>AD57+AL57</f>
        <v>0</v>
      </c>
      <c r="AP57" s="418">
        <f>AE57+AM57</f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5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6">
        <v>0</v>
      </c>
      <c r="BC57" s="93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421">
        <f>SUM(BF57:BG57)</f>
        <v>0</v>
      </c>
      <c r="BI57" s="780">
        <f>I57+AW57</f>
        <v>8550194</v>
      </c>
      <c r="BJ57" s="418">
        <f>J57+AF57</f>
        <v>6322274</v>
      </c>
      <c r="BK57" s="418">
        <f>K57+AD57</f>
        <v>5770375</v>
      </c>
      <c r="BL57" s="418">
        <f>L57+AE57</f>
        <v>551899</v>
      </c>
      <c r="BM57" s="418">
        <f>M57+AN57</f>
        <v>0</v>
      </c>
      <c r="BN57" s="418">
        <f>N57+AL57</f>
        <v>0</v>
      </c>
      <c r="BO57" s="418">
        <f>O57+AM57</f>
        <v>0</v>
      </c>
      <c r="BP57" s="418">
        <f>P57+AR57</f>
        <v>2136929</v>
      </c>
      <c r="BQ57" s="418">
        <f>Q57+AS57</f>
        <v>63223</v>
      </c>
      <c r="BR57" s="418">
        <f>R57+AV57</f>
        <v>27768</v>
      </c>
      <c r="BS57" s="419">
        <f>S57+BH57</f>
        <v>11.86</v>
      </c>
      <c r="BT57" s="419">
        <f>T57+BF57</f>
        <v>10</v>
      </c>
      <c r="BU57" s="421">
        <f>U57+BG57</f>
        <v>1.86</v>
      </c>
      <c r="BV57" s="420"/>
      <c r="BW57" s="415"/>
      <c r="BX57" s="415"/>
      <c r="BY57" s="415"/>
      <c r="BZ57" s="415"/>
      <c r="CA57" s="510"/>
    </row>
    <row r="58" spans="1:79" s="221" customFormat="1" ht="12.75" customHeight="1" x14ac:dyDescent="0.2">
      <c r="A58" s="223">
        <v>13</v>
      </c>
      <c r="B58" s="224">
        <v>3473</v>
      </c>
      <c r="C58" s="224">
        <v>691003530</v>
      </c>
      <c r="D58" s="224">
        <v>72550392</v>
      </c>
      <c r="E58" s="225" t="s">
        <v>33</v>
      </c>
      <c r="F58" s="224">
        <v>3141</v>
      </c>
      <c r="G58" s="225" t="s">
        <v>294</v>
      </c>
      <c r="H58" s="226" t="s">
        <v>272</v>
      </c>
      <c r="I58" s="420">
        <v>755620</v>
      </c>
      <c r="J58" s="415">
        <v>543012</v>
      </c>
      <c r="K58" s="415">
        <v>0</v>
      </c>
      <c r="L58" s="415">
        <v>543012</v>
      </c>
      <c r="M58" s="415">
        <v>15000</v>
      </c>
      <c r="N58" s="415">
        <v>0</v>
      </c>
      <c r="O58" s="415">
        <v>15000</v>
      </c>
      <c r="P58" s="68">
        <v>188608</v>
      </c>
      <c r="Q58" s="68">
        <v>5430</v>
      </c>
      <c r="R58" s="415">
        <v>3570</v>
      </c>
      <c r="S58" s="416">
        <v>1.6199999999999999</v>
      </c>
      <c r="T58" s="417">
        <v>0</v>
      </c>
      <c r="U58" s="423">
        <v>1.6199999999999999</v>
      </c>
      <c r="V58" s="424">
        <f>AG58*-1</f>
        <v>0</v>
      </c>
      <c r="W58" s="418">
        <f>AH58*-1</f>
        <v>0</v>
      </c>
      <c r="X58" s="418">
        <v>0</v>
      </c>
      <c r="Y58" s="418">
        <v>0</v>
      </c>
      <c r="Z58" s="418">
        <v>0</v>
      </c>
      <c r="AA58" s="605">
        <v>279916</v>
      </c>
      <c r="AB58" s="418">
        <v>0</v>
      </c>
      <c r="AC58" s="418">
        <v>0</v>
      </c>
      <c r="AD58" s="418">
        <f>V58+X58+Y58+Z58+AB58</f>
        <v>0</v>
      </c>
      <c r="AE58" s="418">
        <f>W58+AA58+AC58</f>
        <v>279916</v>
      </c>
      <c r="AF58" s="418">
        <f>SUM(AD58:AE58)</f>
        <v>279916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>AG58+AI58+AJ58</f>
        <v>0</v>
      </c>
      <c r="AM58" s="418">
        <f>AH58+AK58</f>
        <v>0</v>
      </c>
      <c r="AN58" s="418">
        <f>SUM(AL58:AM58)</f>
        <v>0</v>
      </c>
      <c r="AO58" s="418">
        <f>AD58+AL58</f>
        <v>0</v>
      </c>
      <c r="AP58" s="418">
        <f>AE58+AM58</f>
        <v>279916</v>
      </c>
      <c r="AQ58" s="418">
        <f>SUM(AO58:AP58)</f>
        <v>279916</v>
      </c>
      <c r="AR58" s="68">
        <f>ROUND((AF58+AG58+AH58+AI58)*33.8%,0)</f>
        <v>94612</v>
      </c>
      <c r="AS58" s="68">
        <f>ROUND(AF58*1%,0)</f>
        <v>2799</v>
      </c>
      <c r="AT58" s="418">
        <v>0</v>
      </c>
      <c r="AU58" s="605">
        <v>1734</v>
      </c>
      <c r="AV58" s="418">
        <f>AT58+AU58</f>
        <v>1734</v>
      </c>
      <c r="AW58" s="418">
        <f>AQ58+AR58+AS58+AV58</f>
        <v>379061</v>
      </c>
      <c r="AX58" s="419">
        <v>0</v>
      </c>
      <c r="AY58" s="419">
        <v>0</v>
      </c>
      <c r="AZ58" s="419">
        <v>0</v>
      </c>
      <c r="BA58" s="419">
        <v>0</v>
      </c>
      <c r="BB58" s="607">
        <v>0.84</v>
      </c>
      <c r="BC58" s="939">
        <v>0</v>
      </c>
      <c r="BD58" s="419">
        <v>0</v>
      </c>
      <c r="BE58" s="419">
        <v>0</v>
      </c>
      <c r="BF58" s="419">
        <f>AX58+AZ58+BA58+BC58+BD58</f>
        <v>0</v>
      </c>
      <c r="BG58" s="419">
        <f>AY58+BB58+BE58</f>
        <v>0.84</v>
      </c>
      <c r="BH58" s="421">
        <f>SUM(BF58:BG58)</f>
        <v>0.84</v>
      </c>
      <c r="BI58" s="780">
        <f>I58+AW58</f>
        <v>1134681</v>
      </c>
      <c r="BJ58" s="418">
        <f>J58+AF58</f>
        <v>822928</v>
      </c>
      <c r="BK58" s="418">
        <f>K58+AD58</f>
        <v>0</v>
      </c>
      <c r="BL58" s="418">
        <f>L58+AE58</f>
        <v>822928</v>
      </c>
      <c r="BM58" s="418">
        <f>M58+AN58</f>
        <v>15000</v>
      </c>
      <c r="BN58" s="418">
        <f>N58+AL58</f>
        <v>0</v>
      </c>
      <c r="BO58" s="418">
        <f>O58+AM58</f>
        <v>15000</v>
      </c>
      <c r="BP58" s="418">
        <f>P58+AR58</f>
        <v>283220</v>
      </c>
      <c r="BQ58" s="418">
        <f>Q58+AS58</f>
        <v>8229</v>
      </c>
      <c r="BR58" s="418">
        <f>R58+AV58</f>
        <v>5304</v>
      </c>
      <c r="BS58" s="419">
        <f>S58+BH58</f>
        <v>2.46</v>
      </c>
      <c r="BT58" s="419">
        <f>T58+BF58</f>
        <v>0</v>
      </c>
      <c r="BU58" s="421">
        <f>U58+BG58</f>
        <v>2.46</v>
      </c>
      <c r="BV58" s="420"/>
      <c r="BW58" s="415"/>
      <c r="BX58" s="415"/>
      <c r="BY58" s="415"/>
      <c r="BZ58" s="415"/>
      <c r="CA58" s="510"/>
    </row>
    <row r="59" spans="1:79" s="221" customFormat="1" ht="12.75" customHeight="1" x14ac:dyDescent="0.2">
      <c r="A59" s="153">
        <v>13</v>
      </c>
      <c r="B59" s="14">
        <v>3473</v>
      </c>
      <c r="C59" s="152">
        <v>691003530</v>
      </c>
      <c r="D59" s="152">
        <v>72550392</v>
      </c>
      <c r="E59" s="222" t="s">
        <v>34</v>
      </c>
      <c r="F59" s="14"/>
      <c r="G59" s="222"/>
      <c r="H59" s="560"/>
      <c r="I59" s="505">
        <v>9305814</v>
      </c>
      <c r="J59" s="504">
        <v>6865286</v>
      </c>
      <c r="K59" s="504">
        <v>5770375</v>
      </c>
      <c r="L59" s="504">
        <v>1094911</v>
      </c>
      <c r="M59" s="504">
        <v>15000</v>
      </c>
      <c r="N59" s="504">
        <v>0</v>
      </c>
      <c r="O59" s="504">
        <v>15000</v>
      </c>
      <c r="P59" s="504">
        <v>2325537</v>
      </c>
      <c r="Q59" s="504">
        <v>68653</v>
      </c>
      <c r="R59" s="504">
        <v>31338</v>
      </c>
      <c r="S59" s="544">
        <v>13.479999999999999</v>
      </c>
      <c r="T59" s="544">
        <v>10</v>
      </c>
      <c r="U59" s="401">
        <v>3.48</v>
      </c>
      <c r="V59" s="505">
        <f t="shared" ref="V59:CA59" si="72">SUM(V57:V58)</f>
        <v>0</v>
      </c>
      <c r="W59" s="504">
        <f t="shared" si="72"/>
        <v>0</v>
      </c>
      <c r="X59" s="504">
        <f t="shared" si="72"/>
        <v>0</v>
      </c>
      <c r="Y59" s="504">
        <f t="shared" si="72"/>
        <v>0</v>
      </c>
      <c r="Z59" s="504">
        <f t="shared" si="72"/>
        <v>0</v>
      </c>
      <c r="AA59" s="575">
        <f t="shared" si="72"/>
        <v>279916</v>
      </c>
      <c r="AB59" s="504">
        <f t="shared" si="72"/>
        <v>0</v>
      </c>
      <c r="AC59" s="504">
        <f t="shared" si="72"/>
        <v>0</v>
      </c>
      <c r="AD59" s="504">
        <f t="shared" si="72"/>
        <v>0</v>
      </c>
      <c r="AE59" s="504">
        <f t="shared" si="72"/>
        <v>279916</v>
      </c>
      <c r="AF59" s="504">
        <f t="shared" si="72"/>
        <v>279916</v>
      </c>
      <c r="AG59" s="504">
        <f t="shared" si="72"/>
        <v>0</v>
      </c>
      <c r="AH59" s="504">
        <f t="shared" si="72"/>
        <v>0</v>
      </c>
      <c r="AI59" s="504">
        <f t="shared" si="72"/>
        <v>0</v>
      </c>
      <c r="AJ59" s="504">
        <f t="shared" si="72"/>
        <v>0</v>
      </c>
      <c r="AK59" s="504">
        <f t="shared" si="72"/>
        <v>0</v>
      </c>
      <c r="AL59" s="504">
        <f t="shared" si="72"/>
        <v>0</v>
      </c>
      <c r="AM59" s="504">
        <f t="shared" si="72"/>
        <v>0</v>
      </c>
      <c r="AN59" s="504">
        <f t="shared" si="72"/>
        <v>0</v>
      </c>
      <c r="AO59" s="504">
        <f t="shared" si="72"/>
        <v>0</v>
      </c>
      <c r="AP59" s="504">
        <f t="shared" si="72"/>
        <v>279916</v>
      </c>
      <c r="AQ59" s="504">
        <f t="shared" si="72"/>
        <v>279916</v>
      </c>
      <c r="AR59" s="504">
        <f t="shared" si="72"/>
        <v>94612</v>
      </c>
      <c r="AS59" s="504">
        <f t="shared" si="72"/>
        <v>2799</v>
      </c>
      <c r="AT59" s="504">
        <f t="shared" si="72"/>
        <v>0</v>
      </c>
      <c r="AU59" s="504">
        <f t="shared" si="72"/>
        <v>1734</v>
      </c>
      <c r="AV59" s="504">
        <f t="shared" si="72"/>
        <v>1734</v>
      </c>
      <c r="AW59" s="504">
        <f t="shared" si="72"/>
        <v>379061</v>
      </c>
      <c r="AX59" s="544">
        <f t="shared" si="72"/>
        <v>0</v>
      </c>
      <c r="AY59" s="544">
        <f t="shared" si="72"/>
        <v>0</v>
      </c>
      <c r="AZ59" s="544">
        <f t="shared" si="72"/>
        <v>0</v>
      </c>
      <c r="BA59" s="544">
        <f t="shared" si="72"/>
        <v>0</v>
      </c>
      <c r="BB59" s="544">
        <f t="shared" si="72"/>
        <v>0.84</v>
      </c>
      <c r="BC59" s="938">
        <f t="shared" si="72"/>
        <v>0</v>
      </c>
      <c r="BD59" s="544">
        <f t="shared" si="72"/>
        <v>0</v>
      </c>
      <c r="BE59" s="544">
        <f t="shared" si="72"/>
        <v>0</v>
      </c>
      <c r="BF59" s="544">
        <f t="shared" si="72"/>
        <v>0</v>
      </c>
      <c r="BG59" s="544">
        <f t="shared" si="72"/>
        <v>0.84</v>
      </c>
      <c r="BH59" s="442">
        <f t="shared" si="72"/>
        <v>0.84</v>
      </c>
      <c r="BI59" s="806">
        <f t="shared" si="72"/>
        <v>9684875</v>
      </c>
      <c r="BJ59" s="504">
        <f t="shared" si="72"/>
        <v>7145202</v>
      </c>
      <c r="BK59" s="504">
        <f t="shared" si="72"/>
        <v>5770375</v>
      </c>
      <c r="BL59" s="504">
        <f t="shared" si="72"/>
        <v>1374827</v>
      </c>
      <c r="BM59" s="504">
        <f t="shared" si="72"/>
        <v>15000</v>
      </c>
      <c r="BN59" s="504">
        <f t="shared" si="72"/>
        <v>0</v>
      </c>
      <c r="BO59" s="504">
        <f t="shared" si="72"/>
        <v>15000</v>
      </c>
      <c r="BP59" s="504">
        <f t="shared" si="72"/>
        <v>2420149</v>
      </c>
      <c r="BQ59" s="504">
        <f t="shared" si="72"/>
        <v>71452</v>
      </c>
      <c r="BR59" s="504">
        <f t="shared" si="72"/>
        <v>33072</v>
      </c>
      <c r="BS59" s="544">
        <f t="shared" si="72"/>
        <v>14.32</v>
      </c>
      <c r="BT59" s="544">
        <f t="shared" si="72"/>
        <v>10</v>
      </c>
      <c r="BU59" s="442">
        <f t="shared" si="72"/>
        <v>4.32</v>
      </c>
      <c r="BV59" s="824">
        <f t="shared" si="72"/>
        <v>0</v>
      </c>
      <c r="BW59" s="710">
        <f t="shared" si="72"/>
        <v>0</v>
      </c>
      <c r="BX59" s="710">
        <f t="shared" si="72"/>
        <v>0</v>
      </c>
      <c r="BY59" s="710">
        <f t="shared" si="72"/>
        <v>0</v>
      </c>
      <c r="BZ59" s="710">
        <f t="shared" si="72"/>
        <v>0</v>
      </c>
      <c r="CA59" s="825">
        <f t="shared" si="72"/>
        <v>0</v>
      </c>
    </row>
    <row r="60" spans="1:79" s="221" customFormat="1" ht="12.75" customHeight="1" x14ac:dyDescent="0.2">
      <c r="A60" s="223">
        <v>14</v>
      </c>
      <c r="B60" s="224">
        <v>3474</v>
      </c>
      <c r="C60" s="224">
        <v>691003505</v>
      </c>
      <c r="D60" s="224">
        <v>72550406</v>
      </c>
      <c r="E60" s="225" t="s">
        <v>35</v>
      </c>
      <c r="F60" s="224">
        <v>3111</v>
      </c>
      <c r="G60" s="225" t="s">
        <v>290</v>
      </c>
      <c r="H60" s="226" t="s">
        <v>271</v>
      </c>
      <c r="I60" s="420">
        <v>5322385</v>
      </c>
      <c r="J60" s="415">
        <v>3916739</v>
      </c>
      <c r="K60" s="415">
        <v>3578078</v>
      </c>
      <c r="L60" s="415">
        <v>338661</v>
      </c>
      <c r="M60" s="415">
        <v>14000</v>
      </c>
      <c r="N60" s="415">
        <v>0</v>
      </c>
      <c r="O60" s="415">
        <v>14000</v>
      </c>
      <c r="P60" s="68">
        <v>1328590</v>
      </c>
      <c r="Q60" s="68">
        <v>39167</v>
      </c>
      <c r="R60" s="415">
        <v>23889</v>
      </c>
      <c r="S60" s="416">
        <v>7.3821000000000003</v>
      </c>
      <c r="T60" s="417">
        <v>6.242</v>
      </c>
      <c r="U60" s="423">
        <v>1.1400999999999999</v>
      </c>
      <c r="V60" s="424">
        <f t="shared" ref="V60:W62" si="73">AG60*-1</f>
        <v>0</v>
      </c>
      <c r="W60" s="418">
        <f t="shared" si="73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>V60+X60+Y60+Z60+AB60</f>
        <v>0</v>
      </c>
      <c r="AE60" s="418">
        <f>W60+AA60+AC60</f>
        <v>0</v>
      </c>
      <c r="AF60" s="418">
        <f>SUM(AD60:AE60)</f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>AG60+AI60+AJ60</f>
        <v>0</v>
      </c>
      <c r="AM60" s="418">
        <f>AH60+AK60</f>
        <v>0</v>
      </c>
      <c r="AN60" s="418">
        <f>SUM(AL60:AM60)</f>
        <v>0</v>
      </c>
      <c r="AO60" s="418">
        <f t="shared" ref="AO60:AP62" si="74">AD60+AL60</f>
        <v>0</v>
      </c>
      <c r="AP60" s="418">
        <f t="shared" si="74"/>
        <v>0</v>
      </c>
      <c r="AQ60" s="418">
        <f>SUM(AO60:AP60)</f>
        <v>0</v>
      </c>
      <c r="AR60" s="68">
        <f>ROUND((AF60+AG60+AH60+AI60)*33.8%,0)</f>
        <v>0</v>
      </c>
      <c r="AS60" s="68">
        <f>ROUND(AF60*1%,0)</f>
        <v>0</v>
      </c>
      <c r="AT60" s="418">
        <v>0</v>
      </c>
      <c r="AU60" s="415">
        <v>0</v>
      </c>
      <c r="AV60" s="418">
        <f>AT60+AU60</f>
        <v>0</v>
      </c>
      <c r="AW60" s="418">
        <f>AQ60+AR60+AS60+AV60</f>
        <v>0</v>
      </c>
      <c r="AX60" s="419">
        <v>0</v>
      </c>
      <c r="AY60" s="419">
        <v>0</v>
      </c>
      <c r="AZ60" s="419">
        <v>0</v>
      </c>
      <c r="BA60" s="419">
        <v>0</v>
      </c>
      <c r="BB60" s="416">
        <v>0</v>
      </c>
      <c r="BC60" s="939">
        <v>0</v>
      </c>
      <c r="BD60" s="419">
        <v>0</v>
      </c>
      <c r="BE60" s="419">
        <v>0</v>
      </c>
      <c r="BF60" s="419">
        <f>AX60+AZ60+BA60+BC60+BD60</f>
        <v>0</v>
      </c>
      <c r="BG60" s="419">
        <f>AY60+BB60+BE60</f>
        <v>0</v>
      </c>
      <c r="BH60" s="421">
        <f>SUM(BF60:BG60)</f>
        <v>0</v>
      </c>
      <c r="BI60" s="780">
        <f>I60+AW60</f>
        <v>5322385</v>
      </c>
      <c r="BJ60" s="418">
        <f>J60+AF60</f>
        <v>3916739</v>
      </c>
      <c r="BK60" s="418">
        <f t="shared" ref="BK60:BL62" si="75">K60+AD60</f>
        <v>3578078</v>
      </c>
      <c r="BL60" s="418">
        <f t="shared" si="75"/>
        <v>338661</v>
      </c>
      <c r="BM60" s="418">
        <f>M60+AN60</f>
        <v>14000</v>
      </c>
      <c r="BN60" s="418">
        <f t="shared" ref="BN60:BO62" si="76">N60+AL60</f>
        <v>0</v>
      </c>
      <c r="BO60" s="418">
        <f t="shared" si="76"/>
        <v>14000</v>
      </c>
      <c r="BP60" s="418">
        <f t="shared" ref="BP60:BQ62" si="77">P60+AR60</f>
        <v>1328590</v>
      </c>
      <c r="BQ60" s="418">
        <f t="shared" si="77"/>
        <v>39167</v>
      </c>
      <c r="BR60" s="418">
        <f>R60+AV60</f>
        <v>23889</v>
      </c>
      <c r="BS60" s="419">
        <f>S60+BH60</f>
        <v>7.3821000000000003</v>
      </c>
      <c r="BT60" s="419">
        <f t="shared" ref="BT60:BU62" si="78">T60+BF60</f>
        <v>6.242</v>
      </c>
      <c r="BU60" s="421">
        <f t="shared" si="78"/>
        <v>1.1400999999999999</v>
      </c>
      <c r="BV60" s="420"/>
      <c r="BW60" s="415"/>
      <c r="BX60" s="415"/>
      <c r="BY60" s="415"/>
      <c r="BZ60" s="415"/>
      <c r="CA60" s="510"/>
    </row>
    <row r="61" spans="1:79" s="221" customFormat="1" ht="12.75" customHeight="1" x14ac:dyDescent="0.2">
      <c r="A61" s="223">
        <v>14</v>
      </c>
      <c r="B61" s="224">
        <v>3474</v>
      </c>
      <c r="C61" s="224">
        <v>691003505</v>
      </c>
      <c r="D61" s="224">
        <v>72550406</v>
      </c>
      <c r="E61" s="225" t="s">
        <v>35</v>
      </c>
      <c r="F61" s="224">
        <v>3111</v>
      </c>
      <c r="G61" s="225" t="s">
        <v>291</v>
      </c>
      <c r="H61" s="226" t="s">
        <v>272</v>
      </c>
      <c r="I61" s="420">
        <v>749760</v>
      </c>
      <c r="J61" s="415">
        <v>556202</v>
      </c>
      <c r="K61" s="415">
        <v>556202</v>
      </c>
      <c r="L61" s="415">
        <v>0</v>
      </c>
      <c r="M61" s="415">
        <v>0</v>
      </c>
      <c r="N61" s="415">
        <v>0</v>
      </c>
      <c r="O61" s="415">
        <v>0</v>
      </c>
      <c r="P61" s="68">
        <v>187996</v>
      </c>
      <c r="Q61" s="68">
        <v>5562</v>
      </c>
      <c r="R61" s="415">
        <v>0</v>
      </c>
      <c r="S61" s="416">
        <v>1.5</v>
      </c>
      <c r="T61" s="417">
        <v>1.5</v>
      </c>
      <c r="U61" s="423">
        <v>0</v>
      </c>
      <c r="V61" s="424">
        <f t="shared" si="73"/>
        <v>0</v>
      </c>
      <c r="W61" s="418">
        <f t="shared" si="73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>V61+X61+Y61+Z61+AB61</f>
        <v>0</v>
      </c>
      <c r="AE61" s="418">
        <f>W61+AA61+AC61</f>
        <v>0</v>
      </c>
      <c r="AF61" s="418">
        <f>SUM(AD61:AE61)</f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>AG61+AI61+AJ61</f>
        <v>0</v>
      </c>
      <c r="AM61" s="418">
        <f>AH61+AK61</f>
        <v>0</v>
      </c>
      <c r="AN61" s="418">
        <f>SUM(AL61:AM61)</f>
        <v>0</v>
      </c>
      <c r="AO61" s="418">
        <f t="shared" si="74"/>
        <v>0</v>
      </c>
      <c r="AP61" s="418">
        <f t="shared" si="74"/>
        <v>0</v>
      </c>
      <c r="AQ61" s="418">
        <f>SUM(AO61:AP61)</f>
        <v>0</v>
      </c>
      <c r="AR61" s="68">
        <f>ROUND((AF61+AG61+AH61+AI61)*33.8%,0)</f>
        <v>0</v>
      </c>
      <c r="AS61" s="68">
        <f>ROUND(AF61*1%,0)</f>
        <v>0</v>
      </c>
      <c r="AT61" s="418">
        <v>0</v>
      </c>
      <c r="AU61" s="415">
        <v>0</v>
      </c>
      <c r="AV61" s="418">
        <f>AT61+AU61</f>
        <v>0</v>
      </c>
      <c r="AW61" s="418">
        <f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6">
        <v>0</v>
      </c>
      <c r="BC61" s="939">
        <v>0</v>
      </c>
      <c r="BD61" s="419">
        <v>0</v>
      </c>
      <c r="BE61" s="419">
        <v>0</v>
      </c>
      <c r="BF61" s="419">
        <f>AX61+AZ61+BA61+BC61+BD61</f>
        <v>0</v>
      </c>
      <c r="BG61" s="419">
        <f>AY61+BB61+BE61</f>
        <v>0</v>
      </c>
      <c r="BH61" s="421">
        <f>SUM(BF61:BG61)</f>
        <v>0</v>
      </c>
      <c r="BI61" s="780">
        <f>I61+AW61</f>
        <v>749760</v>
      </c>
      <c r="BJ61" s="418">
        <f>J61+AF61</f>
        <v>556202</v>
      </c>
      <c r="BK61" s="418">
        <f t="shared" si="75"/>
        <v>556202</v>
      </c>
      <c r="BL61" s="418">
        <f t="shared" si="75"/>
        <v>0</v>
      </c>
      <c r="BM61" s="418">
        <f>M61+AN61</f>
        <v>0</v>
      </c>
      <c r="BN61" s="418">
        <f t="shared" si="76"/>
        <v>0</v>
      </c>
      <c r="BO61" s="418">
        <f t="shared" si="76"/>
        <v>0</v>
      </c>
      <c r="BP61" s="418">
        <f t="shared" si="77"/>
        <v>187996</v>
      </c>
      <c r="BQ61" s="418">
        <f t="shared" si="77"/>
        <v>5562</v>
      </c>
      <c r="BR61" s="418">
        <f>R61+AV61</f>
        <v>0</v>
      </c>
      <c r="BS61" s="419">
        <f>S61+BH61</f>
        <v>1.5</v>
      </c>
      <c r="BT61" s="419">
        <f t="shared" si="78"/>
        <v>1.5</v>
      </c>
      <c r="BU61" s="421">
        <f t="shared" si="78"/>
        <v>0</v>
      </c>
      <c r="BV61" s="420"/>
      <c r="BW61" s="415"/>
      <c r="BX61" s="415"/>
      <c r="BY61" s="415"/>
      <c r="BZ61" s="415"/>
      <c r="CA61" s="510"/>
    </row>
    <row r="62" spans="1:79" s="221" customFormat="1" ht="12.75" customHeight="1" x14ac:dyDescent="0.2">
      <c r="A62" s="223">
        <v>14</v>
      </c>
      <c r="B62" s="224">
        <v>3474</v>
      </c>
      <c r="C62" s="224">
        <v>691003505</v>
      </c>
      <c r="D62" s="224">
        <v>72550406</v>
      </c>
      <c r="E62" s="225" t="s">
        <v>36</v>
      </c>
      <c r="F62" s="224">
        <v>3141</v>
      </c>
      <c r="G62" s="225" t="s">
        <v>294</v>
      </c>
      <c r="H62" s="226" t="s">
        <v>272</v>
      </c>
      <c r="I62" s="420">
        <v>565702</v>
      </c>
      <c r="J62" s="415">
        <v>413950</v>
      </c>
      <c r="K62" s="415">
        <v>0</v>
      </c>
      <c r="L62" s="415">
        <v>413950</v>
      </c>
      <c r="M62" s="415">
        <v>4000</v>
      </c>
      <c r="N62" s="415">
        <v>0</v>
      </c>
      <c r="O62" s="415">
        <v>4000</v>
      </c>
      <c r="P62" s="68">
        <v>141267</v>
      </c>
      <c r="Q62" s="68">
        <v>4140</v>
      </c>
      <c r="R62" s="415">
        <v>2345</v>
      </c>
      <c r="S62" s="416">
        <v>1.25</v>
      </c>
      <c r="T62" s="417">
        <v>0</v>
      </c>
      <c r="U62" s="423">
        <v>1.25</v>
      </c>
      <c r="V62" s="424">
        <f t="shared" si="73"/>
        <v>0</v>
      </c>
      <c r="W62" s="418">
        <f t="shared" si="73"/>
        <v>0</v>
      </c>
      <c r="X62" s="418">
        <v>0</v>
      </c>
      <c r="Y62" s="418">
        <v>0</v>
      </c>
      <c r="Z62" s="418">
        <v>0</v>
      </c>
      <c r="AA62" s="605">
        <v>208620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208620</v>
      </c>
      <c r="AF62" s="418">
        <f>SUM(AD62:AE62)</f>
        <v>208620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si="74"/>
        <v>0</v>
      </c>
      <c r="AP62" s="418">
        <f t="shared" si="74"/>
        <v>208620</v>
      </c>
      <c r="AQ62" s="418">
        <f>SUM(AO62:AP62)</f>
        <v>208620</v>
      </c>
      <c r="AR62" s="68">
        <f>ROUND((AF62+AG62+AH62+AI62)*33.8%,0)</f>
        <v>70514</v>
      </c>
      <c r="AS62" s="68">
        <f>ROUND(AF62*1%,0)</f>
        <v>2086</v>
      </c>
      <c r="AT62" s="418">
        <v>0</v>
      </c>
      <c r="AU62" s="605">
        <v>1139</v>
      </c>
      <c r="AV62" s="418">
        <f>AT62+AU62</f>
        <v>1139</v>
      </c>
      <c r="AW62" s="418">
        <f>AQ62+AR62+AS62+AV62</f>
        <v>282359</v>
      </c>
      <c r="AX62" s="419">
        <v>0</v>
      </c>
      <c r="AY62" s="419">
        <v>0</v>
      </c>
      <c r="AZ62" s="419">
        <v>0</v>
      </c>
      <c r="BA62" s="419">
        <v>0</v>
      </c>
      <c r="BB62" s="607">
        <v>0.64</v>
      </c>
      <c r="BC62" s="93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0.64</v>
      </c>
      <c r="BH62" s="421">
        <f>SUM(BF62:BG62)</f>
        <v>0.64</v>
      </c>
      <c r="BI62" s="780">
        <f>I62+AW62</f>
        <v>848061</v>
      </c>
      <c r="BJ62" s="418">
        <f>J62+AF62</f>
        <v>622570</v>
      </c>
      <c r="BK62" s="418">
        <f t="shared" si="75"/>
        <v>0</v>
      </c>
      <c r="BL62" s="418">
        <f t="shared" si="75"/>
        <v>622570</v>
      </c>
      <c r="BM62" s="418">
        <f>M62+AN62</f>
        <v>4000</v>
      </c>
      <c r="BN62" s="418">
        <f t="shared" si="76"/>
        <v>0</v>
      </c>
      <c r="BO62" s="418">
        <f t="shared" si="76"/>
        <v>4000</v>
      </c>
      <c r="BP62" s="418">
        <f t="shared" si="77"/>
        <v>211781</v>
      </c>
      <c r="BQ62" s="418">
        <f t="shared" si="77"/>
        <v>6226</v>
      </c>
      <c r="BR62" s="418">
        <f>R62+AV62</f>
        <v>3484</v>
      </c>
      <c r="BS62" s="419">
        <f>S62+BH62</f>
        <v>1.8900000000000001</v>
      </c>
      <c r="BT62" s="419">
        <f t="shared" si="78"/>
        <v>0</v>
      </c>
      <c r="BU62" s="421">
        <f t="shared" si="78"/>
        <v>1.8900000000000001</v>
      </c>
      <c r="BV62" s="420"/>
      <c r="BW62" s="415"/>
      <c r="BX62" s="415"/>
      <c r="BY62" s="415"/>
      <c r="BZ62" s="415"/>
      <c r="CA62" s="510"/>
    </row>
    <row r="63" spans="1:79" s="221" customFormat="1" ht="12.75" customHeight="1" x14ac:dyDescent="0.2">
      <c r="A63" s="153">
        <v>14</v>
      </c>
      <c r="B63" s="14">
        <v>3474</v>
      </c>
      <c r="C63" s="152">
        <v>691003505</v>
      </c>
      <c r="D63" s="152">
        <v>72550406</v>
      </c>
      <c r="E63" s="222" t="s">
        <v>37</v>
      </c>
      <c r="F63" s="14"/>
      <c r="G63" s="222"/>
      <c r="H63" s="560"/>
      <c r="I63" s="505">
        <v>6637847</v>
      </c>
      <c r="J63" s="504">
        <v>4886891</v>
      </c>
      <c r="K63" s="504">
        <v>4134280</v>
      </c>
      <c r="L63" s="504">
        <v>752611</v>
      </c>
      <c r="M63" s="504">
        <v>18000</v>
      </c>
      <c r="N63" s="504">
        <v>0</v>
      </c>
      <c r="O63" s="504">
        <v>18000</v>
      </c>
      <c r="P63" s="504">
        <v>1657853</v>
      </c>
      <c r="Q63" s="504">
        <v>48869</v>
      </c>
      <c r="R63" s="504">
        <v>26234</v>
      </c>
      <c r="S63" s="544">
        <v>10.132100000000001</v>
      </c>
      <c r="T63" s="544">
        <v>7.742</v>
      </c>
      <c r="U63" s="401">
        <v>2.3900999999999999</v>
      </c>
      <c r="V63" s="505">
        <f t="shared" ref="V63:CA63" si="79">SUM(V60:V62)</f>
        <v>0</v>
      </c>
      <c r="W63" s="504">
        <f t="shared" si="79"/>
        <v>0</v>
      </c>
      <c r="X63" s="504">
        <f t="shared" si="79"/>
        <v>0</v>
      </c>
      <c r="Y63" s="504">
        <f t="shared" si="79"/>
        <v>0</v>
      </c>
      <c r="Z63" s="504">
        <f t="shared" si="79"/>
        <v>0</v>
      </c>
      <c r="AA63" s="575">
        <f t="shared" si="79"/>
        <v>208620</v>
      </c>
      <c r="AB63" s="504">
        <f t="shared" si="79"/>
        <v>0</v>
      </c>
      <c r="AC63" s="504">
        <f t="shared" si="79"/>
        <v>0</v>
      </c>
      <c r="AD63" s="504">
        <f t="shared" si="79"/>
        <v>0</v>
      </c>
      <c r="AE63" s="504">
        <f t="shared" si="79"/>
        <v>208620</v>
      </c>
      <c r="AF63" s="504">
        <f t="shared" si="79"/>
        <v>208620</v>
      </c>
      <c r="AG63" s="504">
        <f t="shared" si="79"/>
        <v>0</v>
      </c>
      <c r="AH63" s="504">
        <f t="shared" si="79"/>
        <v>0</v>
      </c>
      <c r="AI63" s="504">
        <f t="shared" si="79"/>
        <v>0</v>
      </c>
      <c r="AJ63" s="504">
        <f t="shared" si="79"/>
        <v>0</v>
      </c>
      <c r="AK63" s="504">
        <f t="shared" si="79"/>
        <v>0</v>
      </c>
      <c r="AL63" s="504">
        <f t="shared" si="79"/>
        <v>0</v>
      </c>
      <c r="AM63" s="504">
        <f t="shared" si="79"/>
        <v>0</v>
      </c>
      <c r="AN63" s="504">
        <f t="shared" si="79"/>
        <v>0</v>
      </c>
      <c r="AO63" s="504">
        <f t="shared" si="79"/>
        <v>0</v>
      </c>
      <c r="AP63" s="504">
        <f t="shared" si="79"/>
        <v>208620</v>
      </c>
      <c r="AQ63" s="504">
        <f t="shared" si="79"/>
        <v>208620</v>
      </c>
      <c r="AR63" s="504">
        <f t="shared" si="79"/>
        <v>70514</v>
      </c>
      <c r="AS63" s="504">
        <f t="shared" si="79"/>
        <v>2086</v>
      </c>
      <c r="AT63" s="504">
        <f t="shared" si="79"/>
        <v>0</v>
      </c>
      <c r="AU63" s="504">
        <f t="shared" si="79"/>
        <v>1139</v>
      </c>
      <c r="AV63" s="504">
        <f t="shared" si="79"/>
        <v>1139</v>
      </c>
      <c r="AW63" s="504">
        <f t="shared" si="79"/>
        <v>282359</v>
      </c>
      <c r="AX63" s="544">
        <f t="shared" si="79"/>
        <v>0</v>
      </c>
      <c r="AY63" s="544">
        <f t="shared" si="79"/>
        <v>0</v>
      </c>
      <c r="AZ63" s="544">
        <f t="shared" si="79"/>
        <v>0</v>
      </c>
      <c r="BA63" s="544">
        <f t="shared" si="79"/>
        <v>0</v>
      </c>
      <c r="BB63" s="544">
        <f t="shared" si="79"/>
        <v>0.64</v>
      </c>
      <c r="BC63" s="938">
        <f t="shared" si="79"/>
        <v>0</v>
      </c>
      <c r="BD63" s="544">
        <f t="shared" si="79"/>
        <v>0</v>
      </c>
      <c r="BE63" s="544">
        <f t="shared" si="79"/>
        <v>0</v>
      </c>
      <c r="BF63" s="544">
        <f t="shared" si="79"/>
        <v>0</v>
      </c>
      <c r="BG63" s="544">
        <f t="shared" si="79"/>
        <v>0.64</v>
      </c>
      <c r="BH63" s="442">
        <f t="shared" si="79"/>
        <v>0.64</v>
      </c>
      <c r="BI63" s="806">
        <f t="shared" si="79"/>
        <v>6920206</v>
      </c>
      <c r="BJ63" s="504">
        <f t="shared" si="79"/>
        <v>5095511</v>
      </c>
      <c r="BK63" s="504">
        <f t="shared" si="79"/>
        <v>4134280</v>
      </c>
      <c r="BL63" s="504">
        <f t="shared" si="79"/>
        <v>961231</v>
      </c>
      <c r="BM63" s="504">
        <f t="shared" si="79"/>
        <v>18000</v>
      </c>
      <c r="BN63" s="504">
        <f t="shared" si="79"/>
        <v>0</v>
      </c>
      <c r="BO63" s="504">
        <f t="shared" si="79"/>
        <v>18000</v>
      </c>
      <c r="BP63" s="504">
        <f t="shared" si="79"/>
        <v>1728367</v>
      </c>
      <c r="BQ63" s="504">
        <f t="shared" si="79"/>
        <v>50955</v>
      </c>
      <c r="BR63" s="504">
        <f t="shared" si="79"/>
        <v>27373</v>
      </c>
      <c r="BS63" s="544">
        <f t="shared" si="79"/>
        <v>10.772100000000002</v>
      </c>
      <c r="BT63" s="544">
        <f t="shared" si="79"/>
        <v>7.742</v>
      </c>
      <c r="BU63" s="442">
        <f t="shared" si="79"/>
        <v>3.0301</v>
      </c>
      <c r="BV63" s="824">
        <f t="shared" si="79"/>
        <v>0</v>
      </c>
      <c r="BW63" s="710">
        <f t="shared" si="79"/>
        <v>0</v>
      </c>
      <c r="BX63" s="710">
        <f t="shared" si="79"/>
        <v>0</v>
      </c>
      <c r="BY63" s="710">
        <f t="shared" si="79"/>
        <v>0</v>
      </c>
      <c r="BZ63" s="710">
        <f t="shared" si="79"/>
        <v>0</v>
      </c>
      <c r="CA63" s="825">
        <f t="shared" si="79"/>
        <v>0</v>
      </c>
    </row>
    <row r="64" spans="1:79" s="221" customFormat="1" ht="12.75" customHeight="1" x14ac:dyDescent="0.2">
      <c r="A64" s="223">
        <v>15</v>
      </c>
      <c r="B64" s="224">
        <v>3466</v>
      </c>
      <c r="C64" s="224">
        <v>691001260</v>
      </c>
      <c r="D64" s="224">
        <v>72048085</v>
      </c>
      <c r="E64" s="225" t="s">
        <v>38</v>
      </c>
      <c r="F64" s="224">
        <v>3111</v>
      </c>
      <c r="G64" s="225" t="s">
        <v>290</v>
      </c>
      <c r="H64" s="226" t="s">
        <v>271</v>
      </c>
      <c r="I64" s="420">
        <v>5347136</v>
      </c>
      <c r="J64" s="415">
        <v>3950866</v>
      </c>
      <c r="K64" s="415">
        <v>3600805</v>
      </c>
      <c r="L64" s="415">
        <v>350061</v>
      </c>
      <c r="M64" s="415">
        <v>2600</v>
      </c>
      <c r="N64" s="415">
        <v>0</v>
      </c>
      <c r="O64" s="415">
        <v>2600</v>
      </c>
      <c r="P64" s="68">
        <v>1336272</v>
      </c>
      <c r="Q64" s="68">
        <v>39509</v>
      </c>
      <c r="R64" s="415">
        <v>17889</v>
      </c>
      <c r="S64" s="416">
        <v>7.1901000000000002</v>
      </c>
      <c r="T64" s="417">
        <v>6</v>
      </c>
      <c r="U64" s="423">
        <v>1.1900999999999999</v>
      </c>
      <c r="V64" s="424">
        <f t="shared" ref="V64:W66" si="80">AG64*-1</f>
        <v>0</v>
      </c>
      <c r="W64" s="418">
        <f t="shared" si="80"/>
        <v>0</v>
      </c>
      <c r="X64" s="418">
        <v>0</v>
      </c>
      <c r="Y64" s="418">
        <v>0</v>
      </c>
      <c r="Z64" s="418">
        <v>0</v>
      </c>
      <c r="AA64" s="418">
        <v>0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0</v>
      </c>
      <c r="AF64" s="418">
        <f>SUM(AD64:AE64)</f>
        <v>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ref="AO64:AP66" si="81">AD64+AL64</f>
        <v>0</v>
      </c>
      <c r="AP64" s="418">
        <f t="shared" si="81"/>
        <v>0</v>
      </c>
      <c r="AQ64" s="418">
        <f>SUM(AO64:AP64)</f>
        <v>0</v>
      </c>
      <c r="AR64" s="68">
        <f>ROUND((AF64+AG64+AH64+AI64)*33.8%,0)</f>
        <v>0</v>
      </c>
      <c r="AS64" s="68">
        <f>ROUND(AF64*1%,0)</f>
        <v>0</v>
      </c>
      <c r="AT64" s="418">
        <v>0</v>
      </c>
      <c r="AU64" s="415">
        <v>0</v>
      </c>
      <c r="AV64" s="418">
        <f>AT64+AU64</f>
        <v>0</v>
      </c>
      <c r="AW64" s="418">
        <f>AQ64+AR64+AS64+AV64</f>
        <v>0</v>
      </c>
      <c r="AX64" s="419">
        <v>0</v>
      </c>
      <c r="AY64" s="419">
        <v>0</v>
      </c>
      <c r="AZ64" s="419">
        <v>0</v>
      </c>
      <c r="BA64" s="419">
        <v>0</v>
      </c>
      <c r="BB64" s="416">
        <v>0</v>
      </c>
      <c r="BC64" s="93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</v>
      </c>
      <c r="BH64" s="421">
        <f>SUM(BF64:BG64)</f>
        <v>0</v>
      </c>
      <c r="BI64" s="780">
        <f>I64+AW64</f>
        <v>5347136</v>
      </c>
      <c r="BJ64" s="418">
        <f>J64+AF64</f>
        <v>3950866</v>
      </c>
      <c r="BK64" s="418">
        <f t="shared" ref="BK64:BL66" si="82">K64+AD64</f>
        <v>3600805</v>
      </c>
      <c r="BL64" s="418">
        <f t="shared" si="82"/>
        <v>350061</v>
      </c>
      <c r="BM64" s="418">
        <f>M64+AN64</f>
        <v>2600</v>
      </c>
      <c r="BN64" s="418">
        <f t="shared" ref="BN64:BO66" si="83">N64+AL64</f>
        <v>0</v>
      </c>
      <c r="BO64" s="418">
        <f t="shared" si="83"/>
        <v>2600</v>
      </c>
      <c r="BP64" s="418">
        <f t="shared" ref="BP64:BQ66" si="84">P64+AR64</f>
        <v>1336272</v>
      </c>
      <c r="BQ64" s="418">
        <f t="shared" si="84"/>
        <v>39509</v>
      </c>
      <c r="BR64" s="418">
        <f>R64+AV64</f>
        <v>17889</v>
      </c>
      <c r="BS64" s="419">
        <f>S64+BH64</f>
        <v>7.1901000000000002</v>
      </c>
      <c r="BT64" s="419">
        <f t="shared" ref="BT64:BU66" si="85">T64+BF64</f>
        <v>6</v>
      </c>
      <c r="BU64" s="421">
        <f t="shared" si="85"/>
        <v>1.1900999999999999</v>
      </c>
      <c r="BV64" s="420"/>
      <c r="BW64" s="415"/>
      <c r="BX64" s="415"/>
      <c r="BY64" s="415"/>
      <c r="BZ64" s="415"/>
      <c r="CA64" s="510"/>
    </row>
    <row r="65" spans="1:79" s="221" customFormat="1" x14ac:dyDescent="0.2">
      <c r="A65" s="223">
        <v>15</v>
      </c>
      <c r="B65" s="224">
        <v>3466</v>
      </c>
      <c r="C65" s="224">
        <v>691001260</v>
      </c>
      <c r="D65" s="224">
        <v>72048085</v>
      </c>
      <c r="E65" s="225" t="s">
        <v>38</v>
      </c>
      <c r="F65" s="224">
        <v>3111</v>
      </c>
      <c r="G65" s="225" t="s">
        <v>291</v>
      </c>
      <c r="H65" s="226" t="s">
        <v>272</v>
      </c>
      <c r="I65" s="420">
        <v>374880</v>
      </c>
      <c r="J65" s="415">
        <v>278101</v>
      </c>
      <c r="K65" s="415">
        <v>278101</v>
      </c>
      <c r="L65" s="415">
        <v>0</v>
      </c>
      <c r="M65" s="415">
        <v>0</v>
      </c>
      <c r="N65" s="415">
        <v>0</v>
      </c>
      <c r="O65" s="415">
        <v>0</v>
      </c>
      <c r="P65" s="68">
        <v>93998</v>
      </c>
      <c r="Q65" s="68">
        <v>2781</v>
      </c>
      <c r="R65" s="415">
        <v>0</v>
      </c>
      <c r="S65" s="416">
        <v>0.75</v>
      </c>
      <c r="T65" s="417">
        <v>0.75</v>
      </c>
      <c r="U65" s="423">
        <v>0</v>
      </c>
      <c r="V65" s="424">
        <f t="shared" si="80"/>
        <v>0</v>
      </c>
      <c r="W65" s="418">
        <f t="shared" si="80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>V65+X65+Y65+Z65+AB65</f>
        <v>0</v>
      </c>
      <c r="AE65" s="418">
        <f>W65+AA65+AC65</f>
        <v>0</v>
      </c>
      <c r="AF65" s="418">
        <f>SUM(AD65:AE65)</f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>AG65+AI65+AJ65</f>
        <v>0</v>
      </c>
      <c r="AM65" s="418">
        <f>AH65+AK65</f>
        <v>0</v>
      </c>
      <c r="AN65" s="418">
        <f>SUM(AL65:AM65)</f>
        <v>0</v>
      </c>
      <c r="AO65" s="418">
        <f t="shared" si="81"/>
        <v>0</v>
      </c>
      <c r="AP65" s="418">
        <f t="shared" si="81"/>
        <v>0</v>
      </c>
      <c r="AQ65" s="418">
        <f>SUM(AO65:AP65)</f>
        <v>0</v>
      </c>
      <c r="AR65" s="68">
        <f>ROUND((AF65+AG65+AH65+AI65)*33.8%,0)</f>
        <v>0</v>
      </c>
      <c r="AS65" s="68">
        <f>ROUND(AF65*1%,0)</f>
        <v>0</v>
      </c>
      <c r="AT65" s="418">
        <v>0</v>
      </c>
      <c r="AU65" s="415">
        <v>0</v>
      </c>
      <c r="AV65" s="418">
        <f>AT65+AU65</f>
        <v>0</v>
      </c>
      <c r="AW65" s="418">
        <f>AQ65+AR65+AS65+AV65</f>
        <v>0</v>
      </c>
      <c r="AX65" s="419">
        <v>0</v>
      </c>
      <c r="AY65" s="419">
        <v>0</v>
      </c>
      <c r="AZ65" s="419">
        <v>0</v>
      </c>
      <c r="BA65" s="419">
        <v>0</v>
      </c>
      <c r="BB65" s="416">
        <v>0</v>
      </c>
      <c r="BC65" s="939">
        <v>0</v>
      </c>
      <c r="BD65" s="419">
        <v>0</v>
      </c>
      <c r="BE65" s="419">
        <v>0</v>
      </c>
      <c r="BF65" s="419">
        <f>AX65+AZ65+BA65+BC65+BD65</f>
        <v>0</v>
      </c>
      <c r="BG65" s="419">
        <f>AY65+BB65+BE65</f>
        <v>0</v>
      </c>
      <c r="BH65" s="421">
        <f>SUM(BF65:BG65)</f>
        <v>0</v>
      </c>
      <c r="BI65" s="780">
        <f>I65+AW65</f>
        <v>374880</v>
      </c>
      <c r="BJ65" s="418">
        <f>J65+AF65</f>
        <v>278101</v>
      </c>
      <c r="BK65" s="418">
        <f t="shared" si="82"/>
        <v>278101</v>
      </c>
      <c r="BL65" s="418">
        <f t="shared" si="82"/>
        <v>0</v>
      </c>
      <c r="BM65" s="418">
        <f>M65+AN65</f>
        <v>0</v>
      </c>
      <c r="BN65" s="418">
        <f t="shared" si="83"/>
        <v>0</v>
      </c>
      <c r="BO65" s="418">
        <f t="shared" si="83"/>
        <v>0</v>
      </c>
      <c r="BP65" s="418">
        <f t="shared" si="84"/>
        <v>93998</v>
      </c>
      <c r="BQ65" s="418">
        <f t="shared" si="84"/>
        <v>2781</v>
      </c>
      <c r="BR65" s="418">
        <f>R65+AV65</f>
        <v>0</v>
      </c>
      <c r="BS65" s="419">
        <f>S65+BH65</f>
        <v>0.75</v>
      </c>
      <c r="BT65" s="419">
        <f t="shared" si="85"/>
        <v>0.75</v>
      </c>
      <c r="BU65" s="421">
        <f t="shared" si="85"/>
        <v>0</v>
      </c>
      <c r="BV65" s="420"/>
      <c r="BW65" s="415"/>
      <c r="BX65" s="415"/>
      <c r="BY65" s="415"/>
      <c r="BZ65" s="415"/>
      <c r="CA65" s="510"/>
    </row>
    <row r="66" spans="1:79" s="221" customFormat="1" ht="12.75" customHeight="1" x14ac:dyDescent="0.2">
      <c r="A66" s="223">
        <v>15</v>
      </c>
      <c r="B66" s="224">
        <v>3466</v>
      </c>
      <c r="C66" s="224">
        <v>691001260</v>
      </c>
      <c r="D66" s="224">
        <v>72048085</v>
      </c>
      <c r="E66" s="225" t="s">
        <v>38</v>
      </c>
      <c r="F66" s="224">
        <v>3141</v>
      </c>
      <c r="G66" s="225" t="s">
        <v>294</v>
      </c>
      <c r="H66" s="226" t="s">
        <v>272</v>
      </c>
      <c r="I66" s="420">
        <v>565742</v>
      </c>
      <c r="J66" s="415">
        <v>417950</v>
      </c>
      <c r="K66" s="415">
        <v>0</v>
      </c>
      <c r="L66" s="415">
        <v>417950</v>
      </c>
      <c r="M66" s="415">
        <v>0</v>
      </c>
      <c r="N66" s="415">
        <v>0</v>
      </c>
      <c r="O66" s="415">
        <v>0</v>
      </c>
      <c r="P66" s="68">
        <v>141267</v>
      </c>
      <c r="Q66" s="68">
        <v>4180</v>
      </c>
      <c r="R66" s="415">
        <v>2345</v>
      </c>
      <c r="S66" s="416">
        <v>1.25</v>
      </c>
      <c r="T66" s="417">
        <v>0</v>
      </c>
      <c r="U66" s="423">
        <v>1.25</v>
      </c>
      <c r="V66" s="424">
        <f t="shared" si="80"/>
        <v>0</v>
      </c>
      <c r="W66" s="418">
        <f t="shared" si="80"/>
        <v>0</v>
      </c>
      <c r="X66" s="418">
        <v>0</v>
      </c>
      <c r="Y66" s="418">
        <v>0</v>
      </c>
      <c r="Z66" s="418">
        <v>0</v>
      </c>
      <c r="AA66" s="605">
        <v>208620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208620</v>
      </c>
      <c r="AF66" s="418">
        <f>SUM(AD66:AE66)</f>
        <v>208620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si="81"/>
        <v>0</v>
      </c>
      <c r="AP66" s="418">
        <f t="shared" si="81"/>
        <v>208620</v>
      </c>
      <c r="AQ66" s="418">
        <f>SUM(AO66:AP66)</f>
        <v>208620</v>
      </c>
      <c r="AR66" s="68">
        <f>ROUND((AF66+AG66+AH66+AI66)*33.8%,0)</f>
        <v>70514</v>
      </c>
      <c r="AS66" s="68">
        <f>ROUND(AF66*1%,0)</f>
        <v>2086</v>
      </c>
      <c r="AT66" s="418">
        <v>0</v>
      </c>
      <c r="AU66" s="605">
        <v>1139</v>
      </c>
      <c r="AV66" s="418">
        <f>AT66+AU66</f>
        <v>1139</v>
      </c>
      <c r="AW66" s="418">
        <f>AQ66+AR66+AS66+AV66</f>
        <v>282359</v>
      </c>
      <c r="AX66" s="419">
        <v>0</v>
      </c>
      <c r="AY66" s="419">
        <v>0</v>
      </c>
      <c r="AZ66" s="419">
        <v>0</v>
      </c>
      <c r="BA66" s="419">
        <v>0</v>
      </c>
      <c r="BB66" s="607">
        <v>0.63</v>
      </c>
      <c r="BC66" s="93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0.63</v>
      </c>
      <c r="BH66" s="421">
        <f>SUM(BF66:BG66)</f>
        <v>0.63</v>
      </c>
      <c r="BI66" s="780">
        <f>I66+AW66</f>
        <v>848101</v>
      </c>
      <c r="BJ66" s="418">
        <f>J66+AF66</f>
        <v>626570</v>
      </c>
      <c r="BK66" s="418">
        <f t="shared" si="82"/>
        <v>0</v>
      </c>
      <c r="BL66" s="418">
        <f t="shared" si="82"/>
        <v>626570</v>
      </c>
      <c r="BM66" s="418">
        <f>M66+AN66</f>
        <v>0</v>
      </c>
      <c r="BN66" s="418">
        <f t="shared" si="83"/>
        <v>0</v>
      </c>
      <c r="BO66" s="418">
        <f t="shared" si="83"/>
        <v>0</v>
      </c>
      <c r="BP66" s="418">
        <f t="shared" si="84"/>
        <v>211781</v>
      </c>
      <c r="BQ66" s="418">
        <f t="shared" si="84"/>
        <v>6266</v>
      </c>
      <c r="BR66" s="418">
        <f>R66+AV66</f>
        <v>3484</v>
      </c>
      <c r="BS66" s="419">
        <f>S66+BH66</f>
        <v>1.88</v>
      </c>
      <c r="BT66" s="419">
        <f t="shared" si="85"/>
        <v>0</v>
      </c>
      <c r="BU66" s="421">
        <f t="shared" si="85"/>
        <v>1.88</v>
      </c>
      <c r="BV66" s="420"/>
      <c r="BW66" s="415"/>
      <c r="BX66" s="415"/>
      <c r="BY66" s="415"/>
      <c r="BZ66" s="415"/>
      <c r="CA66" s="510"/>
    </row>
    <row r="67" spans="1:79" s="221" customFormat="1" ht="12.75" customHeight="1" x14ac:dyDescent="0.2">
      <c r="A67" s="153">
        <v>15</v>
      </c>
      <c r="B67" s="14">
        <v>3466</v>
      </c>
      <c r="C67" s="152">
        <v>691001260</v>
      </c>
      <c r="D67" s="152">
        <v>72048085</v>
      </c>
      <c r="E67" s="222" t="s">
        <v>39</v>
      </c>
      <c r="F67" s="14"/>
      <c r="G67" s="222"/>
      <c r="H67" s="560"/>
      <c r="I67" s="505">
        <v>6287758</v>
      </c>
      <c r="J67" s="504">
        <v>4646917</v>
      </c>
      <c r="K67" s="504">
        <v>3878906</v>
      </c>
      <c r="L67" s="504">
        <v>768011</v>
      </c>
      <c r="M67" s="504">
        <v>2600</v>
      </c>
      <c r="N67" s="504">
        <v>0</v>
      </c>
      <c r="O67" s="504">
        <v>2600</v>
      </c>
      <c r="P67" s="504">
        <v>1571537</v>
      </c>
      <c r="Q67" s="504">
        <v>46470</v>
      </c>
      <c r="R67" s="504">
        <v>20234</v>
      </c>
      <c r="S67" s="544">
        <v>9.190100000000001</v>
      </c>
      <c r="T67" s="544">
        <v>6.75</v>
      </c>
      <c r="U67" s="401">
        <v>2.4401000000000002</v>
      </c>
      <c r="V67" s="505">
        <f t="shared" ref="V67:CA67" si="86">SUM(V64:V66)</f>
        <v>0</v>
      </c>
      <c r="W67" s="504">
        <f t="shared" si="86"/>
        <v>0</v>
      </c>
      <c r="X67" s="504">
        <f t="shared" si="86"/>
        <v>0</v>
      </c>
      <c r="Y67" s="504">
        <f t="shared" si="86"/>
        <v>0</v>
      </c>
      <c r="Z67" s="504">
        <f t="shared" si="86"/>
        <v>0</v>
      </c>
      <c r="AA67" s="575">
        <f t="shared" si="86"/>
        <v>208620</v>
      </c>
      <c r="AB67" s="504">
        <f t="shared" si="86"/>
        <v>0</v>
      </c>
      <c r="AC67" s="504">
        <f t="shared" si="86"/>
        <v>0</v>
      </c>
      <c r="AD67" s="504">
        <f t="shared" si="86"/>
        <v>0</v>
      </c>
      <c r="AE67" s="504">
        <f t="shared" si="86"/>
        <v>208620</v>
      </c>
      <c r="AF67" s="504">
        <f t="shared" si="86"/>
        <v>208620</v>
      </c>
      <c r="AG67" s="504">
        <f t="shared" si="86"/>
        <v>0</v>
      </c>
      <c r="AH67" s="504">
        <f t="shared" si="86"/>
        <v>0</v>
      </c>
      <c r="AI67" s="504">
        <f t="shared" si="86"/>
        <v>0</v>
      </c>
      <c r="AJ67" s="504">
        <f t="shared" si="86"/>
        <v>0</v>
      </c>
      <c r="AK67" s="504">
        <f t="shared" si="86"/>
        <v>0</v>
      </c>
      <c r="AL67" s="504">
        <f t="shared" si="86"/>
        <v>0</v>
      </c>
      <c r="AM67" s="504">
        <f t="shared" si="86"/>
        <v>0</v>
      </c>
      <c r="AN67" s="504">
        <f t="shared" si="86"/>
        <v>0</v>
      </c>
      <c r="AO67" s="504">
        <f t="shared" si="86"/>
        <v>0</v>
      </c>
      <c r="AP67" s="504">
        <f t="shared" si="86"/>
        <v>208620</v>
      </c>
      <c r="AQ67" s="504">
        <f t="shared" si="86"/>
        <v>208620</v>
      </c>
      <c r="AR67" s="504">
        <f t="shared" si="86"/>
        <v>70514</v>
      </c>
      <c r="AS67" s="504">
        <f t="shared" si="86"/>
        <v>2086</v>
      </c>
      <c r="AT67" s="504">
        <f t="shared" si="86"/>
        <v>0</v>
      </c>
      <c r="AU67" s="504">
        <f t="shared" si="86"/>
        <v>1139</v>
      </c>
      <c r="AV67" s="504">
        <f t="shared" si="86"/>
        <v>1139</v>
      </c>
      <c r="AW67" s="504">
        <f t="shared" si="86"/>
        <v>282359</v>
      </c>
      <c r="AX67" s="544">
        <f t="shared" si="86"/>
        <v>0</v>
      </c>
      <c r="AY67" s="544">
        <f t="shared" si="86"/>
        <v>0</v>
      </c>
      <c r="AZ67" s="544">
        <f t="shared" si="86"/>
        <v>0</v>
      </c>
      <c r="BA67" s="544">
        <f t="shared" si="86"/>
        <v>0</v>
      </c>
      <c r="BB67" s="544">
        <f t="shared" si="86"/>
        <v>0.63</v>
      </c>
      <c r="BC67" s="938">
        <f t="shared" si="86"/>
        <v>0</v>
      </c>
      <c r="BD67" s="544">
        <f t="shared" si="86"/>
        <v>0</v>
      </c>
      <c r="BE67" s="544">
        <f t="shared" si="86"/>
        <v>0</v>
      </c>
      <c r="BF67" s="544">
        <f t="shared" si="86"/>
        <v>0</v>
      </c>
      <c r="BG67" s="544">
        <f t="shared" si="86"/>
        <v>0.63</v>
      </c>
      <c r="BH67" s="442">
        <f t="shared" si="86"/>
        <v>0.63</v>
      </c>
      <c r="BI67" s="806">
        <f t="shared" si="86"/>
        <v>6570117</v>
      </c>
      <c r="BJ67" s="504">
        <f t="shared" si="86"/>
        <v>4855537</v>
      </c>
      <c r="BK67" s="504">
        <f t="shared" si="86"/>
        <v>3878906</v>
      </c>
      <c r="BL67" s="504">
        <f t="shared" si="86"/>
        <v>976631</v>
      </c>
      <c r="BM67" s="504">
        <f t="shared" si="86"/>
        <v>2600</v>
      </c>
      <c r="BN67" s="504">
        <f t="shared" si="86"/>
        <v>0</v>
      </c>
      <c r="BO67" s="504">
        <f t="shared" si="86"/>
        <v>2600</v>
      </c>
      <c r="BP67" s="504">
        <f t="shared" si="86"/>
        <v>1642051</v>
      </c>
      <c r="BQ67" s="504">
        <f t="shared" si="86"/>
        <v>48556</v>
      </c>
      <c r="BR67" s="504">
        <f t="shared" si="86"/>
        <v>21373</v>
      </c>
      <c r="BS67" s="544">
        <f t="shared" si="86"/>
        <v>9.8201000000000001</v>
      </c>
      <c r="BT67" s="544">
        <f t="shared" si="86"/>
        <v>6.75</v>
      </c>
      <c r="BU67" s="442">
        <f t="shared" si="86"/>
        <v>3.0701000000000001</v>
      </c>
      <c r="BV67" s="824">
        <f t="shared" si="86"/>
        <v>0</v>
      </c>
      <c r="BW67" s="710">
        <f t="shared" si="86"/>
        <v>0</v>
      </c>
      <c r="BX67" s="710">
        <f t="shared" si="86"/>
        <v>0</v>
      </c>
      <c r="BY67" s="710">
        <f t="shared" si="86"/>
        <v>0</v>
      </c>
      <c r="BZ67" s="710">
        <f t="shared" si="86"/>
        <v>0</v>
      </c>
      <c r="CA67" s="825">
        <f t="shared" si="86"/>
        <v>0</v>
      </c>
    </row>
    <row r="68" spans="1:79" s="221" customFormat="1" ht="12.75" customHeight="1" x14ac:dyDescent="0.2">
      <c r="A68" s="223">
        <v>16</v>
      </c>
      <c r="B68" s="224">
        <v>3407</v>
      </c>
      <c r="C68" s="224">
        <v>667000089</v>
      </c>
      <c r="D68" s="224">
        <v>72743778</v>
      </c>
      <c r="E68" s="225" t="s">
        <v>40</v>
      </c>
      <c r="F68" s="224">
        <v>3111</v>
      </c>
      <c r="G68" s="225" t="s">
        <v>290</v>
      </c>
      <c r="H68" s="226" t="s">
        <v>271</v>
      </c>
      <c r="I68" s="420">
        <v>12413557</v>
      </c>
      <c r="J68" s="415">
        <v>9179753</v>
      </c>
      <c r="K68" s="415">
        <v>8321002</v>
      </c>
      <c r="L68" s="415">
        <v>858751</v>
      </c>
      <c r="M68" s="415">
        <v>0</v>
      </c>
      <c r="N68" s="415">
        <v>0</v>
      </c>
      <c r="O68" s="415">
        <v>0</v>
      </c>
      <c r="P68" s="68">
        <v>3102757</v>
      </c>
      <c r="Q68" s="68">
        <v>91798</v>
      </c>
      <c r="R68" s="415">
        <v>39249</v>
      </c>
      <c r="S68" s="416">
        <v>17.257200000000001</v>
      </c>
      <c r="T68" s="417">
        <v>14.2903</v>
      </c>
      <c r="U68" s="423">
        <v>2.9668999999999999</v>
      </c>
      <c r="V68" s="424">
        <f t="shared" ref="V68:W70" si="87">AG68*-1</f>
        <v>0</v>
      </c>
      <c r="W68" s="418">
        <f t="shared" si="87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0</v>
      </c>
      <c r="AF68" s="418">
        <f>SUM(AD68:AE68)</f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ref="AO68:AP70" si="88">AD68+AL68</f>
        <v>0</v>
      </c>
      <c r="AP68" s="418">
        <f t="shared" si="88"/>
        <v>0</v>
      </c>
      <c r="AQ68" s="418">
        <f>SUM(AO68:AP68)</f>
        <v>0</v>
      </c>
      <c r="AR68" s="68">
        <f>ROUND((AF68+AG68+AH68+AI68)*33.8%,0)</f>
        <v>0</v>
      </c>
      <c r="AS68" s="68">
        <f>ROUND(AF68*1%,0)</f>
        <v>0</v>
      </c>
      <c r="AT68" s="418">
        <v>0</v>
      </c>
      <c r="AU68" s="415">
        <v>0</v>
      </c>
      <c r="AV68" s="418">
        <f>AT68+AU68</f>
        <v>0</v>
      </c>
      <c r="AW68" s="418">
        <f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6">
        <v>0</v>
      </c>
      <c r="BC68" s="93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</v>
      </c>
      <c r="BH68" s="421">
        <f>SUM(BF68:BG68)</f>
        <v>0</v>
      </c>
      <c r="BI68" s="780">
        <f>I68+AW68</f>
        <v>12413557</v>
      </c>
      <c r="BJ68" s="418">
        <f>J68+AF68</f>
        <v>9179753</v>
      </c>
      <c r="BK68" s="418">
        <f t="shared" ref="BK68:BL70" si="89">K68+AD68</f>
        <v>8321002</v>
      </c>
      <c r="BL68" s="418">
        <f t="shared" si="89"/>
        <v>858751</v>
      </c>
      <c r="BM68" s="418">
        <f>M68+AN68</f>
        <v>0</v>
      </c>
      <c r="BN68" s="418">
        <f t="shared" ref="BN68:BO70" si="90">N68+AL68</f>
        <v>0</v>
      </c>
      <c r="BO68" s="418">
        <f t="shared" si="90"/>
        <v>0</v>
      </c>
      <c r="BP68" s="418">
        <f t="shared" ref="BP68:BQ70" si="91">P68+AR68</f>
        <v>3102757</v>
      </c>
      <c r="BQ68" s="418">
        <f t="shared" si="91"/>
        <v>91798</v>
      </c>
      <c r="BR68" s="418">
        <f>R68+AV68</f>
        <v>39249</v>
      </c>
      <c r="BS68" s="419">
        <f>S68+BH68</f>
        <v>17.257200000000001</v>
      </c>
      <c r="BT68" s="419">
        <f t="shared" ref="BT68:BU70" si="92">T68+BF68</f>
        <v>14.2903</v>
      </c>
      <c r="BU68" s="421">
        <f t="shared" si="92"/>
        <v>2.9668999999999999</v>
      </c>
      <c r="BV68" s="420"/>
      <c r="BW68" s="415"/>
      <c r="BX68" s="415"/>
      <c r="BY68" s="415"/>
      <c r="BZ68" s="415"/>
      <c r="CA68" s="510"/>
    </row>
    <row r="69" spans="1:79" s="221" customFormat="1" ht="12.75" customHeight="1" x14ac:dyDescent="0.2">
      <c r="A69" s="223">
        <v>16</v>
      </c>
      <c r="B69" s="224">
        <v>3407</v>
      </c>
      <c r="C69" s="224">
        <v>667000089</v>
      </c>
      <c r="D69" s="224">
        <v>72743778</v>
      </c>
      <c r="E69" s="225" t="s">
        <v>40</v>
      </c>
      <c r="F69" s="224">
        <v>3111</v>
      </c>
      <c r="G69" s="225" t="s">
        <v>291</v>
      </c>
      <c r="H69" s="226" t="s">
        <v>272</v>
      </c>
      <c r="I69" s="420">
        <v>718520</v>
      </c>
      <c r="J69" s="415">
        <v>533027</v>
      </c>
      <c r="K69" s="415">
        <v>533027</v>
      </c>
      <c r="L69" s="415">
        <v>0</v>
      </c>
      <c r="M69" s="415">
        <v>0</v>
      </c>
      <c r="N69" s="415">
        <v>0</v>
      </c>
      <c r="O69" s="415">
        <v>0</v>
      </c>
      <c r="P69" s="68">
        <v>180163</v>
      </c>
      <c r="Q69" s="68">
        <v>5330</v>
      </c>
      <c r="R69" s="415">
        <v>0</v>
      </c>
      <c r="S69" s="416">
        <v>1.44</v>
      </c>
      <c r="T69" s="417">
        <v>1.44</v>
      </c>
      <c r="U69" s="423">
        <v>0</v>
      </c>
      <c r="V69" s="424">
        <f t="shared" si="87"/>
        <v>0</v>
      </c>
      <c r="W69" s="418">
        <f t="shared" si="87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88"/>
        <v>0</v>
      </c>
      <c r="AP69" s="418">
        <f t="shared" si="88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5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6">
        <v>0</v>
      </c>
      <c r="BC69" s="93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421">
        <f>SUM(BF69:BG69)</f>
        <v>0</v>
      </c>
      <c r="BI69" s="780">
        <f>I69+AW69</f>
        <v>718520</v>
      </c>
      <c r="BJ69" s="418">
        <f>J69+AF69</f>
        <v>533027</v>
      </c>
      <c r="BK69" s="418">
        <f t="shared" si="89"/>
        <v>533027</v>
      </c>
      <c r="BL69" s="418">
        <f t="shared" si="89"/>
        <v>0</v>
      </c>
      <c r="BM69" s="418">
        <f>M69+AN69</f>
        <v>0</v>
      </c>
      <c r="BN69" s="418">
        <f t="shared" si="90"/>
        <v>0</v>
      </c>
      <c r="BO69" s="418">
        <f t="shared" si="90"/>
        <v>0</v>
      </c>
      <c r="BP69" s="418">
        <f t="shared" si="91"/>
        <v>180163</v>
      </c>
      <c r="BQ69" s="418">
        <f t="shared" si="91"/>
        <v>5330</v>
      </c>
      <c r="BR69" s="418">
        <f>R69+AV69</f>
        <v>0</v>
      </c>
      <c r="BS69" s="419">
        <f>S69+BH69</f>
        <v>1.44</v>
      </c>
      <c r="BT69" s="419">
        <f t="shared" si="92"/>
        <v>1.44</v>
      </c>
      <c r="BU69" s="421">
        <f t="shared" si="92"/>
        <v>0</v>
      </c>
      <c r="BV69" s="420"/>
      <c r="BW69" s="415"/>
      <c r="BX69" s="415"/>
      <c r="BY69" s="415"/>
      <c r="BZ69" s="415"/>
      <c r="CA69" s="510"/>
    </row>
    <row r="70" spans="1:79" s="221" customFormat="1" ht="12.75" customHeight="1" x14ac:dyDescent="0.2">
      <c r="A70" s="223">
        <v>16</v>
      </c>
      <c r="B70" s="224">
        <v>3407</v>
      </c>
      <c r="C70" s="224">
        <v>667000089</v>
      </c>
      <c r="D70" s="224">
        <v>72743778</v>
      </c>
      <c r="E70" s="225" t="s">
        <v>40</v>
      </c>
      <c r="F70" s="224">
        <v>3141</v>
      </c>
      <c r="G70" s="225" t="s">
        <v>294</v>
      </c>
      <c r="H70" s="226" t="s">
        <v>272</v>
      </c>
      <c r="I70" s="420">
        <v>1203944</v>
      </c>
      <c r="J70" s="415">
        <v>889291</v>
      </c>
      <c r="K70" s="415">
        <v>0</v>
      </c>
      <c r="L70" s="415">
        <v>889291</v>
      </c>
      <c r="M70" s="415">
        <v>0</v>
      </c>
      <c r="N70" s="415">
        <v>0</v>
      </c>
      <c r="O70" s="415">
        <v>0</v>
      </c>
      <c r="P70" s="68">
        <v>300580</v>
      </c>
      <c r="Q70" s="68">
        <v>8893</v>
      </c>
      <c r="R70" s="415">
        <v>5180</v>
      </c>
      <c r="S70" s="416">
        <v>2.67</v>
      </c>
      <c r="T70" s="417">
        <v>0</v>
      </c>
      <c r="U70" s="423">
        <v>2.67</v>
      </c>
      <c r="V70" s="424">
        <f t="shared" si="87"/>
        <v>0</v>
      </c>
      <c r="W70" s="418">
        <f t="shared" si="87"/>
        <v>0</v>
      </c>
      <c r="X70" s="418">
        <v>0</v>
      </c>
      <c r="Y70" s="418">
        <v>0</v>
      </c>
      <c r="Z70" s="418">
        <v>0</v>
      </c>
      <c r="AA70" s="415">
        <v>446888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446888</v>
      </c>
      <c r="AF70" s="418">
        <f>SUM(AD70:AE70)</f>
        <v>446888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88"/>
        <v>0</v>
      </c>
      <c r="AP70" s="418">
        <f t="shared" si="88"/>
        <v>446888</v>
      </c>
      <c r="AQ70" s="418">
        <f>SUM(AO70:AP70)</f>
        <v>446888</v>
      </c>
      <c r="AR70" s="68">
        <f>ROUND((AF70+AG70+AH70+AI70)*33.8%,0)</f>
        <v>151048</v>
      </c>
      <c r="AS70" s="68">
        <f>ROUND(AF70*1%,0)</f>
        <v>4469</v>
      </c>
      <c r="AT70" s="418">
        <v>0</v>
      </c>
      <c r="AU70" s="415">
        <v>2516</v>
      </c>
      <c r="AV70" s="418">
        <f>AT70+AU70</f>
        <v>2516</v>
      </c>
      <c r="AW70" s="418">
        <f>AQ70+AR70+AS70+AV70</f>
        <v>604921</v>
      </c>
      <c r="AX70" s="419">
        <v>0</v>
      </c>
      <c r="AY70" s="419">
        <v>0</v>
      </c>
      <c r="AZ70" s="419">
        <v>0</v>
      </c>
      <c r="BA70" s="419">
        <v>0</v>
      </c>
      <c r="BB70" s="416">
        <v>1.33</v>
      </c>
      <c r="BC70" s="93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1.33</v>
      </c>
      <c r="BH70" s="421">
        <f>SUM(BF70:BG70)</f>
        <v>1.33</v>
      </c>
      <c r="BI70" s="780">
        <f>I70+AW70</f>
        <v>1808865</v>
      </c>
      <c r="BJ70" s="418">
        <f>J70+AF70</f>
        <v>1336179</v>
      </c>
      <c r="BK70" s="418">
        <f t="shared" si="89"/>
        <v>0</v>
      </c>
      <c r="BL70" s="418">
        <f t="shared" si="89"/>
        <v>1336179</v>
      </c>
      <c r="BM70" s="418">
        <f>M70+AN70</f>
        <v>0</v>
      </c>
      <c r="BN70" s="418">
        <f t="shared" si="90"/>
        <v>0</v>
      </c>
      <c r="BO70" s="418">
        <f t="shared" si="90"/>
        <v>0</v>
      </c>
      <c r="BP70" s="418">
        <f t="shared" si="91"/>
        <v>451628</v>
      </c>
      <c r="BQ70" s="418">
        <f t="shared" si="91"/>
        <v>13362</v>
      </c>
      <c r="BR70" s="418">
        <f>R70+AV70</f>
        <v>7696</v>
      </c>
      <c r="BS70" s="419">
        <f>S70+BH70</f>
        <v>4</v>
      </c>
      <c r="BT70" s="419">
        <f t="shared" si="92"/>
        <v>0</v>
      </c>
      <c r="BU70" s="421">
        <f t="shared" si="92"/>
        <v>4</v>
      </c>
      <c r="BV70" s="420"/>
      <c r="BW70" s="415"/>
      <c r="BX70" s="415"/>
      <c r="BY70" s="415"/>
      <c r="BZ70" s="415"/>
      <c r="CA70" s="510"/>
    </row>
    <row r="71" spans="1:79" s="221" customFormat="1" ht="12.75" customHeight="1" x14ac:dyDescent="0.2">
      <c r="A71" s="153">
        <v>16</v>
      </c>
      <c r="B71" s="14">
        <v>3407</v>
      </c>
      <c r="C71" s="152">
        <v>667000089</v>
      </c>
      <c r="D71" s="152">
        <v>72743778</v>
      </c>
      <c r="E71" s="222" t="s">
        <v>41</v>
      </c>
      <c r="F71" s="14"/>
      <c r="G71" s="222"/>
      <c r="H71" s="560"/>
      <c r="I71" s="505">
        <v>14336021</v>
      </c>
      <c r="J71" s="504">
        <v>10602071</v>
      </c>
      <c r="K71" s="504">
        <v>8854029</v>
      </c>
      <c r="L71" s="504">
        <v>1748042</v>
      </c>
      <c r="M71" s="504">
        <v>0</v>
      </c>
      <c r="N71" s="504">
        <v>0</v>
      </c>
      <c r="O71" s="504">
        <v>0</v>
      </c>
      <c r="P71" s="504">
        <v>3583500</v>
      </c>
      <c r="Q71" s="504">
        <v>106021</v>
      </c>
      <c r="R71" s="504">
        <v>44429</v>
      </c>
      <c r="S71" s="544">
        <v>21.367200000000004</v>
      </c>
      <c r="T71" s="544">
        <v>15.7303</v>
      </c>
      <c r="U71" s="401">
        <v>5.6368999999999998</v>
      </c>
      <c r="V71" s="505">
        <f t="shared" ref="V71:CA71" si="93">SUM(V68:V70)</f>
        <v>0</v>
      </c>
      <c r="W71" s="504">
        <f t="shared" si="93"/>
        <v>0</v>
      </c>
      <c r="X71" s="504">
        <f t="shared" si="93"/>
        <v>0</v>
      </c>
      <c r="Y71" s="504">
        <f t="shared" si="93"/>
        <v>0</v>
      </c>
      <c r="Z71" s="504">
        <f t="shared" si="93"/>
        <v>0</v>
      </c>
      <c r="AA71" s="575">
        <f t="shared" si="93"/>
        <v>446888</v>
      </c>
      <c r="AB71" s="504">
        <f t="shared" si="93"/>
        <v>0</v>
      </c>
      <c r="AC71" s="504">
        <f t="shared" si="93"/>
        <v>0</v>
      </c>
      <c r="AD71" s="504">
        <f t="shared" si="93"/>
        <v>0</v>
      </c>
      <c r="AE71" s="504">
        <f t="shared" si="93"/>
        <v>446888</v>
      </c>
      <c r="AF71" s="504">
        <f t="shared" si="93"/>
        <v>446888</v>
      </c>
      <c r="AG71" s="504">
        <f t="shared" si="93"/>
        <v>0</v>
      </c>
      <c r="AH71" s="504">
        <f t="shared" si="93"/>
        <v>0</v>
      </c>
      <c r="AI71" s="504">
        <f t="shared" si="93"/>
        <v>0</v>
      </c>
      <c r="AJ71" s="504">
        <f t="shared" si="93"/>
        <v>0</v>
      </c>
      <c r="AK71" s="504">
        <f t="shared" si="93"/>
        <v>0</v>
      </c>
      <c r="AL71" s="504">
        <f t="shared" si="93"/>
        <v>0</v>
      </c>
      <c r="AM71" s="504">
        <f t="shared" si="93"/>
        <v>0</v>
      </c>
      <c r="AN71" s="504">
        <f t="shared" si="93"/>
        <v>0</v>
      </c>
      <c r="AO71" s="504">
        <f t="shared" si="93"/>
        <v>0</v>
      </c>
      <c r="AP71" s="504">
        <f t="shared" si="93"/>
        <v>446888</v>
      </c>
      <c r="AQ71" s="504">
        <f t="shared" si="93"/>
        <v>446888</v>
      </c>
      <c r="AR71" s="504">
        <f t="shared" si="93"/>
        <v>151048</v>
      </c>
      <c r="AS71" s="504">
        <f t="shared" si="93"/>
        <v>4469</v>
      </c>
      <c r="AT71" s="504">
        <f t="shared" si="93"/>
        <v>0</v>
      </c>
      <c r="AU71" s="504">
        <f t="shared" si="93"/>
        <v>2516</v>
      </c>
      <c r="AV71" s="504">
        <f t="shared" si="93"/>
        <v>2516</v>
      </c>
      <c r="AW71" s="504">
        <f t="shared" si="93"/>
        <v>604921</v>
      </c>
      <c r="AX71" s="544">
        <f t="shared" si="93"/>
        <v>0</v>
      </c>
      <c r="AY71" s="544">
        <f t="shared" si="93"/>
        <v>0</v>
      </c>
      <c r="AZ71" s="544">
        <f t="shared" si="93"/>
        <v>0</v>
      </c>
      <c r="BA71" s="544">
        <f t="shared" si="93"/>
        <v>0</v>
      </c>
      <c r="BB71" s="544">
        <f t="shared" si="93"/>
        <v>1.33</v>
      </c>
      <c r="BC71" s="938">
        <f t="shared" si="93"/>
        <v>0</v>
      </c>
      <c r="BD71" s="544">
        <f t="shared" si="93"/>
        <v>0</v>
      </c>
      <c r="BE71" s="544">
        <f t="shared" si="93"/>
        <v>0</v>
      </c>
      <c r="BF71" s="544">
        <f t="shared" si="93"/>
        <v>0</v>
      </c>
      <c r="BG71" s="544">
        <f t="shared" si="93"/>
        <v>1.33</v>
      </c>
      <c r="BH71" s="442">
        <f t="shared" si="93"/>
        <v>1.33</v>
      </c>
      <c r="BI71" s="806">
        <f t="shared" si="93"/>
        <v>14940942</v>
      </c>
      <c r="BJ71" s="504">
        <f t="shared" si="93"/>
        <v>11048959</v>
      </c>
      <c r="BK71" s="504">
        <f t="shared" si="93"/>
        <v>8854029</v>
      </c>
      <c r="BL71" s="504">
        <f t="shared" si="93"/>
        <v>2194930</v>
      </c>
      <c r="BM71" s="504">
        <f t="shared" si="93"/>
        <v>0</v>
      </c>
      <c r="BN71" s="504">
        <f t="shared" si="93"/>
        <v>0</v>
      </c>
      <c r="BO71" s="504">
        <f t="shared" si="93"/>
        <v>0</v>
      </c>
      <c r="BP71" s="504">
        <f t="shared" si="93"/>
        <v>3734548</v>
      </c>
      <c r="BQ71" s="504">
        <f t="shared" si="93"/>
        <v>110490</v>
      </c>
      <c r="BR71" s="504">
        <f t="shared" si="93"/>
        <v>46945</v>
      </c>
      <c r="BS71" s="544">
        <f t="shared" si="93"/>
        <v>22.697200000000002</v>
      </c>
      <c r="BT71" s="544">
        <f t="shared" si="93"/>
        <v>15.7303</v>
      </c>
      <c r="BU71" s="442">
        <f t="shared" si="93"/>
        <v>6.9668999999999999</v>
      </c>
      <c r="BV71" s="824">
        <f t="shared" si="93"/>
        <v>0</v>
      </c>
      <c r="BW71" s="710">
        <f t="shared" si="93"/>
        <v>0</v>
      </c>
      <c r="BX71" s="710">
        <f t="shared" si="93"/>
        <v>0</v>
      </c>
      <c r="BY71" s="710">
        <f t="shared" si="93"/>
        <v>0</v>
      </c>
      <c r="BZ71" s="710">
        <f t="shared" si="93"/>
        <v>0</v>
      </c>
      <c r="CA71" s="825">
        <f t="shared" si="93"/>
        <v>0</v>
      </c>
    </row>
    <row r="72" spans="1:79" s="221" customFormat="1" ht="12.75" customHeight="1" x14ac:dyDescent="0.2">
      <c r="A72" s="223">
        <v>17</v>
      </c>
      <c r="B72" s="224">
        <v>3463</v>
      </c>
      <c r="C72" s="224">
        <v>691001308</v>
      </c>
      <c r="D72" s="224">
        <v>72048166</v>
      </c>
      <c r="E72" s="225" t="s">
        <v>42</v>
      </c>
      <c r="F72" s="224">
        <v>3111</v>
      </c>
      <c r="G72" s="225" t="s">
        <v>290</v>
      </c>
      <c r="H72" s="226" t="s">
        <v>271</v>
      </c>
      <c r="I72" s="420">
        <v>7350617</v>
      </c>
      <c r="J72" s="415">
        <v>5363646</v>
      </c>
      <c r="K72" s="415">
        <v>4913444</v>
      </c>
      <c r="L72" s="415">
        <v>450202</v>
      </c>
      <c r="M72" s="415">
        <v>70000</v>
      </c>
      <c r="N72" s="415">
        <v>50000</v>
      </c>
      <c r="O72" s="415">
        <v>20000</v>
      </c>
      <c r="P72" s="68">
        <v>1836572</v>
      </c>
      <c r="Q72" s="68">
        <v>53636</v>
      </c>
      <c r="R72" s="415">
        <v>26763</v>
      </c>
      <c r="S72" s="416">
        <v>9.9916999999999998</v>
      </c>
      <c r="T72" s="417">
        <v>8.4515999999999991</v>
      </c>
      <c r="U72" s="423">
        <v>1.5400999999999998</v>
      </c>
      <c r="V72" s="424">
        <f t="shared" ref="V72:W74" si="94">AG72*-1</f>
        <v>0</v>
      </c>
      <c r="W72" s="418">
        <f t="shared" si="94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ref="AO72:AP74" si="95">AD72+AL72</f>
        <v>0</v>
      </c>
      <c r="AP72" s="418">
        <f t="shared" si="95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5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6">
        <v>0</v>
      </c>
      <c r="BC72" s="93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421">
        <f>SUM(BF72:BG72)</f>
        <v>0</v>
      </c>
      <c r="BI72" s="780">
        <f>I72+AW72</f>
        <v>7350617</v>
      </c>
      <c r="BJ72" s="418">
        <f>J72+AF72</f>
        <v>5363646</v>
      </c>
      <c r="BK72" s="418">
        <f t="shared" ref="BK72:BL74" si="96">K72+AD72</f>
        <v>4913444</v>
      </c>
      <c r="BL72" s="418">
        <f t="shared" si="96"/>
        <v>450202</v>
      </c>
      <c r="BM72" s="418">
        <f>M72+AN72</f>
        <v>70000</v>
      </c>
      <c r="BN72" s="418">
        <f t="shared" ref="BN72:BO74" si="97">N72+AL72</f>
        <v>50000</v>
      </c>
      <c r="BO72" s="418">
        <f t="shared" si="97"/>
        <v>20000</v>
      </c>
      <c r="BP72" s="418">
        <f t="shared" ref="BP72:BQ74" si="98">P72+AR72</f>
        <v>1836572</v>
      </c>
      <c r="BQ72" s="418">
        <f t="shared" si="98"/>
        <v>53636</v>
      </c>
      <c r="BR72" s="418">
        <f>R72+AV72</f>
        <v>26763</v>
      </c>
      <c r="BS72" s="419">
        <f>S72+BH72</f>
        <v>9.9916999999999998</v>
      </c>
      <c r="BT72" s="419">
        <f t="shared" ref="BT72:BU74" si="99">T72+BF72</f>
        <v>8.4515999999999991</v>
      </c>
      <c r="BU72" s="421">
        <f t="shared" si="99"/>
        <v>1.5400999999999998</v>
      </c>
      <c r="BV72" s="420"/>
      <c r="BW72" s="415"/>
      <c r="BX72" s="415"/>
      <c r="BY72" s="415"/>
      <c r="BZ72" s="415"/>
      <c r="CA72" s="510"/>
    </row>
    <row r="73" spans="1:79" s="221" customFormat="1" x14ac:dyDescent="0.2">
      <c r="A73" s="223">
        <v>17</v>
      </c>
      <c r="B73" s="224">
        <v>3463</v>
      </c>
      <c r="C73" s="224">
        <v>691001308</v>
      </c>
      <c r="D73" s="224">
        <v>72048166</v>
      </c>
      <c r="E73" s="225" t="s">
        <v>42</v>
      </c>
      <c r="F73" s="224">
        <v>3111</v>
      </c>
      <c r="G73" s="225" t="s">
        <v>291</v>
      </c>
      <c r="H73" s="226" t="s">
        <v>272</v>
      </c>
      <c r="I73" s="420">
        <v>1666378</v>
      </c>
      <c r="J73" s="415">
        <v>1236185</v>
      </c>
      <c r="K73" s="415">
        <v>1236185</v>
      </c>
      <c r="L73" s="415">
        <v>0</v>
      </c>
      <c r="M73" s="415">
        <v>0</v>
      </c>
      <c r="N73" s="415">
        <v>0</v>
      </c>
      <c r="O73" s="415">
        <v>0</v>
      </c>
      <c r="P73" s="68">
        <v>417831</v>
      </c>
      <c r="Q73" s="68">
        <v>12362</v>
      </c>
      <c r="R73" s="415">
        <v>0</v>
      </c>
      <c r="S73" s="416">
        <v>3.25</v>
      </c>
      <c r="T73" s="417">
        <v>3.25</v>
      </c>
      <c r="U73" s="423">
        <v>0</v>
      </c>
      <c r="V73" s="424">
        <f t="shared" si="94"/>
        <v>0</v>
      </c>
      <c r="W73" s="418">
        <f t="shared" si="94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95"/>
        <v>0</v>
      </c>
      <c r="AP73" s="418">
        <f t="shared" si="95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5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6">
        <v>0</v>
      </c>
      <c r="BC73" s="93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421">
        <f>SUM(BF73:BG73)</f>
        <v>0</v>
      </c>
      <c r="BI73" s="780">
        <f>I73+AW73</f>
        <v>1666378</v>
      </c>
      <c r="BJ73" s="418">
        <f>J73+AF73</f>
        <v>1236185</v>
      </c>
      <c r="BK73" s="418">
        <f t="shared" si="96"/>
        <v>1236185</v>
      </c>
      <c r="BL73" s="418">
        <f t="shared" si="96"/>
        <v>0</v>
      </c>
      <c r="BM73" s="418">
        <f>M73+AN73</f>
        <v>0</v>
      </c>
      <c r="BN73" s="418">
        <f t="shared" si="97"/>
        <v>0</v>
      </c>
      <c r="BO73" s="418">
        <f t="shared" si="97"/>
        <v>0</v>
      </c>
      <c r="BP73" s="418">
        <f t="shared" si="98"/>
        <v>417831</v>
      </c>
      <c r="BQ73" s="418">
        <f t="shared" si="98"/>
        <v>12362</v>
      </c>
      <c r="BR73" s="418">
        <f>R73+AV73</f>
        <v>0</v>
      </c>
      <c r="BS73" s="419">
        <f>S73+BH73</f>
        <v>3.25</v>
      </c>
      <c r="BT73" s="419">
        <f t="shared" si="99"/>
        <v>3.25</v>
      </c>
      <c r="BU73" s="421">
        <f t="shared" si="99"/>
        <v>0</v>
      </c>
      <c r="BV73" s="420"/>
      <c r="BW73" s="415"/>
      <c r="BX73" s="415"/>
      <c r="BY73" s="415"/>
      <c r="BZ73" s="415"/>
      <c r="CA73" s="510"/>
    </row>
    <row r="74" spans="1:79" s="221" customFormat="1" ht="12.75" customHeight="1" x14ac:dyDescent="0.2">
      <c r="A74" s="223">
        <v>17</v>
      </c>
      <c r="B74" s="224">
        <v>3463</v>
      </c>
      <c r="C74" s="224">
        <v>691001308</v>
      </c>
      <c r="D74" s="224">
        <v>72048166</v>
      </c>
      <c r="E74" s="225" t="s">
        <v>42</v>
      </c>
      <c r="F74" s="224">
        <v>3141</v>
      </c>
      <c r="G74" s="225" t="s">
        <v>294</v>
      </c>
      <c r="H74" s="226" t="s">
        <v>272</v>
      </c>
      <c r="I74" s="420">
        <v>692366</v>
      </c>
      <c r="J74" s="415">
        <v>506325</v>
      </c>
      <c r="K74" s="415">
        <v>0</v>
      </c>
      <c r="L74" s="415">
        <v>506325</v>
      </c>
      <c r="M74" s="415">
        <v>5000</v>
      </c>
      <c r="N74" s="415">
        <v>0</v>
      </c>
      <c r="O74" s="415">
        <v>5000</v>
      </c>
      <c r="P74" s="68">
        <v>172828</v>
      </c>
      <c r="Q74" s="68">
        <v>5063</v>
      </c>
      <c r="R74" s="415">
        <v>3150</v>
      </c>
      <c r="S74" s="416">
        <v>1.53</v>
      </c>
      <c r="T74" s="417">
        <v>0</v>
      </c>
      <c r="U74" s="423">
        <v>1.53</v>
      </c>
      <c r="V74" s="424">
        <f t="shared" si="94"/>
        <v>0</v>
      </c>
      <c r="W74" s="418">
        <f t="shared" si="94"/>
        <v>0</v>
      </c>
      <c r="X74" s="418">
        <v>0</v>
      </c>
      <c r="Y74" s="418">
        <v>0</v>
      </c>
      <c r="Z74" s="418">
        <v>0</v>
      </c>
      <c r="AA74" s="605">
        <v>255037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255037</v>
      </c>
      <c r="AF74" s="418">
        <f>SUM(AD74:AE74)</f>
        <v>255037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95"/>
        <v>0</v>
      </c>
      <c r="AP74" s="418">
        <f t="shared" si="95"/>
        <v>255037</v>
      </c>
      <c r="AQ74" s="418">
        <f>SUM(AO74:AP74)</f>
        <v>255037</v>
      </c>
      <c r="AR74" s="68">
        <f>ROUND((AF74+AG74+AH74+AI74)*33.8%,0)</f>
        <v>86203</v>
      </c>
      <c r="AS74" s="68">
        <f>ROUND(AF74*1%,0)</f>
        <v>2550</v>
      </c>
      <c r="AT74" s="418">
        <v>0</v>
      </c>
      <c r="AU74" s="605">
        <v>1530</v>
      </c>
      <c r="AV74" s="418">
        <f>AT74+AU74</f>
        <v>1530</v>
      </c>
      <c r="AW74" s="418">
        <f>AQ74+AR74+AS74+AV74</f>
        <v>345320</v>
      </c>
      <c r="AX74" s="419">
        <v>0</v>
      </c>
      <c r="AY74" s="419">
        <v>0</v>
      </c>
      <c r="AZ74" s="419">
        <v>0</v>
      </c>
      <c r="BA74" s="419">
        <v>0</v>
      </c>
      <c r="BB74" s="607">
        <v>0.77</v>
      </c>
      <c r="BC74" s="93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0.77</v>
      </c>
      <c r="BH74" s="421">
        <f>SUM(BF74:BG74)</f>
        <v>0.77</v>
      </c>
      <c r="BI74" s="780">
        <f>I74+AW74</f>
        <v>1037686</v>
      </c>
      <c r="BJ74" s="418">
        <f>J74+AF74</f>
        <v>761362</v>
      </c>
      <c r="BK74" s="418">
        <f t="shared" si="96"/>
        <v>0</v>
      </c>
      <c r="BL74" s="418">
        <f t="shared" si="96"/>
        <v>761362</v>
      </c>
      <c r="BM74" s="418">
        <f>M74+AN74</f>
        <v>5000</v>
      </c>
      <c r="BN74" s="418">
        <f t="shared" si="97"/>
        <v>0</v>
      </c>
      <c r="BO74" s="418">
        <f t="shared" si="97"/>
        <v>5000</v>
      </c>
      <c r="BP74" s="418">
        <f t="shared" si="98"/>
        <v>259031</v>
      </c>
      <c r="BQ74" s="418">
        <f t="shared" si="98"/>
        <v>7613</v>
      </c>
      <c r="BR74" s="418">
        <f>R74+AV74</f>
        <v>4680</v>
      </c>
      <c r="BS74" s="419">
        <f>S74+BH74</f>
        <v>2.2999999999999998</v>
      </c>
      <c r="BT74" s="419">
        <f t="shared" si="99"/>
        <v>0</v>
      </c>
      <c r="BU74" s="421">
        <f t="shared" si="99"/>
        <v>2.2999999999999998</v>
      </c>
      <c r="BV74" s="420"/>
      <c r="BW74" s="415"/>
      <c r="BX74" s="415"/>
      <c r="BY74" s="415"/>
      <c r="BZ74" s="415"/>
      <c r="CA74" s="510"/>
    </row>
    <row r="75" spans="1:79" s="221" customFormat="1" ht="12.75" customHeight="1" x14ac:dyDescent="0.2">
      <c r="A75" s="153">
        <v>17</v>
      </c>
      <c r="B75" s="14">
        <v>3463</v>
      </c>
      <c r="C75" s="152">
        <v>691001308</v>
      </c>
      <c r="D75" s="152">
        <v>72048166</v>
      </c>
      <c r="E75" s="222" t="s">
        <v>43</v>
      </c>
      <c r="F75" s="14"/>
      <c r="G75" s="222"/>
      <c r="H75" s="560"/>
      <c r="I75" s="505">
        <v>9709361</v>
      </c>
      <c r="J75" s="504">
        <v>7106156</v>
      </c>
      <c r="K75" s="504">
        <v>6149629</v>
      </c>
      <c r="L75" s="504">
        <v>956527</v>
      </c>
      <c r="M75" s="504">
        <v>75000</v>
      </c>
      <c r="N75" s="504">
        <v>50000</v>
      </c>
      <c r="O75" s="504">
        <v>25000</v>
      </c>
      <c r="P75" s="504">
        <v>2427231</v>
      </c>
      <c r="Q75" s="504">
        <v>71061</v>
      </c>
      <c r="R75" s="504">
        <v>29913</v>
      </c>
      <c r="S75" s="544">
        <v>14.771699999999999</v>
      </c>
      <c r="T75" s="544">
        <v>11.701599999999999</v>
      </c>
      <c r="U75" s="401">
        <v>3.0701000000000001</v>
      </c>
      <c r="V75" s="505">
        <f t="shared" ref="V75:CA75" si="100">SUM(V72:V74)</f>
        <v>0</v>
      </c>
      <c r="W75" s="504">
        <f t="shared" si="100"/>
        <v>0</v>
      </c>
      <c r="X75" s="504">
        <f t="shared" si="100"/>
        <v>0</v>
      </c>
      <c r="Y75" s="504">
        <f t="shared" si="100"/>
        <v>0</v>
      </c>
      <c r="Z75" s="504">
        <f t="shared" si="100"/>
        <v>0</v>
      </c>
      <c r="AA75" s="575">
        <f t="shared" si="100"/>
        <v>255037</v>
      </c>
      <c r="AB75" s="504">
        <f t="shared" si="100"/>
        <v>0</v>
      </c>
      <c r="AC75" s="504">
        <f t="shared" si="100"/>
        <v>0</v>
      </c>
      <c r="AD75" s="504">
        <f t="shared" si="100"/>
        <v>0</v>
      </c>
      <c r="AE75" s="504">
        <f t="shared" si="100"/>
        <v>255037</v>
      </c>
      <c r="AF75" s="504">
        <f t="shared" si="100"/>
        <v>255037</v>
      </c>
      <c r="AG75" s="504">
        <f t="shared" si="100"/>
        <v>0</v>
      </c>
      <c r="AH75" s="504">
        <f t="shared" si="100"/>
        <v>0</v>
      </c>
      <c r="AI75" s="504">
        <f t="shared" si="100"/>
        <v>0</v>
      </c>
      <c r="AJ75" s="504">
        <f t="shared" si="100"/>
        <v>0</v>
      </c>
      <c r="AK75" s="504">
        <f t="shared" si="100"/>
        <v>0</v>
      </c>
      <c r="AL75" s="504">
        <f t="shared" si="100"/>
        <v>0</v>
      </c>
      <c r="AM75" s="504">
        <f t="shared" si="100"/>
        <v>0</v>
      </c>
      <c r="AN75" s="504">
        <f t="shared" si="100"/>
        <v>0</v>
      </c>
      <c r="AO75" s="504">
        <f t="shared" si="100"/>
        <v>0</v>
      </c>
      <c r="AP75" s="504">
        <f t="shared" si="100"/>
        <v>255037</v>
      </c>
      <c r="AQ75" s="504">
        <f t="shared" si="100"/>
        <v>255037</v>
      </c>
      <c r="AR75" s="504">
        <f t="shared" si="100"/>
        <v>86203</v>
      </c>
      <c r="AS75" s="504">
        <f t="shared" si="100"/>
        <v>2550</v>
      </c>
      <c r="AT75" s="504">
        <f t="shared" si="100"/>
        <v>0</v>
      </c>
      <c r="AU75" s="504">
        <f t="shared" si="100"/>
        <v>1530</v>
      </c>
      <c r="AV75" s="504">
        <f t="shared" si="100"/>
        <v>1530</v>
      </c>
      <c r="AW75" s="504">
        <f t="shared" si="100"/>
        <v>345320</v>
      </c>
      <c r="AX75" s="544">
        <f t="shared" si="100"/>
        <v>0</v>
      </c>
      <c r="AY75" s="544">
        <f t="shared" si="100"/>
        <v>0</v>
      </c>
      <c r="AZ75" s="544">
        <f t="shared" si="100"/>
        <v>0</v>
      </c>
      <c r="BA75" s="544">
        <f t="shared" si="100"/>
        <v>0</v>
      </c>
      <c r="BB75" s="544">
        <f t="shared" si="100"/>
        <v>0.77</v>
      </c>
      <c r="BC75" s="938">
        <f t="shared" si="100"/>
        <v>0</v>
      </c>
      <c r="BD75" s="544">
        <f t="shared" si="100"/>
        <v>0</v>
      </c>
      <c r="BE75" s="544">
        <f t="shared" si="100"/>
        <v>0</v>
      </c>
      <c r="BF75" s="544">
        <f t="shared" si="100"/>
        <v>0</v>
      </c>
      <c r="BG75" s="544">
        <f t="shared" si="100"/>
        <v>0.77</v>
      </c>
      <c r="BH75" s="442">
        <f t="shared" si="100"/>
        <v>0.77</v>
      </c>
      <c r="BI75" s="806">
        <f t="shared" si="100"/>
        <v>10054681</v>
      </c>
      <c r="BJ75" s="504">
        <f t="shared" si="100"/>
        <v>7361193</v>
      </c>
      <c r="BK75" s="504">
        <f t="shared" si="100"/>
        <v>6149629</v>
      </c>
      <c r="BL75" s="504">
        <f t="shared" si="100"/>
        <v>1211564</v>
      </c>
      <c r="BM75" s="504">
        <f t="shared" si="100"/>
        <v>75000</v>
      </c>
      <c r="BN75" s="504">
        <f t="shared" si="100"/>
        <v>50000</v>
      </c>
      <c r="BO75" s="504">
        <f t="shared" si="100"/>
        <v>25000</v>
      </c>
      <c r="BP75" s="504">
        <f t="shared" si="100"/>
        <v>2513434</v>
      </c>
      <c r="BQ75" s="504">
        <f t="shared" si="100"/>
        <v>73611</v>
      </c>
      <c r="BR75" s="504">
        <f t="shared" si="100"/>
        <v>31443</v>
      </c>
      <c r="BS75" s="544">
        <f t="shared" si="100"/>
        <v>15.541699999999999</v>
      </c>
      <c r="BT75" s="544">
        <f t="shared" si="100"/>
        <v>11.701599999999999</v>
      </c>
      <c r="BU75" s="442">
        <f t="shared" si="100"/>
        <v>3.8400999999999996</v>
      </c>
      <c r="BV75" s="824">
        <f t="shared" si="100"/>
        <v>0</v>
      </c>
      <c r="BW75" s="710">
        <f t="shared" si="100"/>
        <v>0</v>
      </c>
      <c r="BX75" s="710">
        <f t="shared" si="100"/>
        <v>0</v>
      </c>
      <c r="BY75" s="710">
        <f t="shared" si="100"/>
        <v>0</v>
      </c>
      <c r="BZ75" s="710">
        <f t="shared" si="100"/>
        <v>0</v>
      </c>
      <c r="CA75" s="825">
        <f t="shared" si="100"/>
        <v>0</v>
      </c>
    </row>
    <row r="76" spans="1:79" s="221" customFormat="1" ht="12.75" customHeight="1" x14ac:dyDescent="0.2">
      <c r="A76" s="223">
        <v>18</v>
      </c>
      <c r="B76" s="224">
        <v>3460</v>
      </c>
      <c r="C76" s="224">
        <v>691000387</v>
      </c>
      <c r="D76" s="224">
        <v>86797034</v>
      </c>
      <c r="E76" s="225" t="s">
        <v>44</v>
      </c>
      <c r="F76" s="224">
        <v>3111</v>
      </c>
      <c r="G76" s="225" t="s">
        <v>290</v>
      </c>
      <c r="H76" s="226" t="s">
        <v>271</v>
      </c>
      <c r="I76" s="420">
        <v>6723587</v>
      </c>
      <c r="J76" s="415">
        <v>4968320</v>
      </c>
      <c r="K76" s="415">
        <v>4524774</v>
      </c>
      <c r="L76" s="415">
        <v>443546</v>
      </c>
      <c r="M76" s="415">
        <v>0</v>
      </c>
      <c r="N76" s="415">
        <v>0</v>
      </c>
      <c r="O76" s="415">
        <v>0</v>
      </c>
      <c r="P76" s="68">
        <v>1679292</v>
      </c>
      <c r="Q76" s="68">
        <v>49683</v>
      </c>
      <c r="R76" s="415">
        <v>26292</v>
      </c>
      <c r="S76" s="416">
        <v>9.5900999999999996</v>
      </c>
      <c r="T76" s="417">
        <v>8.0968</v>
      </c>
      <c r="U76" s="423">
        <v>1.4933000000000001</v>
      </c>
      <c r="V76" s="424">
        <f t="shared" ref="V76:W78" si="101">AG76*-1</f>
        <v>0</v>
      </c>
      <c r="W76" s="418">
        <f t="shared" si="101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ref="AO76:AP78" si="102">AD76+AL76</f>
        <v>0</v>
      </c>
      <c r="AP76" s="418">
        <f t="shared" si="102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5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6">
        <v>0</v>
      </c>
      <c r="BC76" s="93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421">
        <f>SUM(BF76:BG76)</f>
        <v>0</v>
      </c>
      <c r="BI76" s="780">
        <f>I76+AW76</f>
        <v>6723587</v>
      </c>
      <c r="BJ76" s="418">
        <f>J76+AF76</f>
        <v>4968320</v>
      </c>
      <c r="BK76" s="418">
        <f t="shared" ref="BK76:BL78" si="103">K76+AD76</f>
        <v>4524774</v>
      </c>
      <c r="BL76" s="418">
        <f t="shared" si="103"/>
        <v>443546</v>
      </c>
      <c r="BM76" s="418">
        <f>M76+AN76</f>
        <v>0</v>
      </c>
      <c r="BN76" s="418">
        <f t="shared" ref="BN76:BO78" si="104">N76+AL76</f>
        <v>0</v>
      </c>
      <c r="BO76" s="418">
        <f t="shared" si="104"/>
        <v>0</v>
      </c>
      <c r="BP76" s="418">
        <f t="shared" ref="BP76:BQ78" si="105">P76+AR76</f>
        <v>1679292</v>
      </c>
      <c r="BQ76" s="418">
        <f t="shared" si="105"/>
        <v>49683</v>
      </c>
      <c r="BR76" s="418">
        <f>R76+AV76</f>
        <v>26292</v>
      </c>
      <c r="BS76" s="419">
        <f>S76+BH76</f>
        <v>9.5900999999999996</v>
      </c>
      <c r="BT76" s="419">
        <f t="shared" ref="BT76:BU78" si="106">T76+BF76</f>
        <v>8.0968</v>
      </c>
      <c r="BU76" s="421">
        <f t="shared" si="106"/>
        <v>1.4933000000000001</v>
      </c>
      <c r="BV76" s="420"/>
      <c r="BW76" s="415"/>
      <c r="BX76" s="415"/>
      <c r="BY76" s="415"/>
      <c r="BZ76" s="415"/>
      <c r="CA76" s="510"/>
    </row>
    <row r="77" spans="1:79" s="221" customFormat="1" ht="12.75" customHeight="1" x14ac:dyDescent="0.2">
      <c r="A77" s="223">
        <v>18</v>
      </c>
      <c r="B77" s="224">
        <v>3460</v>
      </c>
      <c r="C77" s="224">
        <v>691000387</v>
      </c>
      <c r="D77" s="224">
        <v>86797034</v>
      </c>
      <c r="E77" s="225" t="s">
        <v>44</v>
      </c>
      <c r="F77" s="224">
        <v>3111</v>
      </c>
      <c r="G77" s="225" t="s">
        <v>291</v>
      </c>
      <c r="H77" s="226" t="s">
        <v>272</v>
      </c>
      <c r="I77" s="420">
        <v>374880</v>
      </c>
      <c r="J77" s="415">
        <v>278101</v>
      </c>
      <c r="K77" s="415">
        <v>278101</v>
      </c>
      <c r="L77" s="415">
        <v>0</v>
      </c>
      <c r="M77" s="415">
        <v>0</v>
      </c>
      <c r="N77" s="415">
        <v>0</v>
      </c>
      <c r="O77" s="415">
        <v>0</v>
      </c>
      <c r="P77" s="68">
        <v>93998</v>
      </c>
      <c r="Q77" s="68">
        <v>2781</v>
      </c>
      <c r="R77" s="415">
        <v>0</v>
      </c>
      <c r="S77" s="416">
        <v>0.75</v>
      </c>
      <c r="T77" s="417">
        <v>0.75</v>
      </c>
      <c r="U77" s="423">
        <v>0</v>
      </c>
      <c r="V77" s="424">
        <f t="shared" si="101"/>
        <v>0</v>
      </c>
      <c r="W77" s="418">
        <f t="shared" si="101"/>
        <v>0</v>
      </c>
      <c r="X77" s="418">
        <v>-115875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>V77+X77+Y77+Z77+AB77</f>
        <v>-115875</v>
      </c>
      <c r="AE77" s="418">
        <f>W77+AA77+AC77</f>
        <v>0</v>
      </c>
      <c r="AF77" s="418">
        <f>SUM(AD77:AE77)</f>
        <v>-115875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 t="shared" si="102"/>
        <v>-115875</v>
      </c>
      <c r="AP77" s="418">
        <f t="shared" si="102"/>
        <v>0</v>
      </c>
      <c r="AQ77" s="418">
        <f>SUM(AO77:AP77)</f>
        <v>-115875</v>
      </c>
      <c r="AR77" s="68">
        <f>ROUND((AF77+AG77+AH77+AI77)*33.8%,0)</f>
        <v>-39166</v>
      </c>
      <c r="AS77" s="68">
        <f>ROUND(AF77*1%,0)</f>
        <v>-1159</v>
      </c>
      <c r="AT77" s="418">
        <v>0</v>
      </c>
      <c r="AU77" s="415">
        <v>0</v>
      </c>
      <c r="AV77" s="418">
        <f>AT77+AU77</f>
        <v>0</v>
      </c>
      <c r="AW77" s="418">
        <f>AQ77+AR77+AS77+AV77</f>
        <v>-156200</v>
      </c>
      <c r="AX77" s="419">
        <v>0</v>
      </c>
      <c r="AY77" s="419">
        <v>0</v>
      </c>
      <c r="AZ77" s="419">
        <v>-0.31</v>
      </c>
      <c r="BA77" s="419">
        <v>0</v>
      </c>
      <c r="BB77" s="416">
        <v>0</v>
      </c>
      <c r="BC77" s="939">
        <v>0</v>
      </c>
      <c r="BD77" s="419">
        <v>0</v>
      </c>
      <c r="BE77" s="419">
        <v>0</v>
      </c>
      <c r="BF77" s="419">
        <f>AX77+AZ77+BA77+BC77+BD77</f>
        <v>-0.31</v>
      </c>
      <c r="BG77" s="419">
        <f>AY77+BB77+BE77</f>
        <v>0</v>
      </c>
      <c r="BH77" s="421">
        <f>SUM(BF77:BG77)</f>
        <v>-0.31</v>
      </c>
      <c r="BI77" s="780">
        <f>I77+AW77</f>
        <v>218680</v>
      </c>
      <c r="BJ77" s="418">
        <f>J77+AF77</f>
        <v>162226</v>
      </c>
      <c r="BK77" s="418">
        <f t="shared" si="103"/>
        <v>162226</v>
      </c>
      <c r="BL77" s="418">
        <f t="shared" si="103"/>
        <v>0</v>
      </c>
      <c r="BM77" s="418">
        <f>M77+AN77</f>
        <v>0</v>
      </c>
      <c r="BN77" s="418">
        <f t="shared" si="104"/>
        <v>0</v>
      </c>
      <c r="BO77" s="418">
        <f t="shared" si="104"/>
        <v>0</v>
      </c>
      <c r="BP77" s="418">
        <f t="shared" si="105"/>
        <v>54832</v>
      </c>
      <c r="BQ77" s="418">
        <f t="shared" si="105"/>
        <v>1622</v>
      </c>
      <c r="BR77" s="418">
        <f>R77+AV77</f>
        <v>0</v>
      </c>
      <c r="BS77" s="419">
        <f>S77+BH77</f>
        <v>0.44</v>
      </c>
      <c r="BT77" s="419">
        <f t="shared" si="106"/>
        <v>0.44</v>
      </c>
      <c r="BU77" s="421">
        <f t="shared" si="106"/>
        <v>0</v>
      </c>
      <c r="BV77" s="420"/>
      <c r="BW77" s="415"/>
      <c r="BX77" s="415"/>
      <c r="BY77" s="415"/>
      <c r="BZ77" s="415"/>
      <c r="CA77" s="510"/>
    </row>
    <row r="78" spans="1:79" s="221" customFormat="1" ht="12.75" customHeight="1" x14ac:dyDescent="0.2">
      <c r="A78" s="223">
        <v>18</v>
      </c>
      <c r="B78" s="224">
        <v>3460</v>
      </c>
      <c r="C78" s="224">
        <v>691000387</v>
      </c>
      <c r="D78" s="224">
        <v>86797034</v>
      </c>
      <c r="E78" s="225" t="s">
        <v>44</v>
      </c>
      <c r="F78" s="224">
        <v>3141</v>
      </c>
      <c r="G78" s="225" t="s">
        <v>294</v>
      </c>
      <c r="H78" s="226" t="s">
        <v>272</v>
      </c>
      <c r="I78" s="420">
        <v>617034</v>
      </c>
      <c r="J78" s="415">
        <v>455767</v>
      </c>
      <c r="K78" s="415">
        <v>0</v>
      </c>
      <c r="L78" s="415">
        <v>455767</v>
      </c>
      <c r="M78" s="415">
        <v>0</v>
      </c>
      <c r="N78" s="415">
        <v>0</v>
      </c>
      <c r="O78" s="415">
        <v>0</v>
      </c>
      <c r="P78" s="68">
        <v>154049</v>
      </c>
      <c r="Q78" s="68">
        <v>4558</v>
      </c>
      <c r="R78" s="415">
        <v>2660</v>
      </c>
      <c r="S78" s="416">
        <v>1.37</v>
      </c>
      <c r="T78" s="417">
        <v>0</v>
      </c>
      <c r="U78" s="423">
        <v>1.37</v>
      </c>
      <c r="V78" s="424">
        <f t="shared" si="101"/>
        <v>0</v>
      </c>
      <c r="W78" s="418">
        <f t="shared" si="101"/>
        <v>0</v>
      </c>
      <c r="X78" s="418">
        <v>0</v>
      </c>
      <c r="Y78" s="418">
        <v>0</v>
      </c>
      <c r="Z78" s="418">
        <v>0</v>
      </c>
      <c r="AA78" s="605">
        <v>226460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226460</v>
      </c>
      <c r="AF78" s="418">
        <f>SUM(AD78:AE78)</f>
        <v>226460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>AG78+AI78+AJ78</f>
        <v>0</v>
      </c>
      <c r="AM78" s="418">
        <f>AH78+AK78</f>
        <v>0</v>
      </c>
      <c r="AN78" s="418">
        <f>SUM(AL78:AM78)</f>
        <v>0</v>
      </c>
      <c r="AO78" s="418">
        <f t="shared" si="102"/>
        <v>0</v>
      </c>
      <c r="AP78" s="418">
        <f t="shared" si="102"/>
        <v>226460</v>
      </c>
      <c r="AQ78" s="418">
        <f>SUM(AO78:AP78)</f>
        <v>226460</v>
      </c>
      <c r="AR78" s="68">
        <f>ROUND((AF78+AG78+AH78+AI78)*33.8%,0)</f>
        <v>76543</v>
      </c>
      <c r="AS78" s="68">
        <f>ROUND(AF78*1%,0)</f>
        <v>2265</v>
      </c>
      <c r="AT78" s="418">
        <v>0</v>
      </c>
      <c r="AU78" s="605">
        <v>1292</v>
      </c>
      <c r="AV78" s="418">
        <f>AT78+AU78</f>
        <v>1292</v>
      </c>
      <c r="AW78" s="418">
        <f>AQ78+AR78+AS78+AV78</f>
        <v>306560</v>
      </c>
      <c r="AX78" s="419">
        <v>0</v>
      </c>
      <c r="AY78" s="419">
        <v>0</v>
      </c>
      <c r="AZ78" s="419">
        <v>0</v>
      </c>
      <c r="BA78" s="419">
        <v>0</v>
      </c>
      <c r="BB78" s="607">
        <v>0.68</v>
      </c>
      <c r="BC78" s="939">
        <v>0</v>
      </c>
      <c r="BD78" s="419">
        <v>0</v>
      </c>
      <c r="BE78" s="419">
        <v>0</v>
      </c>
      <c r="BF78" s="419">
        <f>AX78+AZ78+BA78+BC78+BD78</f>
        <v>0</v>
      </c>
      <c r="BG78" s="419">
        <f>AY78+BB78+BE78</f>
        <v>0.68</v>
      </c>
      <c r="BH78" s="421">
        <f>SUM(BF78:BG78)</f>
        <v>0.68</v>
      </c>
      <c r="BI78" s="780">
        <f>I78+AW78</f>
        <v>923594</v>
      </c>
      <c r="BJ78" s="418">
        <f>J78+AF78</f>
        <v>682227</v>
      </c>
      <c r="BK78" s="418">
        <f t="shared" si="103"/>
        <v>0</v>
      </c>
      <c r="BL78" s="418">
        <f t="shared" si="103"/>
        <v>682227</v>
      </c>
      <c r="BM78" s="418">
        <f>M78+AN78</f>
        <v>0</v>
      </c>
      <c r="BN78" s="418">
        <f t="shared" si="104"/>
        <v>0</v>
      </c>
      <c r="BO78" s="418">
        <f t="shared" si="104"/>
        <v>0</v>
      </c>
      <c r="BP78" s="418">
        <f t="shared" si="105"/>
        <v>230592</v>
      </c>
      <c r="BQ78" s="418">
        <f t="shared" si="105"/>
        <v>6823</v>
      </c>
      <c r="BR78" s="418">
        <f>R78+AV78</f>
        <v>3952</v>
      </c>
      <c r="BS78" s="419">
        <f>S78+BH78</f>
        <v>2.0500000000000003</v>
      </c>
      <c r="BT78" s="419">
        <f t="shared" si="106"/>
        <v>0</v>
      </c>
      <c r="BU78" s="421">
        <f t="shared" si="106"/>
        <v>2.0500000000000003</v>
      </c>
      <c r="BV78" s="420"/>
      <c r="BW78" s="415"/>
      <c r="BX78" s="415"/>
      <c r="BY78" s="415"/>
      <c r="BZ78" s="415"/>
      <c r="CA78" s="510"/>
    </row>
    <row r="79" spans="1:79" s="221" customFormat="1" ht="12.75" customHeight="1" x14ac:dyDescent="0.2">
      <c r="A79" s="153">
        <v>18</v>
      </c>
      <c r="B79" s="14">
        <v>3460</v>
      </c>
      <c r="C79" s="152">
        <v>691000387</v>
      </c>
      <c r="D79" s="152">
        <v>86797034</v>
      </c>
      <c r="E79" s="222" t="s">
        <v>45</v>
      </c>
      <c r="F79" s="14"/>
      <c r="G79" s="222"/>
      <c r="H79" s="560"/>
      <c r="I79" s="505">
        <v>7715501</v>
      </c>
      <c r="J79" s="504">
        <v>5702188</v>
      </c>
      <c r="K79" s="504">
        <v>4802875</v>
      </c>
      <c r="L79" s="504">
        <v>899313</v>
      </c>
      <c r="M79" s="504">
        <v>0</v>
      </c>
      <c r="N79" s="504">
        <v>0</v>
      </c>
      <c r="O79" s="504">
        <v>0</v>
      </c>
      <c r="P79" s="504">
        <v>1927339</v>
      </c>
      <c r="Q79" s="504">
        <v>57022</v>
      </c>
      <c r="R79" s="504">
        <v>28952</v>
      </c>
      <c r="S79" s="544">
        <v>11.710100000000001</v>
      </c>
      <c r="T79" s="544">
        <v>8.8468</v>
      </c>
      <c r="U79" s="401">
        <v>2.8633000000000002</v>
      </c>
      <c r="V79" s="505">
        <f t="shared" ref="V79:CA79" si="107">SUM(V76:V78)</f>
        <v>0</v>
      </c>
      <c r="W79" s="504">
        <f t="shared" si="107"/>
        <v>0</v>
      </c>
      <c r="X79" s="504">
        <f t="shared" si="107"/>
        <v>-115875</v>
      </c>
      <c r="Y79" s="504">
        <f t="shared" si="107"/>
        <v>0</v>
      </c>
      <c r="Z79" s="504">
        <f t="shared" si="107"/>
        <v>0</v>
      </c>
      <c r="AA79" s="575">
        <f t="shared" si="107"/>
        <v>226460</v>
      </c>
      <c r="AB79" s="504">
        <f t="shared" si="107"/>
        <v>0</v>
      </c>
      <c r="AC79" s="504">
        <f t="shared" si="107"/>
        <v>0</v>
      </c>
      <c r="AD79" s="504">
        <f t="shared" si="107"/>
        <v>-115875</v>
      </c>
      <c r="AE79" s="504">
        <f t="shared" si="107"/>
        <v>226460</v>
      </c>
      <c r="AF79" s="504">
        <f t="shared" si="107"/>
        <v>110585</v>
      </c>
      <c r="AG79" s="504">
        <f t="shared" si="107"/>
        <v>0</v>
      </c>
      <c r="AH79" s="504">
        <f t="shared" si="107"/>
        <v>0</v>
      </c>
      <c r="AI79" s="504">
        <f t="shared" si="107"/>
        <v>0</v>
      </c>
      <c r="AJ79" s="504">
        <f t="shared" si="107"/>
        <v>0</v>
      </c>
      <c r="AK79" s="504">
        <f t="shared" si="107"/>
        <v>0</v>
      </c>
      <c r="AL79" s="504">
        <f t="shared" si="107"/>
        <v>0</v>
      </c>
      <c r="AM79" s="504">
        <f t="shared" si="107"/>
        <v>0</v>
      </c>
      <c r="AN79" s="504">
        <f t="shared" si="107"/>
        <v>0</v>
      </c>
      <c r="AO79" s="504">
        <f t="shared" si="107"/>
        <v>-115875</v>
      </c>
      <c r="AP79" s="504">
        <f t="shared" si="107"/>
        <v>226460</v>
      </c>
      <c r="AQ79" s="504">
        <f t="shared" si="107"/>
        <v>110585</v>
      </c>
      <c r="AR79" s="504">
        <f t="shared" si="107"/>
        <v>37377</v>
      </c>
      <c r="AS79" s="504">
        <f t="shared" si="107"/>
        <v>1106</v>
      </c>
      <c r="AT79" s="504">
        <f t="shared" si="107"/>
        <v>0</v>
      </c>
      <c r="AU79" s="504">
        <f t="shared" si="107"/>
        <v>1292</v>
      </c>
      <c r="AV79" s="504">
        <f t="shared" si="107"/>
        <v>1292</v>
      </c>
      <c r="AW79" s="504">
        <f t="shared" si="107"/>
        <v>150360</v>
      </c>
      <c r="AX79" s="544">
        <f t="shared" si="107"/>
        <v>0</v>
      </c>
      <c r="AY79" s="544">
        <f t="shared" si="107"/>
        <v>0</v>
      </c>
      <c r="AZ79" s="544">
        <f t="shared" si="107"/>
        <v>-0.31</v>
      </c>
      <c r="BA79" s="544">
        <f t="shared" si="107"/>
        <v>0</v>
      </c>
      <c r="BB79" s="544">
        <f t="shared" si="107"/>
        <v>0.68</v>
      </c>
      <c r="BC79" s="938">
        <f t="shared" si="107"/>
        <v>0</v>
      </c>
      <c r="BD79" s="544">
        <f t="shared" si="107"/>
        <v>0</v>
      </c>
      <c r="BE79" s="544">
        <f t="shared" si="107"/>
        <v>0</v>
      </c>
      <c r="BF79" s="544">
        <f t="shared" si="107"/>
        <v>-0.31</v>
      </c>
      <c r="BG79" s="544">
        <f t="shared" si="107"/>
        <v>0.68</v>
      </c>
      <c r="BH79" s="442">
        <f t="shared" si="107"/>
        <v>0.37000000000000005</v>
      </c>
      <c r="BI79" s="806">
        <f t="shared" si="107"/>
        <v>7865861</v>
      </c>
      <c r="BJ79" s="504">
        <f t="shared" si="107"/>
        <v>5812773</v>
      </c>
      <c r="BK79" s="504">
        <f t="shared" si="107"/>
        <v>4687000</v>
      </c>
      <c r="BL79" s="504">
        <f t="shared" si="107"/>
        <v>1125773</v>
      </c>
      <c r="BM79" s="504">
        <f t="shared" si="107"/>
        <v>0</v>
      </c>
      <c r="BN79" s="504">
        <f t="shared" si="107"/>
        <v>0</v>
      </c>
      <c r="BO79" s="504">
        <f t="shared" si="107"/>
        <v>0</v>
      </c>
      <c r="BP79" s="504">
        <f t="shared" si="107"/>
        <v>1964716</v>
      </c>
      <c r="BQ79" s="504">
        <f t="shared" si="107"/>
        <v>58128</v>
      </c>
      <c r="BR79" s="504">
        <f t="shared" si="107"/>
        <v>30244</v>
      </c>
      <c r="BS79" s="544">
        <f t="shared" si="107"/>
        <v>12.0801</v>
      </c>
      <c r="BT79" s="544">
        <f t="shared" si="107"/>
        <v>8.5367999999999995</v>
      </c>
      <c r="BU79" s="442">
        <f t="shared" si="107"/>
        <v>3.5433000000000003</v>
      </c>
      <c r="BV79" s="824">
        <f t="shared" si="107"/>
        <v>0</v>
      </c>
      <c r="BW79" s="710">
        <f t="shared" si="107"/>
        <v>0</v>
      </c>
      <c r="BX79" s="710">
        <f t="shared" si="107"/>
        <v>0</v>
      </c>
      <c r="BY79" s="710">
        <f t="shared" si="107"/>
        <v>0</v>
      </c>
      <c r="BZ79" s="710">
        <f t="shared" si="107"/>
        <v>0</v>
      </c>
      <c r="CA79" s="825">
        <f t="shared" si="107"/>
        <v>0</v>
      </c>
    </row>
    <row r="80" spans="1:79" s="221" customFormat="1" ht="12.75" customHeight="1" x14ac:dyDescent="0.2">
      <c r="A80" s="223">
        <v>19</v>
      </c>
      <c r="B80" s="224">
        <v>3413</v>
      </c>
      <c r="C80" s="224">
        <v>600077918</v>
      </c>
      <c r="D80" s="224">
        <v>72743433</v>
      </c>
      <c r="E80" s="225" t="s">
        <v>273</v>
      </c>
      <c r="F80" s="224">
        <v>3111</v>
      </c>
      <c r="G80" s="225" t="s">
        <v>290</v>
      </c>
      <c r="H80" s="226" t="s">
        <v>271</v>
      </c>
      <c r="I80" s="420">
        <v>11645791</v>
      </c>
      <c r="J80" s="415">
        <v>8607771</v>
      </c>
      <c r="K80" s="415">
        <v>7792963</v>
      </c>
      <c r="L80" s="415">
        <v>814808</v>
      </c>
      <c r="M80" s="415">
        <v>0</v>
      </c>
      <c r="N80" s="415">
        <v>0</v>
      </c>
      <c r="O80" s="415">
        <v>0</v>
      </c>
      <c r="P80" s="68">
        <v>2909427</v>
      </c>
      <c r="Q80" s="68">
        <v>86077</v>
      </c>
      <c r="R80" s="415">
        <v>42516</v>
      </c>
      <c r="S80" s="416">
        <v>15.543099999999999</v>
      </c>
      <c r="T80" s="417">
        <v>12.7097</v>
      </c>
      <c r="U80" s="423">
        <v>2.8334000000000001</v>
      </c>
      <c r="V80" s="424">
        <f t="shared" ref="V80:W83" si="108">AG80*-1</f>
        <v>0</v>
      </c>
      <c r="W80" s="418">
        <f t="shared" si="108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0</v>
      </c>
      <c r="AF80" s="418">
        <f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ref="AO80:AP83" si="109">AD80+AL80</f>
        <v>0</v>
      </c>
      <c r="AP80" s="418">
        <f t="shared" si="109"/>
        <v>0</v>
      </c>
      <c r="AQ80" s="418">
        <f>SUM(AO80:AP80)</f>
        <v>0</v>
      </c>
      <c r="AR80" s="68">
        <f>ROUND((AF80+AG80+AH80+AI80)*33.8%,0)</f>
        <v>0</v>
      </c>
      <c r="AS80" s="68">
        <f>ROUND(AF80*1%,0)</f>
        <v>0</v>
      </c>
      <c r="AT80" s="418">
        <v>0</v>
      </c>
      <c r="AU80" s="415">
        <v>0</v>
      </c>
      <c r="AV80" s="418">
        <f>AT80+AU80</f>
        <v>0</v>
      </c>
      <c r="AW80" s="418">
        <f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6">
        <v>0</v>
      </c>
      <c r="BC80" s="93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</v>
      </c>
      <c r="BH80" s="421">
        <f>SUM(BF80:BG80)</f>
        <v>0</v>
      </c>
      <c r="BI80" s="780">
        <f>I80+AW80</f>
        <v>11645791</v>
      </c>
      <c r="BJ80" s="418">
        <f>J80+AF80</f>
        <v>8607771</v>
      </c>
      <c r="BK80" s="418">
        <f t="shared" ref="BK80:BL83" si="110">K80+AD80</f>
        <v>7792963</v>
      </c>
      <c r="BL80" s="418">
        <f t="shared" si="110"/>
        <v>814808</v>
      </c>
      <c r="BM80" s="418">
        <f>M80+AN80</f>
        <v>0</v>
      </c>
      <c r="BN80" s="418">
        <f t="shared" ref="BN80:BO83" si="111">N80+AL80</f>
        <v>0</v>
      </c>
      <c r="BO80" s="418">
        <f t="shared" si="111"/>
        <v>0</v>
      </c>
      <c r="BP80" s="418">
        <f t="shared" ref="BP80:BQ83" si="112">P80+AR80</f>
        <v>2909427</v>
      </c>
      <c r="BQ80" s="418">
        <f t="shared" si="112"/>
        <v>86077</v>
      </c>
      <c r="BR80" s="418">
        <f>R80+AV80</f>
        <v>42516</v>
      </c>
      <c r="BS80" s="419">
        <f>S80+BH80</f>
        <v>15.543099999999999</v>
      </c>
      <c r="BT80" s="419">
        <f t="shared" ref="BT80:BU83" si="113">T80+BF80</f>
        <v>12.7097</v>
      </c>
      <c r="BU80" s="421">
        <f t="shared" si="113"/>
        <v>2.8334000000000001</v>
      </c>
      <c r="BV80" s="420"/>
      <c r="BW80" s="415"/>
      <c r="BX80" s="415"/>
      <c r="BY80" s="415"/>
      <c r="BZ80" s="415"/>
      <c r="CA80" s="510"/>
    </row>
    <row r="81" spans="1:79" s="221" customFormat="1" ht="12.75" customHeight="1" x14ac:dyDescent="0.2">
      <c r="A81" s="223">
        <v>19</v>
      </c>
      <c r="B81" s="224">
        <v>3413</v>
      </c>
      <c r="C81" s="224">
        <v>600077918</v>
      </c>
      <c r="D81" s="224">
        <v>72743433</v>
      </c>
      <c r="E81" s="225" t="s">
        <v>273</v>
      </c>
      <c r="F81" s="224">
        <v>3111</v>
      </c>
      <c r="G81" s="225" t="s">
        <v>292</v>
      </c>
      <c r="H81" s="226" t="s">
        <v>271</v>
      </c>
      <c r="I81" s="420">
        <v>2004692</v>
      </c>
      <c r="J81" s="415">
        <v>1487160</v>
      </c>
      <c r="K81" s="415">
        <v>1487160</v>
      </c>
      <c r="L81" s="415">
        <v>0</v>
      </c>
      <c r="M81" s="415">
        <v>0</v>
      </c>
      <c r="N81" s="415">
        <v>0</v>
      </c>
      <c r="O81" s="415">
        <v>0</v>
      </c>
      <c r="P81" s="68">
        <v>502660</v>
      </c>
      <c r="Q81" s="68">
        <v>14872</v>
      </c>
      <c r="R81" s="415">
        <v>0</v>
      </c>
      <c r="S81" s="416">
        <v>4</v>
      </c>
      <c r="T81" s="417">
        <v>4</v>
      </c>
      <c r="U81" s="423">
        <v>0</v>
      </c>
      <c r="V81" s="424">
        <f t="shared" si="108"/>
        <v>0</v>
      </c>
      <c r="W81" s="418">
        <f t="shared" si="108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>V81+X81+Y81+Z81+AB81</f>
        <v>0</v>
      </c>
      <c r="AE81" s="418">
        <f>W81+AA81+AC81</f>
        <v>0</v>
      </c>
      <c r="AF81" s="418">
        <f>SUM(AD81:AE81)</f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>AG81+AI81+AJ81</f>
        <v>0</v>
      </c>
      <c r="AM81" s="418">
        <f>AH81+AK81</f>
        <v>0</v>
      </c>
      <c r="AN81" s="418">
        <f>SUM(AL81:AM81)</f>
        <v>0</v>
      </c>
      <c r="AO81" s="418">
        <f t="shared" si="109"/>
        <v>0</v>
      </c>
      <c r="AP81" s="418">
        <f t="shared" si="109"/>
        <v>0</v>
      </c>
      <c r="AQ81" s="418">
        <f>SUM(AO81:AP81)</f>
        <v>0</v>
      </c>
      <c r="AR81" s="68">
        <f>ROUND((AF81+AG81+AH81+AI81)*33.8%,0)</f>
        <v>0</v>
      </c>
      <c r="AS81" s="68">
        <f>ROUND(AF81*1%,0)</f>
        <v>0</v>
      </c>
      <c r="AT81" s="418">
        <v>0</v>
      </c>
      <c r="AU81" s="415">
        <v>0</v>
      </c>
      <c r="AV81" s="418">
        <f>AT81+AU81</f>
        <v>0</v>
      </c>
      <c r="AW81" s="418">
        <f>AQ81+AR81+AS81+AV81</f>
        <v>0</v>
      </c>
      <c r="AX81" s="419">
        <v>0</v>
      </c>
      <c r="AY81" s="419">
        <v>0</v>
      </c>
      <c r="AZ81" s="419">
        <v>0</v>
      </c>
      <c r="BA81" s="419">
        <v>0</v>
      </c>
      <c r="BB81" s="416">
        <v>0</v>
      </c>
      <c r="BC81" s="939">
        <v>0</v>
      </c>
      <c r="BD81" s="419">
        <v>0</v>
      </c>
      <c r="BE81" s="419">
        <v>0</v>
      </c>
      <c r="BF81" s="419">
        <f>AX81+AZ81+BA81+BC81+BD81</f>
        <v>0</v>
      </c>
      <c r="BG81" s="419">
        <f>AY81+BB81+BE81</f>
        <v>0</v>
      </c>
      <c r="BH81" s="421">
        <f>SUM(BF81:BG81)</f>
        <v>0</v>
      </c>
      <c r="BI81" s="780">
        <f>I81+AW81</f>
        <v>2004692</v>
      </c>
      <c r="BJ81" s="418">
        <f>J81+AF81</f>
        <v>1487160</v>
      </c>
      <c r="BK81" s="418">
        <f t="shared" si="110"/>
        <v>1487160</v>
      </c>
      <c r="BL81" s="418">
        <f t="shared" si="110"/>
        <v>0</v>
      </c>
      <c r="BM81" s="418">
        <f>M81+AN81</f>
        <v>0</v>
      </c>
      <c r="BN81" s="418">
        <f t="shared" si="111"/>
        <v>0</v>
      </c>
      <c r="BO81" s="418">
        <f t="shared" si="111"/>
        <v>0</v>
      </c>
      <c r="BP81" s="418">
        <f t="shared" si="112"/>
        <v>502660</v>
      </c>
      <c r="BQ81" s="418">
        <f t="shared" si="112"/>
        <v>14872</v>
      </c>
      <c r="BR81" s="418">
        <f>R81+AV81</f>
        <v>0</v>
      </c>
      <c r="BS81" s="419">
        <f>S81+BH81</f>
        <v>4</v>
      </c>
      <c r="BT81" s="419">
        <f t="shared" si="113"/>
        <v>4</v>
      </c>
      <c r="BU81" s="421">
        <f t="shared" si="113"/>
        <v>0</v>
      </c>
      <c r="BV81" s="420"/>
      <c r="BW81" s="415"/>
      <c r="BX81" s="415"/>
      <c r="BY81" s="415"/>
      <c r="BZ81" s="415"/>
      <c r="CA81" s="510"/>
    </row>
    <row r="82" spans="1:79" s="221" customFormat="1" x14ac:dyDescent="0.2">
      <c r="A82" s="223">
        <v>19</v>
      </c>
      <c r="B82" s="224">
        <v>3413</v>
      </c>
      <c r="C82" s="224">
        <v>600077918</v>
      </c>
      <c r="D82" s="224">
        <v>72743433</v>
      </c>
      <c r="E82" s="225" t="s">
        <v>273</v>
      </c>
      <c r="F82" s="224">
        <v>3111</v>
      </c>
      <c r="G82" s="225" t="s">
        <v>291</v>
      </c>
      <c r="H82" s="226" t="s">
        <v>272</v>
      </c>
      <c r="I82" s="420">
        <v>0</v>
      </c>
      <c r="J82" s="415">
        <v>0</v>
      </c>
      <c r="K82" s="415">
        <v>0</v>
      </c>
      <c r="L82" s="415">
        <v>0</v>
      </c>
      <c r="M82" s="415">
        <v>0</v>
      </c>
      <c r="N82" s="415">
        <v>0</v>
      </c>
      <c r="O82" s="415">
        <v>0</v>
      </c>
      <c r="P82" s="68">
        <v>0</v>
      </c>
      <c r="Q82" s="68">
        <v>0</v>
      </c>
      <c r="R82" s="415">
        <v>0</v>
      </c>
      <c r="S82" s="416">
        <v>0</v>
      </c>
      <c r="T82" s="417">
        <v>0</v>
      </c>
      <c r="U82" s="423">
        <v>0</v>
      </c>
      <c r="V82" s="424">
        <f t="shared" si="108"/>
        <v>0</v>
      </c>
      <c r="W82" s="418">
        <f t="shared" si="108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si="109"/>
        <v>0</v>
      </c>
      <c r="AP82" s="418">
        <f t="shared" si="109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5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6">
        <v>0</v>
      </c>
      <c r="BC82" s="93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421">
        <f>SUM(BF82:BG82)</f>
        <v>0</v>
      </c>
      <c r="BI82" s="780">
        <f>I82+AW82</f>
        <v>0</v>
      </c>
      <c r="BJ82" s="418">
        <f>J82+AF82</f>
        <v>0</v>
      </c>
      <c r="BK82" s="418">
        <f t="shared" si="110"/>
        <v>0</v>
      </c>
      <c r="BL82" s="418">
        <f t="shared" si="110"/>
        <v>0</v>
      </c>
      <c r="BM82" s="418">
        <f>M82+AN82</f>
        <v>0</v>
      </c>
      <c r="BN82" s="418">
        <f t="shared" si="111"/>
        <v>0</v>
      </c>
      <c r="BO82" s="418">
        <f t="shared" si="111"/>
        <v>0</v>
      </c>
      <c r="BP82" s="418">
        <f t="shared" si="112"/>
        <v>0</v>
      </c>
      <c r="BQ82" s="418">
        <f t="shared" si="112"/>
        <v>0</v>
      </c>
      <c r="BR82" s="418">
        <f>R82+AV82</f>
        <v>0</v>
      </c>
      <c r="BS82" s="419">
        <f>S82+BH82</f>
        <v>0</v>
      </c>
      <c r="BT82" s="419">
        <f t="shared" si="113"/>
        <v>0</v>
      </c>
      <c r="BU82" s="421">
        <f t="shared" si="113"/>
        <v>0</v>
      </c>
      <c r="BV82" s="420"/>
      <c r="BW82" s="415"/>
      <c r="BX82" s="415"/>
      <c r="BY82" s="415"/>
      <c r="BZ82" s="415"/>
      <c r="CA82" s="510"/>
    </row>
    <row r="83" spans="1:79" s="221" customFormat="1" ht="12.75" customHeight="1" x14ac:dyDescent="0.2">
      <c r="A83" s="223">
        <v>19</v>
      </c>
      <c r="B83" s="224">
        <v>3413</v>
      </c>
      <c r="C83" s="224">
        <v>600077918</v>
      </c>
      <c r="D83" s="224">
        <v>72743433</v>
      </c>
      <c r="E83" s="225" t="s">
        <v>273</v>
      </c>
      <c r="F83" s="224">
        <v>3141</v>
      </c>
      <c r="G83" s="225" t="s">
        <v>294</v>
      </c>
      <c r="H83" s="226" t="s">
        <v>272</v>
      </c>
      <c r="I83" s="420">
        <v>881818</v>
      </c>
      <c r="J83" s="415">
        <v>651386</v>
      </c>
      <c r="K83" s="415">
        <v>0</v>
      </c>
      <c r="L83" s="415">
        <v>651386</v>
      </c>
      <c r="M83" s="415">
        <v>0</v>
      </c>
      <c r="N83" s="415">
        <v>0</v>
      </c>
      <c r="O83" s="415">
        <v>0</v>
      </c>
      <c r="P83" s="68">
        <v>220168</v>
      </c>
      <c r="Q83" s="68">
        <v>6514</v>
      </c>
      <c r="R83" s="415">
        <v>3750</v>
      </c>
      <c r="S83" s="416">
        <v>1.95</v>
      </c>
      <c r="T83" s="417">
        <v>0</v>
      </c>
      <c r="U83" s="423">
        <v>1.95</v>
      </c>
      <c r="V83" s="424">
        <f t="shared" si="108"/>
        <v>0</v>
      </c>
      <c r="W83" s="418">
        <f t="shared" si="108"/>
        <v>0</v>
      </c>
      <c r="X83" s="418">
        <v>0</v>
      </c>
      <c r="Y83" s="418">
        <v>0</v>
      </c>
      <c r="Z83" s="418">
        <v>0</v>
      </c>
      <c r="AA83" s="415">
        <v>327014</v>
      </c>
      <c r="AB83" s="418">
        <v>0</v>
      </c>
      <c r="AC83" s="418">
        <v>0</v>
      </c>
      <c r="AD83" s="418">
        <f>V83+X83+Y83+Z83+AB83</f>
        <v>0</v>
      </c>
      <c r="AE83" s="418">
        <f>W83+AA83+AC83</f>
        <v>327014</v>
      </c>
      <c r="AF83" s="418">
        <f>SUM(AD83:AE83)</f>
        <v>327014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>AG83+AI83+AJ83</f>
        <v>0</v>
      </c>
      <c r="AM83" s="418">
        <f>AH83+AK83</f>
        <v>0</v>
      </c>
      <c r="AN83" s="418">
        <f>SUM(AL83:AM83)</f>
        <v>0</v>
      </c>
      <c r="AO83" s="418">
        <f t="shared" si="109"/>
        <v>0</v>
      </c>
      <c r="AP83" s="418">
        <f t="shared" si="109"/>
        <v>327014</v>
      </c>
      <c r="AQ83" s="418">
        <f>SUM(AO83:AP83)</f>
        <v>327014</v>
      </c>
      <c r="AR83" s="68">
        <f>ROUND((AF83+AG83+AH83+AI83)*33.8%,0)</f>
        <v>110531</v>
      </c>
      <c r="AS83" s="68">
        <f>ROUND(AF83*1%,0)</f>
        <v>3270</v>
      </c>
      <c r="AT83" s="418">
        <v>0</v>
      </c>
      <c r="AU83" s="415">
        <v>1806</v>
      </c>
      <c r="AV83" s="418">
        <f>AT83+AU83</f>
        <v>1806</v>
      </c>
      <c r="AW83" s="418">
        <f>AQ83+AR83+AS83+AV83</f>
        <v>442621</v>
      </c>
      <c r="AX83" s="419">
        <v>0</v>
      </c>
      <c r="AY83" s="419">
        <v>0</v>
      </c>
      <c r="AZ83" s="419">
        <v>0</v>
      </c>
      <c r="BA83" s="419">
        <v>0</v>
      </c>
      <c r="BB83" s="416">
        <v>0.98</v>
      </c>
      <c r="BC83" s="939">
        <v>0</v>
      </c>
      <c r="BD83" s="419">
        <v>0</v>
      </c>
      <c r="BE83" s="419">
        <v>0</v>
      </c>
      <c r="BF83" s="419">
        <f>AX83+AZ83+BA83+BC83+BD83</f>
        <v>0</v>
      </c>
      <c r="BG83" s="419">
        <f>AY83+BB83+BE83</f>
        <v>0.98</v>
      </c>
      <c r="BH83" s="421">
        <f>SUM(BF83:BG83)</f>
        <v>0.98</v>
      </c>
      <c r="BI83" s="780">
        <f>I83+AW83</f>
        <v>1324439</v>
      </c>
      <c r="BJ83" s="418">
        <f>J83+AF83</f>
        <v>978400</v>
      </c>
      <c r="BK83" s="418">
        <f t="shared" si="110"/>
        <v>0</v>
      </c>
      <c r="BL83" s="418">
        <f t="shared" si="110"/>
        <v>978400</v>
      </c>
      <c r="BM83" s="418">
        <f>M83+AN83</f>
        <v>0</v>
      </c>
      <c r="BN83" s="418">
        <f t="shared" si="111"/>
        <v>0</v>
      </c>
      <c r="BO83" s="418">
        <f t="shared" si="111"/>
        <v>0</v>
      </c>
      <c r="BP83" s="418">
        <f t="shared" si="112"/>
        <v>330699</v>
      </c>
      <c r="BQ83" s="418">
        <f t="shared" si="112"/>
        <v>9784</v>
      </c>
      <c r="BR83" s="418">
        <f>R83+AV83</f>
        <v>5556</v>
      </c>
      <c r="BS83" s="419">
        <f>S83+BH83</f>
        <v>2.9299999999999997</v>
      </c>
      <c r="BT83" s="419">
        <f t="shared" si="113"/>
        <v>0</v>
      </c>
      <c r="BU83" s="421">
        <f t="shared" si="113"/>
        <v>2.9299999999999997</v>
      </c>
      <c r="BV83" s="420"/>
      <c r="BW83" s="415"/>
      <c r="BX83" s="415"/>
      <c r="BY83" s="415"/>
      <c r="BZ83" s="415"/>
      <c r="CA83" s="510"/>
    </row>
    <row r="84" spans="1:79" s="221" customFormat="1" ht="12.75" customHeight="1" x14ac:dyDescent="0.2">
      <c r="A84" s="153">
        <v>19</v>
      </c>
      <c r="B84" s="14">
        <v>3413</v>
      </c>
      <c r="C84" s="152">
        <v>600077918</v>
      </c>
      <c r="D84" s="152">
        <v>72743433</v>
      </c>
      <c r="E84" s="222" t="s">
        <v>46</v>
      </c>
      <c r="F84" s="14"/>
      <c r="G84" s="222"/>
      <c r="H84" s="560"/>
      <c r="I84" s="505">
        <v>14532301</v>
      </c>
      <c r="J84" s="504">
        <v>10746317</v>
      </c>
      <c r="K84" s="504">
        <v>9280123</v>
      </c>
      <c r="L84" s="504">
        <v>1466194</v>
      </c>
      <c r="M84" s="504">
        <v>0</v>
      </c>
      <c r="N84" s="504">
        <v>0</v>
      </c>
      <c r="O84" s="504">
        <v>0</v>
      </c>
      <c r="P84" s="504">
        <v>3632255</v>
      </c>
      <c r="Q84" s="504">
        <v>107463</v>
      </c>
      <c r="R84" s="504">
        <v>46266</v>
      </c>
      <c r="S84" s="544">
        <v>21.493099999999998</v>
      </c>
      <c r="T84" s="544">
        <v>16.709699999999998</v>
      </c>
      <c r="U84" s="401">
        <v>4.7834000000000003</v>
      </c>
      <c r="V84" s="505">
        <f t="shared" ref="V84:CA84" si="114">SUM(V80:V83)</f>
        <v>0</v>
      </c>
      <c r="W84" s="504">
        <f t="shared" si="114"/>
        <v>0</v>
      </c>
      <c r="X84" s="504">
        <f t="shared" si="114"/>
        <v>0</v>
      </c>
      <c r="Y84" s="504">
        <f t="shared" si="114"/>
        <v>0</v>
      </c>
      <c r="Z84" s="504">
        <f t="shared" si="114"/>
        <v>0</v>
      </c>
      <c r="AA84" s="575">
        <f t="shared" si="114"/>
        <v>327014</v>
      </c>
      <c r="AB84" s="504">
        <f t="shared" si="114"/>
        <v>0</v>
      </c>
      <c r="AC84" s="504">
        <f t="shared" si="114"/>
        <v>0</v>
      </c>
      <c r="AD84" s="504">
        <f t="shared" si="114"/>
        <v>0</v>
      </c>
      <c r="AE84" s="504">
        <f t="shared" si="114"/>
        <v>327014</v>
      </c>
      <c r="AF84" s="504">
        <f t="shared" si="114"/>
        <v>327014</v>
      </c>
      <c r="AG84" s="504">
        <f t="shared" si="114"/>
        <v>0</v>
      </c>
      <c r="AH84" s="504">
        <f t="shared" si="114"/>
        <v>0</v>
      </c>
      <c r="AI84" s="504">
        <f t="shared" si="114"/>
        <v>0</v>
      </c>
      <c r="AJ84" s="504">
        <f t="shared" si="114"/>
        <v>0</v>
      </c>
      <c r="AK84" s="504">
        <f t="shared" si="114"/>
        <v>0</v>
      </c>
      <c r="AL84" s="504">
        <f t="shared" si="114"/>
        <v>0</v>
      </c>
      <c r="AM84" s="504">
        <f t="shared" si="114"/>
        <v>0</v>
      </c>
      <c r="AN84" s="504">
        <f t="shared" si="114"/>
        <v>0</v>
      </c>
      <c r="AO84" s="504">
        <f t="shared" si="114"/>
        <v>0</v>
      </c>
      <c r="AP84" s="504">
        <f t="shared" si="114"/>
        <v>327014</v>
      </c>
      <c r="AQ84" s="504">
        <f t="shared" si="114"/>
        <v>327014</v>
      </c>
      <c r="AR84" s="504">
        <f t="shared" si="114"/>
        <v>110531</v>
      </c>
      <c r="AS84" s="504">
        <f t="shared" si="114"/>
        <v>3270</v>
      </c>
      <c r="AT84" s="504">
        <f t="shared" si="114"/>
        <v>0</v>
      </c>
      <c r="AU84" s="504">
        <f t="shared" si="114"/>
        <v>1806</v>
      </c>
      <c r="AV84" s="504">
        <f t="shared" si="114"/>
        <v>1806</v>
      </c>
      <c r="AW84" s="504">
        <f t="shared" si="114"/>
        <v>442621</v>
      </c>
      <c r="AX84" s="544">
        <f t="shared" si="114"/>
        <v>0</v>
      </c>
      <c r="AY84" s="544">
        <f t="shared" si="114"/>
        <v>0</v>
      </c>
      <c r="AZ84" s="544">
        <f t="shared" si="114"/>
        <v>0</v>
      </c>
      <c r="BA84" s="544">
        <f t="shared" si="114"/>
        <v>0</v>
      </c>
      <c r="BB84" s="544">
        <f t="shared" si="114"/>
        <v>0.98</v>
      </c>
      <c r="BC84" s="938">
        <f t="shared" si="114"/>
        <v>0</v>
      </c>
      <c r="BD84" s="544">
        <f t="shared" si="114"/>
        <v>0</v>
      </c>
      <c r="BE84" s="544">
        <f t="shared" si="114"/>
        <v>0</v>
      </c>
      <c r="BF84" s="544">
        <f t="shared" si="114"/>
        <v>0</v>
      </c>
      <c r="BG84" s="544">
        <f t="shared" si="114"/>
        <v>0.98</v>
      </c>
      <c r="BH84" s="442">
        <f t="shared" si="114"/>
        <v>0.98</v>
      </c>
      <c r="BI84" s="806">
        <f t="shared" si="114"/>
        <v>14974922</v>
      </c>
      <c r="BJ84" s="504">
        <f t="shared" si="114"/>
        <v>11073331</v>
      </c>
      <c r="BK84" s="504">
        <f t="shared" si="114"/>
        <v>9280123</v>
      </c>
      <c r="BL84" s="504">
        <f t="shared" si="114"/>
        <v>1793208</v>
      </c>
      <c r="BM84" s="504">
        <f t="shared" si="114"/>
        <v>0</v>
      </c>
      <c r="BN84" s="504">
        <f t="shared" si="114"/>
        <v>0</v>
      </c>
      <c r="BO84" s="504">
        <f t="shared" si="114"/>
        <v>0</v>
      </c>
      <c r="BP84" s="504">
        <f t="shared" si="114"/>
        <v>3742786</v>
      </c>
      <c r="BQ84" s="504">
        <f t="shared" si="114"/>
        <v>110733</v>
      </c>
      <c r="BR84" s="504">
        <f t="shared" si="114"/>
        <v>48072</v>
      </c>
      <c r="BS84" s="544">
        <f t="shared" si="114"/>
        <v>22.473099999999999</v>
      </c>
      <c r="BT84" s="544">
        <f t="shared" si="114"/>
        <v>16.709699999999998</v>
      </c>
      <c r="BU84" s="442">
        <f t="shared" si="114"/>
        <v>5.7633999999999999</v>
      </c>
      <c r="BV84" s="824">
        <f t="shared" si="114"/>
        <v>0</v>
      </c>
      <c r="BW84" s="710">
        <f t="shared" si="114"/>
        <v>0</v>
      </c>
      <c r="BX84" s="710">
        <f t="shared" si="114"/>
        <v>0</v>
      </c>
      <c r="BY84" s="710">
        <f t="shared" si="114"/>
        <v>0</v>
      </c>
      <c r="BZ84" s="710">
        <f t="shared" si="114"/>
        <v>0</v>
      </c>
      <c r="CA84" s="825">
        <f t="shared" si="114"/>
        <v>0</v>
      </c>
    </row>
    <row r="85" spans="1:79" s="221" customFormat="1" ht="12.75" customHeight="1" x14ac:dyDescent="0.2">
      <c r="A85" s="223">
        <v>20</v>
      </c>
      <c r="B85" s="224">
        <v>3409</v>
      </c>
      <c r="C85" s="224">
        <v>600078396</v>
      </c>
      <c r="D85" s="224">
        <v>43257399</v>
      </c>
      <c r="E85" s="225" t="s">
        <v>47</v>
      </c>
      <c r="F85" s="224">
        <v>3113</v>
      </c>
      <c r="G85" s="225" t="s">
        <v>293</v>
      </c>
      <c r="H85" s="226" t="s">
        <v>271</v>
      </c>
      <c r="I85" s="420">
        <v>25696939</v>
      </c>
      <c r="J85" s="415">
        <v>18769855</v>
      </c>
      <c r="K85" s="415">
        <v>17283152</v>
      </c>
      <c r="L85" s="415">
        <v>1486703</v>
      </c>
      <c r="M85" s="415">
        <v>0</v>
      </c>
      <c r="N85" s="415">
        <v>0</v>
      </c>
      <c r="O85" s="415">
        <v>0</v>
      </c>
      <c r="P85" s="68">
        <v>6344211</v>
      </c>
      <c r="Q85" s="68">
        <v>187698</v>
      </c>
      <c r="R85" s="415">
        <v>395175</v>
      </c>
      <c r="S85" s="416">
        <v>30.123600000000003</v>
      </c>
      <c r="T85" s="417">
        <v>25.730900000000002</v>
      </c>
      <c r="U85" s="423">
        <v>4.3926999999999996</v>
      </c>
      <c r="V85" s="424">
        <f t="shared" ref="V85:W89" si="115">AG85*-1</f>
        <v>0</v>
      </c>
      <c r="W85" s="418">
        <f t="shared" si="115"/>
        <v>0</v>
      </c>
      <c r="X85" s="418">
        <v>0</v>
      </c>
      <c r="Y85" s="418">
        <v>0</v>
      </c>
      <c r="Z85" s="418">
        <v>0</v>
      </c>
      <c r="AA85" s="418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9" si="116">AD85+AL85</f>
        <v>0</v>
      </c>
      <c r="AP85" s="418">
        <f t="shared" si="116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5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6">
        <v>0</v>
      </c>
      <c r="BC85" s="93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780">
        <f>I85+AW85</f>
        <v>25696939</v>
      </c>
      <c r="BJ85" s="418">
        <f>J85+AF85</f>
        <v>18769855</v>
      </c>
      <c r="BK85" s="418">
        <f t="shared" ref="BK85:BL89" si="117">K85+AD85</f>
        <v>17283152</v>
      </c>
      <c r="BL85" s="418">
        <f t="shared" si="117"/>
        <v>1486703</v>
      </c>
      <c r="BM85" s="418">
        <f>M85+AN85</f>
        <v>0</v>
      </c>
      <c r="BN85" s="418">
        <f t="shared" ref="BN85:BO89" si="118">N85+AL85</f>
        <v>0</v>
      </c>
      <c r="BO85" s="418">
        <f t="shared" si="118"/>
        <v>0</v>
      </c>
      <c r="BP85" s="418">
        <f t="shared" ref="BP85:BQ89" si="119">P85+AR85</f>
        <v>6344211</v>
      </c>
      <c r="BQ85" s="418">
        <f t="shared" si="119"/>
        <v>187698</v>
      </c>
      <c r="BR85" s="418">
        <f>R85+AV85</f>
        <v>395175</v>
      </c>
      <c r="BS85" s="419">
        <f>S85+BH85</f>
        <v>30.123600000000003</v>
      </c>
      <c r="BT85" s="419">
        <f t="shared" ref="BT85:BU89" si="120">T85+BF85</f>
        <v>25.730900000000002</v>
      </c>
      <c r="BU85" s="421">
        <f t="shared" si="120"/>
        <v>4.3926999999999996</v>
      </c>
      <c r="BV85" s="420"/>
      <c r="BW85" s="415"/>
      <c r="BX85" s="415"/>
      <c r="BY85" s="415"/>
      <c r="BZ85" s="415"/>
      <c r="CA85" s="510"/>
    </row>
    <row r="86" spans="1:79" s="221" customFormat="1" x14ac:dyDescent="0.2">
      <c r="A86" s="223">
        <v>20</v>
      </c>
      <c r="B86" s="224">
        <v>3409</v>
      </c>
      <c r="C86" s="224">
        <v>600078396</v>
      </c>
      <c r="D86" s="224">
        <v>43257399</v>
      </c>
      <c r="E86" s="225" t="s">
        <v>47</v>
      </c>
      <c r="F86" s="224">
        <v>3113</v>
      </c>
      <c r="G86" s="225" t="s">
        <v>291</v>
      </c>
      <c r="H86" s="226" t="s">
        <v>272</v>
      </c>
      <c r="I86" s="420">
        <v>4365364</v>
      </c>
      <c r="J86" s="415">
        <v>3238401</v>
      </c>
      <c r="K86" s="415">
        <v>3238401</v>
      </c>
      <c r="L86" s="415">
        <v>0</v>
      </c>
      <c r="M86" s="415">
        <v>0</v>
      </c>
      <c r="N86" s="415">
        <v>0</v>
      </c>
      <c r="O86" s="415">
        <v>0</v>
      </c>
      <c r="P86" s="68">
        <v>1094579</v>
      </c>
      <c r="Q86" s="68">
        <v>32384</v>
      </c>
      <c r="R86" s="415">
        <v>0</v>
      </c>
      <c r="S86" s="416">
        <v>8.3800000000000008</v>
      </c>
      <c r="T86" s="417">
        <v>8.3800000000000008</v>
      </c>
      <c r="U86" s="423">
        <v>0</v>
      </c>
      <c r="V86" s="424">
        <f t="shared" si="115"/>
        <v>0</v>
      </c>
      <c r="W86" s="418">
        <f t="shared" si="115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16"/>
        <v>0</v>
      </c>
      <c r="AP86" s="418">
        <f t="shared" si="116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0</v>
      </c>
      <c r="AU86" s="415">
        <v>0</v>
      </c>
      <c r="AV86" s="418">
        <f>AT86+AU86</f>
        <v>0</v>
      </c>
      <c r="AW86" s="418">
        <f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6">
        <v>0</v>
      </c>
      <c r="BC86" s="93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780">
        <f>I86+AW86</f>
        <v>4365364</v>
      </c>
      <c r="BJ86" s="418">
        <f>J86+AF86</f>
        <v>3238401</v>
      </c>
      <c r="BK86" s="418">
        <f t="shared" si="117"/>
        <v>3238401</v>
      </c>
      <c r="BL86" s="418">
        <f t="shared" si="117"/>
        <v>0</v>
      </c>
      <c r="BM86" s="418">
        <f>M86+AN86</f>
        <v>0</v>
      </c>
      <c r="BN86" s="418">
        <f t="shared" si="118"/>
        <v>0</v>
      </c>
      <c r="BO86" s="418">
        <f t="shared" si="118"/>
        <v>0</v>
      </c>
      <c r="BP86" s="418">
        <f t="shared" si="119"/>
        <v>1094579</v>
      </c>
      <c r="BQ86" s="418">
        <f t="shared" si="119"/>
        <v>32384</v>
      </c>
      <c r="BR86" s="418">
        <f>R86+AV86</f>
        <v>0</v>
      </c>
      <c r="BS86" s="419">
        <f>S86+BH86</f>
        <v>8.3800000000000008</v>
      </c>
      <c r="BT86" s="419">
        <f t="shared" si="120"/>
        <v>8.3800000000000008</v>
      </c>
      <c r="BU86" s="421">
        <f t="shared" si="120"/>
        <v>0</v>
      </c>
      <c r="BV86" s="420"/>
      <c r="BW86" s="415"/>
      <c r="BX86" s="415"/>
      <c r="BY86" s="415"/>
      <c r="BZ86" s="415"/>
      <c r="CA86" s="510"/>
    </row>
    <row r="87" spans="1:79" s="221" customFormat="1" ht="12.75" customHeight="1" x14ac:dyDescent="0.2">
      <c r="A87" s="223">
        <v>20</v>
      </c>
      <c r="B87" s="224">
        <v>3409</v>
      </c>
      <c r="C87" s="224">
        <v>600078396</v>
      </c>
      <c r="D87" s="224">
        <v>43257399</v>
      </c>
      <c r="E87" s="225" t="s">
        <v>47</v>
      </c>
      <c r="F87" s="224">
        <v>3141</v>
      </c>
      <c r="G87" s="225" t="s">
        <v>294</v>
      </c>
      <c r="H87" s="226" t="s">
        <v>272</v>
      </c>
      <c r="I87" s="420">
        <v>844634</v>
      </c>
      <c r="J87" s="415">
        <v>622507</v>
      </c>
      <c r="K87" s="415">
        <v>0</v>
      </c>
      <c r="L87" s="415">
        <v>622507</v>
      </c>
      <c r="M87" s="415">
        <v>0</v>
      </c>
      <c r="N87" s="415">
        <v>0</v>
      </c>
      <c r="O87" s="415">
        <v>0</v>
      </c>
      <c r="P87" s="68">
        <v>210407</v>
      </c>
      <c r="Q87" s="68">
        <v>6225</v>
      </c>
      <c r="R87" s="415">
        <v>5495</v>
      </c>
      <c r="S87" s="416">
        <v>1.87</v>
      </c>
      <c r="T87" s="417">
        <v>0</v>
      </c>
      <c r="U87" s="423">
        <v>1.87</v>
      </c>
      <c r="V87" s="424">
        <f t="shared" si="115"/>
        <v>0</v>
      </c>
      <c r="W87" s="418">
        <f t="shared" si="115"/>
        <v>0</v>
      </c>
      <c r="X87" s="418">
        <v>0</v>
      </c>
      <c r="Y87" s="418">
        <v>0</v>
      </c>
      <c r="Z87" s="418">
        <v>0</v>
      </c>
      <c r="AA87" s="605">
        <v>310850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310850</v>
      </c>
      <c r="AF87" s="418">
        <f>SUM(AD87:AE87)</f>
        <v>310850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16"/>
        <v>0</v>
      </c>
      <c r="AP87" s="418">
        <f t="shared" si="116"/>
        <v>310850</v>
      </c>
      <c r="AQ87" s="418">
        <f>SUM(AO87:AP87)</f>
        <v>310850</v>
      </c>
      <c r="AR87" s="68">
        <f>ROUND((AF87+AG87+AH87+AI87)*33.8%,0)</f>
        <v>105067</v>
      </c>
      <c r="AS87" s="68">
        <f>ROUND(AF87*1%,0)</f>
        <v>3109</v>
      </c>
      <c r="AT87" s="418">
        <v>0</v>
      </c>
      <c r="AU87" s="605">
        <v>2669</v>
      </c>
      <c r="AV87" s="418">
        <f>AT87+AU87</f>
        <v>2669</v>
      </c>
      <c r="AW87" s="418">
        <f>AQ87+AR87+AS87+AV87</f>
        <v>421695</v>
      </c>
      <c r="AX87" s="419">
        <v>0</v>
      </c>
      <c r="AY87" s="419">
        <v>0</v>
      </c>
      <c r="AZ87" s="419">
        <v>0</v>
      </c>
      <c r="BA87" s="419">
        <v>0</v>
      </c>
      <c r="BB87" s="607">
        <v>0.93</v>
      </c>
      <c r="BC87" s="93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0.93</v>
      </c>
      <c r="BH87" s="421">
        <f>SUM(BF87:BG87)</f>
        <v>0.93</v>
      </c>
      <c r="BI87" s="780">
        <f>I87+AW87</f>
        <v>1266329</v>
      </c>
      <c r="BJ87" s="418">
        <f>J87+AF87</f>
        <v>933357</v>
      </c>
      <c r="BK87" s="418">
        <f t="shared" si="117"/>
        <v>0</v>
      </c>
      <c r="BL87" s="418">
        <f t="shared" si="117"/>
        <v>933357</v>
      </c>
      <c r="BM87" s="418">
        <f>M87+AN87</f>
        <v>0</v>
      </c>
      <c r="BN87" s="418">
        <f t="shared" si="118"/>
        <v>0</v>
      </c>
      <c r="BO87" s="418">
        <f t="shared" si="118"/>
        <v>0</v>
      </c>
      <c r="BP87" s="418">
        <f t="shared" si="119"/>
        <v>315474</v>
      </c>
      <c r="BQ87" s="418">
        <f t="shared" si="119"/>
        <v>9334</v>
      </c>
      <c r="BR87" s="418">
        <f>R87+AV87</f>
        <v>8164</v>
      </c>
      <c r="BS87" s="419">
        <f>S87+BH87</f>
        <v>2.8000000000000003</v>
      </c>
      <c r="BT87" s="419">
        <f t="shared" si="120"/>
        <v>0</v>
      </c>
      <c r="BU87" s="421">
        <f t="shared" si="120"/>
        <v>2.8000000000000003</v>
      </c>
      <c r="BV87" s="420"/>
      <c r="BW87" s="415"/>
      <c r="BX87" s="415"/>
      <c r="BY87" s="415"/>
      <c r="BZ87" s="415"/>
      <c r="CA87" s="510"/>
    </row>
    <row r="88" spans="1:79" s="221" customFormat="1" ht="12.75" customHeight="1" x14ac:dyDescent="0.2">
      <c r="A88" s="223">
        <v>20</v>
      </c>
      <c r="B88" s="224">
        <v>3409</v>
      </c>
      <c r="C88" s="224">
        <v>600078396</v>
      </c>
      <c r="D88" s="224">
        <v>43257399</v>
      </c>
      <c r="E88" s="225" t="s">
        <v>47</v>
      </c>
      <c r="F88" s="224">
        <v>3143</v>
      </c>
      <c r="G88" s="225" t="s">
        <v>595</v>
      </c>
      <c r="H88" s="226" t="s">
        <v>271</v>
      </c>
      <c r="I88" s="420">
        <v>3367292</v>
      </c>
      <c r="J88" s="415">
        <v>2497991</v>
      </c>
      <c r="K88" s="415">
        <v>2497991</v>
      </c>
      <c r="L88" s="415">
        <v>0</v>
      </c>
      <c r="M88" s="415">
        <v>0</v>
      </c>
      <c r="N88" s="415">
        <v>0</v>
      </c>
      <c r="O88" s="415">
        <v>0</v>
      </c>
      <c r="P88" s="68">
        <v>844321</v>
      </c>
      <c r="Q88" s="68">
        <v>24980</v>
      </c>
      <c r="R88" s="415">
        <v>0</v>
      </c>
      <c r="S88" s="416">
        <v>5.25</v>
      </c>
      <c r="T88" s="417">
        <v>5.25</v>
      </c>
      <c r="U88" s="423">
        <v>0</v>
      </c>
      <c r="V88" s="424">
        <f t="shared" si="115"/>
        <v>0</v>
      </c>
      <c r="W88" s="418">
        <f t="shared" si="115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16"/>
        <v>0</v>
      </c>
      <c r="AP88" s="418">
        <f t="shared" si="116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5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6">
        <v>0</v>
      </c>
      <c r="BC88" s="93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780">
        <f>I88+AW88</f>
        <v>3367292</v>
      </c>
      <c r="BJ88" s="418">
        <f>J88+AF88</f>
        <v>2497991</v>
      </c>
      <c r="BK88" s="418">
        <f t="shared" si="117"/>
        <v>2497991</v>
      </c>
      <c r="BL88" s="418">
        <f t="shared" si="117"/>
        <v>0</v>
      </c>
      <c r="BM88" s="418">
        <f>M88+AN88</f>
        <v>0</v>
      </c>
      <c r="BN88" s="418">
        <f t="shared" si="118"/>
        <v>0</v>
      </c>
      <c r="BO88" s="418">
        <f t="shared" si="118"/>
        <v>0</v>
      </c>
      <c r="BP88" s="418">
        <f t="shared" si="119"/>
        <v>844321</v>
      </c>
      <c r="BQ88" s="418">
        <f t="shared" si="119"/>
        <v>24980</v>
      </c>
      <c r="BR88" s="418">
        <f>R88+AV88</f>
        <v>0</v>
      </c>
      <c r="BS88" s="419">
        <f>S88+BH88</f>
        <v>5.25</v>
      </c>
      <c r="BT88" s="419">
        <f t="shared" si="120"/>
        <v>5.25</v>
      </c>
      <c r="BU88" s="421">
        <f t="shared" si="120"/>
        <v>0</v>
      </c>
      <c r="BV88" s="420"/>
      <c r="BW88" s="415"/>
      <c r="BX88" s="415"/>
      <c r="BY88" s="415"/>
      <c r="BZ88" s="415"/>
      <c r="CA88" s="510"/>
    </row>
    <row r="89" spans="1:79" s="221" customFormat="1" ht="12.75" customHeight="1" x14ac:dyDescent="0.2">
      <c r="A89" s="223">
        <v>20</v>
      </c>
      <c r="B89" s="224">
        <v>3409</v>
      </c>
      <c r="C89" s="224">
        <v>600078396</v>
      </c>
      <c r="D89" s="224">
        <v>43257399</v>
      </c>
      <c r="E89" s="225" t="s">
        <v>47</v>
      </c>
      <c r="F89" s="224">
        <v>3143</v>
      </c>
      <c r="G89" s="225" t="s">
        <v>596</v>
      </c>
      <c r="H89" s="226" t="s">
        <v>272</v>
      </c>
      <c r="I89" s="420">
        <v>69673</v>
      </c>
      <c r="J89" s="415">
        <v>49870</v>
      </c>
      <c r="K89" s="415">
        <v>0</v>
      </c>
      <c r="L89" s="415">
        <v>49870</v>
      </c>
      <c r="M89" s="415">
        <v>0</v>
      </c>
      <c r="N89" s="415">
        <v>0</v>
      </c>
      <c r="O89" s="415">
        <v>0</v>
      </c>
      <c r="P89" s="68">
        <v>16856</v>
      </c>
      <c r="Q89" s="68">
        <v>499</v>
      </c>
      <c r="R89" s="415">
        <v>2448</v>
      </c>
      <c r="S89" s="416">
        <v>0.19</v>
      </c>
      <c r="T89" s="417">
        <v>0</v>
      </c>
      <c r="U89" s="423">
        <v>0.19</v>
      </c>
      <c r="V89" s="424">
        <f t="shared" si="115"/>
        <v>0</v>
      </c>
      <c r="W89" s="418">
        <f t="shared" si="115"/>
        <v>0</v>
      </c>
      <c r="X89" s="418">
        <v>0</v>
      </c>
      <c r="Y89" s="418">
        <v>0</v>
      </c>
      <c r="Z89" s="418">
        <v>0</v>
      </c>
      <c r="AA89" s="605">
        <v>24930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24930</v>
      </c>
      <c r="AF89" s="418">
        <f>SUM(AD89:AE89)</f>
        <v>24930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116"/>
        <v>0</v>
      </c>
      <c r="AP89" s="418">
        <f t="shared" si="116"/>
        <v>24930</v>
      </c>
      <c r="AQ89" s="418">
        <f>SUM(AO89:AP89)</f>
        <v>24930</v>
      </c>
      <c r="AR89" s="68">
        <f>ROUND((AF89+AG89+AH89+AI89)*33.8%,0)</f>
        <v>8426</v>
      </c>
      <c r="AS89" s="68">
        <f>ROUND(AF89*1%,0)</f>
        <v>249</v>
      </c>
      <c r="AT89" s="418">
        <v>0</v>
      </c>
      <c r="AU89" s="606">
        <v>1224</v>
      </c>
      <c r="AV89" s="418">
        <f>AT89+AU89</f>
        <v>1224</v>
      </c>
      <c r="AW89" s="418">
        <f>AQ89+AR89+AS89+AV89</f>
        <v>34829</v>
      </c>
      <c r="AX89" s="419">
        <v>0</v>
      </c>
      <c r="AY89" s="419">
        <v>0</v>
      </c>
      <c r="AZ89" s="419">
        <v>0</v>
      </c>
      <c r="BA89" s="419">
        <v>0</v>
      </c>
      <c r="BB89" s="607">
        <v>0.09</v>
      </c>
      <c r="BC89" s="93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0.09</v>
      </c>
      <c r="BH89" s="421">
        <f>SUM(BF89:BG89)</f>
        <v>0.09</v>
      </c>
      <c r="BI89" s="780">
        <f>I89+AW89</f>
        <v>104502</v>
      </c>
      <c r="BJ89" s="418">
        <f>J89+AF89</f>
        <v>74800</v>
      </c>
      <c r="BK89" s="418">
        <f t="shared" si="117"/>
        <v>0</v>
      </c>
      <c r="BL89" s="418">
        <f t="shared" si="117"/>
        <v>74800</v>
      </c>
      <c r="BM89" s="418">
        <f>M89+AN89</f>
        <v>0</v>
      </c>
      <c r="BN89" s="418">
        <f t="shared" si="118"/>
        <v>0</v>
      </c>
      <c r="BO89" s="418">
        <f t="shared" si="118"/>
        <v>0</v>
      </c>
      <c r="BP89" s="418">
        <f t="shared" si="119"/>
        <v>25282</v>
      </c>
      <c r="BQ89" s="418">
        <f t="shared" si="119"/>
        <v>748</v>
      </c>
      <c r="BR89" s="418">
        <f>R89+AV89</f>
        <v>3672</v>
      </c>
      <c r="BS89" s="419">
        <f>S89+BH89</f>
        <v>0.28000000000000003</v>
      </c>
      <c r="BT89" s="419">
        <f t="shared" si="120"/>
        <v>0</v>
      </c>
      <c r="BU89" s="421">
        <f t="shared" si="120"/>
        <v>0.28000000000000003</v>
      </c>
      <c r="BV89" s="420"/>
      <c r="BW89" s="415"/>
      <c r="BX89" s="415"/>
      <c r="BY89" s="415"/>
      <c r="BZ89" s="415"/>
      <c r="CA89" s="510"/>
    </row>
    <row r="90" spans="1:79" s="221" customFormat="1" ht="12.75" customHeight="1" x14ac:dyDescent="0.2">
      <c r="A90" s="153">
        <v>20</v>
      </c>
      <c r="B90" s="14">
        <v>3409</v>
      </c>
      <c r="C90" s="152">
        <v>600078396</v>
      </c>
      <c r="D90" s="152">
        <v>43257399</v>
      </c>
      <c r="E90" s="222" t="s">
        <v>48</v>
      </c>
      <c r="F90" s="14"/>
      <c r="G90" s="222"/>
      <c r="H90" s="560"/>
      <c r="I90" s="505">
        <v>34343902</v>
      </c>
      <c r="J90" s="504">
        <v>25178624</v>
      </c>
      <c r="K90" s="504">
        <v>23019544</v>
      </c>
      <c r="L90" s="504">
        <v>2159080</v>
      </c>
      <c r="M90" s="504">
        <v>0</v>
      </c>
      <c r="N90" s="504">
        <v>0</v>
      </c>
      <c r="O90" s="504">
        <v>0</v>
      </c>
      <c r="P90" s="504">
        <v>8510374</v>
      </c>
      <c r="Q90" s="504">
        <v>251786</v>
      </c>
      <c r="R90" s="504">
        <v>403118</v>
      </c>
      <c r="S90" s="544">
        <v>45.813600000000001</v>
      </c>
      <c r="T90" s="544">
        <v>39.360900000000001</v>
      </c>
      <c r="U90" s="401">
        <v>6.4527000000000001</v>
      </c>
      <c r="V90" s="505">
        <f t="shared" ref="V90:CA90" si="121">SUM(V85:V89)</f>
        <v>0</v>
      </c>
      <c r="W90" s="504">
        <f t="shared" si="121"/>
        <v>0</v>
      </c>
      <c r="X90" s="504">
        <f t="shared" si="121"/>
        <v>0</v>
      </c>
      <c r="Y90" s="504">
        <f t="shared" si="121"/>
        <v>0</v>
      </c>
      <c r="Z90" s="504">
        <f t="shared" si="121"/>
        <v>0</v>
      </c>
      <c r="AA90" s="575">
        <f t="shared" si="121"/>
        <v>335780</v>
      </c>
      <c r="AB90" s="504">
        <f t="shared" si="121"/>
        <v>0</v>
      </c>
      <c r="AC90" s="504">
        <f t="shared" si="121"/>
        <v>0</v>
      </c>
      <c r="AD90" s="504">
        <f t="shared" si="121"/>
        <v>0</v>
      </c>
      <c r="AE90" s="504">
        <f t="shared" si="121"/>
        <v>335780</v>
      </c>
      <c r="AF90" s="504">
        <f t="shared" si="121"/>
        <v>335780</v>
      </c>
      <c r="AG90" s="504">
        <f t="shared" si="121"/>
        <v>0</v>
      </c>
      <c r="AH90" s="504">
        <f t="shared" si="121"/>
        <v>0</v>
      </c>
      <c r="AI90" s="504">
        <f t="shared" si="121"/>
        <v>0</v>
      </c>
      <c r="AJ90" s="504">
        <f t="shared" si="121"/>
        <v>0</v>
      </c>
      <c r="AK90" s="504">
        <f t="shared" si="121"/>
        <v>0</v>
      </c>
      <c r="AL90" s="504">
        <f t="shared" si="121"/>
        <v>0</v>
      </c>
      <c r="AM90" s="504">
        <f t="shared" si="121"/>
        <v>0</v>
      </c>
      <c r="AN90" s="504">
        <f t="shared" si="121"/>
        <v>0</v>
      </c>
      <c r="AO90" s="504">
        <f t="shared" si="121"/>
        <v>0</v>
      </c>
      <c r="AP90" s="504">
        <f t="shared" si="121"/>
        <v>335780</v>
      </c>
      <c r="AQ90" s="504">
        <f t="shared" si="121"/>
        <v>335780</v>
      </c>
      <c r="AR90" s="504">
        <f t="shared" si="121"/>
        <v>113493</v>
      </c>
      <c r="AS90" s="504">
        <f t="shared" si="121"/>
        <v>3358</v>
      </c>
      <c r="AT90" s="504">
        <f t="shared" si="121"/>
        <v>0</v>
      </c>
      <c r="AU90" s="504">
        <f t="shared" si="121"/>
        <v>3893</v>
      </c>
      <c r="AV90" s="504">
        <f t="shared" si="121"/>
        <v>3893</v>
      </c>
      <c r="AW90" s="504">
        <f t="shared" si="121"/>
        <v>456524</v>
      </c>
      <c r="AX90" s="544">
        <f t="shared" si="121"/>
        <v>0</v>
      </c>
      <c r="AY90" s="544">
        <f t="shared" si="121"/>
        <v>0</v>
      </c>
      <c r="AZ90" s="544">
        <f t="shared" si="121"/>
        <v>0</v>
      </c>
      <c r="BA90" s="544">
        <f t="shared" si="121"/>
        <v>0</v>
      </c>
      <c r="BB90" s="544">
        <f t="shared" si="121"/>
        <v>1.02</v>
      </c>
      <c r="BC90" s="938">
        <f t="shared" si="121"/>
        <v>0</v>
      </c>
      <c r="BD90" s="544">
        <f t="shared" si="121"/>
        <v>0</v>
      </c>
      <c r="BE90" s="544">
        <f t="shared" si="121"/>
        <v>0</v>
      </c>
      <c r="BF90" s="544">
        <f t="shared" si="121"/>
        <v>0</v>
      </c>
      <c r="BG90" s="544">
        <f t="shared" si="121"/>
        <v>1.02</v>
      </c>
      <c r="BH90" s="442">
        <f t="shared" si="121"/>
        <v>1.02</v>
      </c>
      <c r="BI90" s="806">
        <f t="shared" si="121"/>
        <v>34800426</v>
      </c>
      <c r="BJ90" s="504">
        <f t="shared" si="121"/>
        <v>25514404</v>
      </c>
      <c r="BK90" s="504">
        <f t="shared" si="121"/>
        <v>23019544</v>
      </c>
      <c r="BL90" s="504">
        <f t="shared" si="121"/>
        <v>2494860</v>
      </c>
      <c r="BM90" s="504">
        <f t="shared" si="121"/>
        <v>0</v>
      </c>
      <c r="BN90" s="504">
        <f t="shared" si="121"/>
        <v>0</v>
      </c>
      <c r="BO90" s="504">
        <f t="shared" si="121"/>
        <v>0</v>
      </c>
      <c r="BP90" s="504">
        <f t="shared" si="121"/>
        <v>8623867</v>
      </c>
      <c r="BQ90" s="504">
        <f t="shared" si="121"/>
        <v>255144</v>
      </c>
      <c r="BR90" s="504">
        <f t="shared" si="121"/>
        <v>407011</v>
      </c>
      <c r="BS90" s="544">
        <f t="shared" si="121"/>
        <v>46.833600000000004</v>
      </c>
      <c r="BT90" s="544">
        <f t="shared" si="121"/>
        <v>39.360900000000001</v>
      </c>
      <c r="BU90" s="442">
        <f t="shared" si="121"/>
        <v>7.4727000000000006</v>
      </c>
      <c r="BV90" s="824">
        <f t="shared" si="121"/>
        <v>0</v>
      </c>
      <c r="BW90" s="710">
        <f t="shared" si="121"/>
        <v>0</v>
      </c>
      <c r="BX90" s="710">
        <f t="shared" si="121"/>
        <v>0</v>
      </c>
      <c r="BY90" s="710">
        <f t="shared" si="121"/>
        <v>0</v>
      </c>
      <c r="BZ90" s="710">
        <f t="shared" si="121"/>
        <v>0</v>
      </c>
      <c r="CA90" s="825">
        <f t="shared" si="121"/>
        <v>0</v>
      </c>
    </row>
    <row r="91" spans="1:79" s="221" customFormat="1" ht="12.75" customHeight="1" x14ac:dyDescent="0.2">
      <c r="A91" s="223">
        <v>21</v>
      </c>
      <c r="B91" s="224">
        <v>3415</v>
      </c>
      <c r="C91" s="224">
        <v>600078523</v>
      </c>
      <c r="D91" s="224">
        <v>72743271</v>
      </c>
      <c r="E91" s="225" t="s">
        <v>49</v>
      </c>
      <c r="F91" s="224">
        <v>3113</v>
      </c>
      <c r="G91" s="225" t="s">
        <v>293</v>
      </c>
      <c r="H91" s="226" t="s">
        <v>271</v>
      </c>
      <c r="I91" s="420">
        <v>32861839</v>
      </c>
      <c r="J91" s="415">
        <v>24039788</v>
      </c>
      <c r="K91" s="415">
        <v>22419344</v>
      </c>
      <c r="L91" s="415">
        <v>1620444</v>
      </c>
      <c r="M91" s="415">
        <v>10000</v>
      </c>
      <c r="N91" s="415">
        <v>10000</v>
      </c>
      <c r="O91" s="415">
        <v>0</v>
      </c>
      <c r="P91" s="68">
        <v>8128829</v>
      </c>
      <c r="Q91" s="68">
        <v>240398</v>
      </c>
      <c r="R91" s="415">
        <v>442824</v>
      </c>
      <c r="S91" s="416">
        <v>35.4908</v>
      </c>
      <c r="T91" s="417">
        <v>30.590800000000002</v>
      </c>
      <c r="U91" s="423">
        <v>4.9000000000000004</v>
      </c>
      <c r="V91" s="424">
        <f t="shared" ref="V91:W95" si="122">AG91*-1</f>
        <v>0</v>
      </c>
      <c r="W91" s="418">
        <f t="shared" si="122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ref="AO91:AP95" si="123">AD91+AL91</f>
        <v>0</v>
      </c>
      <c r="AP91" s="418">
        <f t="shared" si="123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5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6">
        <v>0</v>
      </c>
      <c r="BC91" s="93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780">
        <f>I91+AW91</f>
        <v>32861839</v>
      </c>
      <c r="BJ91" s="418">
        <f>J91+AF91</f>
        <v>24039788</v>
      </c>
      <c r="BK91" s="418">
        <f t="shared" ref="BK91:BL95" si="124">K91+AD91</f>
        <v>22419344</v>
      </c>
      <c r="BL91" s="418">
        <f t="shared" si="124"/>
        <v>1620444</v>
      </c>
      <c r="BM91" s="418">
        <f>M91+AN91</f>
        <v>10000</v>
      </c>
      <c r="BN91" s="418">
        <f t="shared" ref="BN91:BO95" si="125">N91+AL91</f>
        <v>10000</v>
      </c>
      <c r="BO91" s="418">
        <f t="shared" si="125"/>
        <v>0</v>
      </c>
      <c r="BP91" s="418">
        <f t="shared" ref="BP91:BQ95" si="126">P91+AR91</f>
        <v>8128829</v>
      </c>
      <c r="BQ91" s="418">
        <f t="shared" si="126"/>
        <v>240398</v>
      </c>
      <c r="BR91" s="418">
        <f>R91+AV91</f>
        <v>442824</v>
      </c>
      <c r="BS91" s="419">
        <f>S91+BH91</f>
        <v>35.4908</v>
      </c>
      <c r="BT91" s="419">
        <f t="shared" ref="BT91:BU95" si="127">T91+BF91</f>
        <v>30.590800000000002</v>
      </c>
      <c r="BU91" s="421">
        <f t="shared" si="127"/>
        <v>4.9000000000000004</v>
      </c>
      <c r="BV91" s="420">
        <v>760272</v>
      </c>
      <c r="BW91" s="415">
        <v>564000</v>
      </c>
      <c r="BX91" s="415">
        <v>0</v>
      </c>
      <c r="BY91" s="415">
        <v>190632</v>
      </c>
      <c r="BZ91" s="415">
        <v>5640</v>
      </c>
      <c r="CA91" s="510">
        <v>1</v>
      </c>
    </row>
    <row r="92" spans="1:79" s="221" customFormat="1" x14ac:dyDescent="0.2">
      <c r="A92" s="223">
        <v>21</v>
      </c>
      <c r="B92" s="224">
        <v>3415</v>
      </c>
      <c r="C92" s="224">
        <v>600078523</v>
      </c>
      <c r="D92" s="224">
        <v>72743271</v>
      </c>
      <c r="E92" s="225" t="s">
        <v>49</v>
      </c>
      <c r="F92" s="224">
        <v>3113</v>
      </c>
      <c r="G92" s="225" t="s">
        <v>291</v>
      </c>
      <c r="H92" s="226" t="s">
        <v>272</v>
      </c>
      <c r="I92" s="420">
        <v>2699586</v>
      </c>
      <c r="J92" s="415">
        <v>2002660</v>
      </c>
      <c r="K92" s="415">
        <v>2002660</v>
      </c>
      <c r="L92" s="415">
        <v>0</v>
      </c>
      <c r="M92" s="415">
        <v>0</v>
      </c>
      <c r="N92" s="415">
        <v>0</v>
      </c>
      <c r="O92" s="415">
        <v>0</v>
      </c>
      <c r="P92" s="68">
        <v>676899</v>
      </c>
      <c r="Q92" s="68">
        <v>20027</v>
      </c>
      <c r="R92" s="415">
        <v>0</v>
      </c>
      <c r="S92" s="416">
        <v>5.45</v>
      </c>
      <c r="T92" s="417">
        <v>5.45</v>
      </c>
      <c r="U92" s="423">
        <v>0</v>
      </c>
      <c r="V92" s="424">
        <f t="shared" si="122"/>
        <v>0</v>
      </c>
      <c r="W92" s="418">
        <f t="shared" si="122"/>
        <v>0</v>
      </c>
      <c r="X92" s="418">
        <v>0</v>
      </c>
      <c r="Y92" s="418">
        <v>0</v>
      </c>
      <c r="Z92" s="418">
        <v>0</v>
      </c>
      <c r="AA92" s="418">
        <v>0</v>
      </c>
      <c r="AB92" s="418">
        <v>0</v>
      </c>
      <c r="AC92" s="418">
        <v>0</v>
      </c>
      <c r="AD92" s="418">
        <f>V92+X92+Y92+Z92+AB92</f>
        <v>0</v>
      </c>
      <c r="AE92" s="418">
        <f>W92+AA92+AC92</f>
        <v>0</v>
      </c>
      <c r="AF92" s="418">
        <f>SUM(AD92:AE92)</f>
        <v>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23"/>
        <v>0</v>
      </c>
      <c r="AP92" s="418">
        <f t="shared" si="123"/>
        <v>0</v>
      </c>
      <c r="AQ92" s="418">
        <f>SUM(AO92:AP92)</f>
        <v>0</v>
      </c>
      <c r="AR92" s="68">
        <f>ROUND((AF92+AG92+AH92+AI92)*33.8%,0)</f>
        <v>0</v>
      </c>
      <c r="AS92" s="68">
        <f>ROUND(AF92*1%,0)</f>
        <v>0</v>
      </c>
      <c r="AT92" s="418">
        <v>0</v>
      </c>
      <c r="AU92" s="415">
        <v>0</v>
      </c>
      <c r="AV92" s="418">
        <f>AT92+AU92</f>
        <v>0</v>
      </c>
      <c r="AW92" s="418">
        <f>AQ92+AR92+AS92+AV92</f>
        <v>0</v>
      </c>
      <c r="AX92" s="419">
        <v>0</v>
      </c>
      <c r="AY92" s="419">
        <v>0</v>
      </c>
      <c r="AZ92" s="419">
        <v>0</v>
      </c>
      <c r="BA92" s="419">
        <v>0</v>
      </c>
      <c r="BB92" s="416">
        <v>0</v>
      </c>
      <c r="BC92" s="939">
        <v>0</v>
      </c>
      <c r="BD92" s="419">
        <v>0</v>
      </c>
      <c r="BE92" s="419">
        <v>0</v>
      </c>
      <c r="BF92" s="419">
        <f>AX92+AZ92+BA92+BC92+BD92</f>
        <v>0</v>
      </c>
      <c r="BG92" s="419">
        <f>AY92+BB92+BE92</f>
        <v>0</v>
      </c>
      <c r="BH92" s="421">
        <f>SUM(BF92:BG92)</f>
        <v>0</v>
      </c>
      <c r="BI92" s="780">
        <f>I92+AW92</f>
        <v>2699586</v>
      </c>
      <c r="BJ92" s="418">
        <f>J92+AF92</f>
        <v>2002660</v>
      </c>
      <c r="BK92" s="418">
        <f t="shared" si="124"/>
        <v>2002660</v>
      </c>
      <c r="BL92" s="418">
        <f t="shared" si="124"/>
        <v>0</v>
      </c>
      <c r="BM92" s="418">
        <f>M92+AN92</f>
        <v>0</v>
      </c>
      <c r="BN92" s="418">
        <f t="shared" si="125"/>
        <v>0</v>
      </c>
      <c r="BO92" s="418">
        <f t="shared" si="125"/>
        <v>0</v>
      </c>
      <c r="BP92" s="418">
        <f t="shared" si="126"/>
        <v>676899</v>
      </c>
      <c r="BQ92" s="418">
        <f t="shared" si="126"/>
        <v>20027</v>
      </c>
      <c r="BR92" s="418">
        <f>R92+AV92</f>
        <v>0</v>
      </c>
      <c r="BS92" s="419">
        <f>S92+BH92</f>
        <v>5.45</v>
      </c>
      <c r="BT92" s="419">
        <f t="shared" si="127"/>
        <v>5.45</v>
      </c>
      <c r="BU92" s="421">
        <f t="shared" si="127"/>
        <v>0</v>
      </c>
      <c r="BV92" s="420"/>
      <c r="BW92" s="415"/>
      <c r="BX92" s="415"/>
      <c r="BY92" s="415"/>
      <c r="BZ92" s="415"/>
      <c r="CA92" s="510"/>
    </row>
    <row r="93" spans="1:79" s="221" customFormat="1" ht="12.75" customHeight="1" x14ac:dyDescent="0.2">
      <c r="A93" s="223">
        <v>21</v>
      </c>
      <c r="B93" s="224">
        <v>3415</v>
      </c>
      <c r="C93" s="224">
        <v>600078523</v>
      </c>
      <c r="D93" s="224">
        <v>72743271</v>
      </c>
      <c r="E93" s="225" t="s">
        <v>49</v>
      </c>
      <c r="F93" s="224">
        <v>3141</v>
      </c>
      <c r="G93" s="225" t="s">
        <v>294</v>
      </c>
      <c r="H93" s="226" t="s">
        <v>272</v>
      </c>
      <c r="I93" s="420">
        <v>1848821</v>
      </c>
      <c r="J93" s="415">
        <v>1360598</v>
      </c>
      <c r="K93" s="415">
        <v>0</v>
      </c>
      <c r="L93" s="415">
        <v>1360598</v>
      </c>
      <c r="M93" s="415">
        <v>0</v>
      </c>
      <c r="N93" s="415">
        <v>0</v>
      </c>
      <c r="O93" s="415">
        <v>0</v>
      </c>
      <c r="P93" s="68">
        <v>459882</v>
      </c>
      <c r="Q93" s="68">
        <v>13606</v>
      </c>
      <c r="R93" s="415">
        <v>14735</v>
      </c>
      <c r="S93" s="416">
        <v>4.08</v>
      </c>
      <c r="T93" s="417">
        <v>0</v>
      </c>
      <c r="U93" s="423">
        <v>4.08</v>
      </c>
      <c r="V93" s="424">
        <f t="shared" si="122"/>
        <v>0</v>
      </c>
      <c r="W93" s="418">
        <f t="shared" si="122"/>
        <v>0</v>
      </c>
      <c r="X93" s="418">
        <v>0</v>
      </c>
      <c r="Y93" s="418">
        <v>0</v>
      </c>
      <c r="Z93" s="418">
        <v>0</v>
      </c>
      <c r="AA93" s="605">
        <v>680737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680737</v>
      </c>
      <c r="AF93" s="418">
        <f>SUM(AD93:AE93)</f>
        <v>680737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23"/>
        <v>0</v>
      </c>
      <c r="AP93" s="418">
        <f t="shared" si="123"/>
        <v>680737</v>
      </c>
      <c r="AQ93" s="418">
        <f>SUM(AO93:AP93)</f>
        <v>680737</v>
      </c>
      <c r="AR93" s="68">
        <f>ROUND((AF93+AG93+AH93+AI93)*33.8%,0)</f>
        <v>230089</v>
      </c>
      <c r="AS93" s="68">
        <f>ROUND(AF93*1%,0)</f>
        <v>6807</v>
      </c>
      <c r="AT93" s="418">
        <v>0</v>
      </c>
      <c r="AU93" s="605">
        <v>7157</v>
      </c>
      <c r="AV93" s="418">
        <f>AT93+AU93</f>
        <v>7157</v>
      </c>
      <c r="AW93" s="418">
        <f>AQ93+AR93+AS93+AV93</f>
        <v>924790</v>
      </c>
      <c r="AX93" s="419">
        <v>0</v>
      </c>
      <c r="AY93" s="419">
        <v>0</v>
      </c>
      <c r="AZ93" s="419">
        <v>0</v>
      </c>
      <c r="BA93" s="419">
        <v>0</v>
      </c>
      <c r="BB93" s="607">
        <v>2.04</v>
      </c>
      <c r="BC93" s="93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2.04</v>
      </c>
      <c r="BH93" s="421">
        <f>SUM(BF93:BG93)</f>
        <v>2.04</v>
      </c>
      <c r="BI93" s="780">
        <f>I93+AW93</f>
        <v>2773611</v>
      </c>
      <c r="BJ93" s="418">
        <f>J93+AF93</f>
        <v>2041335</v>
      </c>
      <c r="BK93" s="418">
        <f t="shared" si="124"/>
        <v>0</v>
      </c>
      <c r="BL93" s="418">
        <f t="shared" si="124"/>
        <v>2041335</v>
      </c>
      <c r="BM93" s="418">
        <f>M93+AN93</f>
        <v>0</v>
      </c>
      <c r="BN93" s="418">
        <f t="shared" si="125"/>
        <v>0</v>
      </c>
      <c r="BO93" s="418">
        <f t="shared" si="125"/>
        <v>0</v>
      </c>
      <c r="BP93" s="418">
        <f t="shared" si="126"/>
        <v>689971</v>
      </c>
      <c r="BQ93" s="418">
        <f t="shared" si="126"/>
        <v>20413</v>
      </c>
      <c r="BR93" s="418">
        <f>R93+AV93</f>
        <v>21892</v>
      </c>
      <c r="BS93" s="419">
        <f>S93+BH93</f>
        <v>6.12</v>
      </c>
      <c r="BT93" s="419">
        <f t="shared" si="127"/>
        <v>0</v>
      </c>
      <c r="BU93" s="421">
        <f t="shared" si="127"/>
        <v>6.12</v>
      </c>
      <c r="BV93" s="420"/>
      <c r="BW93" s="415"/>
      <c r="BX93" s="415"/>
      <c r="BY93" s="415"/>
      <c r="BZ93" s="415"/>
      <c r="CA93" s="510"/>
    </row>
    <row r="94" spans="1:79" s="221" customFormat="1" ht="12.75" customHeight="1" x14ac:dyDescent="0.2">
      <c r="A94" s="223">
        <v>21</v>
      </c>
      <c r="B94" s="224">
        <v>3415</v>
      </c>
      <c r="C94" s="224">
        <v>600078523</v>
      </c>
      <c r="D94" s="224">
        <v>72743271</v>
      </c>
      <c r="E94" s="225" t="s">
        <v>49</v>
      </c>
      <c r="F94" s="224">
        <v>3143</v>
      </c>
      <c r="G94" s="225" t="s">
        <v>595</v>
      </c>
      <c r="H94" s="226" t="s">
        <v>271</v>
      </c>
      <c r="I94" s="420">
        <v>3281467</v>
      </c>
      <c r="J94" s="415">
        <v>2434323</v>
      </c>
      <c r="K94" s="415">
        <v>2434323</v>
      </c>
      <c r="L94" s="415">
        <v>0</v>
      </c>
      <c r="M94" s="415">
        <v>0</v>
      </c>
      <c r="N94" s="415">
        <v>0</v>
      </c>
      <c r="O94" s="415">
        <v>0</v>
      </c>
      <c r="P94" s="68">
        <v>822801</v>
      </c>
      <c r="Q94" s="68">
        <v>24343</v>
      </c>
      <c r="R94" s="415">
        <v>0</v>
      </c>
      <c r="S94" s="416">
        <v>4.8093000000000004</v>
      </c>
      <c r="T94" s="417">
        <v>4.8093000000000004</v>
      </c>
      <c r="U94" s="423">
        <v>0</v>
      </c>
      <c r="V94" s="424">
        <f t="shared" si="122"/>
        <v>0</v>
      </c>
      <c r="W94" s="418">
        <f t="shared" si="122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23"/>
        <v>0</v>
      </c>
      <c r="AP94" s="418">
        <f t="shared" si="123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5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6">
        <v>0</v>
      </c>
      <c r="BC94" s="93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780">
        <f>I94+AW94</f>
        <v>3281467</v>
      </c>
      <c r="BJ94" s="418">
        <f>J94+AF94</f>
        <v>2434323</v>
      </c>
      <c r="BK94" s="418">
        <f t="shared" si="124"/>
        <v>2434323</v>
      </c>
      <c r="BL94" s="418">
        <f t="shared" si="124"/>
        <v>0</v>
      </c>
      <c r="BM94" s="418">
        <f>M94+AN94</f>
        <v>0</v>
      </c>
      <c r="BN94" s="418">
        <f t="shared" si="125"/>
        <v>0</v>
      </c>
      <c r="BO94" s="418">
        <f t="shared" si="125"/>
        <v>0</v>
      </c>
      <c r="BP94" s="418">
        <f t="shared" si="126"/>
        <v>822801</v>
      </c>
      <c r="BQ94" s="418">
        <f t="shared" si="126"/>
        <v>24343</v>
      </c>
      <c r="BR94" s="418">
        <f>R94+AV94</f>
        <v>0</v>
      </c>
      <c r="BS94" s="419">
        <f>S94+BH94</f>
        <v>4.8093000000000004</v>
      </c>
      <c r="BT94" s="419">
        <f t="shared" si="127"/>
        <v>4.8093000000000004</v>
      </c>
      <c r="BU94" s="421">
        <f t="shared" si="127"/>
        <v>0</v>
      </c>
      <c r="BV94" s="420"/>
      <c r="BW94" s="415"/>
      <c r="BX94" s="415"/>
      <c r="BY94" s="415"/>
      <c r="BZ94" s="415"/>
      <c r="CA94" s="510"/>
    </row>
    <row r="95" spans="1:79" s="221" customFormat="1" ht="12.75" customHeight="1" x14ac:dyDescent="0.2">
      <c r="A95" s="223">
        <v>21</v>
      </c>
      <c r="B95" s="224">
        <v>3415</v>
      </c>
      <c r="C95" s="224">
        <v>600078523</v>
      </c>
      <c r="D95" s="224">
        <v>72743271</v>
      </c>
      <c r="E95" s="225" t="s">
        <v>49</v>
      </c>
      <c r="F95" s="224">
        <v>3143</v>
      </c>
      <c r="G95" s="225" t="s">
        <v>596</v>
      </c>
      <c r="H95" s="226" t="s">
        <v>272</v>
      </c>
      <c r="I95" s="420">
        <v>68124</v>
      </c>
      <c r="J95" s="415">
        <v>48761</v>
      </c>
      <c r="K95" s="415">
        <v>0</v>
      </c>
      <c r="L95" s="415">
        <v>48761</v>
      </c>
      <c r="M95" s="415">
        <v>0</v>
      </c>
      <c r="N95" s="415">
        <v>0</v>
      </c>
      <c r="O95" s="415">
        <v>0</v>
      </c>
      <c r="P95" s="68">
        <v>16481</v>
      </c>
      <c r="Q95" s="68">
        <v>488</v>
      </c>
      <c r="R95" s="415">
        <v>2394</v>
      </c>
      <c r="S95" s="416">
        <v>0.18</v>
      </c>
      <c r="T95" s="417">
        <v>0</v>
      </c>
      <c r="U95" s="423">
        <v>0.18</v>
      </c>
      <c r="V95" s="424">
        <f t="shared" si="122"/>
        <v>0</v>
      </c>
      <c r="W95" s="418">
        <f t="shared" si="122"/>
        <v>0</v>
      </c>
      <c r="X95" s="418">
        <v>0</v>
      </c>
      <c r="Y95" s="418">
        <v>0</v>
      </c>
      <c r="Z95" s="418">
        <v>0</v>
      </c>
      <c r="AA95" s="605">
        <v>24389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24389</v>
      </c>
      <c r="AF95" s="418">
        <f>SUM(AD95:AE95)</f>
        <v>24389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123"/>
        <v>0</v>
      </c>
      <c r="AP95" s="418">
        <f t="shared" si="123"/>
        <v>24389</v>
      </c>
      <c r="AQ95" s="418">
        <f>SUM(AO95:AP95)</f>
        <v>24389</v>
      </c>
      <c r="AR95" s="68">
        <f>ROUND((AF95+AG95+AH95+AI95)*33.8%,0)</f>
        <v>8243</v>
      </c>
      <c r="AS95" s="68">
        <f>ROUND(AF95*1%,0)</f>
        <v>244</v>
      </c>
      <c r="AT95" s="418">
        <v>0</v>
      </c>
      <c r="AU95" s="606">
        <v>1197</v>
      </c>
      <c r="AV95" s="418">
        <f>AT95+AU95</f>
        <v>1197</v>
      </c>
      <c r="AW95" s="418">
        <f>AQ95+AR95+AS95+AV95</f>
        <v>34073</v>
      </c>
      <c r="AX95" s="419">
        <v>0</v>
      </c>
      <c r="AY95" s="419">
        <v>0</v>
      </c>
      <c r="AZ95" s="419">
        <v>0</v>
      </c>
      <c r="BA95" s="419">
        <v>0</v>
      </c>
      <c r="BB95" s="607">
        <v>0.09</v>
      </c>
      <c r="BC95" s="93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0.09</v>
      </c>
      <c r="BH95" s="421">
        <f>SUM(BF95:BG95)</f>
        <v>0.09</v>
      </c>
      <c r="BI95" s="780">
        <f>I95+AW95</f>
        <v>102197</v>
      </c>
      <c r="BJ95" s="418">
        <f>J95+AF95</f>
        <v>73150</v>
      </c>
      <c r="BK95" s="418">
        <f t="shared" si="124"/>
        <v>0</v>
      </c>
      <c r="BL95" s="418">
        <f t="shared" si="124"/>
        <v>73150</v>
      </c>
      <c r="BM95" s="418">
        <f>M95+AN95</f>
        <v>0</v>
      </c>
      <c r="BN95" s="418">
        <f t="shared" si="125"/>
        <v>0</v>
      </c>
      <c r="BO95" s="418">
        <f t="shared" si="125"/>
        <v>0</v>
      </c>
      <c r="BP95" s="418">
        <f t="shared" si="126"/>
        <v>24724</v>
      </c>
      <c r="BQ95" s="418">
        <f t="shared" si="126"/>
        <v>732</v>
      </c>
      <c r="BR95" s="418">
        <f>R95+AV95</f>
        <v>3591</v>
      </c>
      <c r="BS95" s="419">
        <f>S95+BH95</f>
        <v>0.27</v>
      </c>
      <c r="BT95" s="419">
        <f t="shared" si="127"/>
        <v>0</v>
      </c>
      <c r="BU95" s="421">
        <f t="shared" si="127"/>
        <v>0.27</v>
      </c>
      <c r="BV95" s="420"/>
      <c r="BW95" s="415"/>
      <c r="BX95" s="415"/>
      <c r="BY95" s="415"/>
      <c r="BZ95" s="415"/>
      <c r="CA95" s="510"/>
    </row>
    <row r="96" spans="1:79" s="221" customFormat="1" ht="12.75" customHeight="1" x14ac:dyDescent="0.2">
      <c r="A96" s="153">
        <v>21</v>
      </c>
      <c r="B96" s="14">
        <v>3415</v>
      </c>
      <c r="C96" s="152">
        <v>600078523</v>
      </c>
      <c r="D96" s="152">
        <v>72743271</v>
      </c>
      <c r="E96" s="222" t="s">
        <v>50</v>
      </c>
      <c r="F96" s="14"/>
      <c r="G96" s="222"/>
      <c r="H96" s="560"/>
      <c r="I96" s="505">
        <v>40759837</v>
      </c>
      <c r="J96" s="504">
        <v>29886130</v>
      </c>
      <c r="K96" s="504">
        <v>26856327</v>
      </c>
      <c r="L96" s="504">
        <v>3029803</v>
      </c>
      <c r="M96" s="504">
        <v>10000</v>
      </c>
      <c r="N96" s="504">
        <v>10000</v>
      </c>
      <c r="O96" s="504">
        <v>0</v>
      </c>
      <c r="P96" s="504">
        <v>10104892</v>
      </c>
      <c r="Q96" s="504">
        <v>298862</v>
      </c>
      <c r="R96" s="504">
        <v>459953</v>
      </c>
      <c r="S96" s="544">
        <v>50.010100000000001</v>
      </c>
      <c r="T96" s="544">
        <v>40.850100000000005</v>
      </c>
      <c r="U96" s="401">
        <v>9.16</v>
      </c>
      <c r="V96" s="505">
        <f t="shared" ref="V96:CA96" si="128">SUM(V91:V95)</f>
        <v>0</v>
      </c>
      <c r="W96" s="504">
        <f t="shared" si="128"/>
        <v>0</v>
      </c>
      <c r="X96" s="504">
        <f t="shared" si="128"/>
        <v>0</v>
      </c>
      <c r="Y96" s="504">
        <f t="shared" si="128"/>
        <v>0</v>
      </c>
      <c r="Z96" s="504">
        <f t="shared" si="128"/>
        <v>0</v>
      </c>
      <c r="AA96" s="575">
        <f t="shared" si="128"/>
        <v>705126</v>
      </c>
      <c r="AB96" s="504">
        <f t="shared" si="128"/>
        <v>0</v>
      </c>
      <c r="AC96" s="504">
        <f t="shared" si="128"/>
        <v>0</v>
      </c>
      <c r="AD96" s="504">
        <f t="shared" si="128"/>
        <v>0</v>
      </c>
      <c r="AE96" s="504">
        <f t="shared" si="128"/>
        <v>705126</v>
      </c>
      <c r="AF96" s="504">
        <f t="shared" si="128"/>
        <v>705126</v>
      </c>
      <c r="AG96" s="504">
        <f t="shared" si="128"/>
        <v>0</v>
      </c>
      <c r="AH96" s="504">
        <f t="shared" si="128"/>
        <v>0</v>
      </c>
      <c r="AI96" s="504">
        <f t="shared" si="128"/>
        <v>0</v>
      </c>
      <c r="AJ96" s="504">
        <f t="shared" si="128"/>
        <v>0</v>
      </c>
      <c r="AK96" s="504">
        <f t="shared" si="128"/>
        <v>0</v>
      </c>
      <c r="AL96" s="504">
        <f t="shared" si="128"/>
        <v>0</v>
      </c>
      <c r="AM96" s="504">
        <f t="shared" si="128"/>
        <v>0</v>
      </c>
      <c r="AN96" s="504">
        <f t="shared" si="128"/>
        <v>0</v>
      </c>
      <c r="AO96" s="504">
        <f t="shared" si="128"/>
        <v>0</v>
      </c>
      <c r="AP96" s="504">
        <f t="shared" si="128"/>
        <v>705126</v>
      </c>
      <c r="AQ96" s="504">
        <f t="shared" si="128"/>
        <v>705126</v>
      </c>
      <c r="AR96" s="504">
        <f t="shared" si="128"/>
        <v>238332</v>
      </c>
      <c r="AS96" s="504">
        <f t="shared" si="128"/>
        <v>7051</v>
      </c>
      <c r="AT96" s="504">
        <f t="shared" si="128"/>
        <v>0</v>
      </c>
      <c r="AU96" s="504">
        <f t="shared" si="128"/>
        <v>8354</v>
      </c>
      <c r="AV96" s="504">
        <f t="shared" si="128"/>
        <v>8354</v>
      </c>
      <c r="AW96" s="504">
        <f t="shared" si="128"/>
        <v>958863</v>
      </c>
      <c r="AX96" s="544">
        <f t="shared" si="128"/>
        <v>0</v>
      </c>
      <c r="AY96" s="544">
        <f t="shared" si="128"/>
        <v>0</v>
      </c>
      <c r="AZ96" s="544">
        <f t="shared" si="128"/>
        <v>0</v>
      </c>
      <c r="BA96" s="544">
        <f t="shared" si="128"/>
        <v>0</v>
      </c>
      <c r="BB96" s="544">
        <f t="shared" si="128"/>
        <v>2.13</v>
      </c>
      <c r="BC96" s="938">
        <f t="shared" si="128"/>
        <v>0</v>
      </c>
      <c r="BD96" s="544">
        <f t="shared" si="128"/>
        <v>0</v>
      </c>
      <c r="BE96" s="544">
        <f t="shared" si="128"/>
        <v>0</v>
      </c>
      <c r="BF96" s="544">
        <f t="shared" si="128"/>
        <v>0</v>
      </c>
      <c r="BG96" s="544">
        <f t="shared" si="128"/>
        <v>2.13</v>
      </c>
      <c r="BH96" s="442">
        <f t="shared" si="128"/>
        <v>2.13</v>
      </c>
      <c r="BI96" s="806">
        <f t="shared" si="128"/>
        <v>41718700</v>
      </c>
      <c r="BJ96" s="504">
        <f t="shared" si="128"/>
        <v>30591256</v>
      </c>
      <c r="BK96" s="504">
        <f t="shared" si="128"/>
        <v>26856327</v>
      </c>
      <c r="BL96" s="504">
        <f t="shared" si="128"/>
        <v>3734929</v>
      </c>
      <c r="BM96" s="504">
        <f t="shared" si="128"/>
        <v>10000</v>
      </c>
      <c r="BN96" s="504">
        <f t="shared" si="128"/>
        <v>10000</v>
      </c>
      <c r="BO96" s="504">
        <f t="shared" si="128"/>
        <v>0</v>
      </c>
      <c r="BP96" s="504">
        <f t="shared" si="128"/>
        <v>10343224</v>
      </c>
      <c r="BQ96" s="504">
        <f t="shared" si="128"/>
        <v>305913</v>
      </c>
      <c r="BR96" s="504">
        <f t="shared" si="128"/>
        <v>468307</v>
      </c>
      <c r="BS96" s="544">
        <f t="shared" si="128"/>
        <v>52.140100000000004</v>
      </c>
      <c r="BT96" s="544">
        <f t="shared" si="128"/>
        <v>40.850100000000005</v>
      </c>
      <c r="BU96" s="442">
        <f t="shared" si="128"/>
        <v>11.29</v>
      </c>
      <c r="BV96" s="824">
        <f t="shared" si="128"/>
        <v>760272</v>
      </c>
      <c r="BW96" s="710">
        <f t="shared" si="128"/>
        <v>564000</v>
      </c>
      <c r="BX96" s="710">
        <f t="shared" si="128"/>
        <v>0</v>
      </c>
      <c r="BY96" s="710">
        <f t="shared" si="128"/>
        <v>190632</v>
      </c>
      <c r="BZ96" s="710">
        <f t="shared" si="128"/>
        <v>5640</v>
      </c>
      <c r="CA96" s="825">
        <f t="shared" si="128"/>
        <v>1</v>
      </c>
    </row>
    <row r="97" spans="1:79" s="221" customFormat="1" ht="12.75" customHeight="1" x14ac:dyDescent="0.2">
      <c r="A97" s="223">
        <v>22</v>
      </c>
      <c r="B97" s="224">
        <v>3412</v>
      </c>
      <c r="C97" s="224">
        <v>600078540</v>
      </c>
      <c r="D97" s="224">
        <v>72742879</v>
      </c>
      <c r="E97" s="225" t="s">
        <v>51</v>
      </c>
      <c r="F97" s="224">
        <v>3113</v>
      </c>
      <c r="G97" s="225" t="s">
        <v>293</v>
      </c>
      <c r="H97" s="226" t="s">
        <v>271</v>
      </c>
      <c r="I97" s="420">
        <v>44854722</v>
      </c>
      <c r="J97" s="415">
        <v>32635554</v>
      </c>
      <c r="K97" s="415">
        <v>30592485</v>
      </c>
      <c r="L97" s="415">
        <v>2043069</v>
      </c>
      <c r="M97" s="415">
        <v>160730</v>
      </c>
      <c r="N97" s="415">
        <v>115730</v>
      </c>
      <c r="O97" s="415">
        <v>45000</v>
      </c>
      <c r="P97" s="68">
        <v>11067997</v>
      </c>
      <c r="Q97" s="68">
        <v>326356</v>
      </c>
      <c r="R97" s="415">
        <v>664085</v>
      </c>
      <c r="S97" s="416">
        <v>47.207999999999991</v>
      </c>
      <c r="T97" s="417">
        <v>40.927999999999997</v>
      </c>
      <c r="U97" s="423">
        <v>6.2800000000000011</v>
      </c>
      <c r="V97" s="424">
        <f t="shared" ref="V97:W101" si="129">AG97*-1</f>
        <v>0</v>
      </c>
      <c r="W97" s="418">
        <f t="shared" si="129"/>
        <v>0</v>
      </c>
      <c r="X97" s="418">
        <v>0</v>
      </c>
      <c r="Y97" s="418">
        <v>0</v>
      </c>
      <c r="Z97" s="418">
        <v>0</v>
      </c>
      <c r="AA97" s="418">
        <v>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0</v>
      </c>
      <c r="AF97" s="418">
        <f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ref="AO97:AP101" si="130">AD97+AL97</f>
        <v>0</v>
      </c>
      <c r="AP97" s="418">
        <f t="shared" si="130"/>
        <v>0</v>
      </c>
      <c r="AQ97" s="418">
        <f>SUM(AO97:AP97)</f>
        <v>0</v>
      </c>
      <c r="AR97" s="68">
        <f>ROUND((AF97+AG97+AH97+AI97)*33.8%,0)</f>
        <v>0</v>
      </c>
      <c r="AS97" s="68">
        <f>ROUND(AF97*1%,0)</f>
        <v>0</v>
      </c>
      <c r="AT97" s="418">
        <v>0</v>
      </c>
      <c r="AU97" s="415">
        <v>0</v>
      </c>
      <c r="AV97" s="418">
        <f>AT97+AU97</f>
        <v>0</v>
      </c>
      <c r="AW97" s="418">
        <f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6">
        <v>0</v>
      </c>
      <c r="BC97" s="93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</v>
      </c>
      <c r="BH97" s="421">
        <f>SUM(BF97:BG97)</f>
        <v>0</v>
      </c>
      <c r="BI97" s="780">
        <f>I97+AW97</f>
        <v>44854722</v>
      </c>
      <c r="BJ97" s="418">
        <f>J97+AF97</f>
        <v>32635554</v>
      </c>
      <c r="BK97" s="418">
        <f t="shared" ref="BK97:BL101" si="131">K97+AD97</f>
        <v>30592485</v>
      </c>
      <c r="BL97" s="418">
        <f t="shared" si="131"/>
        <v>2043069</v>
      </c>
      <c r="BM97" s="418">
        <f>M97+AN97</f>
        <v>160730</v>
      </c>
      <c r="BN97" s="418">
        <f t="shared" ref="BN97:BO101" si="132">N97+AL97</f>
        <v>115730</v>
      </c>
      <c r="BO97" s="418">
        <f t="shared" si="132"/>
        <v>45000</v>
      </c>
      <c r="BP97" s="418">
        <f t="shared" ref="BP97:BQ101" si="133">P97+AR97</f>
        <v>11067997</v>
      </c>
      <c r="BQ97" s="418">
        <f t="shared" si="133"/>
        <v>326356</v>
      </c>
      <c r="BR97" s="418">
        <f>R97+AV97</f>
        <v>664085</v>
      </c>
      <c r="BS97" s="419">
        <f>S97+BH97</f>
        <v>47.207999999999991</v>
      </c>
      <c r="BT97" s="419">
        <f t="shared" ref="BT97:BU101" si="134">T97+BF97</f>
        <v>40.927999999999997</v>
      </c>
      <c r="BU97" s="421">
        <f t="shared" si="134"/>
        <v>6.2800000000000011</v>
      </c>
      <c r="BV97" s="420"/>
      <c r="BW97" s="415"/>
      <c r="BX97" s="415"/>
      <c r="BY97" s="415"/>
      <c r="BZ97" s="415"/>
      <c r="CA97" s="510"/>
    </row>
    <row r="98" spans="1:79" s="221" customFormat="1" x14ac:dyDescent="0.2">
      <c r="A98" s="223">
        <v>22</v>
      </c>
      <c r="B98" s="224">
        <v>3412</v>
      </c>
      <c r="C98" s="224">
        <v>600078540</v>
      </c>
      <c r="D98" s="224">
        <v>72742879</v>
      </c>
      <c r="E98" s="225" t="s">
        <v>51</v>
      </c>
      <c r="F98" s="224">
        <v>3113</v>
      </c>
      <c r="G98" s="225" t="s">
        <v>291</v>
      </c>
      <c r="H98" s="226" t="s">
        <v>272</v>
      </c>
      <c r="I98" s="420">
        <v>5448211</v>
      </c>
      <c r="J98" s="415">
        <v>4040216</v>
      </c>
      <c r="K98" s="415">
        <v>4040216</v>
      </c>
      <c r="L98" s="415">
        <v>0</v>
      </c>
      <c r="M98" s="415">
        <v>0</v>
      </c>
      <c r="N98" s="415">
        <v>0</v>
      </c>
      <c r="O98" s="415">
        <v>0</v>
      </c>
      <c r="P98" s="68">
        <v>1365593</v>
      </c>
      <c r="Q98" s="68">
        <v>40402</v>
      </c>
      <c r="R98" s="415">
        <v>2000</v>
      </c>
      <c r="S98" s="416">
        <v>10.9</v>
      </c>
      <c r="T98" s="417">
        <v>10.9</v>
      </c>
      <c r="U98" s="423">
        <v>0</v>
      </c>
      <c r="V98" s="424">
        <f t="shared" si="129"/>
        <v>0</v>
      </c>
      <c r="W98" s="418">
        <f t="shared" si="129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>V98+X98+Y98+Z98+AB98</f>
        <v>0</v>
      </c>
      <c r="AE98" s="418">
        <f>W98+AA98+AC98</f>
        <v>0</v>
      </c>
      <c r="AF98" s="418">
        <f>SUM(AD98:AE98)</f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>AG98+AI98+AJ98</f>
        <v>0</v>
      </c>
      <c r="AM98" s="418">
        <f>AH98+AK98</f>
        <v>0</v>
      </c>
      <c r="AN98" s="418">
        <f>SUM(AL98:AM98)</f>
        <v>0</v>
      </c>
      <c r="AO98" s="418">
        <f t="shared" si="130"/>
        <v>0</v>
      </c>
      <c r="AP98" s="418">
        <f t="shared" si="130"/>
        <v>0</v>
      </c>
      <c r="AQ98" s="418">
        <f>SUM(AO98:AP98)</f>
        <v>0</v>
      </c>
      <c r="AR98" s="68">
        <f>ROUND((AF98+AG98+AH98+AI98)*33.8%,0)</f>
        <v>0</v>
      </c>
      <c r="AS98" s="68">
        <f>ROUND(AF98*1%,0)</f>
        <v>0</v>
      </c>
      <c r="AT98" s="418">
        <v>0</v>
      </c>
      <c r="AU98" s="415">
        <v>0</v>
      </c>
      <c r="AV98" s="418">
        <f>AT98+AU98</f>
        <v>0</v>
      </c>
      <c r="AW98" s="418">
        <f>AQ98+AR98+AS98+AV98</f>
        <v>0</v>
      </c>
      <c r="AX98" s="419">
        <v>0</v>
      </c>
      <c r="AY98" s="419">
        <v>0</v>
      </c>
      <c r="AZ98" s="419">
        <v>0</v>
      </c>
      <c r="BA98" s="419">
        <v>0</v>
      </c>
      <c r="BB98" s="416">
        <v>0</v>
      </c>
      <c r="BC98" s="939">
        <v>0</v>
      </c>
      <c r="BD98" s="419">
        <v>0</v>
      </c>
      <c r="BE98" s="419">
        <v>0</v>
      </c>
      <c r="BF98" s="419">
        <f>AX98+AZ98+BA98+BC98+BD98</f>
        <v>0</v>
      </c>
      <c r="BG98" s="419">
        <f>AY98+BB98+BE98</f>
        <v>0</v>
      </c>
      <c r="BH98" s="421">
        <f>SUM(BF98:BG98)</f>
        <v>0</v>
      </c>
      <c r="BI98" s="780">
        <f>I98+AW98</f>
        <v>5448211</v>
      </c>
      <c r="BJ98" s="418">
        <f>J98+AF98</f>
        <v>4040216</v>
      </c>
      <c r="BK98" s="418">
        <f t="shared" si="131"/>
        <v>4040216</v>
      </c>
      <c r="BL98" s="418">
        <f t="shared" si="131"/>
        <v>0</v>
      </c>
      <c r="BM98" s="418">
        <f>M98+AN98</f>
        <v>0</v>
      </c>
      <c r="BN98" s="418">
        <f t="shared" si="132"/>
        <v>0</v>
      </c>
      <c r="BO98" s="418">
        <f t="shared" si="132"/>
        <v>0</v>
      </c>
      <c r="BP98" s="418">
        <f t="shared" si="133"/>
        <v>1365593</v>
      </c>
      <c r="BQ98" s="418">
        <f t="shared" si="133"/>
        <v>40402</v>
      </c>
      <c r="BR98" s="418">
        <f>R98+AV98</f>
        <v>2000</v>
      </c>
      <c r="BS98" s="419">
        <f>S98+BH98</f>
        <v>10.9</v>
      </c>
      <c r="BT98" s="419">
        <f t="shared" si="134"/>
        <v>10.9</v>
      </c>
      <c r="BU98" s="421">
        <f t="shared" si="134"/>
        <v>0</v>
      </c>
      <c r="BV98" s="420"/>
      <c r="BW98" s="415"/>
      <c r="BX98" s="415"/>
      <c r="BY98" s="415"/>
      <c r="BZ98" s="415"/>
      <c r="CA98" s="510"/>
    </row>
    <row r="99" spans="1:79" s="221" customFormat="1" ht="12.75" customHeight="1" x14ac:dyDescent="0.2">
      <c r="A99" s="223">
        <v>22</v>
      </c>
      <c r="B99" s="224">
        <v>3412</v>
      </c>
      <c r="C99" s="224">
        <v>600078540</v>
      </c>
      <c r="D99" s="224">
        <v>72742879</v>
      </c>
      <c r="E99" s="225" t="s">
        <v>51</v>
      </c>
      <c r="F99" s="224">
        <v>3141</v>
      </c>
      <c r="G99" s="225" t="s">
        <v>294</v>
      </c>
      <c r="H99" s="226" t="s">
        <v>272</v>
      </c>
      <c r="I99" s="420">
        <v>2569547</v>
      </c>
      <c r="J99" s="415">
        <v>1889731</v>
      </c>
      <c r="K99" s="415">
        <v>0</v>
      </c>
      <c r="L99" s="415">
        <v>1889731</v>
      </c>
      <c r="M99" s="415">
        <v>0</v>
      </c>
      <c r="N99" s="415">
        <v>0</v>
      </c>
      <c r="O99" s="415">
        <v>0</v>
      </c>
      <c r="P99" s="68">
        <v>638729</v>
      </c>
      <c r="Q99" s="68">
        <v>18897</v>
      </c>
      <c r="R99" s="415">
        <v>22190</v>
      </c>
      <c r="S99" s="416">
        <v>5.67</v>
      </c>
      <c r="T99" s="417">
        <v>0</v>
      </c>
      <c r="U99" s="423">
        <v>5.67</v>
      </c>
      <c r="V99" s="424">
        <f t="shared" si="129"/>
        <v>0</v>
      </c>
      <c r="W99" s="418">
        <f t="shared" si="129"/>
        <v>0</v>
      </c>
      <c r="X99" s="418">
        <v>0</v>
      </c>
      <c r="Y99" s="418">
        <v>0</v>
      </c>
      <c r="Z99" s="418">
        <v>0</v>
      </c>
      <c r="AA99" s="605">
        <v>945047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945047</v>
      </c>
      <c r="AF99" s="418">
        <f>SUM(AD99:AE99)</f>
        <v>945047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si="130"/>
        <v>0</v>
      </c>
      <c r="AP99" s="418">
        <f t="shared" si="130"/>
        <v>945047</v>
      </c>
      <c r="AQ99" s="418">
        <f>SUM(AO99:AP99)</f>
        <v>945047</v>
      </c>
      <c r="AR99" s="68">
        <f>ROUND((AF99+AG99+AH99+AI99)*33.8%,0)</f>
        <v>319426</v>
      </c>
      <c r="AS99" s="68">
        <f>ROUND(AF99*1%,0)</f>
        <v>9450</v>
      </c>
      <c r="AT99" s="418">
        <v>0</v>
      </c>
      <c r="AU99" s="605">
        <v>10778</v>
      </c>
      <c r="AV99" s="418">
        <f>AT99+AU99</f>
        <v>10778</v>
      </c>
      <c r="AW99" s="418">
        <f>AQ99+AR99+AS99+AV99</f>
        <v>1284701</v>
      </c>
      <c r="AX99" s="419">
        <v>0</v>
      </c>
      <c r="AY99" s="419">
        <v>0</v>
      </c>
      <c r="AZ99" s="419">
        <v>0</v>
      </c>
      <c r="BA99" s="419">
        <v>0</v>
      </c>
      <c r="BB99" s="607">
        <v>2.83</v>
      </c>
      <c r="BC99" s="93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2.83</v>
      </c>
      <c r="BH99" s="421">
        <f>SUM(BF99:BG99)</f>
        <v>2.83</v>
      </c>
      <c r="BI99" s="780">
        <f>I99+AW99</f>
        <v>3854248</v>
      </c>
      <c r="BJ99" s="418">
        <f>J99+AF99</f>
        <v>2834778</v>
      </c>
      <c r="BK99" s="418">
        <f t="shared" si="131"/>
        <v>0</v>
      </c>
      <c r="BL99" s="418">
        <f t="shared" si="131"/>
        <v>2834778</v>
      </c>
      <c r="BM99" s="418">
        <f>M99+AN99</f>
        <v>0</v>
      </c>
      <c r="BN99" s="418">
        <f t="shared" si="132"/>
        <v>0</v>
      </c>
      <c r="BO99" s="418">
        <f t="shared" si="132"/>
        <v>0</v>
      </c>
      <c r="BP99" s="418">
        <f t="shared" si="133"/>
        <v>958155</v>
      </c>
      <c r="BQ99" s="418">
        <f t="shared" si="133"/>
        <v>28347</v>
      </c>
      <c r="BR99" s="418">
        <f>R99+AV99</f>
        <v>32968</v>
      </c>
      <c r="BS99" s="419">
        <f>S99+BH99</f>
        <v>8.5</v>
      </c>
      <c r="BT99" s="419">
        <f t="shared" si="134"/>
        <v>0</v>
      </c>
      <c r="BU99" s="421">
        <f t="shared" si="134"/>
        <v>8.5</v>
      </c>
      <c r="BV99" s="420"/>
      <c r="BW99" s="415"/>
      <c r="BX99" s="415"/>
      <c r="BY99" s="415"/>
      <c r="BZ99" s="415"/>
      <c r="CA99" s="510"/>
    </row>
    <row r="100" spans="1:79" s="221" customFormat="1" ht="12.75" customHeight="1" x14ac:dyDescent="0.2">
      <c r="A100" s="223">
        <v>22</v>
      </c>
      <c r="B100" s="224">
        <v>3412</v>
      </c>
      <c r="C100" s="224">
        <v>600078540</v>
      </c>
      <c r="D100" s="224">
        <v>72742879</v>
      </c>
      <c r="E100" s="225" t="s">
        <v>51</v>
      </c>
      <c r="F100" s="224">
        <v>3143</v>
      </c>
      <c r="G100" s="225" t="s">
        <v>595</v>
      </c>
      <c r="H100" s="226" t="s">
        <v>271</v>
      </c>
      <c r="I100" s="420">
        <v>4394944</v>
      </c>
      <c r="J100" s="415">
        <v>3220641</v>
      </c>
      <c r="K100" s="415">
        <v>3220641</v>
      </c>
      <c r="L100" s="415">
        <v>0</v>
      </c>
      <c r="M100" s="415">
        <v>40000</v>
      </c>
      <c r="N100" s="415">
        <v>40000</v>
      </c>
      <c r="O100" s="415">
        <v>0</v>
      </c>
      <c r="P100" s="68">
        <v>1102097</v>
      </c>
      <c r="Q100" s="68">
        <v>32206</v>
      </c>
      <c r="R100" s="415">
        <v>0</v>
      </c>
      <c r="S100" s="416">
        <v>6.1460999999999997</v>
      </c>
      <c r="T100" s="417">
        <v>6.1460999999999997</v>
      </c>
      <c r="U100" s="423">
        <v>0</v>
      </c>
      <c r="V100" s="424">
        <f t="shared" si="129"/>
        <v>0</v>
      </c>
      <c r="W100" s="418">
        <f t="shared" si="129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418">
        <f>SUM(AD100:AE100)</f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130"/>
        <v>0</v>
      </c>
      <c r="AP100" s="418">
        <f t="shared" si="130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5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6">
        <v>0</v>
      </c>
      <c r="BC100" s="93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421">
        <f>SUM(BF100:BG100)</f>
        <v>0</v>
      </c>
      <c r="BI100" s="780">
        <f>I100+AW100</f>
        <v>4394944</v>
      </c>
      <c r="BJ100" s="418">
        <f>J100+AF100</f>
        <v>3220641</v>
      </c>
      <c r="BK100" s="418">
        <f t="shared" si="131"/>
        <v>3220641</v>
      </c>
      <c r="BL100" s="418">
        <f t="shared" si="131"/>
        <v>0</v>
      </c>
      <c r="BM100" s="418">
        <f>M100+AN100</f>
        <v>40000</v>
      </c>
      <c r="BN100" s="418">
        <f t="shared" si="132"/>
        <v>40000</v>
      </c>
      <c r="BO100" s="418">
        <f t="shared" si="132"/>
        <v>0</v>
      </c>
      <c r="BP100" s="418">
        <f t="shared" si="133"/>
        <v>1102097</v>
      </c>
      <c r="BQ100" s="418">
        <f t="shared" si="133"/>
        <v>32206</v>
      </c>
      <c r="BR100" s="418">
        <f>R100+AV100</f>
        <v>0</v>
      </c>
      <c r="BS100" s="419">
        <f>S100+BH100</f>
        <v>6.1460999999999997</v>
      </c>
      <c r="BT100" s="419">
        <f t="shared" si="134"/>
        <v>6.1460999999999997</v>
      </c>
      <c r="BU100" s="421">
        <f t="shared" si="134"/>
        <v>0</v>
      </c>
      <c r="BV100" s="420"/>
      <c r="BW100" s="415"/>
      <c r="BX100" s="415"/>
      <c r="BY100" s="415"/>
      <c r="BZ100" s="415"/>
      <c r="CA100" s="510"/>
    </row>
    <row r="101" spans="1:79" s="221" customFormat="1" ht="12.75" customHeight="1" x14ac:dyDescent="0.2">
      <c r="A101" s="223">
        <v>22</v>
      </c>
      <c r="B101" s="224">
        <v>3412</v>
      </c>
      <c r="C101" s="224">
        <v>600078540</v>
      </c>
      <c r="D101" s="224">
        <v>72742879</v>
      </c>
      <c r="E101" s="225" t="s">
        <v>51</v>
      </c>
      <c r="F101" s="224">
        <v>3143</v>
      </c>
      <c r="G101" s="225" t="s">
        <v>596</v>
      </c>
      <c r="H101" s="226" t="s">
        <v>272</v>
      </c>
      <c r="I101" s="420">
        <v>107588</v>
      </c>
      <c r="J101" s="415">
        <v>77009</v>
      </c>
      <c r="K101" s="415">
        <v>0</v>
      </c>
      <c r="L101" s="415">
        <v>77009</v>
      </c>
      <c r="M101" s="415">
        <v>0</v>
      </c>
      <c r="N101" s="415">
        <v>0</v>
      </c>
      <c r="O101" s="415">
        <v>0</v>
      </c>
      <c r="P101" s="68">
        <v>26029</v>
      </c>
      <c r="Q101" s="68">
        <v>770</v>
      </c>
      <c r="R101" s="415">
        <v>3780</v>
      </c>
      <c r="S101" s="416">
        <v>0.28999999999999998</v>
      </c>
      <c r="T101" s="417">
        <v>0</v>
      </c>
      <c r="U101" s="423">
        <v>0.28999999999999998</v>
      </c>
      <c r="V101" s="424">
        <f t="shared" si="129"/>
        <v>0</v>
      </c>
      <c r="W101" s="418">
        <f t="shared" si="129"/>
        <v>0</v>
      </c>
      <c r="X101" s="418">
        <v>0</v>
      </c>
      <c r="Y101" s="418">
        <v>0</v>
      </c>
      <c r="Z101" s="418">
        <v>0</v>
      </c>
      <c r="AA101" s="605">
        <v>38491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38491</v>
      </c>
      <c r="AF101" s="418">
        <f>SUM(AD101:AE101)</f>
        <v>38491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130"/>
        <v>0</v>
      </c>
      <c r="AP101" s="418">
        <f t="shared" si="130"/>
        <v>38491</v>
      </c>
      <c r="AQ101" s="418">
        <f>SUM(AO101:AP101)</f>
        <v>38491</v>
      </c>
      <c r="AR101" s="68">
        <f>ROUND((AF101+AG101+AH101+AI101)*33.8%,0)</f>
        <v>13010</v>
      </c>
      <c r="AS101" s="68">
        <f>ROUND(AF101*1%,0)</f>
        <v>385</v>
      </c>
      <c r="AT101" s="418">
        <v>0</v>
      </c>
      <c r="AU101" s="606">
        <v>1890</v>
      </c>
      <c r="AV101" s="418">
        <f>AT101+AU101</f>
        <v>1890</v>
      </c>
      <c r="AW101" s="418">
        <f>AQ101+AR101+AS101+AV101</f>
        <v>53776</v>
      </c>
      <c r="AX101" s="419">
        <v>0</v>
      </c>
      <c r="AY101" s="419">
        <v>0</v>
      </c>
      <c r="AZ101" s="419">
        <v>0</v>
      </c>
      <c r="BA101" s="419">
        <v>0</v>
      </c>
      <c r="BB101" s="607">
        <v>0.15</v>
      </c>
      <c r="BC101" s="93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0.15</v>
      </c>
      <c r="BH101" s="421">
        <f>SUM(BF101:BG101)</f>
        <v>0.15</v>
      </c>
      <c r="BI101" s="780">
        <f>I101+AW101</f>
        <v>161364</v>
      </c>
      <c r="BJ101" s="418">
        <f>J101+AF101</f>
        <v>115500</v>
      </c>
      <c r="BK101" s="418">
        <f t="shared" si="131"/>
        <v>0</v>
      </c>
      <c r="BL101" s="418">
        <f t="shared" si="131"/>
        <v>115500</v>
      </c>
      <c r="BM101" s="418">
        <f>M101+AN101</f>
        <v>0</v>
      </c>
      <c r="BN101" s="418">
        <f t="shared" si="132"/>
        <v>0</v>
      </c>
      <c r="BO101" s="418">
        <f t="shared" si="132"/>
        <v>0</v>
      </c>
      <c r="BP101" s="418">
        <f t="shared" si="133"/>
        <v>39039</v>
      </c>
      <c r="BQ101" s="418">
        <f t="shared" si="133"/>
        <v>1155</v>
      </c>
      <c r="BR101" s="418">
        <f>R101+AV101</f>
        <v>5670</v>
      </c>
      <c r="BS101" s="419">
        <f>S101+BH101</f>
        <v>0.43999999999999995</v>
      </c>
      <c r="BT101" s="419">
        <f t="shared" si="134"/>
        <v>0</v>
      </c>
      <c r="BU101" s="421">
        <f t="shared" si="134"/>
        <v>0.43999999999999995</v>
      </c>
      <c r="BV101" s="420"/>
      <c r="BW101" s="415"/>
      <c r="BX101" s="415"/>
      <c r="BY101" s="415"/>
      <c r="BZ101" s="415"/>
      <c r="CA101" s="510"/>
    </row>
    <row r="102" spans="1:79" s="221" customFormat="1" ht="12.75" customHeight="1" x14ac:dyDescent="0.2">
      <c r="A102" s="153">
        <v>22</v>
      </c>
      <c r="B102" s="14">
        <v>3412</v>
      </c>
      <c r="C102" s="152">
        <v>600078540</v>
      </c>
      <c r="D102" s="152">
        <v>72742879</v>
      </c>
      <c r="E102" s="222" t="s">
        <v>52</v>
      </c>
      <c r="F102" s="14"/>
      <c r="G102" s="222"/>
      <c r="H102" s="560"/>
      <c r="I102" s="505">
        <v>57375012</v>
      </c>
      <c r="J102" s="504">
        <v>41863151</v>
      </c>
      <c r="K102" s="504">
        <v>37853342</v>
      </c>
      <c r="L102" s="504">
        <v>4009809</v>
      </c>
      <c r="M102" s="504">
        <v>200730</v>
      </c>
      <c r="N102" s="504">
        <v>155730</v>
      </c>
      <c r="O102" s="504">
        <v>45000</v>
      </c>
      <c r="P102" s="504">
        <v>14200445</v>
      </c>
      <c r="Q102" s="504">
        <v>418631</v>
      </c>
      <c r="R102" s="504">
        <v>692055</v>
      </c>
      <c r="S102" s="544">
        <v>70.214100000000002</v>
      </c>
      <c r="T102" s="544">
        <v>57.974099999999993</v>
      </c>
      <c r="U102" s="401">
        <v>12.24</v>
      </c>
      <c r="V102" s="505">
        <f t="shared" ref="V102:CA102" si="135">SUM(V97:V101)</f>
        <v>0</v>
      </c>
      <c r="W102" s="504">
        <f t="shared" si="135"/>
        <v>0</v>
      </c>
      <c r="X102" s="504">
        <f t="shared" si="135"/>
        <v>0</v>
      </c>
      <c r="Y102" s="504">
        <f t="shared" si="135"/>
        <v>0</v>
      </c>
      <c r="Z102" s="504">
        <f t="shared" si="135"/>
        <v>0</v>
      </c>
      <c r="AA102" s="575">
        <f t="shared" si="135"/>
        <v>983538</v>
      </c>
      <c r="AB102" s="504">
        <f t="shared" si="135"/>
        <v>0</v>
      </c>
      <c r="AC102" s="504">
        <f t="shared" si="135"/>
        <v>0</v>
      </c>
      <c r="AD102" s="504">
        <f t="shared" si="135"/>
        <v>0</v>
      </c>
      <c r="AE102" s="504">
        <f t="shared" si="135"/>
        <v>983538</v>
      </c>
      <c r="AF102" s="504">
        <f t="shared" si="135"/>
        <v>983538</v>
      </c>
      <c r="AG102" s="504">
        <f t="shared" si="135"/>
        <v>0</v>
      </c>
      <c r="AH102" s="504">
        <f t="shared" si="135"/>
        <v>0</v>
      </c>
      <c r="AI102" s="504">
        <f t="shared" si="135"/>
        <v>0</v>
      </c>
      <c r="AJ102" s="504">
        <f t="shared" si="135"/>
        <v>0</v>
      </c>
      <c r="AK102" s="504">
        <f t="shared" si="135"/>
        <v>0</v>
      </c>
      <c r="AL102" s="504">
        <f t="shared" si="135"/>
        <v>0</v>
      </c>
      <c r="AM102" s="504">
        <f t="shared" si="135"/>
        <v>0</v>
      </c>
      <c r="AN102" s="504">
        <f t="shared" si="135"/>
        <v>0</v>
      </c>
      <c r="AO102" s="504">
        <f t="shared" si="135"/>
        <v>0</v>
      </c>
      <c r="AP102" s="504">
        <f t="shared" si="135"/>
        <v>983538</v>
      </c>
      <c r="AQ102" s="504">
        <f t="shared" si="135"/>
        <v>983538</v>
      </c>
      <c r="AR102" s="504">
        <f t="shared" si="135"/>
        <v>332436</v>
      </c>
      <c r="AS102" s="504">
        <f t="shared" si="135"/>
        <v>9835</v>
      </c>
      <c r="AT102" s="504">
        <f t="shared" si="135"/>
        <v>0</v>
      </c>
      <c r="AU102" s="504">
        <f t="shared" si="135"/>
        <v>12668</v>
      </c>
      <c r="AV102" s="504">
        <f t="shared" si="135"/>
        <v>12668</v>
      </c>
      <c r="AW102" s="504">
        <f t="shared" si="135"/>
        <v>1338477</v>
      </c>
      <c r="AX102" s="544">
        <f t="shared" si="135"/>
        <v>0</v>
      </c>
      <c r="AY102" s="544">
        <f t="shared" si="135"/>
        <v>0</v>
      </c>
      <c r="AZ102" s="544">
        <f t="shared" si="135"/>
        <v>0</v>
      </c>
      <c r="BA102" s="544">
        <f t="shared" si="135"/>
        <v>0</v>
      </c>
      <c r="BB102" s="544">
        <f t="shared" si="135"/>
        <v>2.98</v>
      </c>
      <c r="BC102" s="938">
        <f t="shared" si="135"/>
        <v>0</v>
      </c>
      <c r="BD102" s="544">
        <f t="shared" si="135"/>
        <v>0</v>
      </c>
      <c r="BE102" s="544">
        <f t="shared" si="135"/>
        <v>0</v>
      </c>
      <c r="BF102" s="544">
        <f t="shared" si="135"/>
        <v>0</v>
      </c>
      <c r="BG102" s="544">
        <f t="shared" si="135"/>
        <v>2.98</v>
      </c>
      <c r="BH102" s="442">
        <f t="shared" si="135"/>
        <v>2.98</v>
      </c>
      <c r="BI102" s="806">
        <f t="shared" si="135"/>
        <v>58713489</v>
      </c>
      <c r="BJ102" s="504">
        <f t="shared" si="135"/>
        <v>42846689</v>
      </c>
      <c r="BK102" s="504">
        <f t="shared" si="135"/>
        <v>37853342</v>
      </c>
      <c r="BL102" s="504">
        <f t="shared" si="135"/>
        <v>4993347</v>
      </c>
      <c r="BM102" s="504">
        <f t="shared" si="135"/>
        <v>200730</v>
      </c>
      <c r="BN102" s="504">
        <f t="shared" si="135"/>
        <v>155730</v>
      </c>
      <c r="BO102" s="504">
        <f t="shared" si="135"/>
        <v>45000</v>
      </c>
      <c r="BP102" s="504">
        <f t="shared" si="135"/>
        <v>14532881</v>
      </c>
      <c r="BQ102" s="504">
        <f t="shared" si="135"/>
        <v>428466</v>
      </c>
      <c r="BR102" s="504">
        <f t="shared" si="135"/>
        <v>704723</v>
      </c>
      <c r="BS102" s="544">
        <f t="shared" si="135"/>
        <v>73.194099999999992</v>
      </c>
      <c r="BT102" s="544">
        <f t="shared" si="135"/>
        <v>57.974099999999993</v>
      </c>
      <c r="BU102" s="442">
        <f t="shared" si="135"/>
        <v>15.22</v>
      </c>
      <c r="BV102" s="824">
        <f t="shared" si="135"/>
        <v>0</v>
      </c>
      <c r="BW102" s="710">
        <f t="shared" si="135"/>
        <v>0</v>
      </c>
      <c r="BX102" s="710">
        <f t="shared" si="135"/>
        <v>0</v>
      </c>
      <c r="BY102" s="710">
        <f t="shared" si="135"/>
        <v>0</v>
      </c>
      <c r="BZ102" s="710">
        <f t="shared" si="135"/>
        <v>0</v>
      </c>
      <c r="CA102" s="825">
        <f t="shared" si="135"/>
        <v>0</v>
      </c>
    </row>
    <row r="103" spans="1:79" s="221" customFormat="1" ht="12" customHeight="1" x14ac:dyDescent="0.2">
      <c r="A103" s="223">
        <v>23</v>
      </c>
      <c r="B103" s="224">
        <v>3416</v>
      </c>
      <c r="C103" s="224">
        <v>600078426</v>
      </c>
      <c r="D103" s="224">
        <v>72743034</v>
      </c>
      <c r="E103" s="225" t="s">
        <v>53</v>
      </c>
      <c r="F103" s="224">
        <v>3113</v>
      </c>
      <c r="G103" s="225" t="s">
        <v>293</v>
      </c>
      <c r="H103" s="226" t="s">
        <v>271</v>
      </c>
      <c r="I103" s="420">
        <v>38446551</v>
      </c>
      <c r="J103" s="415">
        <v>27830417</v>
      </c>
      <c r="K103" s="415">
        <v>25974308</v>
      </c>
      <c r="L103" s="415">
        <v>1856109</v>
      </c>
      <c r="M103" s="415">
        <v>287000</v>
      </c>
      <c r="N103" s="415">
        <v>282000</v>
      </c>
      <c r="O103" s="415">
        <v>5000</v>
      </c>
      <c r="P103" s="68">
        <v>9503687</v>
      </c>
      <c r="Q103" s="68">
        <v>278304</v>
      </c>
      <c r="R103" s="415">
        <v>547143</v>
      </c>
      <c r="S103" s="416">
        <v>41.485000000000007</v>
      </c>
      <c r="T103" s="417">
        <v>35.818300000000001</v>
      </c>
      <c r="U103" s="423">
        <v>5.6667000000000005</v>
      </c>
      <c r="V103" s="424">
        <f t="shared" ref="V103:W107" si="136">AG103*-1</f>
        <v>0</v>
      </c>
      <c r="W103" s="418">
        <f t="shared" si="136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418">
        <f>SUM(AD103:AE103)</f>
        <v>0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ref="AO103:AP107" si="137">AD103+AL103</f>
        <v>0</v>
      </c>
      <c r="AP103" s="418">
        <f t="shared" si="137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5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6">
        <v>0</v>
      </c>
      <c r="BC103" s="93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421">
        <f>SUM(BF103:BG103)</f>
        <v>0</v>
      </c>
      <c r="BI103" s="780">
        <f>I103+AW103</f>
        <v>38446551</v>
      </c>
      <c r="BJ103" s="418">
        <f>J103+AF103</f>
        <v>27830417</v>
      </c>
      <c r="BK103" s="418">
        <f t="shared" ref="BK103:BL107" si="138">K103+AD103</f>
        <v>25974308</v>
      </c>
      <c r="BL103" s="418">
        <f t="shared" si="138"/>
        <v>1856109</v>
      </c>
      <c r="BM103" s="418">
        <f>M103+AN103</f>
        <v>287000</v>
      </c>
      <c r="BN103" s="418">
        <f t="shared" ref="BN103:BO107" si="139">N103+AL103</f>
        <v>282000</v>
      </c>
      <c r="BO103" s="418">
        <f t="shared" si="139"/>
        <v>5000</v>
      </c>
      <c r="BP103" s="418">
        <f t="shared" ref="BP103:BQ107" si="140">P103+AR103</f>
        <v>9503687</v>
      </c>
      <c r="BQ103" s="418">
        <f t="shared" si="140"/>
        <v>278304</v>
      </c>
      <c r="BR103" s="418">
        <f>R103+AV103</f>
        <v>547143</v>
      </c>
      <c r="BS103" s="419">
        <f>S103+BH103</f>
        <v>41.485000000000007</v>
      </c>
      <c r="BT103" s="419">
        <f t="shared" ref="BT103:BU107" si="141">T103+BF103</f>
        <v>35.818300000000001</v>
      </c>
      <c r="BU103" s="421">
        <f t="shared" si="141"/>
        <v>5.6667000000000005</v>
      </c>
      <c r="BV103" s="420">
        <v>757452</v>
      </c>
      <c r="BW103" s="415">
        <v>282000</v>
      </c>
      <c r="BX103" s="415">
        <v>282000</v>
      </c>
      <c r="BY103" s="415">
        <v>190632</v>
      </c>
      <c r="BZ103" s="415">
        <v>2820</v>
      </c>
      <c r="CA103" s="510">
        <v>0.5</v>
      </c>
    </row>
    <row r="104" spans="1:79" s="221" customFormat="1" ht="12" customHeight="1" x14ac:dyDescent="0.2">
      <c r="A104" s="223">
        <v>23</v>
      </c>
      <c r="B104" s="224">
        <v>3416</v>
      </c>
      <c r="C104" s="224">
        <v>600078426</v>
      </c>
      <c r="D104" s="224">
        <v>72743034</v>
      </c>
      <c r="E104" s="225" t="s">
        <v>53</v>
      </c>
      <c r="F104" s="224">
        <v>3113</v>
      </c>
      <c r="G104" s="225" t="s">
        <v>291</v>
      </c>
      <c r="H104" s="226" t="s">
        <v>272</v>
      </c>
      <c r="I104" s="420">
        <v>5632446</v>
      </c>
      <c r="J104" s="415">
        <v>4175961</v>
      </c>
      <c r="K104" s="415">
        <v>4175961</v>
      </c>
      <c r="L104" s="415">
        <v>0</v>
      </c>
      <c r="M104" s="415">
        <v>0</v>
      </c>
      <c r="N104" s="415">
        <v>0</v>
      </c>
      <c r="O104" s="415">
        <v>0</v>
      </c>
      <c r="P104" s="68">
        <v>1411475</v>
      </c>
      <c r="Q104" s="68">
        <v>41760</v>
      </c>
      <c r="R104" s="415">
        <v>3250</v>
      </c>
      <c r="S104" s="416">
        <v>10.89</v>
      </c>
      <c r="T104" s="417">
        <v>10.89</v>
      </c>
      <c r="U104" s="423">
        <v>0</v>
      </c>
      <c r="V104" s="424">
        <f t="shared" si="136"/>
        <v>0</v>
      </c>
      <c r="W104" s="418">
        <f t="shared" si="136"/>
        <v>0</v>
      </c>
      <c r="X104" s="418">
        <v>-247563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-247563</v>
      </c>
      <c r="AE104" s="418">
        <f>W104+AA104+AC104</f>
        <v>0</v>
      </c>
      <c r="AF104" s="418">
        <f>SUM(AD104:AE104)</f>
        <v>-247563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137"/>
        <v>-247563</v>
      </c>
      <c r="AP104" s="418">
        <f t="shared" si="137"/>
        <v>0</v>
      </c>
      <c r="AQ104" s="418">
        <f>SUM(AO104:AP104)</f>
        <v>-247563</v>
      </c>
      <c r="AR104" s="68">
        <f>ROUND((AF104+AG104+AH104+AI104)*33.8%,0)</f>
        <v>-83676</v>
      </c>
      <c r="AS104" s="68">
        <f>ROUND(AF104*1%,0)</f>
        <v>-2476</v>
      </c>
      <c r="AT104" s="418">
        <v>0</v>
      </c>
      <c r="AU104" s="415">
        <v>0</v>
      </c>
      <c r="AV104" s="418">
        <f>AT104+AU104</f>
        <v>0</v>
      </c>
      <c r="AW104" s="418">
        <f>AQ104+AR104+AS104+AV104</f>
        <v>-333715</v>
      </c>
      <c r="AX104" s="419">
        <v>0</v>
      </c>
      <c r="AY104" s="419">
        <v>0</v>
      </c>
      <c r="AZ104" s="419">
        <v>-0.5</v>
      </c>
      <c r="BA104" s="419">
        <v>0</v>
      </c>
      <c r="BB104" s="416">
        <v>0</v>
      </c>
      <c r="BC104" s="939">
        <v>0</v>
      </c>
      <c r="BD104" s="419">
        <v>0</v>
      </c>
      <c r="BE104" s="419">
        <v>0</v>
      </c>
      <c r="BF104" s="419">
        <f>AX104+AZ104+BA104+BC104+BD104</f>
        <v>-0.5</v>
      </c>
      <c r="BG104" s="419">
        <f>AY104+BB104+BE104</f>
        <v>0</v>
      </c>
      <c r="BH104" s="421">
        <f>SUM(BF104:BG104)</f>
        <v>-0.5</v>
      </c>
      <c r="BI104" s="780">
        <f>I104+AW104</f>
        <v>5298731</v>
      </c>
      <c r="BJ104" s="418">
        <f>J104+AF104</f>
        <v>3928398</v>
      </c>
      <c r="BK104" s="418">
        <f t="shared" si="138"/>
        <v>3928398</v>
      </c>
      <c r="BL104" s="418">
        <f t="shared" si="138"/>
        <v>0</v>
      </c>
      <c r="BM104" s="418">
        <f>M104+AN104</f>
        <v>0</v>
      </c>
      <c r="BN104" s="418">
        <f t="shared" si="139"/>
        <v>0</v>
      </c>
      <c r="BO104" s="418">
        <f t="shared" si="139"/>
        <v>0</v>
      </c>
      <c r="BP104" s="418">
        <f t="shared" si="140"/>
        <v>1327799</v>
      </c>
      <c r="BQ104" s="418">
        <f t="shared" si="140"/>
        <v>39284</v>
      </c>
      <c r="BR104" s="418">
        <f>R104+AV104</f>
        <v>3250</v>
      </c>
      <c r="BS104" s="419">
        <f>S104+BH104</f>
        <v>10.39</v>
      </c>
      <c r="BT104" s="419">
        <f t="shared" si="141"/>
        <v>10.39</v>
      </c>
      <c r="BU104" s="421">
        <f t="shared" si="141"/>
        <v>0</v>
      </c>
      <c r="BV104" s="420"/>
      <c r="BW104" s="415"/>
      <c r="BX104" s="415"/>
      <c r="BY104" s="415"/>
      <c r="BZ104" s="415"/>
      <c r="CA104" s="510"/>
    </row>
    <row r="105" spans="1:79" s="221" customFormat="1" ht="12.75" customHeight="1" x14ac:dyDescent="0.2">
      <c r="A105" s="223">
        <v>23</v>
      </c>
      <c r="B105" s="224">
        <v>3416</v>
      </c>
      <c r="C105" s="224">
        <v>600078426</v>
      </c>
      <c r="D105" s="224">
        <v>72743034</v>
      </c>
      <c r="E105" s="225" t="s">
        <v>53</v>
      </c>
      <c r="F105" s="224">
        <v>3141</v>
      </c>
      <c r="G105" s="225" t="s">
        <v>294</v>
      </c>
      <c r="H105" s="226" t="s">
        <v>272</v>
      </c>
      <c r="I105" s="420">
        <v>2142509</v>
      </c>
      <c r="J105" s="415">
        <v>1576260</v>
      </c>
      <c r="K105" s="415">
        <v>0</v>
      </c>
      <c r="L105" s="415">
        <v>1576260</v>
      </c>
      <c r="M105" s="415">
        <v>0</v>
      </c>
      <c r="N105" s="415">
        <v>0</v>
      </c>
      <c r="O105" s="415">
        <v>0</v>
      </c>
      <c r="P105" s="68">
        <v>532776</v>
      </c>
      <c r="Q105" s="68">
        <v>15763</v>
      </c>
      <c r="R105" s="415">
        <v>17710</v>
      </c>
      <c r="S105" s="416">
        <v>4.7300000000000004</v>
      </c>
      <c r="T105" s="417">
        <v>0</v>
      </c>
      <c r="U105" s="423">
        <v>4.7300000000000004</v>
      </c>
      <c r="V105" s="424">
        <f t="shared" si="136"/>
        <v>0</v>
      </c>
      <c r="W105" s="418">
        <f t="shared" si="136"/>
        <v>0</v>
      </c>
      <c r="X105" s="418">
        <v>0</v>
      </c>
      <c r="Y105" s="418">
        <v>0</v>
      </c>
      <c r="Z105" s="418">
        <v>0</v>
      </c>
      <c r="AA105" s="605">
        <v>789430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789430</v>
      </c>
      <c r="AF105" s="418">
        <f>SUM(AD105:AE105)</f>
        <v>789430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si="137"/>
        <v>0</v>
      </c>
      <c r="AP105" s="418">
        <f t="shared" si="137"/>
        <v>789430</v>
      </c>
      <c r="AQ105" s="418">
        <f>SUM(AO105:AP105)</f>
        <v>789430</v>
      </c>
      <c r="AR105" s="68">
        <f>ROUND((AF105+AG105+AH105+AI105)*33.8%,0)</f>
        <v>266827</v>
      </c>
      <c r="AS105" s="68">
        <f>ROUND(AF105*1%,0)</f>
        <v>7894</v>
      </c>
      <c r="AT105" s="418">
        <v>0</v>
      </c>
      <c r="AU105" s="605">
        <v>8602</v>
      </c>
      <c r="AV105" s="418">
        <f>AT105+AU105</f>
        <v>8602</v>
      </c>
      <c r="AW105" s="418">
        <f>AQ105+AR105+AS105+AV105</f>
        <v>1072753</v>
      </c>
      <c r="AX105" s="419">
        <v>0</v>
      </c>
      <c r="AY105" s="419">
        <v>0</v>
      </c>
      <c r="AZ105" s="419">
        <v>0</v>
      </c>
      <c r="BA105" s="419">
        <v>0</v>
      </c>
      <c r="BB105" s="607">
        <v>2.36</v>
      </c>
      <c r="BC105" s="93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2.36</v>
      </c>
      <c r="BH105" s="421">
        <f>SUM(BF105:BG105)</f>
        <v>2.36</v>
      </c>
      <c r="BI105" s="780">
        <f>I105+AW105</f>
        <v>3215262</v>
      </c>
      <c r="BJ105" s="418">
        <f>J105+AF105</f>
        <v>2365690</v>
      </c>
      <c r="BK105" s="418">
        <f t="shared" si="138"/>
        <v>0</v>
      </c>
      <c r="BL105" s="418">
        <f t="shared" si="138"/>
        <v>2365690</v>
      </c>
      <c r="BM105" s="418">
        <f>M105+AN105</f>
        <v>0</v>
      </c>
      <c r="BN105" s="418">
        <f t="shared" si="139"/>
        <v>0</v>
      </c>
      <c r="BO105" s="418">
        <f t="shared" si="139"/>
        <v>0</v>
      </c>
      <c r="BP105" s="418">
        <f t="shared" si="140"/>
        <v>799603</v>
      </c>
      <c r="BQ105" s="418">
        <f t="shared" si="140"/>
        <v>23657</v>
      </c>
      <c r="BR105" s="418">
        <f>R105+AV105</f>
        <v>26312</v>
      </c>
      <c r="BS105" s="419">
        <f>S105+BH105</f>
        <v>7.09</v>
      </c>
      <c r="BT105" s="419">
        <f t="shared" si="141"/>
        <v>0</v>
      </c>
      <c r="BU105" s="421">
        <f t="shared" si="141"/>
        <v>7.09</v>
      </c>
      <c r="BV105" s="420"/>
      <c r="BW105" s="415"/>
      <c r="BX105" s="415"/>
      <c r="BY105" s="415"/>
      <c r="BZ105" s="415"/>
      <c r="CA105" s="510"/>
    </row>
    <row r="106" spans="1:79" s="221" customFormat="1" ht="12.75" customHeight="1" x14ac:dyDescent="0.2">
      <c r="A106" s="223">
        <v>23</v>
      </c>
      <c r="B106" s="224">
        <v>3416</v>
      </c>
      <c r="C106" s="224">
        <v>600078426</v>
      </c>
      <c r="D106" s="224">
        <v>72743034</v>
      </c>
      <c r="E106" s="225" t="s">
        <v>53</v>
      </c>
      <c r="F106" s="224">
        <v>3143</v>
      </c>
      <c r="G106" s="225" t="s">
        <v>595</v>
      </c>
      <c r="H106" s="226" t="s">
        <v>271</v>
      </c>
      <c r="I106" s="420">
        <v>4032350</v>
      </c>
      <c r="J106" s="415">
        <v>2991357</v>
      </c>
      <c r="K106" s="415">
        <v>2991357</v>
      </c>
      <c r="L106" s="415">
        <v>0</v>
      </c>
      <c r="M106" s="415">
        <v>0</v>
      </c>
      <c r="N106" s="415">
        <v>0</v>
      </c>
      <c r="O106" s="415">
        <v>0</v>
      </c>
      <c r="P106" s="68">
        <v>1011079</v>
      </c>
      <c r="Q106" s="68">
        <v>29914</v>
      </c>
      <c r="R106" s="415">
        <v>0</v>
      </c>
      <c r="S106" s="416">
        <v>5.6891999999999996</v>
      </c>
      <c r="T106" s="417">
        <v>5.6891999999999996</v>
      </c>
      <c r="U106" s="423">
        <v>0</v>
      </c>
      <c r="V106" s="424">
        <f t="shared" si="136"/>
        <v>0</v>
      </c>
      <c r="W106" s="418">
        <f t="shared" si="136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418">
        <f>SUM(AD106:AE106)</f>
        <v>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137"/>
        <v>0</v>
      </c>
      <c r="AP106" s="418">
        <f t="shared" si="137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5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6">
        <v>0</v>
      </c>
      <c r="BC106" s="93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421">
        <f>SUM(BF106:BG106)</f>
        <v>0</v>
      </c>
      <c r="BI106" s="780">
        <f>I106+AW106</f>
        <v>4032350</v>
      </c>
      <c r="BJ106" s="418">
        <f>J106+AF106</f>
        <v>2991357</v>
      </c>
      <c r="BK106" s="418">
        <f t="shared" si="138"/>
        <v>2991357</v>
      </c>
      <c r="BL106" s="418">
        <f t="shared" si="138"/>
        <v>0</v>
      </c>
      <c r="BM106" s="418">
        <f>M106+AN106</f>
        <v>0</v>
      </c>
      <c r="BN106" s="418">
        <f t="shared" si="139"/>
        <v>0</v>
      </c>
      <c r="BO106" s="418">
        <f t="shared" si="139"/>
        <v>0</v>
      </c>
      <c r="BP106" s="418">
        <f t="shared" si="140"/>
        <v>1011079</v>
      </c>
      <c r="BQ106" s="418">
        <f t="shared" si="140"/>
        <v>29914</v>
      </c>
      <c r="BR106" s="418">
        <f>R106+AV106</f>
        <v>0</v>
      </c>
      <c r="BS106" s="419">
        <f>S106+BH106</f>
        <v>5.6891999999999996</v>
      </c>
      <c r="BT106" s="419">
        <f t="shared" si="141"/>
        <v>5.6891999999999996</v>
      </c>
      <c r="BU106" s="421">
        <f t="shared" si="141"/>
        <v>0</v>
      </c>
      <c r="BV106" s="420"/>
      <c r="BW106" s="415"/>
      <c r="BX106" s="415"/>
      <c r="BY106" s="415"/>
      <c r="BZ106" s="415"/>
      <c r="CA106" s="510"/>
    </row>
    <row r="107" spans="1:79" s="221" customFormat="1" ht="12.75" customHeight="1" x14ac:dyDescent="0.2">
      <c r="A107" s="223">
        <v>23</v>
      </c>
      <c r="B107" s="224">
        <v>3416</v>
      </c>
      <c r="C107" s="224">
        <v>600078426</v>
      </c>
      <c r="D107" s="224">
        <v>72743034</v>
      </c>
      <c r="E107" s="225" t="s">
        <v>53</v>
      </c>
      <c r="F107" s="224">
        <v>3143</v>
      </c>
      <c r="G107" s="225" t="s">
        <v>596</v>
      </c>
      <c r="H107" s="226" t="s">
        <v>272</v>
      </c>
      <c r="I107" s="420">
        <v>84536</v>
      </c>
      <c r="J107" s="415">
        <v>60509</v>
      </c>
      <c r="K107" s="415">
        <v>0</v>
      </c>
      <c r="L107" s="415">
        <v>60509</v>
      </c>
      <c r="M107" s="415">
        <v>0</v>
      </c>
      <c r="N107" s="415">
        <v>0</v>
      </c>
      <c r="O107" s="415">
        <v>0</v>
      </c>
      <c r="P107" s="68">
        <v>20452</v>
      </c>
      <c r="Q107" s="68">
        <v>605</v>
      </c>
      <c r="R107" s="415">
        <v>2970</v>
      </c>
      <c r="S107" s="416">
        <v>0.23</v>
      </c>
      <c r="T107" s="417">
        <v>0</v>
      </c>
      <c r="U107" s="423">
        <v>0.23</v>
      </c>
      <c r="V107" s="424">
        <f t="shared" si="136"/>
        <v>0</v>
      </c>
      <c r="W107" s="418">
        <f t="shared" si="136"/>
        <v>0</v>
      </c>
      <c r="X107" s="418">
        <v>0</v>
      </c>
      <c r="Y107" s="418">
        <v>0</v>
      </c>
      <c r="Z107" s="418">
        <v>0</v>
      </c>
      <c r="AA107" s="605">
        <v>30241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30241</v>
      </c>
      <c r="AF107" s="418">
        <f>SUM(AD107:AE107)</f>
        <v>30241</v>
      </c>
      <c r="AG107" s="418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137"/>
        <v>0</v>
      </c>
      <c r="AP107" s="418">
        <f t="shared" si="137"/>
        <v>30241</v>
      </c>
      <c r="AQ107" s="418">
        <f>SUM(AO107:AP107)</f>
        <v>30241</v>
      </c>
      <c r="AR107" s="68">
        <f>ROUND((AF107+AG107+AH107+AI107)*33.8%,0)</f>
        <v>10221</v>
      </c>
      <c r="AS107" s="68">
        <f>ROUND(AF107*1%,0)</f>
        <v>302</v>
      </c>
      <c r="AT107" s="418">
        <v>0</v>
      </c>
      <c r="AU107" s="606">
        <v>1485</v>
      </c>
      <c r="AV107" s="418">
        <f>AT107+AU107</f>
        <v>1485</v>
      </c>
      <c r="AW107" s="418">
        <f>AQ107+AR107+AS107+AV107</f>
        <v>42249</v>
      </c>
      <c r="AX107" s="419">
        <v>0</v>
      </c>
      <c r="AY107" s="419">
        <v>0</v>
      </c>
      <c r="AZ107" s="419">
        <v>0</v>
      </c>
      <c r="BA107" s="419">
        <v>0</v>
      </c>
      <c r="BB107" s="607">
        <v>0.11</v>
      </c>
      <c r="BC107" s="93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0.11</v>
      </c>
      <c r="BH107" s="421">
        <f>SUM(BF107:BG107)</f>
        <v>0.11</v>
      </c>
      <c r="BI107" s="780">
        <f>I107+AW107</f>
        <v>126785</v>
      </c>
      <c r="BJ107" s="418">
        <f>J107+AF107</f>
        <v>90750</v>
      </c>
      <c r="BK107" s="418">
        <f t="shared" si="138"/>
        <v>0</v>
      </c>
      <c r="BL107" s="418">
        <f t="shared" si="138"/>
        <v>90750</v>
      </c>
      <c r="BM107" s="418">
        <f>M107+AN107</f>
        <v>0</v>
      </c>
      <c r="BN107" s="418">
        <f t="shared" si="139"/>
        <v>0</v>
      </c>
      <c r="BO107" s="418">
        <f t="shared" si="139"/>
        <v>0</v>
      </c>
      <c r="BP107" s="418">
        <f t="shared" si="140"/>
        <v>30673</v>
      </c>
      <c r="BQ107" s="418">
        <f t="shared" si="140"/>
        <v>907</v>
      </c>
      <c r="BR107" s="418">
        <f>R107+AV107</f>
        <v>4455</v>
      </c>
      <c r="BS107" s="419">
        <f>S107+BH107</f>
        <v>0.34</v>
      </c>
      <c r="BT107" s="419">
        <f t="shared" si="141"/>
        <v>0</v>
      </c>
      <c r="BU107" s="421">
        <f t="shared" si="141"/>
        <v>0.34</v>
      </c>
      <c r="BV107" s="420"/>
      <c r="BW107" s="415"/>
      <c r="BX107" s="415"/>
      <c r="BY107" s="415"/>
      <c r="BZ107" s="415"/>
      <c r="CA107" s="510"/>
    </row>
    <row r="108" spans="1:79" s="221" customFormat="1" ht="12.75" customHeight="1" x14ac:dyDescent="0.2">
      <c r="A108" s="153">
        <v>23</v>
      </c>
      <c r="B108" s="14">
        <v>3416</v>
      </c>
      <c r="C108" s="152">
        <v>600078426</v>
      </c>
      <c r="D108" s="152">
        <v>72743034</v>
      </c>
      <c r="E108" s="222" t="s">
        <v>54</v>
      </c>
      <c r="F108" s="14"/>
      <c r="G108" s="222"/>
      <c r="H108" s="560"/>
      <c r="I108" s="505">
        <v>50338392</v>
      </c>
      <c r="J108" s="504">
        <v>36634504</v>
      </c>
      <c r="K108" s="504">
        <v>33141626</v>
      </c>
      <c r="L108" s="504">
        <v>3492878</v>
      </c>
      <c r="M108" s="504">
        <v>287000</v>
      </c>
      <c r="N108" s="504">
        <v>282000</v>
      </c>
      <c r="O108" s="504">
        <v>5000</v>
      </c>
      <c r="P108" s="504">
        <v>12479469</v>
      </c>
      <c r="Q108" s="504">
        <v>366346</v>
      </c>
      <c r="R108" s="504">
        <v>571073</v>
      </c>
      <c r="S108" s="544">
        <v>63.0242</v>
      </c>
      <c r="T108" s="544">
        <v>52.397500000000001</v>
      </c>
      <c r="U108" s="401">
        <v>10.626700000000001</v>
      </c>
      <c r="V108" s="505">
        <f t="shared" ref="V108:CA108" si="142">SUM(V103:V107)</f>
        <v>0</v>
      </c>
      <c r="W108" s="504">
        <f t="shared" si="142"/>
        <v>0</v>
      </c>
      <c r="X108" s="504">
        <f t="shared" si="142"/>
        <v>-247563</v>
      </c>
      <c r="Y108" s="504">
        <f t="shared" si="142"/>
        <v>0</v>
      </c>
      <c r="Z108" s="504">
        <f t="shared" si="142"/>
        <v>0</v>
      </c>
      <c r="AA108" s="575">
        <f t="shared" si="142"/>
        <v>819671</v>
      </c>
      <c r="AB108" s="504">
        <f t="shared" si="142"/>
        <v>0</v>
      </c>
      <c r="AC108" s="504">
        <f t="shared" si="142"/>
        <v>0</v>
      </c>
      <c r="AD108" s="504">
        <f t="shared" si="142"/>
        <v>-247563</v>
      </c>
      <c r="AE108" s="504">
        <f t="shared" si="142"/>
        <v>819671</v>
      </c>
      <c r="AF108" s="504">
        <f t="shared" si="142"/>
        <v>572108</v>
      </c>
      <c r="AG108" s="504">
        <f t="shared" si="142"/>
        <v>0</v>
      </c>
      <c r="AH108" s="504">
        <f t="shared" si="142"/>
        <v>0</v>
      </c>
      <c r="AI108" s="504">
        <f t="shared" si="142"/>
        <v>0</v>
      </c>
      <c r="AJ108" s="504">
        <f t="shared" si="142"/>
        <v>0</v>
      </c>
      <c r="AK108" s="504">
        <f t="shared" si="142"/>
        <v>0</v>
      </c>
      <c r="AL108" s="504">
        <f t="shared" si="142"/>
        <v>0</v>
      </c>
      <c r="AM108" s="504">
        <f t="shared" si="142"/>
        <v>0</v>
      </c>
      <c r="AN108" s="504">
        <f t="shared" si="142"/>
        <v>0</v>
      </c>
      <c r="AO108" s="504">
        <f t="shared" si="142"/>
        <v>-247563</v>
      </c>
      <c r="AP108" s="504">
        <f t="shared" si="142"/>
        <v>819671</v>
      </c>
      <c r="AQ108" s="504">
        <f t="shared" si="142"/>
        <v>572108</v>
      </c>
      <c r="AR108" s="504">
        <f t="shared" si="142"/>
        <v>193372</v>
      </c>
      <c r="AS108" s="504">
        <f t="shared" si="142"/>
        <v>5720</v>
      </c>
      <c r="AT108" s="504">
        <f t="shared" si="142"/>
        <v>0</v>
      </c>
      <c r="AU108" s="504">
        <f t="shared" si="142"/>
        <v>10087</v>
      </c>
      <c r="AV108" s="504">
        <f t="shared" si="142"/>
        <v>10087</v>
      </c>
      <c r="AW108" s="504">
        <f t="shared" si="142"/>
        <v>781287</v>
      </c>
      <c r="AX108" s="544">
        <f t="shared" si="142"/>
        <v>0</v>
      </c>
      <c r="AY108" s="544">
        <f t="shared" si="142"/>
        <v>0</v>
      </c>
      <c r="AZ108" s="544">
        <f t="shared" si="142"/>
        <v>-0.5</v>
      </c>
      <c r="BA108" s="544">
        <f t="shared" si="142"/>
        <v>0</v>
      </c>
      <c r="BB108" s="544">
        <f t="shared" si="142"/>
        <v>2.4699999999999998</v>
      </c>
      <c r="BC108" s="938">
        <f t="shared" si="142"/>
        <v>0</v>
      </c>
      <c r="BD108" s="544">
        <f t="shared" si="142"/>
        <v>0</v>
      </c>
      <c r="BE108" s="544">
        <f t="shared" si="142"/>
        <v>0</v>
      </c>
      <c r="BF108" s="544">
        <f t="shared" si="142"/>
        <v>-0.5</v>
      </c>
      <c r="BG108" s="544">
        <f t="shared" si="142"/>
        <v>2.4699999999999998</v>
      </c>
      <c r="BH108" s="442">
        <f t="shared" si="142"/>
        <v>1.97</v>
      </c>
      <c r="BI108" s="806">
        <f t="shared" si="142"/>
        <v>51119679</v>
      </c>
      <c r="BJ108" s="504">
        <f t="shared" si="142"/>
        <v>37206612</v>
      </c>
      <c r="BK108" s="504">
        <f t="shared" si="142"/>
        <v>32894063</v>
      </c>
      <c r="BL108" s="504">
        <f t="shared" si="142"/>
        <v>4312549</v>
      </c>
      <c r="BM108" s="504">
        <f t="shared" si="142"/>
        <v>287000</v>
      </c>
      <c r="BN108" s="504">
        <f t="shared" si="142"/>
        <v>282000</v>
      </c>
      <c r="BO108" s="504">
        <f t="shared" si="142"/>
        <v>5000</v>
      </c>
      <c r="BP108" s="504">
        <f t="shared" si="142"/>
        <v>12672841</v>
      </c>
      <c r="BQ108" s="504">
        <f t="shared" si="142"/>
        <v>372066</v>
      </c>
      <c r="BR108" s="504">
        <f t="shared" si="142"/>
        <v>581160</v>
      </c>
      <c r="BS108" s="544">
        <f t="shared" si="142"/>
        <v>64.994200000000006</v>
      </c>
      <c r="BT108" s="544">
        <f t="shared" si="142"/>
        <v>51.897500000000001</v>
      </c>
      <c r="BU108" s="442">
        <f t="shared" si="142"/>
        <v>13.0967</v>
      </c>
      <c r="BV108" s="824">
        <f t="shared" si="142"/>
        <v>757452</v>
      </c>
      <c r="BW108" s="710">
        <f t="shared" si="142"/>
        <v>282000</v>
      </c>
      <c r="BX108" s="710">
        <f t="shared" si="142"/>
        <v>282000</v>
      </c>
      <c r="BY108" s="710">
        <f t="shared" si="142"/>
        <v>190632</v>
      </c>
      <c r="BZ108" s="710">
        <f t="shared" si="142"/>
        <v>2820</v>
      </c>
      <c r="CA108" s="825">
        <f t="shared" si="142"/>
        <v>0.5</v>
      </c>
    </row>
    <row r="109" spans="1:79" s="221" customFormat="1" ht="12.75" customHeight="1" x14ac:dyDescent="0.2">
      <c r="A109" s="223">
        <v>24</v>
      </c>
      <c r="B109" s="224">
        <v>3414</v>
      </c>
      <c r="C109" s="224">
        <v>600078388</v>
      </c>
      <c r="D109" s="224">
        <v>43257721</v>
      </c>
      <c r="E109" s="225" t="s">
        <v>55</v>
      </c>
      <c r="F109" s="224">
        <v>3113</v>
      </c>
      <c r="G109" s="225" t="s">
        <v>293</v>
      </c>
      <c r="H109" s="226" t="s">
        <v>271</v>
      </c>
      <c r="I109" s="420">
        <v>37323111</v>
      </c>
      <c r="J109" s="415">
        <v>27184757</v>
      </c>
      <c r="K109" s="415">
        <v>25389674</v>
      </c>
      <c r="L109" s="415">
        <v>1795083</v>
      </c>
      <c r="M109" s="415">
        <v>100000</v>
      </c>
      <c r="N109" s="415">
        <v>70000</v>
      </c>
      <c r="O109" s="415">
        <v>30000</v>
      </c>
      <c r="P109" s="68">
        <v>9222248</v>
      </c>
      <c r="Q109" s="68">
        <v>271847</v>
      </c>
      <c r="R109" s="415">
        <v>544259</v>
      </c>
      <c r="S109" s="416">
        <v>41.34040000000001</v>
      </c>
      <c r="T109" s="417">
        <v>35.834500000000006</v>
      </c>
      <c r="U109" s="423">
        <v>5.5059000000000005</v>
      </c>
      <c r="V109" s="424">
        <f t="shared" ref="V109:W113" si="143">AG109*-1</f>
        <v>0</v>
      </c>
      <c r="W109" s="418">
        <f t="shared" si="143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0</v>
      </c>
      <c r="AF109" s="418">
        <f>SUM(AD109:AE109)</f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 t="shared" ref="AO109:AP113" si="144">AD109+AL109</f>
        <v>0</v>
      </c>
      <c r="AP109" s="418">
        <f t="shared" si="144"/>
        <v>0</v>
      </c>
      <c r="AQ109" s="418">
        <f>SUM(AO109:AP109)</f>
        <v>0</v>
      </c>
      <c r="AR109" s="68">
        <f>ROUND((AF109+AG109+AH109+AI109)*33.8%,0)</f>
        <v>0</v>
      </c>
      <c r="AS109" s="68">
        <f>ROUND(AF109*1%,0)</f>
        <v>0</v>
      </c>
      <c r="AT109" s="418">
        <v>0</v>
      </c>
      <c r="AU109" s="415">
        <v>0</v>
      </c>
      <c r="AV109" s="418">
        <f>AT109+AU109</f>
        <v>0</v>
      </c>
      <c r="AW109" s="418">
        <f>AQ109+AR109+AS109+AV109</f>
        <v>0</v>
      </c>
      <c r="AX109" s="419">
        <v>0</v>
      </c>
      <c r="AY109" s="419">
        <v>0</v>
      </c>
      <c r="AZ109" s="419">
        <v>0</v>
      </c>
      <c r="BA109" s="419">
        <v>0</v>
      </c>
      <c r="BB109" s="416">
        <v>0</v>
      </c>
      <c r="BC109" s="93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</v>
      </c>
      <c r="BH109" s="421">
        <f>SUM(BF109:BG109)</f>
        <v>0</v>
      </c>
      <c r="BI109" s="780">
        <f>I109+AW109</f>
        <v>37323111</v>
      </c>
      <c r="BJ109" s="418">
        <f>J109+AF109</f>
        <v>27184757</v>
      </c>
      <c r="BK109" s="418">
        <f t="shared" ref="BK109:BL113" si="145">K109+AD109</f>
        <v>25389674</v>
      </c>
      <c r="BL109" s="418">
        <f t="shared" si="145"/>
        <v>1795083</v>
      </c>
      <c r="BM109" s="418">
        <f>M109+AN109</f>
        <v>100000</v>
      </c>
      <c r="BN109" s="418">
        <f t="shared" ref="BN109:BO113" si="146">N109+AL109</f>
        <v>70000</v>
      </c>
      <c r="BO109" s="418">
        <f t="shared" si="146"/>
        <v>30000</v>
      </c>
      <c r="BP109" s="418">
        <f t="shared" ref="BP109:BQ113" si="147">P109+AR109</f>
        <v>9222248</v>
      </c>
      <c r="BQ109" s="418">
        <f t="shared" si="147"/>
        <v>271847</v>
      </c>
      <c r="BR109" s="418">
        <f>R109+AV109</f>
        <v>544259</v>
      </c>
      <c r="BS109" s="419">
        <f>S109+BH109</f>
        <v>41.34040000000001</v>
      </c>
      <c r="BT109" s="419">
        <f t="shared" ref="BT109:BU113" si="148">T109+BF109</f>
        <v>35.834500000000006</v>
      </c>
      <c r="BU109" s="421">
        <f t="shared" si="148"/>
        <v>5.5059000000000005</v>
      </c>
      <c r="BV109" s="420">
        <v>380136</v>
      </c>
      <c r="BW109" s="415">
        <v>282000</v>
      </c>
      <c r="BX109" s="415">
        <v>0</v>
      </c>
      <c r="BY109" s="415">
        <v>95316</v>
      </c>
      <c r="BZ109" s="415">
        <v>2820</v>
      </c>
      <c r="CA109" s="510">
        <v>0.5</v>
      </c>
    </row>
    <row r="110" spans="1:79" s="221" customFormat="1" x14ac:dyDescent="0.2">
      <c r="A110" s="223">
        <v>24</v>
      </c>
      <c r="B110" s="224">
        <v>3414</v>
      </c>
      <c r="C110" s="224">
        <v>600078388</v>
      </c>
      <c r="D110" s="224">
        <v>43257721</v>
      </c>
      <c r="E110" s="225" t="s">
        <v>55</v>
      </c>
      <c r="F110" s="224">
        <v>3113</v>
      </c>
      <c r="G110" s="225" t="s">
        <v>291</v>
      </c>
      <c r="H110" s="226" t="s">
        <v>272</v>
      </c>
      <c r="I110" s="420">
        <v>5596203</v>
      </c>
      <c r="J110" s="415">
        <v>4151486</v>
      </c>
      <c r="K110" s="415">
        <v>4151486</v>
      </c>
      <c r="L110" s="415">
        <v>0</v>
      </c>
      <c r="M110" s="415">
        <v>0</v>
      </c>
      <c r="N110" s="415">
        <v>0</v>
      </c>
      <c r="O110" s="415">
        <v>0</v>
      </c>
      <c r="P110" s="68">
        <v>1403202</v>
      </c>
      <c r="Q110" s="68">
        <v>41515</v>
      </c>
      <c r="R110" s="415">
        <v>0</v>
      </c>
      <c r="S110" s="416">
        <v>10.95</v>
      </c>
      <c r="T110" s="417">
        <v>10.95</v>
      </c>
      <c r="U110" s="423">
        <v>0</v>
      </c>
      <c r="V110" s="424">
        <f t="shared" si="143"/>
        <v>0</v>
      </c>
      <c r="W110" s="418">
        <f t="shared" si="143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>V110+X110+Y110+Z110+AB110</f>
        <v>0</v>
      </c>
      <c r="AE110" s="418">
        <f>W110+AA110+AC110</f>
        <v>0</v>
      </c>
      <c r="AF110" s="418">
        <f>SUM(AD110:AE110)</f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>AG110+AI110+AJ110</f>
        <v>0</v>
      </c>
      <c r="AM110" s="418">
        <f>AH110+AK110</f>
        <v>0</v>
      </c>
      <c r="AN110" s="418">
        <f>SUM(AL110:AM110)</f>
        <v>0</v>
      </c>
      <c r="AO110" s="418">
        <f t="shared" si="144"/>
        <v>0</v>
      </c>
      <c r="AP110" s="418">
        <f t="shared" si="144"/>
        <v>0</v>
      </c>
      <c r="AQ110" s="418">
        <f>SUM(AO110:AP110)</f>
        <v>0</v>
      </c>
      <c r="AR110" s="68">
        <f>ROUND((AF110+AG110+AH110+AI110)*33.8%,0)</f>
        <v>0</v>
      </c>
      <c r="AS110" s="68">
        <f>ROUND(AF110*1%,0)</f>
        <v>0</v>
      </c>
      <c r="AT110" s="418">
        <v>0</v>
      </c>
      <c r="AU110" s="415"/>
      <c r="AV110" s="418">
        <f>AT110+AU110</f>
        <v>0</v>
      </c>
      <c r="AW110" s="418">
        <f>AQ110+AR110+AS110+AV110</f>
        <v>0</v>
      </c>
      <c r="AX110" s="419">
        <v>0</v>
      </c>
      <c r="AY110" s="419">
        <v>0</v>
      </c>
      <c r="AZ110" s="419">
        <v>0</v>
      </c>
      <c r="BA110" s="419">
        <v>0</v>
      </c>
      <c r="BB110" s="416">
        <v>0</v>
      </c>
      <c r="BC110" s="939">
        <v>0</v>
      </c>
      <c r="BD110" s="419">
        <v>0</v>
      </c>
      <c r="BE110" s="419">
        <v>0</v>
      </c>
      <c r="BF110" s="419">
        <f>AX110+AZ110+BA110+BC110+BD110</f>
        <v>0</v>
      </c>
      <c r="BG110" s="419">
        <f>AY110+BB110+BE110</f>
        <v>0</v>
      </c>
      <c r="BH110" s="421">
        <f>SUM(BF110:BG110)</f>
        <v>0</v>
      </c>
      <c r="BI110" s="780">
        <f>I110+AW110</f>
        <v>5596203</v>
      </c>
      <c r="BJ110" s="418">
        <f>J110+AF110</f>
        <v>4151486</v>
      </c>
      <c r="BK110" s="418">
        <f t="shared" si="145"/>
        <v>4151486</v>
      </c>
      <c r="BL110" s="418">
        <f t="shared" si="145"/>
        <v>0</v>
      </c>
      <c r="BM110" s="418">
        <f>M110+AN110</f>
        <v>0</v>
      </c>
      <c r="BN110" s="418">
        <f t="shared" si="146"/>
        <v>0</v>
      </c>
      <c r="BO110" s="418">
        <f t="shared" si="146"/>
        <v>0</v>
      </c>
      <c r="BP110" s="418">
        <f t="shared" si="147"/>
        <v>1403202</v>
      </c>
      <c r="BQ110" s="418">
        <f t="shared" si="147"/>
        <v>41515</v>
      </c>
      <c r="BR110" s="418">
        <f>R110+AV110</f>
        <v>0</v>
      </c>
      <c r="BS110" s="419">
        <f>S110+BH110</f>
        <v>10.95</v>
      </c>
      <c r="BT110" s="419">
        <f t="shared" si="148"/>
        <v>10.95</v>
      </c>
      <c r="BU110" s="421">
        <f t="shared" si="148"/>
        <v>0</v>
      </c>
      <c r="BV110" s="420"/>
      <c r="BW110" s="415"/>
      <c r="BX110" s="415"/>
      <c r="BY110" s="415"/>
      <c r="BZ110" s="415"/>
      <c r="CA110" s="510"/>
    </row>
    <row r="111" spans="1:79" s="221" customFormat="1" ht="12.75" customHeight="1" x14ac:dyDescent="0.2">
      <c r="A111" s="223">
        <v>24</v>
      </c>
      <c r="B111" s="224">
        <v>3414</v>
      </c>
      <c r="C111" s="224">
        <v>600078388</v>
      </c>
      <c r="D111" s="224">
        <v>43257721</v>
      </c>
      <c r="E111" s="225" t="s">
        <v>55</v>
      </c>
      <c r="F111" s="224">
        <v>3141</v>
      </c>
      <c r="G111" s="225" t="s">
        <v>294</v>
      </c>
      <c r="H111" s="226" t="s">
        <v>272</v>
      </c>
      <c r="I111" s="420">
        <v>2287864</v>
      </c>
      <c r="J111" s="415">
        <v>1682974</v>
      </c>
      <c r="K111" s="415">
        <v>0</v>
      </c>
      <c r="L111" s="415">
        <v>1682974</v>
      </c>
      <c r="M111" s="415">
        <v>0</v>
      </c>
      <c r="N111" s="415">
        <v>0</v>
      </c>
      <c r="O111" s="415">
        <v>0</v>
      </c>
      <c r="P111" s="68">
        <v>568845</v>
      </c>
      <c r="Q111" s="68">
        <v>16830</v>
      </c>
      <c r="R111" s="415">
        <v>19215</v>
      </c>
      <c r="S111" s="416">
        <v>5.05</v>
      </c>
      <c r="T111" s="417">
        <v>0</v>
      </c>
      <c r="U111" s="423">
        <v>5.05</v>
      </c>
      <c r="V111" s="424">
        <f t="shared" si="143"/>
        <v>0</v>
      </c>
      <c r="W111" s="418">
        <f t="shared" si="143"/>
        <v>0</v>
      </c>
      <c r="X111" s="418">
        <v>0</v>
      </c>
      <c r="Y111" s="418">
        <v>0</v>
      </c>
      <c r="Z111" s="418">
        <v>0</v>
      </c>
      <c r="AA111" s="605">
        <v>842685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842685</v>
      </c>
      <c r="AF111" s="418">
        <f>SUM(AD111:AE111)</f>
        <v>842685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si="144"/>
        <v>0</v>
      </c>
      <c r="AP111" s="418">
        <f t="shared" si="144"/>
        <v>842685</v>
      </c>
      <c r="AQ111" s="418">
        <f>SUM(AO111:AP111)</f>
        <v>842685</v>
      </c>
      <c r="AR111" s="68">
        <f>ROUND((AF111+AG111+AH111+AI111)*33.8%,0)</f>
        <v>284828</v>
      </c>
      <c r="AS111" s="68">
        <f>ROUND(AF111*1%,0)</f>
        <v>8427</v>
      </c>
      <c r="AT111" s="418">
        <v>0</v>
      </c>
      <c r="AU111" s="605">
        <v>9333</v>
      </c>
      <c r="AV111" s="418">
        <f>AT111+AU111</f>
        <v>9333</v>
      </c>
      <c r="AW111" s="418">
        <f>AQ111+AR111+AS111+AV111</f>
        <v>1145273</v>
      </c>
      <c r="AX111" s="419">
        <v>0</v>
      </c>
      <c r="AY111" s="419">
        <v>0</v>
      </c>
      <c r="AZ111" s="419">
        <v>0</v>
      </c>
      <c r="BA111" s="419">
        <v>0</v>
      </c>
      <c r="BB111" s="607">
        <v>2.52</v>
      </c>
      <c r="BC111" s="93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2.52</v>
      </c>
      <c r="BH111" s="421">
        <f>SUM(BF111:BG111)</f>
        <v>2.52</v>
      </c>
      <c r="BI111" s="780">
        <f>I111+AW111</f>
        <v>3433137</v>
      </c>
      <c r="BJ111" s="418">
        <f>J111+AF111</f>
        <v>2525659</v>
      </c>
      <c r="BK111" s="418">
        <f t="shared" si="145"/>
        <v>0</v>
      </c>
      <c r="BL111" s="418">
        <f t="shared" si="145"/>
        <v>2525659</v>
      </c>
      <c r="BM111" s="418">
        <f>M111+AN111</f>
        <v>0</v>
      </c>
      <c r="BN111" s="418">
        <f t="shared" si="146"/>
        <v>0</v>
      </c>
      <c r="BO111" s="418">
        <f t="shared" si="146"/>
        <v>0</v>
      </c>
      <c r="BP111" s="418">
        <f t="shared" si="147"/>
        <v>853673</v>
      </c>
      <c r="BQ111" s="418">
        <f t="shared" si="147"/>
        <v>25257</v>
      </c>
      <c r="BR111" s="418">
        <f>R111+AV111</f>
        <v>28548</v>
      </c>
      <c r="BS111" s="419">
        <f>S111+BH111</f>
        <v>7.57</v>
      </c>
      <c r="BT111" s="419">
        <f t="shared" si="148"/>
        <v>0</v>
      </c>
      <c r="BU111" s="421">
        <f t="shared" si="148"/>
        <v>7.57</v>
      </c>
      <c r="BV111" s="420"/>
      <c r="BW111" s="415"/>
      <c r="BX111" s="415"/>
      <c r="BY111" s="415"/>
      <c r="BZ111" s="415"/>
      <c r="CA111" s="510"/>
    </row>
    <row r="112" spans="1:79" s="221" customFormat="1" ht="12.75" customHeight="1" x14ac:dyDescent="0.2">
      <c r="A112" s="223">
        <v>24</v>
      </c>
      <c r="B112" s="224">
        <v>3414</v>
      </c>
      <c r="C112" s="224">
        <v>600078388</v>
      </c>
      <c r="D112" s="224">
        <v>43257721</v>
      </c>
      <c r="E112" s="225" t="s">
        <v>55</v>
      </c>
      <c r="F112" s="224">
        <v>3143</v>
      </c>
      <c r="G112" s="225" t="s">
        <v>595</v>
      </c>
      <c r="H112" s="226" t="s">
        <v>271</v>
      </c>
      <c r="I112" s="420">
        <v>3830962</v>
      </c>
      <c r="J112" s="415">
        <v>2841960</v>
      </c>
      <c r="K112" s="415">
        <v>2841960</v>
      </c>
      <c r="L112" s="415">
        <v>0</v>
      </c>
      <c r="M112" s="415">
        <v>0</v>
      </c>
      <c r="N112" s="415">
        <v>0</v>
      </c>
      <c r="O112" s="415">
        <v>0</v>
      </c>
      <c r="P112" s="68">
        <v>960582</v>
      </c>
      <c r="Q112" s="68">
        <v>28420</v>
      </c>
      <c r="R112" s="415">
        <v>0</v>
      </c>
      <c r="S112" s="416">
        <v>5.4820000000000002</v>
      </c>
      <c r="T112" s="417">
        <v>5.4820000000000002</v>
      </c>
      <c r="U112" s="423">
        <v>0</v>
      </c>
      <c r="V112" s="424">
        <f t="shared" si="143"/>
        <v>0</v>
      </c>
      <c r="W112" s="418">
        <f t="shared" si="143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418">
        <f>SUM(AD112:AE112)</f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144"/>
        <v>0</v>
      </c>
      <c r="AP112" s="418">
        <f t="shared" si="144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5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6">
        <v>0</v>
      </c>
      <c r="BC112" s="93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</v>
      </c>
      <c r="BH112" s="421">
        <f>SUM(BF112:BG112)</f>
        <v>0</v>
      </c>
      <c r="BI112" s="780">
        <f>I112+AW112</f>
        <v>3830962</v>
      </c>
      <c r="BJ112" s="418">
        <f>J112+AF112</f>
        <v>2841960</v>
      </c>
      <c r="BK112" s="418">
        <f t="shared" si="145"/>
        <v>2841960</v>
      </c>
      <c r="BL112" s="418">
        <f t="shared" si="145"/>
        <v>0</v>
      </c>
      <c r="BM112" s="418">
        <f>M112+AN112</f>
        <v>0</v>
      </c>
      <c r="BN112" s="418">
        <f t="shared" si="146"/>
        <v>0</v>
      </c>
      <c r="BO112" s="418">
        <f t="shared" si="146"/>
        <v>0</v>
      </c>
      <c r="BP112" s="418">
        <f t="shared" si="147"/>
        <v>960582</v>
      </c>
      <c r="BQ112" s="418">
        <f t="shared" si="147"/>
        <v>28420</v>
      </c>
      <c r="BR112" s="418">
        <f>R112+AV112</f>
        <v>0</v>
      </c>
      <c r="BS112" s="419">
        <f>S112+BH112</f>
        <v>5.4820000000000002</v>
      </c>
      <c r="BT112" s="419">
        <f t="shared" si="148"/>
        <v>5.4820000000000002</v>
      </c>
      <c r="BU112" s="421">
        <f t="shared" si="148"/>
        <v>0</v>
      </c>
      <c r="BV112" s="420"/>
      <c r="BW112" s="415"/>
      <c r="BX112" s="415"/>
      <c r="BY112" s="415"/>
      <c r="BZ112" s="415"/>
      <c r="CA112" s="510"/>
    </row>
    <row r="113" spans="1:79" s="221" customFormat="1" ht="12.75" customHeight="1" x14ac:dyDescent="0.2">
      <c r="A113" s="223">
        <v>24</v>
      </c>
      <c r="B113" s="224">
        <v>3414</v>
      </c>
      <c r="C113" s="224">
        <v>600078388</v>
      </c>
      <c r="D113" s="224">
        <v>43257721</v>
      </c>
      <c r="E113" s="225" t="s">
        <v>55</v>
      </c>
      <c r="F113" s="224">
        <v>3143</v>
      </c>
      <c r="G113" s="225" t="s">
        <v>596</v>
      </c>
      <c r="H113" s="226" t="s">
        <v>272</v>
      </c>
      <c r="I113" s="420">
        <v>85533</v>
      </c>
      <c r="J113" s="415">
        <v>61222</v>
      </c>
      <c r="K113" s="415">
        <v>0</v>
      </c>
      <c r="L113" s="415">
        <v>61222</v>
      </c>
      <c r="M113" s="415">
        <v>0</v>
      </c>
      <c r="N113" s="415">
        <v>0</v>
      </c>
      <c r="O113" s="415">
        <v>0</v>
      </c>
      <c r="P113" s="68">
        <v>20693</v>
      </c>
      <c r="Q113" s="68">
        <v>612</v>
      </c>
      <c r="R113" s="415">
        <v>3006</v>
      </c>
      <c r="S113" s="416">
        <v>0.23</v>
      </c>
      <c r="T113" s="417">
        <v>0</v>
      </c>
      <c r="U113" s="423">
        <v>0.23</v>
      </c>
      <c r="V113" s="424">
        <f t="shared" si="143"/>
        <v>0</v>
      </c>
      <c r="W113" s="418">
        <f t="shared" si="143"/>
        <v>0</v>
      </c>
      <c r="X113" s="418">
        <v>0</v>
      </c>
      <c r="Y113" s="418">
        <v>0</v>
      </c>
      <c r="Z113" s="418">
        <v>0</v>
      </c>
      <c r="AA113" s="605">
        <v>30628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30628</v>
      </c>
      <c r="AF113" s="418">
        <f>SUM(AD113:AE113)</f>
        <v>30628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 t="shared" si="144"/>
        <v>0</v>
      </c>
      <c r="AP113" s="418">
        <f t="shared" si="144"/>
        <v>30628</v>
      </c>
      <c r="AQ113" s="418">
        <f>SUM(AO113:AP113)</f>
        <v>30628</v>
      </c>
      <c r="AR113" s="68">
        <f>ROUND((AF113+AG113+AH113+AI113)*33.8%,0)</f>
        <v>10352</v>
      </c>
      <c r="AS113" s="68">
        <f>ROUND(AF113*1%,0)</f>
        <v>306</v>
      </c>
      <c r="AT113" s="418">
        <v>0</v>
      </c>
      <c r="AU113" s="606">
        <v>1503</v>
      </c>
      <c r="AV113" s="418">
        <f>AT113+AU113</f>
        <v>1503</v>
      </c>
      <c r="AW113" s="418">
        <f>AQ113+AR113+AS113+AV113</f>
        <v>42789</v>
      </c>
      <c r="AX113" s="419">
        <v>0</v>
      </c>
      <c r="AY113" s="419">
        <v>0</v>
      </c>
      <c r="AZ113" s="419">
        <v>0</v>
      </c>
      <c r="BA113" s="419">
        <v>0</v>
      </c>
      <c r="BB113" s="607">
        <v>0.12</v>
      </c>
      <c r="BC113" s="93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0.12</v>
      </c>
      <c r="BH113" s="421">
        <f>SUM(BF113:BG113)</f>
        <v>0.12</v>
      </c>
      <c r="BI113" s="780">
        <f>I113+AW113</f>
        <v>128322</v>
      </c>
      <c r="BJ113" s="418">
        <f>J113+AF113</f>
        <v>91850</v>
      </c>
      <c r="BK113" s="418">
        <f t="shared" si="145"/>
        <v>0</v>
      </c>
      <c r="BL113" s="418">
        <f t="shared" si="145"/>
        <v>91850</v>
      </c>
      <c r="BM113" s="418">
        <f>M113+AN113</f>
        <v>0</v>
      </c>
      <c r="BN113" s="418">
        <f t="shared" si="146"/>
        <v>0</v>
      </c>
      <c r="BO113" s="418">
        <f t="shared" si="146"/>
        <v>0</v>
      </c>
      <c r="BP113" s="418">
        <f t="shared" si="147"/>
        <v>31045</v>
      </c>
      <c r="BQ113" s="418">
        <f t="shared" si="147"/>
        <v>918</v>
      </c>
      <c r="BR113" s="418">
        <f>R113+AV113</f>
        <v>4509</v>
      </c>
      <c r="BS113" s="419">
        <f>S113+BH113</f>
        <v>0.35</v>
      </c>
      <c r="BT113" s="419">
        <f t="shared" si="148"/>
        <v>0</v>
      </c>
      <c r="BU113" s="421">
        <f t="shared" si="148"/>
        <v>0.35</v>
      </c>
      <c r="BV113" s="420"/>
      <c r="BW113" s="415"/>
      <c r="BX113" s="415"/>
      <c r="BY113" s="415"/>
      <c r="BZ113" s="415"/>
      <c r="CA113" s="510"/>
    </row>
    <row r="114" spans="1:79" s="221" customFormat="1" ht="12.75" customHeight="1" x14ac:dyDescent="0.2">
      <c r="A114" s="153">
        <v>24</v>
      </c>
      <c r="B114" s="14">
        <v>3414</v>
      </c>
      <c r="C114" s="152">
        <v>600078388</v>
      </c>
      <c r="D114" s="152">
        <v>43257721</v>
      </c>
      <c r="E114" s="222" t="s">
        <v>56</v>
      </c>
      <c r="F114" s="14"/>
      <c r="G114" s="222"/>
      <c r="H114" s="560"/>
      <c r="I114" s="505">
        <v>49123673</v>
      </c>
      <c r="J114" s="504">
        <v>35922399</v>
      </c>
      <c r="K114" s="504">
        <v>32383120</v>
      </c>
      <c r="L114" s="504">
        <v>3539279</v>
      </c>
      <c r="M114" s="504">
        <v>100000</v>
      </c>
      <c r="N114" s="504">
        <v>70000</v>
      </c>
      <c r="O114" s="504">
        <v>30000</v>
      </c>
      <c r="P114" s="504">
        <v>12175570</v>
      </c>
      <c r="Q114" s="504">
        <v>359224</v>
      </c>
      <c r="R114" s="504">
        <v>566480</v>
      </c>
      <c r="S114" s="544">
        <v>63.052399999999999</v>
      </c>
      <c r="T114" s="544">
        <v>52.266500000000008</v>
      </c>
      <c r="U114" s="401">
        <v>10.785900000000002</v>
      </c>
      <c r="V114" s="505">
        <f t="shared" ref="V114:CA114" si="149">SUM(V109:V113)</f>
        <v>0</v>
      </c>
      <c r="W114" s="504">
        <f t="shared" si="149"/>
        <v>0</v>
      </c>
      <c r="X114" s="504">
        <f t="shared" si="149"/>
        <v>0</v>
      </c>
      <c r="Y114" s="504">
        <f t="shared" si="149"/>
        <v>0</v>
      </c>
      <c r="Z114" s="504">
        <f t="shared" si="149"/>
        <v>0</v>
      </c>
      <c r="AA114" s="575">
        <f t="shared" si="149"/>
        <v>873313</v>
      </c>
      <c r="AB114" s="504">
        <f t="shared" si="149"/>
        <v>0</v>
      </c>
      <c r="AC114" s="504">
        <f t="shared" si="149"/>
        <v>0</v>
      </c>
      <c r="AD114" s="504">
        <f t="shared" si="149"/>
        <v>0</v>
      </c>
      <c r="AE114" s="504">
        <f t="shared" si="149"/>
        <v>873313</v>
      </c>
      <c r="AF114" s="504">
        <f t="shared" si="149"/>
        <v>873313</v>
      </c>
      <c r="AG114" s="504">
        <f t="shared" si="149"/>
        <v>0</v>
      </c>
      <c r="AH114" s="504">
        <f t="shared" si="149"/>
        <v>0</v>
      </c>
      <c r="AI114" s="504">
        <f t="shared" si="149"/>
        <v>0</v>
      </c>
      <c r="AJ114" s="504">
        <f t="shared" si="149"/>
        <v>0</v>
      </c>
      <c r="AK114" s="504">
        <f t="shared" si="149"/>
        <v>0</v>
      </c>
      <c r="AL114" s="504">
        <f t="shared" si="149"/>
        <v>0</v>
      </c>
      <c r="AM114" s="504">
        <f t="shared" si="149"/>
        <v>0</v>
      </c>
      <c r="AN114" s="504">
        <f t="shared" si="149"/>
        <v>0</v>
      </c>
      <c r="AO114" s="504">
        <f t="shared" si="149"/>
        <v>0</v>
      </c>
      <c r="AP114" s="504">
        <f t="shared" si="149"/>
        <v>873313</v>
      </c>
      <c r="AQ114" s="504">
        <f t="shared" si="149"/>
        <v>873313</v>
      </c>
      <c r="AR114" s="504">
        <f t="shared" si="149"/>
        <v>295180</v>
      </c>
      <c r="AS114" s="504">
        <f t="shared" si="149"/>
        <v>8733</v>
      </c>
      <c r="AT114" s="504">
        <f t="shared" si="149"/>
        <v>0</v>
      </c>
      <c r="AU114" s="504">
        <f t="shared" si="149"/>
        <v>10836</v>
      </c>
      <c r="AV114" s="504">
        <f t="shared" si="149"/>
        <v>10836</v>
      </c>
      <c r="AW114" s="504">
        <f t="shared" si="149"/>
        <v>1188062</v>
      </c>
      <c r="AX114" s="544">
        <f t="shared" si="149"/>
        <v>0</v>
      </c>
      <c r="AY114" s="544">
        <f t="shared" si="149"/>
        <v>0</v>
      </c>
      <c r="AZ114" s="544">
        <f t="shared" si="149"/>
        <v>0</v>
      </c>
      <c r="BA114" s="544">
        <f t="shared" si="149"/>
        <v>0</v>
      </c>
      <c r="BB114" s="544">
        <f t="shared" si="149"/>
        <v>2.64</v>
      </c>
      <c r="BC114" s="938">
        <f t="shared" si="149"/>
        <v>0</v>
      </c>
      <c r="BD114" s="544">
        <f t="shared" si="149"/>
        <v>0</v>
      </c>
      <c r="BE114" s="544">
        <f t="shared" si="149"/>
        <v>0</v>
      </c>
      <c r="BF114" s="544">
        <f t="shared" si="149"/>
        <v>0</v>
      </c>
      <c r="BG114" s="544">
        <f t="shared" si="149"/>
        <v>2.64</v>
      </c>
      <c r="BH114" s="442">
        <f t="shared" si="149"/>
        <v>2.64</v>
      </c>
      <c r="BI114" s="806">
        <f t="shared" si="149"/>
        <v>50311735</v>
      </c>
      <c r="BJ114" s="504">
        <f t="shared" si="149"/>
        <v>36795712</v>
      </c>
      <c r="BK114" s="504">
        <f t="shared" si="149"/>
        <v>32383120</v>
      </c>
      <c r="BL114" s="504">
        <f t="shared" si="149"/>
        <v>4412592</v>
      </c>
      <c r="BM114" s="504">
        <f t="shared" si="149"/>
        <v>100000</v>
      </c>
      <c r="BN114" s="504">
        <f t="shared" si="149"/>
        <v>70000</v>
      </c>
      <c r="BO114" s="504">
        <f t="shared" si="149"/>
        <v>30000</v>
      </c>
      <c r="BP114" s="504">
        <f t="shared" si="149"/>
        <v>12470750</v>
      </c>
      <c r="BQ114" s="504">
        <f t="shared" si="149"/>
        <v>367957</v>
      </c>
      <c r="BR114" s="504">
        <f t="shared" si="149"/>
        <v>577316</v>
      </c>
      <c r="BS114" s="544">
        <f t="shared" si="149"/>
        <v>65.692400000000006</v>
      </c>
      <c r="BT114" s="544">
        <f t="shared" si="149"/>
        <v>52.266500000000008</v>
      </c>
      <c r="BU114" s="442">
        <f t="shared" si="149"/>
        <v>13.4259</v>
      </c>
      <c r="BV114" s="824">
        <f t="shared" si="149"/>
        <v>380136</v>
      </c>
      <c r="BW114" s="710">
        <f t="shared" si="149"/>
        <v>282000</v>
      </c>
      <c r="BX114" s="710">
        <f t="shared" si="149"/>
        <v>0</v>
      </c>
      <c r="BY114" s="710">
        <f t="shared" si="149"/>
        <v>95316</v>
      </c>
      <c r="BZ114" s="710">
        <f t="shared" si="149"/>
        <v>2820</v>
      </c>
      <c r="CA114" s="825">
        <f t="shared" si="149"/>
        <v>0.5</v>
      </c>
    </row>
    <row r="115" spans="1:79" s="221" customFormat="1" ht="12.75" customHeight="1" x14ac:dyDescent="0.2">
      <c r="A115" s="223">
        <v>25</v>
      </c>
      <c r="B115" s="224">
        <v>3411</v>
      </c>
      <c r="C115" s="224">
        <v>600078400</v>
      </c>
      <c r="D115" s="224">
        <v>72742950</v>
      </c>
      <c r="E115" s="225" t="s">
        <v>57</v>
      </c>
      <c r="F115" s="224">
        <v>3113</v>
      </c>
      <c r="G115" s="225" t="s">
        <v>293</v>
      </c>
      <c r="H115" s="226" t="s">
        <v>271</v>
      </c>
      <c r="I115" s="420">
        <v>37255159</v>
      </c>
      <c r="J115" s="415">
        <v>27219627</v>
      </c>
      <c r="K115" s="415">
        <v>25417340</v>
      </c>
      <c r="L115" s="415">
        <v>1802287</v>
      </c>
      <c r="M115" s="415">
        <v>9904</v>
      </c>
      <c r="N115" s="415">
        <v>9904</v>
      </c>
      <c r="O115" s="415">
        <v>0</v>
      </c>
      <c r="P115" s="68">
        <v>9203581</v>
      </c>
      <c r="Q115" s="68">
        <v>272196</v>
      </c>
      <c r="R115" s="415">
        <v>549851</v>
      </c>
      <c r="S115" s="416">
        <v>40.477800000000002</v>
      </c>
      <c r="T115" s="417">
        <v>34.984500000000004</v>
      </c>
      <c r="U115" s="423">
        <v>5.4932999999999996</v>
      </c>
      <c r="V115" s="424">
        <f t="shared" ref="V115:W119" si="150">AG115*-1</f>
        <v>0</v>
      </c>
      <c r="W115" s="418">
        <f t="shared" si="150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>SUM(AD115:AE115)</f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9" si="151">AD115+AL115</f>
        <v>0</v>
      </c>
      <c r="AP115" s="418">
        <f t="shared" si="151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5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6">
        <v>0</v>
      </c>
      <c r="BC115" s="93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421">
        <f>SUM(BF115:BG115)</f>
        <v>0</v>
      </c>
      <c r="BI115" s="780">
        <f>I115+AW115</f>
        <v>37255159</v>
      </c>
      <c r="BJ115" s="418">
        <f>J115+AF115</f>
        <v>27219627</v>
      </c>
      <c r="BK115" s="418">
        <f t="shared" ref="BK115:BL119" si="152">K115+AD115</f>
        <v>25417340</v>
      </c>
      <c r="BL115" s="418">
        <f t="shared" si="152"/>
        <v>1802287</v>
      </c>
      <c r="BM115" s="418">
        <f>M115+AN115</f>
        <v>9904</v>
      </c>
      <c r="BN115" s="418">
        <f t="shared" ref="BN115:BO119" si="153">N115+AL115</f>
        <v>9904</v>
      </c>
      <c r="BO115" s="418">
        <f t="shared" si="153"/>
        <v>0</v>
      </c>
      <c r="BP115" s="418">
        <f t="shared" ref="BP115:BQ119" si="154">P115+AR115</f>
        <v>9203581</v>
      </c>
      <c r="BQ115" s="418">
        <f t="shared" si="154"/>
        <v>272196</v>
      </c>
      <c r="BR115" s="418">
        <f>R115+AV115</f>
        <v>549851</v>
      </c>
      <c r="BS115" s="419">
        <f>S115+BH115</f>
        <v>40.477800000000002</v>
      </c>
      <c r="BT115" s="419">
        <f t="shared" ref="BT115:BU119" si="155">T115+BF115</f>
        <v>34.984500000000004</v>
      </c>
      <c r="BU115" s="421">
        <f t="shared" si="155"/>
        <v>5.4932999999999996</v>
      </c>
      <c r="BV115" s="420">
        <v>760272</v>
      </c>
      <c r="BW115" s="415">
        <v>564000</v>
      </c>
      <c r="BX115" s="415">
        <v>0</v>
      </c>
      <c r="BY115" s="415">
        <v>190632</v>
      </c>
      <c r="BZ115" s="415">
        <v>5640</v>
      </c>
      <c r="CA115" s="510">
        <v>1</v>
      </c>
    </row>
    <row r="116" spans="1:79" s="221" customFormat="1" x14ac:dyDescent="0.2">
      <c r="A116" s="223">
        <v>25</v>
      </c>
      <c r="B116" s="224">
        <v>3411</v>
      </c>
      <c r="C116" s="224">
        <v>600078400</v>
      </c>
      <c r="D116" s="224">
        <v>72742950</v>
      </c>
      <c r="E116" s="225" t="s">
        <v>57</v>
      </c>
      <c r="F116" s="224">
        <v>3113</v>
      </c>
      <c r="G116" s="225" t="s">
        <v>291</v>
      </c>
      <c r="H116" s="226" t="s">
        <v>272</v>
      </c>
      <c r="I116" s="420">
        <v>5515664</v>
      </c>
      <c r="J116" s="415">
        <v>4071709</v>
      </c>
      <c r="K116" s="415">
        <v>4071709</v>
      </c>
      <c r="L116" s="415">
        <v>0</v>
      </c>
      <c r="M116" s="415">
        <v>0</v>
      </c>
      <c r="N116" s="415">
        <v>0</v>
      </c>
      <c r="O116" s="415">
        <v>0</v>
      </c>
      <c r="P116" s="68">
        <v>1376238</v>
      </c>
      <c r="Q116" s="68">
        <v>40717</v>
      </c>
      <c r="R116" s="415">
        <v>27000</v>
      </c>
      <c r="S116" s="416">
        <v>10.209999999999999</v>
      </c>
      <c r="T116" s="417">
        <v>10.209999999999999</v>
      </c>
      <c r="U116" s="423">
        <v>0</v>
      </c>
      <c r="V116" s="424">
        <f t="shared" si="150"/>
        <v>0</v>
      </c>
      <c r="W116" s="418">
        <f t="shared" si="150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151"/>
        <v>0</v>
      </c>
      <c r="AP116" s="418">
        <f t="shared" si="151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5"/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6">
        <v>0</v>
      </c>
      <c r="BC116" s="93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421">
        <f>SUM(BF116:BG116)</f>
        <v>0</v>
      </c>
      <c r="BI116" s="780">
        <f>I116+AW116</f>
        <v>5515664</v>
      </c>
      <c r="BJ116" s="418">
        <f>J116+AF116</f>
        <v>4071709</v>
      </c>
      <c r="BK116" s="418">
        <f t="shared" si="152"/>
        <v>4071709</v>
      </c>
      <c r="BL116" s="418">
        <f t="shared" si="152"/>
        <v>0</v>
      </c>
      <c r="BM116" s="418">
        <f>M116+AN116</f>
        <v>0</v>
      </c>
      <c r="BN116" s="418">
        <f t="shared" si="153"/>
        <v>0</v>
      </c>
      <c r="BO116" s="418">
        <f t="shared" si="153"/>
        <v>0</v>
      </c>
      <c r="BP116" s="418">
        <f t="shared" si="154"/>
        <v>1376238</v>
      </c>
      <c r="BQ116" s="418">
        <f t="shared" si="154"/>
        <v>40717</v>
      </c>
      <c r="BR116" s="418">
        <f>R116+AV116</f>
        <v>27000</v>
      </c>
      <c r="BS116" s="419">
        <f>S116+BH116</f>
        <v>10.209999999999999</v>
      </c>
      <c r="BT116" s="419">
        <f t="shared" si="155"/>
        <v>10.209999999999999</v>
      </c>
      <c r="BU116" s="421">
        <f t="shared" si="155"/>
        <v>0</v>
      </c>
      <c r="BV116" s="420"/>
      <c r="BW116" s="415"/>
      <c r="BX116" s="415"/>
      <c r="BY116" s="415"/>
      <c r="BZ116" s="415"/>
      <c r="CA116" s="510"/>
    </row>
    <row r="117" spans="1:79" s="221" customFormat="1" ht="12.75" customHeight="1" x14ac:dyDescent="0.2">
      <c r="A117" s="223">
        <v>25</v>
      </c>
      <c r="B117" s="224">
        <v>3411</v>
      </c>
      <c r="C117" s="224">
        <v>600078400</v>
      </c>
      <c r="D117" s="224">
        <v>72742950</v>
      </c>
      <c r="E117" s="225" t="s">
        <v>57</v>
      </c>
      <c r="F117" s="224">
        <v>3141</v>
      </c>
      <c r="G117" s="225" t="s">
        <v>294</v>
      </c>
      <c r="H117" s="226" t="s">
        <v>272</v>
      </c>
      <c r="I117" s="420">
        <v>2479843</v>
      </c>
      <c r="J117" s="415">
        <v>1825236</v>
      </c>
      <c r="K117" s="415">
        <v>0</v>
      </c>
      <c r="L117" s="415">
        <v>1825236</v>
      </c>
      <c r="M117" s="415">
        <v>0</v>
      </c>
      <c r="N117" s="415">
        <v>0</v>
      </c>
      <c r="O117" s="415">
        <v>0</v>
      </c>
      <c r="P117" s="68">
        <v>616930</v>
      </c>
      <c r="Q117" s="68">
        <v>18252</v>
      </c>
      <c r="R117" s="415">
        <v>19425</v>
      </c>
      <c r="S117" s="416">
        <v>5.47</v>
      </c>
      <c r="T117" s="417">
        <v>0</v>
      </c>
      <c r="U117" s="423">
        <v>5.47</v>
      </c>
      <c r="V117" s="424">
        <f t="shared" si="150"/>
        <v>0</v>
      </c>
      <c r="W117" s="418">
        <f t="shared" si="150"/>
        <v>0</v>
      </c>
      <c r="X117" s="418">
        <v>0</v>
      </c>
      <c r="Y117" s="418">
        <v>0</v>
      </c>
      <c r="Z117" s="418">
        <v>0</v>
      </c>
      <c r="AA117" s="605">
        <v>911320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911320</v>
      </c>
      <c r="AF117" s="418">
        <f>SUM(AD117:AE117)</f>
        <v>911320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151"/>
        <v>0</v>
      </c>
      <c r="AP117" s="418">
        <f t="shared" si="151"/>
        <v>911320</v>
      </c>
      <c r="AQ117" s="418">
        <f>SUM(AO117:AP117)</f>
        <v>911320</v>
      </c>
      <c r="AR117" s="68">
        <f>ROUND((AF117+AG117+AH117+AI117)*33.8%,0)</f>
        <v>308026</v>
      </c>
      <c r="AS117" s="68">
        <f>ROUND(AF117*1%,0)</f>
        <v>9113</v>
      </c>
      <c r="AT117" s="418">
        <v>0</v>
      </c>
      <c r="AU117" s="605">
        <v>9435</v>
      </c>
      <c r="AV117" s="418">
        <f>AT117+AU117</f>
        <v>9435</v>
      </c>
      <c r="AW117" s="418">
        <f>AQ117+AR117+AS117+AV117</f>
        <v>1237894</v>
      </c>
      <c r="AX117" s="419">
        <v>0</v>
      </c>
      <c r="AY117" s="419">
        <v>0</v>
      </c>
      <c r="AZ117" s="419">
        <v>0</v>
      </c>
      <c r="BA117" s="419">
        <v>0</v>
      </c>
      <c r="BB117" s="607">
        <v>2.74</v>
      </c>
      <c r="BC117" s="93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2.74</v>
      </c>
      <c r="BH117" s="421">
        <f>SUM(BF117:BG117)</f>
        <v>2.74</v>
      </c>
      <c r="BI117" s="780">
        <f>I117+AW117</f>
        <v>3717737</v>
      </c>
      <c r="BJ117" s="418">
        <f>J117+AF117</f>
        <v>2736556</v>
      </c>
      <c r="BK117" s="418">
        <f t="shared" si="152"/>
        <v>0</v>
      </c>
      <c r="BL117" s="418">
        <f t="shared" si="152"/>
        <v>2736556</v>
      </c>
      <c r="BM117" s="418">
        <f>M117+AN117</f>
        <v>0</v>
      </c>
      <c r="BN117" s="418">
        <f t="shared" si="153"/>
        <v>0</v>
      </c>
      <c r="BO117" s="418">
        <f t="shared" si="153"/>
        <v>0</v>
      </c>
      <c r="BP117" s="418">
        <f t="shared" si="154"/>
        <v>924956</v>
      </c>
      <c r="BQ117" s="418">
        <f t="shared" si="154"/>
        <v>27365</v>
      </c>
      <c r="BR117" s="418">
        <f>R117+AV117</f>
        <v>28860</v>
      </c>
      <c r="BS117" s="419">
        <f>S117+BH117</f>
        <v>8.2100000000000009</v>
      </c>
      <c r="BT117" s="419">
        <f t="shared" si="155"/>
        <v>0</v>
      </c>
      <c r="BU117" s="421">
        <f t="shared" si="155"/>
        <v>8.2100000000000009</v>
      </c>
      <c r="BV117" s="420"/>
      <c r="BW117" s="415"/>
      <c r="BX117" s="415"/>
      <c r="BY117" s="415"/>
      <c r="BZ117" s="415"/>
      <c r="CA117" s="510"/>
    </row>
    <row r="118" spans="1:79" s="221" customFormat="1" ht="12.75" customHeight="1" x14ac:dyDescent="0.2">
      <c r="A118" s="223">
        <v>25</v>
      </c>
      <c r="B118" s="224">
        <v>3411</v>
      </c>
      <c r="C118" s="224">
        <v>600078400</v>
      </c>
      <c r="D118" s="224">
        <v>72742950</v>
      </c>
      <c r="E118" s="225" t="s">
        <v>57</v>
      </c>
      <c r="F118" s="224">
        <v>3143</v>
      </c>
      <c r="G118" s="225" t="s">
        <v>595</v>
      </c>
      <c r="H118" s="226" t="s">
        <v>271</v>
      </c>
      <c r="I118" s="420">
        <v>3292845</v>
      </c>
      <c r="J118" s="415">
        <v>2442763</v>
      </c>
      <c r="K118" s="415">
        <v>2442763</v>
      </c>
      <c r="L118" s="415">
        <v>0</v>
      </c>
      <c r="M118" s="415">
        <v>0</v>
      </c>
      <c r="N118" s="415">
        <v>0</v>
      </c>
      <c r="O118" s="415">
        <v>0</v>
      </c>
      <c r="P118" s="68">
        <v>825654</v>
      </c>
      <c r="Q118" s="68">
        <v>24428</v>
      </c>
      <c r="R118" s="415">
        <v>0</v>
      </c>
      <c r="S118" s="416">
        <v>4.75</v>
      </c>
      <c r="T118" s="417">
        <v>4.75</v>
      </c>
      <c r="U118" s="423">
        <v>0</v>
      </c>
      <c r="V118" s="424">
        <f t="shared" si="150"/>
        <v>0</v>
      </c>
      <c r="W118" s="418">
        <f t="shared" si="150"/>
        <v>0</v>
      </c>
      <c r="X118" s="418">
        <v>0</v>
      </c>
      <c r="Y118" s="418">
        <v>0</v>
      </c>
      <c r="Z118" s="418">
        <v>0</v>
      </c>
      <c r="AA118" s="418">
        <v>0</v>
      </c>
      <c r="AB118" s="418">
        <v>0</v>
      </c>
      <c r="AC118" s="418">
        <v>0</v>
      </c>
      <c r="AD118" s="418">
        <f>V118+X118+Y118+Z118+AB118</f>
        <v>0</v>
      </c>
      <c r="AE118" s="418">
        <f>W118+AA118+AC118</f>
        <v>0</v>
      </c>
      <c r="AF118" s="418">
        <f>SUM(AD118:AE118)</f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>AG118+AI118+AJ118</f>
        <v>0</v>
      </c>
      <c r="AM118" s="418">
        <f>AH118+AK118</f>
        <v>0</v>
      </c>
      <c r="AN118" s="418">
        <f>SUM(AL118:AM118)</f>
        <v>0</v>
      </c>
      <c r="AO118" s="418">
        <f t="shared" si="151"/>
        <v>0</v>
      </c>
      <c r="AP118" s="418">
        <f t="shared" si="151"/>
        <v>0</v>
      </c>
      <c r="AQ118" s="418">
        <f>SUM(AO118:AP118)</f>
        <v>0</v>
      </c>
      <c r="AR118" s="68">
        <f>ROUND((AF118+AG118+AH118+AI118)*33.8%,0)</f>
        <v>0</v>
      </c>
      <c r="AS118" s="68">
        <f>ROUND(AF118*1%,0)</f>
        <v>0</v>
      </c>
      <c r="AT118" s="418">
        <v>0</v>
      </c>
      <c r="AU118" s="415">
        <v>0</v>
      </c>
      <c r="AV118" s="418">
        <f>AT118+AU118</f>
        <v>0</v>
      </c>
      <c r="AW118" s="418">
        <f>AQ118+AR118+AS118+AV118</f>
        <v>0</v>
      </c>
      <c r="AX118" s="419">
        <v>0</v>
      </c>
      <c r="AY118" s="419">
        <v>0</v>
      </c>
      <c r="AZ118" s="419">
        <v>0</v>
      </c>
      <c r="BA118" s="419">
        <v>0</v>
      </c>
      <c r="BB118" s="416">
        <v>0</v>
      </c>
      <c r="BC118" s="939">
        <v>0</v>
      </c>
      <c r="BD118" s="419">
        <v>0</v>
      </c>
      <c r="BE118" s="419">
        <v>0</v>
      </c>
      <c r="BF118" s="419">
        <f>AX118+AZ118+BA118+BC118+BD118</f>
        <v>0</v>
      </c>
      <c r="BG118" s="419">
        <f>AY118+BB118+BE118</f>
        <v>0</v>
      </c>
      <c r="BH118" s="421">
        <f>SUM(BF118:BG118)</f>
        <v>0</v>
      </c>
      <c r="BI118" s="780">
        <f>I118+AW118</f>
        <v>3292845</v>
      </c>
      <c r="BJ118" s="418">
        <f>J118+AF118</f>
        <v>2442763</v>
      </c>
      <c r="BK118" s="418">
        <f t="shared" si="152"/>
        <v>2442763</v>
      </c>
      <c r="BL118" s="418">
        <f t="shared" si="152"/>
        <v>0</v>
      </c>
      <c r="BM118" s="418">
        <f>M118+AN118</f>
        <v>0</v>
      </c>
      <c r="BN118" s="418">
        <f t="shared" si="153"/>
        <v>0</v>
      </c>
      <c r="BO118" s="418">
        <f t="shared" si="153"/>
        <v>0</v>
      </c>
      <c r="BP118" s="418">
        <f t="shared" si="154"/>
        <v>825654</v>
      </c>
      <c r="BQ118" s="418">
        <f t="shared" si="154"/>
        <v>24428</v>
      </c>
      <c r="BR118" s="418">
        <f>R118+AV118</f>
        <v>0</v>
      </c>
      <c r="BS118" s="419">
        <f>S118+BH118</f>
        <v>4.75</v>
      </c>
      <c r="BT118" s="419">
        <f t="shared" si="155"/>
        <v>4.75</v>
      </c>
      <c r="BU118" s="421">
        <f t="shared" si="155"/>
        <v>0</v>
      </c>
      <c r="BV118" s="420"/>
      <c r="BW118" s="415"/>
      <c r="BX118" s="415"/>
      <c r="BY118" s="415"/>
      <c r="BZ118" s="415"/>
      <c r="CA118" s="510"/>
    </row>
    <row r="119" spans="1:79" s="221" customFormat="1" ht="12.75" customHeight="1" x14ac:dyDescent="0.2">
      <c r="A119" s="223">
        <v>25</v>
      </c>
      <c r="B119" s="224">
        <v>3411</v>
      </c>
      <c r="C119" s="224">
        <v>600078400</v>
      </c>
      <c r="D119" s="224">
        <v>72742950</v>
      </c>
      <c r="E119" s="225" t="s">
        <v>57</v>
      </c>
      <c r="F119" s="224">
        <v>3143</v>
      </c>
      <c r="G119" s="225" t="s">
        <v>596</v>
      </c>
      <c r="H119" s="226" t="s">
        <v>272</v>
      </c>
      <c r="I119" s="420">
        <v>91176</v>
      </c>
      <c r="J119" s="415">
        <v>65261</v>
      </c>
      <c r="K119" s="415">
        <v>0</v>
      </c>
      <c r="L119" s="415">
        <v>65261</v>
      </c>
      <c r="M119" s="415">
        <v>0</v>
      </c>
      <c r="N119" s="415">
        <v>0</v>
      </c>
      <c r="O119" s="415">
        <v>0</v>
      </c>
      <c r="P119" s="68">
        <v>22058</v>
      </c>
      <c r="Q119" s="68">
        <v>653</v>
      </c>
      <c r="R119" s="415">
        <v>3204</v>
      </c>
      <c r="S119" s="416">
        <v>0.25</v>
      </c>
      <c r="T119" s="417">
        <v>0</v>
      </c>
      <c r="U119" s="423">
        <v>0.25</v>
      </c>
      <c r="V119" s="424">
        <f t="shared" si="150"/>
        <v>0</v>
      </c>
      <c r="W119" s="418">
        <f t="shared" si="150"/>
        <v>0</v>
      </c>
      <c r="X119" s="418">
        <v>0</v>
      </c>
      <c r="Y119" s="418">
        <v>0</v>
      </c>
      <c r="Z119" s="418">
        <v>0</v>
      </c>
      <c r="AA119" s="605">
        <v>32639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32639</v>
      </c>
      <c r="AF119" s="418">
        <f>SUM(AD119:AE119)</f>
        <v>32639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si="151"/>
        <v>0</v>
      </c>
      <c r="AP119" s="418">
        <f t="shared" si="151"/>
        <v>32639</v>
      </c>
      <c r="AQ119" s="418">
        <f>SUM(AO119:AP119)</f>
        <v>32639</v>
      </c>
      <c r="AR119" s="68">
        <f>ROUND((AF119+AG119+AH119+AI119)*33.8%,0)</f>
        <v>11032</v>
      </c>
      <c r="AS119" s="68">
        <f>ROUND(AF119*1%,0)</f>
        <v>326</v>
      </c>
      <c r="AT119" s="418">
        <v>0</v>
      </c>
      <c r="AU119" s="606">
        <v>1602</v>
      </c>
      <c r="AV119" s="418">
        <f>AT119+AU119</f>
        <v>1602</v>
      </c>
      <c r="AW119" s="418">
        <f>AQ119+AR119+AS119+AV119</f>
        <v>45599</v>
      </c>
      <c r="AX119" s="419">
        <v>0</v>
      </c>
      <c r="AY119" s="419">
        <v>0</v>
      </c>
      <c r="AZ119" s="419">
        <v>0</v>
      </c>
      <c r="BA119" s="419">
        <v>0</v>
      </c>
      <c r="BB119" s="607">
        <v>0.12</v>
      </c>
      <c r="BC119" s="93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0.12</v>
      </c>
      <c r="BH119" s="421">
        <f>SUM(BF119:BG119)</f>
        <v>0.12</v>
      </c>
      <c r="BI119" s="780">
        <f>I119+AW119</f>
        <v>136775</v>
      </c>
      <c r="BJ119" s="418">
        <f>J119+AF119</f>
        <v>97900</v>
      </c>
      <c r="BK119" s="418">
        <f t="shared" si="152"/>
        <v>0</v>
      </c>
      <c r="BL119" s="418">
        <f t="shared" si="152"/>
        <v>97900</v>
      </c>
      <c r="BM119" s="418">
        <f>M119+AN119</f>
        <v>0</v>
      </c>
      <c r="BN119" s="418">
        <f t="shared" si="153"/>
        <v>0</v>
      </c>
      <c r="BO119" s="418">
        <f t="shared" si="153"/>
        <v>0</v>
      </c>
      <c r="BP119" s="418">
        <f t="shared" si="154"/>
        <v>33090</v>
      </c>
      <c r="BQ119" s="418">
        <f t="shared" si="154"/>
        <v>979</v>
      </c>
      <c r="BR119" s="418">
        <f>R119+AV119</f>
        <v>4806</v>
      </c>
      <c r="BS119" s="419">
        <f>S119+BH119</f>
        <v>0.37</v>
      </c>
      <c r="BT119" s="419">
        <f t="shared" si="155"/>
        <v>0</v>
      </c>
      <c r="BU119" s="421">
        <f t="shared" si="155"/>
        <v>0.37</v>
      </c>
      <c r="BV119" s="420"/>
      <c r="BW119" s="415"/>
      <c r="BX119" s="415"/>
      <c r="BY119" s="415"/>
      <c r="BZ119" s="415"/>
      <c r="CA119" s="510"/>
    </row>
    <row r="120" spans="1:79" s="221" customFormat="1" ht="12.75" customHeight="1" x14ac:dyDescent="0.2">
      <c r="A120" s="153">
        <v>25</v>
      </c>
      <c r="B120" s="14">
        <v>3411</v>
      </c>
      <c r="C120" s="152">
        <v>600078400</v>
      </c>
      <c r="D120" s="152">
        <v>72742950</v>
      </c>
      <c r="E120" s="222" t="s">
        <v>58</v>
      </c>
      <c r="F120" s="14"/>
      <c r="G120" s="222"/>
      <c r="H120" s="560"/>
      <c r="I120" s="505">
        <v>48634687</v>
      </c>
      <c r="J120" s="504">
        <v>35624596</v>
      </c>
      <c r="K120" s="504">
        <v>31931812</v>
      </c>
      <c r="L120" s="504">
        <v>3692784</v>
      </c>
      <c r="M120" s="504">
        <v>9904</v>
      </c>
      <c r="N120" s="504">
        <v>9904</v>
      </c>
      <c r="O120" s="504">
        <v>0</v>
      </c>
      <c r="P120" s="504">
        <v>12044461</v>
      </c>
      <c r="Q120" s="504">
        <v>356246</v>
      </c>
      <c r="R120" s="504">
        <v>599480</v>
      </c>
      <c r="S120" s="544">
        <v>61.157800000000002</v>
      </c>
      <c r="T120" s="544">
        <v>49.944500000000005</v>
      </c>
      <c r="U120" s="401">
        <v>11.2133</v>
      </c>
      <c r="V120" s="505">
        <f t="shared" ref="V120:CA120" si="156">SUM(V115:V119)</f>
        <v>0</v>
      </c>
      <c r="W120" s="504">
        <f t="shared" si="156"/>
        <v>0</v>
      </c>
      <c r="X120" s="504">
        <f t="shared" si="156"/>
        <v>0</v>
      </c>
      <c r="Y120" s="504">
        <f t="shared" si="156"/>
        <v>0</v>
      </c>
      <c r="Z120" s="504">
        <f t="shared" si="156"/>
        <v>0</v>
      </c>
      <c r="AA120" s="575">
        <f t="shared" si="156"/>
        <v>943959</v>
      </c>
      <c r="AB120" s="504">
        <f t="shared" si="156"/>
        <v>0</v>
      </c>
      <c r="AC120" s="504">
        <f t="shared" si="156"/>
        <v>0</v>
      </c>
      <c r="AD120" s="504">
        <f t="shared" si="156"/>
        <v>0</v>
      </c>
      <c r="AE120" s="504">
        <f t="shared" si="156"/>
        <v>943959</v>
      </c>
      <c r="AF120" s="504">
        <f t="shared" si="156"/>
        <v>943959</v>
      </c>
      <c r="AG120" s="504">
        <f t="shared" si="156"/>
        <v>0</v>
      </c>
      <c r="AH120" s="504">
        <f t="shared" si="156"/>
        <v>0</v>
      </c>
      <c r="AI120" s="504">
        <f t="shared" si="156"/>
        <v>0</v>
      </c>
      <c r="AJ120" s="504">
        <f t="shared" si="156"/>
        <v>0</v>
      </c>
      <c r="AK120" s="504">
        <f t="shared" si="156"/>
        <v>0</v>
      </c>
      <c r="AL120" s="504">
        <f t="shared" si="156"/>
        <v>0</v>
      </c>
      <c r="AM120" s="504">
        <f t="shared" si="156"/>
        <v>0</v>
      </c>
      <c r="AN120" s="504">
        <f t="shared" si="156"/>
        <v>0</v>
      </c>
      <c r="AO120" s="504">
        <f t="shared" si="156"/>
        <v>0</v>
      </c>
      <c r="AP120" s="504">
        <f t="shared" si="156"/>
        <v>943959</v>
      </c>
      <c r="AQ120" s="504">
        <f t="shared" si="156"/>
        <v>943959</v>
      </c>
      <c r="AR120" s="504">
        <f t="shared" si="156"/>
        <v>319058</v>
      </c>
      <c r="AS120" s="504">
        <f t="shared" si="156"/>
        <v>9439</v>
      </c>
      <c r="AT120" s="504">
        <f t="shared" si="156"/>
        <v>0</v>
      </c>
      <c r="AU120" s="504">
        <f t="shared" si="156"/>
        <v>11037</v>
      </c>
      <c r="AV120" s="504">
        <f t="shared" si="156"/>
        <v>11037</v>
      </c>
      <c r="AW120" s="504">
        <f t="shared" si="156"/>
        <v>1283493</v>
      </c>
      <c r="AX120" s="544">
        <f t="shared" si="156"/>
        <v>0</v>
      </c>
      <c r="AY120" s="544">
        <f t="shared" si="156"/>
        <v>0</v>
      </c>
      <c r="AZ120" s="544">
        <f t="shared" si="156"/>
        <v>0</v>
      </c>
      <c r="BA120" s="544">
        <f t="shared" si="156"/>
        <v>0</v>
      </c>
      <c r="BB120" s="544">
        <f t="shared" si="156"/>
        <v>2.8600000000000003</v>
      </c>
      <c r="BC120" s="938">
        <f t="shared" si="156"/>
        <v>0</v>
      </c>
      <c r="BD120" s="544">
        <f t="shared" si="156"/>
        <v>0</v>
      </c>
      <c r="BE120" s="544">
        <f t="shared" si="156"/>
        <v>0</v>
      </c>
      <c r="BF120" s="544">
        <f t="shared" si="156"/>
        <v>0</v>
      </c>
      <c r="BG120" s="544">
        <f t="shared" si="156"/>
        <v>2.8600000000000003</v>
      </c>
      <c r="BH120" s="442">
        <f t="shared" si="156"/>
        <v>2.8600000000000003</v>
      </c>
      <c r="BI120" s="806">
        <f t="shared" si="156"/>
        <v>49918180</v>
      </c>
      <c r="BJ120" s="504">
        <f t="shared" si="156"/>
        <v>36568555</v>
      </c>
      <c r="BK120" s="504">
        <f t="shared" si="156"/>
        <v>31931812</v>
      </c>
      <c r="BL120" s="504">
        <f t="shared" si="156"/>
        <v>4636743</v>
      </c>
      <c r="BM120" s="504">
        <f t="shared" si="156"/>
        <v>9904</v>
      </c>
      <c r="BN120" s="504">
        <f t="shared" si="156"/>
        <v>9904</v>
      </c>
      <c r="BO120" s="504">
        <f t="shared" si="156"/>
        <v>0</v>
      </c>
      <c r="BP120" s="504">
        <f t="shared" si="156"/>
        <v>12363519</v>
      </c>
      <c r="BQ120" s="504">
        <f t="shared" si="156"/>
        <v>365685</v>
      </c>
      <c r="BR120" s="504">
        <f t="shared" si="156"/>
        <v>610517</v>
      </c>
      <c r="BS120" s="544">
        <f t="shared" si="156"/>
        <v>64.017800000000008</v>
      </c>
      <c r="BT120" s="544">
        <f t="shared" si="156"/>
        <v>49.944500000000005</v>
      </c>
      <c r="BU120" s="442">
        <f t="shared" si="156"/>
        <v>14.0733</v>
      </c>
      <c r="BV120" s="824">
        <f t="shared" si="156"/>
        <v>760272</v>
      </c>
      <c r="BW120" s="710">
        <f t="shared" si="156"/>
        <v>564000</v>
      </c>
      <c r="BX120" s="710">
        <f t="shared" si="156"/>
        <v>0</v>
      </c>
      <c r="BY120" s="710">
        <f t="shared" si="156"/>
        <v>190632</v>
      </c>
      <c r="BZ120" s="710">
        <f t="shared" si="156"/>
        <v>5640</v>
      </c>
      <c r="CA120" s="825">
        <f t="shared" si="156"/>
        <v>1</v>
      </c>
    </row>
    <row r="121" spans="1:79" s="221" customFormat="1" ht="12.75" customHeight="1" x14ac:dyDescent="0.2">
      <c r="A121" s="223">
        <v>26</v>
      </c>
      <c r="B121" s="224">
        <v>3408</v>
      </c>
      <c r="C121" s="224">
        <v>600078566</v>
      </c>
      <c r="D121" s="224">
        <v>72743115</v>
      </c>
      <c r="E121" s="225" t="s">
        <v>59</v>
      </c>
      <c r="F121" s="224">
        <v>3113</v>
      </c>
      <c r="G121" s="225" t="s">
        <v>293</v>
      </c>
      <c r="H121" s="226" t="s">
        <v>271</v>
      </c>
      <c r="I121" s="420">
        <v>18672777</v>
      </c>
      <c r="J121" s="415">
        <v>13665941</v>
      </c>
      <c r="K121" s="415">
        <v>12590757</v>
      </c>
      <c r="L121" s="415">
        <v>1075184</v>
      </c>
      <c r="M121" s="415">
        <v>0</v>
      </c>
      <c r="N121" s="415">
        <v>0</v>
      </c>
      <c r="O121" s="415">
        <v>0</v>
      </c>
      <c r="P121" s="68">
        <v>4619089</v>
      </c>
      <c r="Q121" s="68">
        <v>136659</v>
      </c>
      <c r="R121" s="415">
        <v>251088</v>
      </c>
      <c r="S121" s="416">
        <v>20.730700000000002</v>
      </c>
      <c r="T121" s="417">
        <v>17.624400000000001</v>
      </c>
      <c r="U121" s="423">
        <v>3.1063000000000001</v>
      </c>
      <c r="V121" s="424">
        <f t="shared" ref="V121:W125" si="157">AG121*-1</f>
        <v>0</v>
      </c>
      <c r="W121" s="418">
        <f t="shared" si="157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5" si="158">AD121+AL121</f>
        <v>0</v>
      </c>
      <c r="AP121" s="418">
        <f t="shared" si="158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5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6">
        <v>0</v>
      </c>
      <c r="BC121" s="93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780">
        <f>I121+AW121</f>
        <v>18672777</v>
      </c>
      <c r="BJ121" s="418">
        <f>J121+AF121</f>
        <v>13665941</v>
      </c>
      <c r="BK121" s="418">
        <f t="shared" ref="BK121:BL125" si="159">K121+AD121</f>
        <v>12590757</v>
      </c>
      <c r="BL121" s="418">
        <f t="shared" si="159"/>
        <v>1075184</v>
      </c>
      <c r="BM121" s="418">
        <f>M121+AN121</f>
        <v>0</v>
      </c>
      <c r="BN121" s="418">
        <f t="shared" ref="BN121:BO125" si="160">N121+AL121</f>
        <v>0</v>
      </c>
      <c r="BO121" s="418">
        <f t="shared" si="160"/>
        <v>0</v>
      </c>
      <c r="BP121" s="418">
        <f t="shared" ref="BP121:BQ125" si="161">P121+AR121</f>
        <v>4619089</v>
      </c>
      <c r="BQ121" s="418">
        <f t="shared" si="161"/>
        <v>136659</v>
      </c>
      <c r="BR121" s="418">
        <f>R121+AV121</f>
        <v>251088</v>
      </c>
      <c r="BS121" s="419">
        <f>S121+BH121</f>
        <v>20.730700000000002</v>
      </c>
      <c r="BT121" s="419">
        <f t="shared" ref="BT121:BU125" si="162">T121+BF121</f>
        <v>17.624400000000001</v>
      </c>
      <c r="BU121" s="421">
        <f t="shared" si="162"/>
        <v>3.1063000000000001</v>
      </c>
      <c r="BV121" s="420"/>
      <c r="BW121" s="415"/>
      <c r="BX121" s="415"/>
      <c r="BY121" s="415"/>
      <c r="BZ121" s="415"/>
      <c r="CA121" s="510"/>
    </row>
    <row r="122" spans="1:79" s="221" customFormat="1" x14ac:dyDescent="0.2">
      <c r="A122" s="223">
        <v>26</v>
      </c>
      <c r="B122" s="224">
        <v>3408</v>
      </c>
      <c r="C122" s="224">
        <v>600078566</v>
      </c>
      <c r="D122" s="224">
        <v>72743115</v>
      </c>
      <c r="E122" s="225" t="s">
        <v>59</v>
      </c>
      <c r="F122" s="224">
        <v>3113</v>
      </c>
      <c r="G122" s="225" t="s">
        <v>291</v>
      </c>
      <c r="H122" s="226" t="s">
        <v>272</v>
      </c>
      <c r="I122" s="420">
        <v>3114278</v>
      </c>
      <c r="J122" s="415">
        <v>2308441</v>
      </c>
      <c r="K122" s="415">
        <v>2308441</v>
      </c>
      <c r="L122" s="415">
        <v>0</v>
      </c>
      <c r="M122" s="415">
        <v>0</v>
      </c>
      <c r="N122" s="415">
        <v>0</v>
      </c>
      <c r="O122" s="415">
        <v>0</v>
      </c>
      <c r="P122" s="68">
        <v>780253</v>
      </c>
      <c r="Q122" s="68">
        <v>23084</v>
      </c>
      <c r="R122" s="415">
        <v>2500</v>
      </c>
      <c r="S122" s="416">
        <v>5.8999999999999995</v>
      </c>
      <c r="T122" s="417">
        <v>5.8999999999999995</v>
      </c>
      <c r="U122" s="423">
        <v>0</v>
      </c>
      <c r="V122" s="424">
        <f t="shared" si="157"/>
        <v>0</v>
      </c>
      <c r="W122" s="418">
        <f t="shared" si="157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158"/>
        <v>0</v>
      </c>
      <c r="AP122" s="418">
        <f t="shared" si="158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5"/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6">
        <v>0</v>
      </c>
      <c r="BC122" s="93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780">
        <f>I122+AW122</f>
        <v>3114278</v>
      </c>
      <c r="BJ122" s="418">
        <f>J122+AF122</f>
        <v>2308441</v>
      </c>
      <c r="BK122" s="418">
        <f t="shared" si="159"/>
        <v>2308441</v>
      </c>
      <c r="BL122" s="418">
        <f t="shared" si="159"/>
        <v>0</v>
      </c>
      <c r="BM122" s="418">
        <f>M122+AN122</f>
        <v>0</v>
      </c>
      <c r="BN122" s="418">
        <f t="shared" si="160"/>
        <v>0</v>
      </c>
      <c r="BO122" s="418">
        <f t="shared" si="160"/>
        <v>0</v>
      </c>
      <c r="BP122" s="418">
        <f t="shared" si="161"/>
        <v>780253</v>
      </c>
      <c r="BQ122" s="418">
        <f t="shared" si="161"/>
        <v>23084</v>
      </c>
      <c r="BR122" s="418">
        <f>R122+AV122</f>
        <v>2500</v>
      </c>
      <c r="BS122" s="419">
        <f>S122+BH122</f>
        <v>5.8999999999999995</v>
      </c>
      <c r="BT122" s="419">
        <f t="shared" si="162"/>
        <v>5.8999999999999995</v>
      </c>
      <c r="BU122" s="421">
        <f t="shared" si="162"/>
        <v>0</v>
      </c>
      <c r="BV122" s="420"/>
      <c r="BW122" s="415"/>
      <c r="BX122" s="415"/>
      <c r="BY122" s="415"/>
      <c r="BZ122" s="415"/>
      <c r="CA122" s="510"/>
    </row>
    <row r="123" spans="1:79" s="221" customFormat="1" ht="12.75" customHeight="1" x14ac:dyDescent="0.2">
      <c r="A123" s="223">
        <v>26</v>
      </c>
      <c r="B123" s="224">
        <v>3408</v>
      </c>
      <c r="C123" s="224">
        <v>600078566</v>
      </c>
      <c r="D123" s="224">
        <v>72743115</v>
      </c>
      <c r="E123" s="225" t="s">
        <v>59</v>
      </c>
      <c r="F123" s="224">
        <v>3141</v>
      </c>
      <c r="G123" s="225" t="s">
        <v>294</v>
      </c>
      <c r="H123" s="226" t="s">
        <v>272</v>
      </c>
      <c r="I123" s="420">
        <v>1077374</v>
      </c>
      <c r="J123" s="415">
        <v>793682</v>
      </c>
      <c r="K123" s="415">
        <v>0</v>
      </c>
      <c r="L123" s="415">
        <v>793682</v>
      </c>
      <c r="M123" s="415">
        <v>0</v>
      </c>
      <c r="N123" s="415">
        <v>0</v>
      </c>
      <c r="O123" s="415">
        <v>0</v>
      </c>
      <c r="P123" s="68">
        <v>268265</v>
      </c>
      <c r="Q123" s="68">
        <v>7937</v>
      </c>
      <c r="R123" s="415">
        <v>7490</v>
      </c>
      <c r="S123" s="416">
        <v>2.38</v>
      </c>
      <c r="T123" s="417">
        <v>0</v>
      </c>
      <c r="U123" s="423">
        <v>2.38</v>
      </c>
      <c r="V123" s="424">
        <f t="shared" si="157"/>
        <v>0</v>
      </c>
      <c r="W123" s="418">
        <f t="shared" si="157"/>
        <v>0</v>
      </c>
      <c r="X123" s="418">
        <v>0</v>
      </c>
      <c r="Y123" s="418">
        <v>0</v>
      </c>
      <c r="Z123" s="418">
        <v>0</v>
      </c>
      <c r="AA123" s="605">
        <v>396907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396907</v>
      </c>
      <c r="AF123" s="418">
        <f>SUM(AD123:AE123)</f>
        <v>396907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158"/>
        <v>0</v>
      </c>
      <c r="AP123" s="418">
        <f t="shared" si="158"/>
        <v>396907</v>
      </c>
      <c r="AQ123" s="418">
        <f>SUM(AO123:AP123)</f>
        <v>396907</v>
      </c>
      <c r="AR123" s="68">
        <f>ROUND((AF123+AG123+AH123+AI123)*33.8%,0)</f>
        <v>134155</v>
      </c>
      <c r="AS123" s="68">
        <f>ROUND(AF123*1%,0)</f>
        <v>3969</v>
      </c>
      <c r="AT123" s="418">
        <v>0</v>
      </c>
      <c r="AU123" s="605">
        <v>3638</v>
      </c>
      <c r="AV123" s="418">
        <f>AT123+AU123</f>
        <v>3638</v>
      </c>
      <c r="AW123" s="418">
        <f>AQ123+AR123+AS123+AV123</f>
        <v>538669</v>
      </c>
      <c r="AX123" s="419">
        <v>0</v>
      </c>
      <c r="AY123" s="419">
        <v>0</v>
      </c>
      <c r="AZ123" s="419">
        <v>0</v>
      </c>
      <c r="BA123" s="419">
        <v>0</v>
      </c>
      <c r="BB123" s="607">
        <v>1.19</v>
      </c>
      <c r="BC123" s="93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1.19</v>
      </c>
      <c r="BH123" s="421">
        <f>SUM(BF123:BG123)</f>
        <v>1.19</v>
      </c>
      <c r="BI123" s="780">
        <f>I123+AW123</f>
        <v>1616043</v>
      </c>
      <c r="BJ123" s="418">
        <f>J123+AF123</f>
        <v>1190589</v>
      </c>
      <c r="BK123" s="418">
        <f t="shared" si="159"/>
        <v>0</v>
      </c>
      <c r="BL123" s="418">
        <f t="shared" si="159"/>
        <v>1190589</v>
      </c>
      <c r="BM123" s="418">
        <f>M123+AN123</f>
        <v>0</v>
      </c>
      <c r="BN123" s="418">
        <f t="shared" si="160"/>
        <v>0</v>
      </c>
      <c r="BO123" s="418">
        <f t="shared" si="160"/>
        <v>0</v>
      </c>
      <c r="BP123" s="418">
        <f t="shared" si="161"/>
        <v>402420</v>
      </c>
      <c r="BQ123" s="418">
        <f t="shared" si="161"/>
        <v>11906</v>
      </c>
      <c r="BR123" s="418">
        <f>R123+AV123</f>
        <v>11128</v>
      </c>
      <c r="BS123" s="419">
        <f>S123+BH123</f>
        <v>3.57</v>
      </c>
      <c r="BT123" s="419">
        <f t="shared" si="162"/>
        <v>0</v>
      </c>
      <c r="BU123" s="421">
        <f t="shared" si="162"/>
        <v>3.57</v>
      </c>
      <c r="BV123" s="420"/>
      <c r="BW123" s="415"/>
      <c r="BX123" s="415"/>
      <c r="BY123" s="415"/>
      <c r="BZ123" s="415"/>
      <c r="CA123" s="510"/>
    </row>
    <row r="124" spans="1:79" s="221" customFormat="1" ht="12.75" customHeight="1" x14ac:dyDescent="0.2">
      <c r="A124" s="223">
        <v>26</v>
      </c>
      <c r="B124" s="224">
        <v>3408</v>
      </c>
      <c r="C124" s="224">
        <v>600078566</v>
      </c>
      <c r="D124" s="224">
        <v>72743115</v>
      </c>
      <c r="E124" s="225" t="s">
        <v>59</v>
      </c>
      <c r="F124" s="224">
        <v>3143</v>
      </c>
      <c r="G124" s="225" t="s">
        <v>595</v>
      </c>
      <c r="H124" s="226" t="s">
        <v>271</v>
      </c>
      <c r="I124" s="420">
        <v>1780366</v>
      </c>
      <c r="J124" s="415">
        <v>1320747</v>
      </c>
      <c r="K124" s="415">
        <v>1320747</v>
      </c>
      <c r="L124" s="415">
        <v>0</v>
      </c>
      <c r="M124" s="415">
        <v>0</v>
      </c>
      <c r="N124" s="415">
        <v>0</v>
      </c>
      <c r="O124" s="415">
        <v>0</v>
      </c>
      <c r="P124" s="68">
        <v>446412</v>
      </c>
      <c r="Q124" s="68">
        <v>13207</v>
      </c>
      <c r="R124" s="415">
        <v>0</v>
      </c>
      <c r="S124" s="416">
        <v>2.5924999999999998</v>
      </c>
      <c r="T124" s="417">
        <v>2.5924999999999998</v>
      </c>
      <c r="U124" s="423">
        <v>0</v>
      </c>
      <c r="V124" s="424">
        <f t="shared" si="157"/>
        <v>0</v>
      </c>
      <c r="W124" s="418">
        <f t="shared" si="157"/>
        <v>0</v>
      </c>
      <c r="X124" s="418">
        <v>0</v>
      </c>
      <c r="Y124" s="418">
        <v>0</v>
      </c>
      <c r="Z124" s="418">
        <v>0</v>
      </c>
      <c r="AA124" s="418">
        <v>0</v>
      </c>
      <c r="AB124" s="418">
        <v>0</v>
      </c>
      <c r="AC124" s="418">
        <v>0</v>
      </c>
      <c r="AD124" s="418">
        <f>V124+X124+Y124+Z124+AB124</f>
        <v>0</v>
      </c>
      <c r="AE124" s="418">
        <f>W124+AA124+AC124</f>
        <v>0</v>
      </c>
      <c r="AF124" s="418">
        <f>SUM(AD124:AE124)</f>
        <v>0</v>
      </c>
      <c r="AG124" s="418">
        <v>0</v>
      </c>
      <c r="AH124" s="418">
        <v>0</v>
      </c>
      <c r="AI124" s="418">
        <v>0</v>
      </c>
      <c r="AJ124" s="418">
        <v>0</v>
      </c>
      <c r="AK124" s="418">
        <v>0</v>
      </c>
      <c r="AL124" s="418">
        <f>AG124+AI124+AJ124</f>
        <v>0</v>
      </c>
      <c r="AM124" s="418">
        <f>AH124+AK124</f>
        <v>0</v>
      </c>
      <c r="AN124" s="418">
        <f>SUM(AL124:AM124)</f>
        <v>0</v>
      </c>
      <c r="AO124" s="418">
        <f t="shared" si="158"/>
        <v>0</v>
      </c>
      <c r="AP124" s="418">
        <f t="shared" si="158"/>
        <v>0</v>
      </c>
      <c r="AQ124" s="418">
        <f>SUM(AO124:AP124)</f>
        <v>0</v>
      </c>
      <c r="AR124" s="68">
        <f>ROUND((AF124+AG124+AH124+AI124)*33.8%,0)</f>
        <v>0</v>
      </c>
      <c r="AS124" s="68">
        <f>ROUND(AF124*1%,0)</f>
        <v>0</v>
      </c>
      <c r="AT124" s="418">
        <v>0</v>
      </c>
      <c r="AU124" s="415">
        <v>0</v>
      </c>
      <c r="AV124" s="418">
        <f>AT124+AU124</f>
        <v>0</v>
      </c>
      <c r="AW124" s="418">
        <f>AQ124+AR124+AS124+AV124</f>
        <v>0</v>
      </c>
      <c r="AX124" s="419">
        <v>0</v>
      </c>
      <c r="AY124" s="419">
        <v>0</v>
      </c>
      <c r="AZ124" s="419">
        <v>0</v>
      </c>
      <c r="BA124" s="419">
        <v>0</v>
      </c>
      <c r="BB124" s="416">
        <v>0</v>
      </c>
      <c r="BC124" s="939">
        <v>0</v>
      </c>
      <c r="BD124" s="419">
        <v>0</v>
      </c>
      <c r="BE124" s="419">
        <v>0</v>
      </c>
      <c r="BF124" s="419">
        <f>AX124+AZ124+BA124+BC124+BD124</f>
        <v>0</v>
      </c>
      <c r="BG124" s="419">
        <f>AY124+BB124+BE124</f>
        <v>0</v>
      </c>
      <c r="BH124" s="421">
        <f>SUM(BF124:BG124)</f>
        <v>0</v>
      </c>
      <c r="BI124" s="780">
        <f>I124+AW124</f>
        <v>1780366</v>
      </c>
      <c r="BJ124" s="418">
        <f>J124+AF124</f>
        <v>1320747</v>
      </c>
      <c r="BK124" s="418">
        <f t="shared" si="159"/>
        <v>1320747</v>
      </c>
      <c r="BL124" s="418">
        <f t="shared" si="159"/>
        <v>0</v>
      </c>
      <c r="BM124" s="418">
        <f>M124+AN124</f>
        <v>0</v>
      </c>
      <c r="BN124" s="418">
        <f t="shared" si="160"/>
        <v>0</v>
      </c>
      <c r="BO124" s="418">
        <f t="shared" si="160"/>
        <v>0</v>
      </c>
      <c r="BP124" s="418">
        <f t="shared" si="161"/>
        <v>446412</v>
      </c>
      <c r="BQ124" s="418">
        <f t="shared" si="161"/>
        <v>13207</v>
      </c>
      <c r="BR124" s="418">
        <f>R124+AV124</f>
        <v>0</v>
      </c>
      <c r="BS124" s="419">
        <f>S124+BH124</f>
        <v>2.5924999999999998</v>
      </c>
      <c r="BT124" s="419">
        <f t="shared" si="162"/>
        <v>2.5924999999999998</v>
      </c>
      <c r="BU124" s="421">
        <f t="shared" si="162"/>
        <v>0</v>
      </c>
      <c r="BV124" s="420"/>
      <c r="BW124" s="415"/>
      <c r="BX124" s="415"/>
      <c r="BY124" s="415"/>
      <c r="BZ124" s="415"/>
      <c r="CA124" s="510"/>
    </row>
    <row r="125" spans="1:79" s="221" customFormat="1" ht="12.75" customHeight="1" x14ac:dyDescent="0.2">
      <c r="A125" s="223">
        <v>26</v>
      </c>
      <c r="B125" s="224">
        <v>3408</v>
      </c>
      <c r="C125" s="224">
        <v>600078566</v>
      </c>
      <c r="D125" s="224">
        <v>72743115</v>
      </c>
      <c r="E125" s="225" t="s">
        <v>59</v>
      </c>
      <c r="F125" s="224">
        <v>3143</v>
      </c>
      <c r="G125" s="225" t="s">
        <v>596</v>
      </c>
      <c r="H125" s="226" t="s">
        <v>272</v>
      </c>
      <c r="I125" s="420">
        <v>37915</v>
      </c>
      <c r="J125" s="415">
        <v>27139</v>
      </c>
      <c r="K125" s="415">
        <v>0</v>
      </c>
      <c r="L125" s="415">
        <v>27139</v>
      </c>
      <c r="M125" s="415">
        <v>0</v>
      </c>
      <c r="N125" s="415">
        <v>0</v>
      </c>
      <c r="O125" s="415">
        <v>0</v>
      </c>
      <c r="P125" s="68">
        <v>9173</v>
      </c>
      <c r="Q125" s="68">
        <v>271</v>
      </c>
      <c r="R125" s="415">
        <v>1332</v>
      </c>
      <c r="S125" s="416">
        <v>0.1</v>
      </c>
      <c r="T125" s="417">
        <v>0</v>
      </c>
      <c r="U125" s="423">
        <v>0.1</v>
      </c>
      <c r="V125" s="424">
        <f t="shared" si="157"/>
        <v>0</v>
      </c>
      <c r="W125" s="418">
        <f t="shared" si="157"/>
        <v>0</v>
      </c>
      <c r="X125" s="418">
        <v>0</v>
      </c>
      <c r="Y125" s="418">
        <v>0</v>
      </c>
      <c r="Z125" s="418">
        <v>0</v>
      </c>
      <c r="AA125" s="605">
        <v>13561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13561</v>
      </c>
      <c r="AF125" s="418">
        <f>SUM(AD125:AE125)</f>
        <v>13561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si="158"/>
        <v>0</v>
      </c>
      <c r="AP125" s="418">
        <f t="shared" si="158"/>
        <v>13561</v>
      </c>
      <c r="AQ125" s="418">
        <f>SUM(AO125:AP125)</f>
        <v>13561</v>
      </c>
      <c r="AR125" s="68">
        <f>ROUND((AF125+AG125+AH125+AI125)*33.8%,0)</f>
        <v>4584</v>
      </c>
      <c r="AS125" s="68">
        <f>ROUND(AF125*1%,0)</f>
        <v>136</v>
      </c>
      <c r="AT125" s="418">
        <v>0</v>
      </c>
      <c r="AU125" s="606">
        <v>666</v>
      </c>
      <c r="AV125" s="418">
        <f>AT125+AU125</f>
        <v>666</v>
      </c>
      <c r="AW125" s="418">
        <f>AQ125+AR125+AS125+AV125</f>
        <v>18947</v>
      </c>
      <c r="AX125" s="419">
        <v>0</v>
      </c>
      <c r="AY125" s="419">
        <v>0</v>
      </c>
      <c r="AZ125" s="419">
        <v>0</v>
      </c>
      <c r="BA125" s="419">
        <v>0</v>
      </c>
      <c r="BB125" s="607">
        <v>0.05</v>
      </c>
      <c r="BC125" s="93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0.05</v>
      </c>
      <c r="BH125" s="421">
        <f>SUM(BF125:BG125)</f>
        <v>0.05</v>
      </c>
      <c r="BI125" s="780">
        <f>I125+AW125</f>
        <v>56862</v>
      </c>
      <c r="BJ125" s="418">
        <f>J125+AF125</f>
        <v>40700</v>
      </c>
      <c r="BK125" s="418">
        <f t="shared" si="159"/>
        <v>0</v>
      </c>
      <c r="BL125" s="418">
        <f t="shared" si="159"/>
        <v>40700</v>
      </c>
      <c r="BM125" s="418">
        <f>M125+AN125</f>
        <v>0</v>
      </c>
      <c r="BN125" s="418">
        <f t="shared" si="160"/>
        <v>0</v>
      </c>
      <c r="BO125" s="418">
        <f t="shared" si="160"/>
        <v>0</v>
      </c>
      <c r="BP125" s="418">
        <f t="shared" si="161"/>
        <v>13757</v>
      </c>
      <c r="BQ125" s="418">
        <f t="shared" si="161"/>
        <v>407</v>
      </c>
      <c r="BR125" s="418">
        <f>R125+AV125</f>
        <v>1998</v>
      </c>
      <c r="BS125" s="419">
        <f>S125+BH125</f>
        <v>0.15000000000000002</v>
      </c>
      <c r="BT125" s="419">
        <f t="shared" si="162"/>
        <v>0</v>
      </c>
      <c r="BU125" s="421">
        <f t="shared" si="162"/>
        <v>0.15000000000000002</v>
      </c>
      <c r="BV125" s="420"/>
      <c r="BW125" s="415"/>
      <c r="BX125" s="415"/>
      <c r="BY125" s="415"/>
      <c r="BZ125" s="415"/>
      <c r="CA125" s="510"/>
    </row>
    <row r="126" spans="1:79" s="221" customFormat="1" ht="12.75" customHeight="1" x14ac:dyDescent="0.2">
      <c r="A126" s="153">
        <v>26</v>
      </c>
      <c r="B126" s="14">
        <v>3408</v>
      </c>
      <c r="C126" s="152">
        <v>600078566</v>
      </c>
      <c r="D126" s="152">
        <v>72743115</v>
      </c>
      <c r="E126" s="222" t="s">
        <v>60</v>
      </c>
      <c r="F126" s="14"/>
      <c r="G126" s="222"/>
      <c r="H126" s="560"/>
      <c r="I126" s="505">
        <v>24682710</v>
      </c>
      <c r="J126" s="504">
        <v>18115950</v>
      </c>
      <c r="K126" s="504">
        <v>16219945</v>
      </c>
      <c r="L126" s="504">
        <v>1896005</v>
      </c>
      <c r="M126" s="504">
        <v>0</v>
      </c>
      <c r="N126" s="504">
        <v>0</v>
      </c>
      <c r="O126" s="504">
        <v>0</v>
      </c>
      <c r="P126" s="504">
        <v>6123192</v>
      </c>
      <c r="Q126" s="504">
        <v>181158</v>
      </c>
      <c r="R126" s="504">
        <v>262410</v>
      </c>
      <c r="S126" s="544">
        <v>31.703200000000002</v>
      </c>
      <c r="T126" s="544">
        <v>26.116900000000001</v>
      </c>
      <c r="U126" s="401">
        <v>5.5862999999999996</v>
      </c>
      <c r="V126" s="505">
        <f t="shared" ref="V126:CA126" si="163">SUM(V121:V125)</f>
        <v>0</v>
      </c>
      <c r="W126" s="504">
        <f t="shared" si="163"/>
        <v>0</v>
      </c>
      <c r="X126" s="504">
        <f t="shared" si="163"/>
        <v>0</v>
      </c>
      <c r="Y126" s="504">
        <f t="shared" si="163"/>
        <v>0</v>
      </c>
      <c r="Z126" s="504">
        <f t="shared" si="163"/>
        <v>0</v>
      </c>
      <c r="AA126" s="575">
        <f t="shared" si="163"/>
        <v>410468</v>
      </c>
      <c r="AB126" s="504">
        <f t="shared" si="163"/>
        <v>0</v>
      </c>
      <c r="AC126" s="504">
        <f t="shared" si="163"/>
        <v>0</v>
      </c>
      <c r="AD126" s="504">
        <f t="shared" si="163"/>
        <v>0</v>
      </c>
      <c r="AE126" s="504">
        <f t="shared" si="163"/>
        <v>410468</v>
      </c>
      <c r="AF126" s="504">
        <f t="shared" si="163"/>
        <v>410468</v>
      </c>
      <c r="AG126" s="504">
        <f t="shared" si="163"/>
        <v>0</v>
      </c>
      <c r="AH126" s="504">
        <f t="shared" si="163"/>
        <v>0</v>
      </c>
      <c r="AI126" s="504">
        <f t="shared" si="163"/>
        <v>0</v>
      </c>
      <c r="AJ126" s="504">
        <f t="shared" si="163"/>
        <v>0</v>
      </c>
      <c r="AK126" s="504">
        <f t="shared" si="163"/>
        <v>0</v>
      </c>
      <c r="AL126" s="504">
        <f t="shared" si="163"/>
        <v>0</v>
      </c>
      <c r="AM126" s="504">
        <f t="shared" si="163"/>
        <v>0</v>
      </c>
      <c r="AN126" s="504">
        <f t="shared" si="163"/>
        <v>0</v>
      </c>
      <c r="AO126" s="504">
        <f t="shared" si="163"/>
        <v>0</v>
      </c>
      <c r="AP126" s="504">
        <f t="shared" si="163"/>
        <v>410468</v>
      </c>
      <c r="AQ126" s="504">
        <f t="shared" si="163"/>
        <v>410468</v>
      </c>
      <c r="AR126" s="504">
        <f t="shared" si="163"/>
        <v>138739</v>
      </c>
      <c r="AS126" s="504">
        <f t="shared" si="163"/>
        <v>4105</v>
      </c>
      <c r="AT126" s="504">
        <f t="shared" si="163"/>
        <v>0</v>
      </c>
      <c r="AU126" s="504">
        <f t="shared" si="163"/>
        <v>4304</v>
      </c>
      <c r="AV126" s="504">
        <f t="shared" si="163"/>
        <v>4304</v>
      </c>
      <c r="AW126" s="504">
        <f t="shared" si="163"/>
        <v>557616</v>
      </c>
      <c r="AX126" s="544">
        <f t="shared" si="163"/>
        <v>0</v>
      </c>
      <c r="AY126" s="544">
        <f t="shared" si="163"/>
        <v>0</v>
      </c>
      <c r="AZ126" s="544">
        <f t="shared" si="163"/>
        <v>0</v>
      </c>
      <c r="BA126" s="544">
        <f t="shared" si="163"/>
        <v>0</v>
      </c>
      <c r="BB126" s="544">
        <f t="shared" si="163"/>
        <v>1.24</v>
      </c>
      <c r="BC126" s="938">
        <f t="shared" si="163"/>
        <v>0</v>
      </c>
      <c r="BD126" s="544">
        <f t="shared" si="163"/>
        <v>0</v>
      </c>
      <c r="BE126" s="544">
        <f t="shared" si="163"/>
        <v>0</v>
      </c>
      <c r="BF126" s="544">
        <f t="shared" si="163"/>
        <v>0</v>
      </c>
      <c r="BG126" s="544">
        <f t="shared" si="163"/>
        <v>1.24</v>
      </c>
      <c r="BH126" s="442">
        <f t="shared" si="163"/>
        <v>1.24</v>
      </c>
      <c r="BI126" s="806">
        <f t="shared" si="163"/>
        <v>25240326</v>
      </c>
      <c r="BJ126" s="504">
        <f t="shared" si="163"/>
        <v>18526418</v>
      </c>
      <c r="BK126" s="504">
        <f t="shared" si="163"/>
        <v>16219945</v>
      </c>
      <c r="BL126" s="504">
        <f t="shared" si="163"/>
        <v>2306473</v>
      </c>
      <c r="BM126" s="504">
        <f t="shared" si="163"/>
        <v>0</v>
      </c>
      <c r="BN126" s="504">
        <f t="shared" si="163"/>
        <v>0</v>
      </c>
      <c r="BO126" s="504">
        <f t="shared" si="163"/>
        <v>0</v>
      </c>
      <c r="BP126" s="504">
        <f t="shared" si="163"/>
        <v>6261931</v>
      </c>
      <c r="BQ126" s="504">
        <f t="shared" si="163"/>
        <v>185263</v>
      </c>
      <c r="BR126" s="504">
        <f t="shared" si="163"/>
        <v>266714</v>
      </c>
      <c r="BS126" s="544">
        <f t="shared" si="163"/>
        <v>32.943199999999997</v>
      </c>
      <c r="BT126" s="544">
        <f t="shared" si="163"/>
        <v>26.116900000000001</v>
      </c>
      <c r="BU126" s="442">
        <f t="shared" si="163"/>
        <v>6.8262999999999998</v>
      </c>
      <c r="BV126" s="824">
        <f t="shared" si="163"/>
        <v>0</v>
      </c>
      <c r="BW126" s="710">
        <f t="shared" si="163"/>
        <v>0</v>
      </c>
      <c r="BX126" s="710">
        <f t="shared" si="163"/>
        <v>0</v>
      </c>
      <c r="BY126" s="710">
        <f t="shared" si="163"/>
        <v>0</v>
      </c>
      <c r="BZ126" s="710">
        <f t="shared" si="163"/>
        <v>0</v>
      </c>
      <c r="CA126" s="825">
        <f t="shared" si="163"/>
        <v>0</v>
      </c>
    </row>
    <row r="127" spans="1:79" s="221" customFormat="1" ht="12.75" customHeight="1" x14ac:dyDescent="0.2">
      <c r="A127" s="223">
        <v>27</v>
      </c>
      <c r="B127" s="224">
        <v>3417</v>
      </c>
      <c r="C127" s="224">
        <v>600078353</v>
      </c>
      <c r="D127" s="224">
        <v>72743352</v>
      </c>
      <c r="E127" s="225" t="s">
        <v>61</v>
      </c>
      <c r="F127" s="224">
        <v>3113</v>
      </c>
      <c r="G127" s="225" t="s">
        <v>293</v>
      </c>
      <c r="H127" s="226" t="s">
        <v>271</v>
      </c>
      <c r="I127" s="420">
        <v>15259079</v>
      </c>
      <c r="J127" s="415">
        <v>11147133</v>
      </c>
      <c r="K127" s="415">
        <v>10289455</v>
      </c>
      <c r="L127" s="415">
        <v>857678</v>
      </c>
      <c r="M127" s="415">
        <v>20000</v>
      </c>
      <c r="N127" s="415">
        <v>12500</v>
      </c>
      <c r="O127" s="415">
        <v>7500</v>
      </c>
      <c r="P127" s="68">
        <v>3774491</v>
      </c>
      <c r="Q127" s="68">
        <v>111471</v>
      </c>
      <c r="R127" s="415">
        <v>205984</v>
      </c>
      <c r="S127" s="416">
        <v>16.079599999999999</v>
      </c>
      <c r="T127" s="417">
        <v>13.6266</v>
      </c>
      <c r="U127" s="423">
        <v>2.4530000000000003</v>
      </c>
      <c r="V127" s="424">
        <f t="shared" ref="V127:W131" si="164">AG127*-1</f>
        <v>0</v>
      </c>
      <c r="W127" s="418">
        <f t="shared" si="164"/>
        <v>0</v>
      </c>
      <c r="X127" s="418">
        <v>0</v>
      </c>
      <c r="Y127" s="418">
        <v>0</v>
      </c>
      <c r="Z127" s="418">
        <v>0</v>
      </c>
      <c r="AA127" s="418">
        <v>0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0</v>
      </c>
      <c r="AF127" s="418">
        <f>SUM(AD127:AE127)</f>
        <v>0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ref="AO127:AP131" si="165">AD127+AL127</f>
        <v>0</v>
      </c>
      <c r="AP127" s="418">
        <f t="shared" si="165"/>
        <v>0</v>
      </c>
      <c r="AQ127" s="418">
        <f>SUM(AO127:AP127)</f>
        <v>0</v>
      </c>
      <c r="AR127" s="68">
        <f>ROUND((AF127+AG127+AH127+AI127)*33.8%,0)</f>
        <v>0</v>
      </c>
      <c r="AS127" s="68">
        <f>ROUND(AF127*1%,0)</f>
        <v>0</v>
      </c>
      <c r="AT127" s="418">
        <v>0</v>
      </c>
      <c r="AU127" s="415">
        <v>0</v>
      </c>
      <c r="AV127" s="418">
        <f>AT127+AU127</f>
        <v>0</v>
      </c>
      <c r="AW127" s="418">
        <f>AQ127+AR127+AS127+AV127</f>
        <v>0</v>
      </c>
      <c r="AX127" s="419">
        <v>0</v>
      </c>
      <c r="AY127" s="419">
        <v>0</v>
      </c>
      <c r="AZ127" s="419">
        <v>0</v>
      </c>
      <c r="BA127" s="419">
        <v>0</v>
      </c>
      <c r="BB127" s="416">
        <v>0</v>
      </c>
      <c r="BC127" s="93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</v>
      </c>
      <c r="BH127" s="421">
        <f>SUM(BF127:BG127)</f>
        <v>0</v>
      </c>
      <c r="BI127" s="780">
        <f>I127+AW127</f>
        <v>15259079</v>
      </c>
      <c r="BJ127" s="418">
        <f>J127+AF127</f>
        <v>11147133</v>
      </c>
      <c r="BK127" s="418">
        <f t="shared" ref="BK127:BL131" si="166">K127+AD127</f>
        <v>10289455</v>
      </c>
      <c r="BL127" s="418">
        <f t="shared" si="166"/>
        <v>857678</v>
      </c>
      <c r="BM127" s="418">
        <f>M127+AN127</f>
        <v>20000</v>
      </c>
      <c r="BN127" s="418">
        <f t="shared" ref="BN127:BO131" si="167">N127+AL127</f>
        <v>12500</v>
      </c>
      <c r="BO127" s="418">
        <f t="shared" si="167"/>
        <v>7500</v>
      </c>
      <c r="BP127" s="418">
        <f t="shared" ref="BP127:BQ131" si="168">P127+AR127</f>
        <v>3774491</v>
      </c>
      <c r="BQ127" s="418">
        <f t="shared" si="168"/>
        <v>111471</v>
      </c>
      <c r="BR127" s="418">
        <f>R127+AV127</f>
        <v>205984</v>
      </c>
      <c r="BS127" s="419">
        <f>S127+BH127</f>
        <v>16.079599999999999</v>
      </c>
      <c r="BT127" s="419">
        <f t="shared" ref="BT127:BU131" si="169">T127+BF127</f>
        <v>13.6266</v>
      </c>
      <c r="BU127" s="421">
        <f t="shared" si="169"/>
        <v>2.4530000000000003</v>
      </c>
      <c r="BV127" s="420"/>
      <c r="BW127" s="415"/>
      <c r="BX127" s="415"/>
      <c r="BY127" s="415"/>
      <c r="BZ127" s="415"/>
      <c r="CA127" s="510"/>
    </row>
    <row r="128" spans="1:79" s="221" customFormat="1" x14ac:dyDescent="0.2">
      <c r="A128" s="223">
        <v>27</v>
      </c>
      <c r="B128" s="224">
        <v>3417</v>
      </c>
      <c r="C128" s="224">
        <v>600078353</v>
      </c>
      <c r="D128" s="224">
        <v>72743352</v>
      </c>
      <c r="E128" s="225" t="s">
        <v>61</v>
      </c>
      <c r="F128" s="224">
        <v>3113</v>
      </c>
      <c r="G128" s="225" t="s">
        <v>291</v>
      </c>
      <c r="H128" s="226" t="s">
        <v>272</v>
      </c>
      <c r="I128" s="420">
        <v>624801</v>
      </c>
      <c r="J128" s="415">
        <v>463502</v>
      </c>
      <c r="K128" s="415">
        <v>463502</v>
      </c>
      <c r="L128" s="415">
        <v>0</v>
      </c>
      <c r="M128" s="415">
        <v>0</v>
      </c>
      <c r="N128" s="415">
        <v>0</v>
      </c>
      <c r="O128" s="415">
        <v>0</v>
      </c>
      <c r="P128" s="68">
        <v>156664</v>
      </c>
      <c r="Q128" s="68">
        <v>4635</v>
      </c>
      <c r="R128" s="415">
        <v>0</v>
      </c>
      <c r="S128" s="416">
        <v>1.25</v>
      </c>
      <c r="T128" s="417">
        <v>1.25</v>
      </c>
      <c r="U128" s="423">
        <v>0</v>
      </c>
      <c r="V128" s="424">
        <f t="shared" si="164"/>
        <v>0</v>
      </c>
      <c r="W128" s="418">
        <f t="shared" si="164"/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165"/>
        <v>0</v>
      </c>
      <c r="AP128" s="418">
        <f t="shared" si="165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5"/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6">
        <v>0</v>
      </c>
      <c r="BC128" s="93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21">
        <f>SUM(BF128:BG128)</f>
        <v>0</v>
      </c>
      <c r="BI128" s="780">
        <f>I128+AW128</f>
        <v>624801</v>
      </c>
      <c r="BJ128" s="418">
        <f>J128+AF128</f>
        <v>463502</v>
      </c>
      <c r="BK128" s="418">
        <f t="shared" si="166"/>
        <v>463502</v>
      </c>
      <c r="BL128" s="418">
        <f t="shared" si="166"/>
        <v>0</v>
      </c>
      <c r="BM128" s="418">
        <f>M128+AN128</f>
        <v>0</v>
      </c>
      <c r="BN128" s="418">
        <f t="shared" si="167"/>
        <v>0</v>
      </c>
      <c r="BO128" s="418">
        <f t="shared" si="167"/>
        <v>0</v>
      </c>
      <c r="BP128" s="418">
        <f t="shared" si="168"/>
        <v>156664</v>
      </c>
      <c r="BQ128" s="418">
        <f t="shared" si="168"/>
        <v>4635</v>
      </c>
      <c r="BR128" s="418">
        <f>R128+AV128</f>
        <v>0</v>
      </c>
      <c r="BS128" s="419">
        <f>S128+BH128</f>
        <v>1.25</v>
      </c>
      <c r="BT128" s="419">
        <f t="shared" si="169"/>
        <v>1.25</v>
      </c>
      <c r="BU128" s="421">
        <f t="shared" si="169"/>
        <v>0</v>
      </c>
      <c r="BV128" s="420"/>
      <c r="BW128" s="415"/>
      <c r="BX128" s="415"/>
      <c r="BY128" s="415"/>
      <c r="BZ128" s="415"/>
      <c r="CA128" s="510"/>
    </row>
    <row r="129" spans="1:79" s="221" customFormat="1" ht="12.75" customHeight="1" x14ac:dyDescent="0.2">
      <c r="A129" s="223">
        <v>27</v>
      </c>
      <c r="B129" s="224">
        <v>3417</v>
      </c>
      <c r="C129" s="224">
        <v>600078353</v>
      </c>
      <c r="D129" s="224">
        <v>72743352</v>
      </c>
      <c r="E129" s="225" t="s">
        <v>61</v>
      </c>
      <c r="F129" s="224">
        <v>3141</v>
      </c>
      <c r="G129" s="225" t="s">
        <v>294</v>
      </c>
      <c r="H129" s="226" t="s">
        <v>272</v>
      </c>
      <c r="I129" s="420">
        <v>1119650</v>
      </c>
      <c r="J129" s="415">
        <v>819796</v>
      </c>
      <c r="K129" s="415">
        <v>0</v>
      </c>
      <c r="L129" s="415">
        <v>819796</v>
      </c>
      <c r="M129" s="415">
        <v>5000</v>
      </c>
      <c r="N129" s="415">
        <v>0</v>
      </c>
      <c r="O129" s="415">
        <v>5000</v>
      </c>
      <c r="P129" s="68">
        <v>278781</v>
      </c>
      <c r="Q129" s="68">
        <v>8198</v>
      </c>
      <c r="R129" s="415">
        <v>7875</v>
      </c>
      <c r="S129" s="416">
        <v>2.4700000000000002</v>
      </c>
      <c r="T129" s="417">
        <v>0</v>
      </c>
      <c r="U129" s="423">
        <v>2.4700000000000002</v>
      </c>
      <c r="V129" s="424">
        <f t="shared" si="164"/>
        <v>0</v>
      </c>
      <c r="W129" s="418">
        <f t="shared" si="164"/>
        <v>0</v>
      </c>
      <c r="X129" s="418">
        <v>0</v>
      </c>
      <c r="Y129" s="418">
        <v>0</v>
      </c>
      <c r="Z129" s="418">
        <v>0</v>
      </c>
      <c r="AA129" s="605">
        <v>413936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413936</v>
      </c>
      <c r="AF129" s="418">
        <f>SUM(AD129:AE129)</f>
        <v>413936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165"/>
        <v>0</v>
      </c>
      <c r="AP129" s="418">
        <f t="shared" si="165"/>
        <v>413936</v>
      </c>
      <c r="AQ129" s="418">
        <f>SUM(AO129:AP129)</f>
        <v>413936</v>
      </c>
      <c r="AR129" s="68">
        <f>ROUND((AF129+AG129+AH129+AI129)*33.8%,0)</f>
        <v>139910</v>
      </c>
      <c r="AS129" s="68">
        <f>ROUND(AF129*1%,0)</f>
        <v>4139</v>
      </c>
      <c r="AT129" s="418">
        <v>0</v>
      </c>
      <c r="AU129" s="605">
        <v>3825</v>
      </c>
      <c r="AV129" s="418">
        <f>AT129+AU129</f>
        <v>3825</v>
      </c>
      <c r="AW129" s="418">
        <f>AQ129+AR129+AS129+AV129</f>
        <v>561810</v>
      </c>
      <c r="AX129" s="419">
        <v>0</v>
      </c>
      <c r="AY129" s="419">
        <v>0</v>
      </c>
      <c r="AZ129" s="419">
        <v>0</v>
      </c>
      <c r="BA129" s="419">
        <v>0</v>
      </c>
      <c r="BB129" s="607">
        <v>1.24</v>
      </c>
      <c r="BC129" s="93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1.24</v>
      </c>
      <c r="BH129" s="421">
        <f>SUM(BF129:BG129)</f>
        <v>1.24</v>
      </c>
      <c r="BI129" s="780">
        <f>I129+AW129</f>
        <v>1681460</v>
      </c>
      <c r="BJ129" s="418">
        <f>J129+AF129</f>
        <v>1233732</v>
      </c>
      <c r="BK129" s="418">
        <f t="shared" si="166"/>
        <v>0</v>
      </c>
      <c r="BL129" s="418">
        <f t="shared" si="166"/>
        <v>1233732</v>
      </c>
      <c r="BM129" s="418">
        <f>M129+AN129</f>
        <v>5000</v>
      </c>
      <c r="BN129" s="418">
        <f t="shared" si="167"/>
        <v>0</v>
      </c>
      <c r="BO129" s="418">
        <f t="shared" si="167"/>
        <v>5000</v>
      </c>
      <c r="BP129" s="418">
        <f t="shared" si="168"/>
        <v>418691</v>
      </c>
      <c r="BQ129" s="418">
        <f t="shared" si="168"/>
        <v>12337</v>
      </c>
      <c r="BR129" s="418">
        <f>R129+AV129</f>
        <v>11700</v>
      </c>
      <c r="BS129" s="419">
        <f>S129+BH129</f>
        <v>3.71</v>
      </c>
      <c r="BT129" s="419">
        <f t="shared" si="169"/>
        <v>0</v>
      </c>
      <c r="BU129" s="421">
        <f t="shared" si="169"/>
        <v>3.71</v>
      </c>
      <c r="BV129" s="420"/>
      <c r="BW129" s="415"/>
      <c r="BX129" s="415"/>
      <c r="BY129" s="415"/>
      <c r="BZ129" s="415"/>
      <c r="CA129" s="510"/>
    </row>
    <row r="130" spans="1:79" s="221" customFormat="1" ht="12.75" customHeight="1" x14ac:dyDescent="0.2">
      <c r="A130" s="223">
        <v>27</v>
      </c>
      <c r="B130" s="224">
        <v>3417</v>
      </c>
      <c r="C130" s="224">
        <v>600078353</v>
      </c>
      <c r="D130" s="224">
        <v>72743352</v>
      </c>
      <c r="E130" s="225" t="s">
        <v>61</v>
      </c>
      <c r="F130" s="224">
        <v>3143</v>
      </c>
      <c r="G130" s="225" t="s">
        <v>595</v>
      </c>
      <c r="H130" s="226" t="s">
        <v>271</v>
      </c>
      <c r="I130" s="420">
        <v>1434428</v>
      </c>
      <c r="J130" s="415">
        <v>1054190</v>
      </c>
      <c r="K130" s="415">
        <v>1054190</v>
      </c>
      <c r="L130" s="415">
        <v>0</v>
      </c>
      <c r="M130" s="415">
        <v>10000</v>
      </c>
      <c r="N130" s="415">
        <v>10000</v>
      </c>
      <c r="O130" s="415">
        <v>0</v>
      </c>
      <c r="P130" s="68">
        <v>359696</v>
      </c>
      <c r="Q130" s="68">
        <v>10542</v>
      </c>
      <c r="R130" s="415">
        <v>0</v>
      </c>
      <c r="S130" s="416">
        <v>2</v>
      </c>
      <c r="T130" s="417">
        <v>2</v>
      </c>
      <c r="U130" s="423">
        <v>0</v>
      </c>
      <c r="V130" s="424">
        <f t="shared" si="164"/>
        <v>0</v>
      </c>
      <c r="W130" s="418">
        <f t="shared" si="164"/>
        <v>0</v>
      </c>
      <c r="X130" s="418">
        <v>0</v>
      </c>
      <c r="Y130" s="418">
        <v>0</v>
      </c>
      <c r="Z130" s="418">
        <v>0</v>
      </c>
      <c r="AA130" s="418">
        <v>0</v>
      </c>
      <c r="AB130" s="418">
        <v>0</v>
      </c>
      <c r="AC130" s="418">
        <v>0</v>
      </c>
      <c r="AD130" s="418">
        <f>V130+X130+Y130+Z130+AB130</f>
        <v>0</v>
      </c>
      <c r="AE130" s="418">
        <f>W130+AA130+AC130</f>
        <v>0</v>
      </c>
      <c r="AF130" s="418">
        <f>SUM(AD130:AE130)</f>
        <v>0</v>
      </c>
      <c r="AG130" s="418">
        <v>0</v>
      </c>
      <c r="AH130" s="418">
        <v>0</v>
      </c>
      <c r="AI130" s="418">
        <v>0</v>
      </c>
      <c r="AJ130" s="418">
        <v>0</v>
      </c>
      <c r="AK130" s="418">
        <v>0</v>
      </c>
      <c r="AL130" s="418">
        <f>AG130+AI130+AJ130</f>
        <v>0</v>
      </c>
      <c r="AM130" s="418">
        <f>AH130+AK130</f>
        <v>0</v>
      </c>
      <c r="AN130" s="418">
        <f>SUM(AL130:AM130)</f>
        <v>0</v>
      </c>
      <c r="AO130" s="418">
        <f t="shared" si="165"/>
        <v>0</v>
      </c>
      <c r="AP130" s="418">
        <f t="shared" si="165"/>
        <v>0</v>
      </c>
      <c r="AQ130" s="418">
        <f>SUM(AO130:AP130)</f>
        <v>0</v>
      </c>
      <c r="AR130" s="68">
        <f>ROUND((AF130+AG130+AH130+AI130)*33.8%,0)</f>
        <v>0</v>
      </c>
      <c r="AS130" s="68">
        <f>ROUND(AF130*1%,0)</f>
        <v>0</v>
      </c>
      <c r="AT130" s="418">
        <v>0</v>
      </c>
      <c r="AU130" s="415">
        <v>0</v>
      </c>
      <c r="AV130" s="418">
        <f>AT130+AU130</f>
        <v>0</v>
      </c>
      <c r="AW130" s="418">
        <f>AQ130+AR130+AS130+AV130</f>
        <v>0</v>
      </c>
      <c r="AX130" s="419">
        <v>0</v>
      </c>
      <c r="AY130" s="419">
        <v>0</v>
      </c>
      <c r="AZ130" s="419">
        <v>0</v>
      </c>
      <c r="BA130" s="419">
        <v>0</v>
      </c>
      <c r="BB130" s="416">
        <v>0</v>
      </c>
      <c r="BC130" s="939">
        <v>0</v>
      </c>
      <c r="BD130" s="419">
        <v>0</v>
      </c>
      <c r="BE130" s="419">
        <v>0</v>
      </c>
      <c r="BF130" s="419">
        <f>AX130+AZ130+BA130+BC130+BD130</f>
        <v>0</v>
      </c>
      <c r="BG130" s="419">
        <f>AY130+BB130+BE130</f>
        <v>0</v>
      </c>
      <c r="BH130" s="421">
        <f>SUM(BF130:BG130)</f>
        <v>0</v>
      </c>
      <c r="BI130" s="780">
        <f>I130+AW130</f>
        <v>1434428</v>
      </c>
      <c r="BJ130" s="418">
        <f>J130+AF130</f>
        <v>1054190</v>
      </c>
      <c r="BK130" s="418">
        <f t="shared" si="166"/>
        <v>1054190</v>
      </c>
      <c r="BL130" s="418">
        <f t="shared" si="166"/>
        <v>0</v>
      </c>
      <c r="BM130" s="418">
        <f>M130+AN130</f>
        <v>10000</v>
      </c>
      <c r="BN130" s="418">
        <f t="shared" si="167"/>
        <v>10000</v>
      </c>
      <c r="BO130" s="418">
        <f t="shared" si="167"/>
        <v>0</v>
      </c>
      <c r="BP130" s="418">
        <f t="shared" si="168"/>
        <v>359696</v>
      </c>
      <c r="BQ130" s="418">
        <f t="shared" si="168"/>
        <v>10542</v>
      </c>
      <c r="BR130" s="418">
        <f>R130+AV130</f>
        <v>0</v>
      </c>
      <c r="BS130" s="419">
        <f>S130+BH130</f>
        <v>2</v>
      </c>
      <c r="BT130" s="419">
        <f t="shared" si="169"/>
        <v>2</v>
      </c>
      <c r="BU130" s="421">
        <f t="shared" si="169"/>
        <v>0</v>
      </c>
      <c r="BV130" s="420"/>
      <c r="BW130" s="415"/>
      <c r="BX130" s="415"/>
      <c r="BY130" s="415"/>
      <c r="BZ130" s="415"/>
      <c r="CA130" s="510"/>
    </row>
    <row r="131" spans="1:79" s="221" customFormat="1" ht="12.75" customHeight="1" x14ac:dyDescent="0.2">
      <c r="A131" s="223">
        <v>27</v>
      </c>
      <c r="B131" s="224">
        <v>3417</v>
      </c>
      <c r="C131" s="224">
        <v>600078353</v>
      </c>
      <c r="D131" s="224">
        <v>72743352</v>
      </c>
      <c r="E131" s="225" t="s">
        <v>61</v>
      </c>
      <c r="F131" s="224">
        <v>3143</v>
      </c>
      <c r="G131" s="225" t="s">
        <v>596</v>
      </c>
      <c r="H131" s="226" t="s">
        <v>272</v>
      </c>
      <c r="I131" s="420">
        <v>30724</v>
      </c>
      <c r="J131" s="415">
        <v>21991</v>
      </c>
      <c r="K131" s="415">
        <v>0</v>
      </c>
      <c r="L131" s="415">
        <v>21991</v>
      </c>
      <c r="M131" s="415">
        <v>0</v>
      </c>
      <c r="N131" s="415">
        <v>0</v>
      </c>
      <c r="O131" s="415">
        <v>0</v>
      </c>
      <c r="P131" s="68">
        <v>7433</v>
      </c>
      <c r="Q131" s="68">
        <v>220</v>
      </c>
      <c r="R131" s="415">
        <v>1080</v>
      </c>
      <c r="S131" s="416">
        <v>0.08</v>
      </c>
      <c r="T131" s="417">
        <v>0</v>
      </c>
      <c r="U131" s="423">
        <v>0.08</v>
      </c>
      <c r="V131" s="424">
        <f t="shared" si="164"/>
        <v>0</v>
      </c>
      <c r="W131" s="418">
        <f t="shared" si="164"/>
        <v>0</v>
      </c>
      <c r="X131" s="418">
        <v>0</v>
      </c>
      <c r="Y131" s="418">
        <v>0</v>
      </c>
      <c r="Z131" s="418">
        <v>0</v>
      </c>
      <c r="AA131" s="605">
        <v>11009</v>
      </c>
      <c r="AB131" s="418">
        <v>0</v>
      </c>
      <c r="AC131" s="418">
        <v>0</v>
      </c>
      <c r="AD131" s="418">
        <f>V131+X131+Y131+Z131+AB131</f>
        <v>0</v>
      </c>
      <c r="AE131" s="418">
        <f>W131+AA131+AC131</f>
        <v>11009</v>
      </c>
      <c r="AF131" s="418">
        <f>SUM(AD131:AE131)</f>
        <v>11009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>AG131+AI131+AJ131</f>
        <v>0</v>
      </c>
      <c r="AM131" s="418">
        <f>AH131+AK131</f>
        <v>0</v>
      </c>
      <c r="AN131" s="418">
        <f>SUM(AL131:AM131)</f>
        <v>0</v>
      </c>
      <c r="AO131" s="418">
        <f t="shared" si="165"/>
        <v>0</v>
      </c>
      <c r="AP131" s="418">
        <f t="shared" si="165"/>
        <v>11009</v>
      </c>
      <c r="AQ131" s="418">
        <f>SUM(AO131:AP131)</f>
        <v>11009</v>
      </c>
      <c r="AR131" s="68">
        <f>ROUND((AF131+AG131+AH131+AI131)*33.8%,0)</f>
        <v>3721</v>
      </c>
      <c r="AS131" s="68">
        <f>ROUND(AF131*1%,0)</f>
        <v>110</v>
      </c>
      <c r="AT131" s="418">
        <v>0</v>
      </c>
      <c r="AU131" s="606">
        <v>540</v>
      </c>
      <c r="AV131" s="418">
        <f>AT131+AU131</f>
        <v>540</v>
      </c>
      <c r="AW131" s="418">
        <f>AQ131+AR131+AS131+AV131</f>
        <v>15380</v>
      </c>
      <c r="AX131" s="419">
        <v>0</v>
      </c>
      <c r="AY131" s="419">
        <v>0</v>
      </c>
      <c r="AZ131" s="419">
        <v>0</v>
      </c>
      <c r="BA131" s="419">
        <v>0</v>
      </c>
      <c r="BB131" s="607">
        <v>0.04</v>
      </c>
      <c r="BC131" s="939">
        <v>0</v>
      </c>
      <c r="BD131" s="419">
        <v>0</v>
      </c>
      <c r="BE131" s="419">
        <v>0</v>
      </c>
      <c r="BF131" s="419">
        <f>AX131+AZ131+BA131+BC131+BD131</f>
        <v>0</v>
      </c>
      <c r="BG131" s="419">
        <f>AY131+BB131+BE131</f>
        <v>0.04</v>
      </c>
      <c r="BH131" s="421">
        <f>SUM(BF131:BG131)</f>
        <v>0.04</v>
      </c>
      <c r="BI131" s="780">
        <f>I131+AW131</f>
        <v>46104</v>
      </c>
      <c r="BJ131" s="418">
        <f>J131+AF131</f>
        <v>33000</v>
      </c>
      <c r="BK131" s="418">
        <f t="shared" si="166"/>
        <v>0</v>
      </c>
      <c r="BL131" s="418">
        <f t="shared" si="166"/>
        <v>33000</v>
      </c>
      <c r="BM131" s="418">
        <f>M131+AN131</f>
        <v>0</v>
      </c>
      <c r="BN131" s="418">
        <f t="shared" si="167"/>
        <v>0</v>
      </c>
      <c r="BO131" s="418">
        <f t="shared" si="167"/>
        <v>0</v>
      </c>
      <c r="BP131" s="418">
        <f t="shared" si="168"/>
        <v>11154</v>
      </c>
      <c r="BQ131" s="418">
        <f t="shared" si="168"/>
        <v>330</v>
      </c>
      <c r="BR131" s="418">
        <f>R131+AV131</f>
        <v>1620</v>
      </c>
      <c r="BS131" s="419">
        <f>S131+BH131</f>
        <v>0.12</v>
      </c>
      <c r="BT131" s="419">
        <f t="shared" si="169"/>
        <v>0</v>
      </c>
      <c r="BU131" s="421">
        <f t="shared" si="169"/>
        <v>0.12</v>
      </c>
      <c r="BV131" s="826">
        <f>SUM(BW130:BZ130)</f>
        <v>0</v>
      </c>
      <c r="BW131" s="678"/>
      <c r="BX131" s="678"/>
      <c r="BY131" s="678"/>
      <c r="BZ131" s="678"/>
      <c r="CA131" s="827"/>
    </row>
    <row r="132" spans="1:79" s="221" customFormat="1" ht="12.75" customHeight="1" x14ac:dyDescent="0.2">
      <c r="A132" s="153">
        <v>27</v>
      </c>
      <c r="B132" s="14">
        <v>3417</v>
      </c>
      <c r="C132" s="152">
        <v>600078353</v>
      </c>
      <c r="D132" s="152">
        <v>72743352</v>
      </c>
      <c r="E132" s="222" t="s">
        <v>62</v>
      </c>
      <c r="F132" s="14"/>
      <c r="G132" s="222"/>
      <c r="H132" s="560"/>
      <c r="I132" s="505">
        <v>18468682</v>
      </c>
      <c r="J132" s="504">
        <v>13506612</v>
      </c>
      <c r="K132" s="504">
        <v>11807147</v>
      </c>
      <c r="L132" s="504">
        <v>1699465</v>
      </c>
      <c r="M132" s="504">
        <v>35000</v>
      </c>
      <c r="N132" s="504">
        <v>22500</v>
      </c>
      <c r="O132" s="504">
        <v>12500</v>
      </c>
      <c r="P132" s="504">
        <v>4577065</v>
      </c>
      <c r="Q132" s="504">
        <v>135066</v>
      </c>
      <c r="R132" s="504">
        <v>214939</v>
      </c>
      <c r="S132" s="544">
        <v>21.879599999999996</v>
      </c>
      <c r="T132" s="544">
        <v>16.8766</v>
      </c>
      <c r="U132" s="401">
        <v>5.0030000000000001</v>
      </c>
      <c r="V132" s="505">
        <f t="shared" ref="V132:CA132" si="170">SUM(V127:V131)</f>
        <v>0</v>
      </c>
      <c r="W132" s="504">
        <f t="shared" si="170"/>
        <v>0</v>
      </c>
      <c r="X132" s="504">
        <f t="shared" si="170"/>
        <v>0</v>
      </c>
      <c r="Y132" s="504">
        <f t="shared" si="170"/>
        <v>0</v>
      </c>
      <c r="Z132" s="504">
        <f t="shared" si="170"/>
        <v>0</v>
      </c>
      <c r="AA132" s="575">
        <f t="shared" si="170"/>
        <v>424945</v>
      </c>
      <c r="AB132" s="504">
        <f t="shared" si="170"/>
        <v>0</v>
      </c>
      <c r="AC132" s="504">
        <f t="shared" si="170"/>
        <v>0</v>
      </c>
      <c r="AD132" s="504">
        <f t="shared" si="170"/>
        <v>0</v>
      </c>
      <c r="AE132" s="504">
        <f t="shared" si="170"/>
        <v>424945</v>
      </c>
      <c r="AF132" s="504">
        <f t="shared" si="170"/>
        <v>424945</v>
      </c>
      <c r="AG132" s="504">
        <f t="shared" si="170"/>
        <v>0</v>
      </c>
      <c r="AH132" s="504">
        <f t="shared" si="170"/>
        <v>0</v>
      </c>
      <c r="AI132" s="504">
        <f t="shared" si="170"/>
        <v>0</v>
      </c>
      <c r="AJ132" s="504">
        <f t="shared" si="170"/>
        <v>0</v>
      </c>
      <c r="AK132" s="504">
        <f t="shared" si="170"/>
        <v>0</v>
      </c>
      <c r="AL132" s="504">
        <f t="shared" si="170"/>
        <v>0</v>
      </c>
      <c r="AM132" s="504">
        <f t="shared" si="170"/>
        <v>0</v>
      </c>
      <c r="AN132" s="504">
        <f t="shared" si="170"/>
        <v>0</v>
      </c>
      <c r="AO132" s="504">
        <f t="shared" si="170"/>
        <v>0</v>
      </c>
      <c r="AP132" s="504">
        <f t="shared" si="170"/>
        <v>424945</v>
      </c>
      <c r="AQ132" s="504">
        <f t="shared" si="170"/>
        <v>424945</v>
      </c>
      <c r="AR132" s="504">
        <f t="shared" si="170"/>
        <v>143631</v>
      </c>
      <c r="AS132" s="504">
        <f t="shared" si="170"/>
        <v>4249</v>
      </c>
      <c r="AT132" s="504">
        <f t="shared" si="170"/>
        <v>0</v>
      </c>
      <c r="AU132" s="504">
        <f t="shared" si="170"/>
        <v>4365</v>
      </c>
      <c r="AV132" s="504">
        <f t="shared" si="170"/>
        <v>4365</v>
      </c>
      <c r="AW132" s="504">
        <f t="shared" si="170"/>
        <v>577190</v>
      </c>
      <c r="AX132" s="544">
        <f t="shared" si="170"/>
        <v>0</v>
      </c>
      <c r="AY132" s="544">
        <f t="shared" si="170"/>
        <v>0</v>
      </c>
      <c r="AZ132" s="544">
        <f t="shared" si="170"/>
        <v>0</v>
      </c>
      <c r="BA132" s="544">
        <f t="shared" si="170"/>
        <v>0</v>
      </c>
      <c r="BB132" s="544">
        <f t="shared" si="170"/>
        <v>1.28</v>
      </c>
      <c r="BC132" s="938">
        <f t="shared" si="170"/>
        <v>0</v>
      </c>
      <c r="BD132" s="544">
        <f t="shared" si="170"/>
        <v>0</v>
      </c>
      <c r="BE132" s="544">
        <f t="shared" si="170"/>
        <v>0</v>
      </c>
      <c r="BF132" s="544">
        <f t="shared" si="170"/>
        <v>0</v>
      </c>
      <c r="BG132" s="544">
        <f t="shared" si="170"/>
        <v>1.28</v>
      </c>
      <c r="BH132" s="442">
        <f t="shared" si="170"/>
        <v>1.28</v>
      </c>
      <c r="BI132" s="806">
        <f t="shared" si="170"/>
        <v>19045872</v>
      </c>
      <c r="BJ132" s="504">
        <f t="shared" si="170"/>
        <v>13931557</v>
      </c>
      <c r="BK132" s="504">
        <f t="shared" si="170"/>
        <v>11807147</v>
      </c>
      <c r="BL132" s="504">
        <f t="shared" si="170"/>
        <v>2124410</v>
      </c>
      <c r="BM132" s="504">
        <f t="shared" si="170"/>
        <v>35000</v>
      </c>
      <c r="BN132" s="504">
        <f t="shared" si="170"/>
        <v>22500</v>
      </c>
      <c r="BO132" s="504">
        <f t="shared" si="170"/>
        <v>12500</v>
      </c>
      <c r="BP132" s="504">
        <f t="shared" si="170"/>
        <v>4720696</v>
      </c>
      <c r="BQ132" s="504">
        <f t="shared" si="170"/>
        <v>139315</v>
      </c>
      <c r="BR132" s="504">
        <f t="shared" si="170"/>
        <v>219304</v>
      </c>
      <c r="BS132" s="544">
        <f t="shared" si="170"/>
        <v>23.159600000000001</v>
      </c>
      <c r="BT132" s="544">
        <f t="shared" si="170"/>
        <v>16.8766</v>
      </c>
      <c r="BU132" s="442">
        <f t="shared" si="170"/>
        <v>6.2830000000000004</v>
      </c>
      <c r="BV132" s="824">
        <f t="shared" si="170"/>
        <v>0</v>
      </c>
      <c r="BW132" s="710">
        <f t="shared" si="170"/>
        <v>0</v>
      </c>
      <c r="BX132" s="710">
        <f t="shared" si="170"/>
        <v>0</v>
      </c>
      <c r="BY132" s="710">
        <f t="shared" si="170"/>
        <v>0</v>
      </c>
      <c r="BZ132" s="710">
        <f t="shared" si="170"/>
        <v>0</v>
      </c>
      <c r="CA132" s="825">
        <f t="shared" si="170"/>
        <v>0</v>
      </c>
    </row>
    <row r="133" spans="1:79" s="221" customFormat="1" ht="12.75" customHeight="1" x14ac:dyDescent="0.2">
      <c r="A133" s="223">
        <v>28</v>
      </c>
      <c r="B133" s="224">
        <v>3410</v>
      </c>
      <c r="C133" s="224">
        <v>650038550</v>
      </c>
      <c r="D133" s="224">
        <v>72743191</v>
      </c>
      <c r="E133" s="225" t="s">
        <v>63</v>
      </c>
      <c r="F133" s="224">
        <v>3113</v>
      </c>
      <c r="G133" s="225" t="s">
        <v>293</v>
      </c>
      <c r="H133" s="226" t="s">
        <v>271</v>
      </c>
      <c r="I133" s="420">
        <v>26823142</v>
      </c>
      <c r="J133" s="415">
        <v>19528563</v>
      </c>
      <c r="K133" s="415">
        <v>17953096</v>
      </c>
      <c r="L133" s="415">
        <v>1575467</v>
      </c>
      <c r="M133" s="415">
        <v>71812</v>
      </c>
      <c r="N133" s="415">
        <v>66812</v>
      </c>
      <c r="O133" s="415">
        <v>5000</v>
      </c>
      <c r="P133" s="68">
        <v>6624926</v>
      </c>
      <c r="Q133" s="68">
        <v>195286</v>
      </c>
      <c r="R133" s="415">
        <v>402555</v>
      </c>
      <c r="S133" s="416">
        <v>30.369199999999996</v>
      </c>
      <c r="T133" s="417">
        <v>25.616399999999995</v>
      </c>
      <c r="U133" s="423">
        <v>4.7528000000000006</v>
      </c>
      <c r="V133" s="424">
        <f t="shared" ref="V133:W137" si="171">AG133*-1</f>
        <v>0</v>
      </c>
      <c r="W133" s="418">
        <f t="shared" si="171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>V133+X133+Y133+Z133+AB133</f>
        <v>0</v>
      </c>
      <c r="AE133" s="418">
        <f>W133+AA133+AC133</f>
        <v>0</v>
      </c>
      <c r="AF133" s="418">
        <f>SUM(AD133:AE133)</f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>AG133+AI133+AJ133</f>
        <v>0</v>
      </c>
      <c r="AM133" s="418">
        <f>AH133+AK133</f>
        <v>0</v>
      </c>
      <c r="AN133" s="418">
        <f>SUM(AL133:AM133)</f>
        <v>0</v>
      </c>
      <c r="AO133" s="418">
        <f t="shared" ref="AO133:AP137" si="172">AD133+AL133</f>
        <v>0</v>
      </c>
      <c r="AP133" s="418">
        <f t="shared" si="172"/>
        <v>0</v>
      </c>
      <c r="AQ133" s="418">
        <f>SUM(AO133:AP133)</f>
        <v>0</v>
      </c>
      <c r="AR133" s="68">
        <f>ROUND((AF133+AG133+AH133+AI133)*33.8%,0)</f>
        <v>0</v>
      </c>
      <c r="AS133" s="68">
        <f>ROUND(AF133*1%,0)</f>
        <v>0</v>
      </c>
      <c r="AT133" s="418">
        <v>0</v>
      </c>
      <c r="AU133" s="415">
        <v>0</v>
      </c>
      <c r="AV133" s="418">
        <f>AT133+AU133</f>
        <v>0</v>
      </c>
      <c r="AW133" s="418">
        <f>AQ133+AR133+AS133+AV133</f>
        <v>0</v>
      </c>
      <c r="AX133" s="419">
        <v>0</v>
      </c>
      <c r="AY133" s="419">
        <v>0</v>
      </c>
      <c r="AZ133" s="419">
        <v>0</v>
      </c>
      <c r="BA133" s="419">
        <v>0</v>
      </c>
      <c r="BB133" s="416">
        <v>0</v>
      </c>
      <c r="BC133" s="939">
        <v>0</v>
      </c>
      <c r="BD133" s="419">
        <v>0</v>
      </c>
      <c r="BE133" s="419">
        <v>0</v>
      </c>
      <c r="BF133" s="419">
        <f>AX133+AZ133+BA133+BC133+BD133</f>
        <v>0</v>
      </c>
      <c r="BG133" s="419">
        <f>AY133+BB133+BE133</f>
        <v>0</v>
      </c>
      <c r="BH133" s="421">
        <f>SUM(BF133:BG133)</f>
        <v>0</v>
      </c>
      <c r="BI133" s="780">
        <f>I133+AW133</f>
        <v>26823142</v>
      </c>
      <c r="BJ133" s="418">
        <f>J133+AF133</f>
        <v>19528563</v>
      </c>
      <c r="BK133" s="418">
        <f t="shared" ref="BK133:BL137" si="173">K133+AD133</f>
        <v>17953096</v>
      </c>
      <c r="BL133" s="418">
        <f t="shared" si="173"/>
        <v>1575467</v>
      </c>
      <c r="BM133" s="418">
        <f>M133+AN133</f>
        <v>71812</v>
      </c>
      <c r="BN133" s="418">
        <f t="shared" ref="BN133:BO137" si="174">N133+AL133</f>
        <v>66812</v>
      </c>
      <c r="BO133" s="418">
        <f t="shared" si="174"/>
        <v>5000</v>
      </c>
      <c r="BP133" s="418">
        <f t="shared" ref="BP133:BQ137" si="175">P133+AR133</f>
        <v>6624926</v>
      </c>
      <c r="BQ133" s="418">
        <f t="shared" si="175"/>
        <v>195286</v>
      </c>
      <c r="BR133" s="418">
        <f>R133+AV133</f>
        <v>402555</v>
      </c>
      <c r="BS133" s="419">
        <f>S133+BH133</f>
        <v>30.369199999999996</v>
      </c>
      <c r="BT133" s="419">
        <f t="shared" ref="BT133:BU137" si="176">T133+BF133</f>
        <v>25.616399999999995</v>
      </c>
      <c r="BU133" s="421">
        <f t="shared" si="176"/>
        <v>4.7528000000000006</v>
      </c>
      <c r="BV133" s="420">
        <v>62634</v>
      </c>
      <c r="BW133" s="415">
        <v>0</v>
      </c>
      <c r="BX133" s="415">
        <v>46812</v>
      </c>
      <c r="BY133" s="415">
        <v>15822</v>
      </c>
      <c r="BZ133" s="415">
        <v>0</v>
      </c>
      <c r="CA133" s="510">
        <v>0</v>
      </c>
    </row>
    <row r="134" spans="1:79" s="221" customFormat="1" x14ac:dyDescent="0.2">
      <c r="A134" s="223">
        <v>28</v>
      </c>
      <c r="B134" s="224">
        <v>3410</v>
      </c>
      <c r="C134" s="224">
        <v>650038550</v>
      </c>
      <c r="D134" s="224">
        <v>72743191</v>
      </c>
      <c r="E134" s="225" t="s">
        <v>63</v>
      </c>
      <c r="F134" s="224">
        <v>3113</v>
      </c>
      <c r="G134" s="225" t="s">
        <v>291</v>
      </c>
      <c r="H134" s="226" t="s">
        <v>272</v>
      </c>
      <c r="I134" s="420">
        <v>2104384</v>
      </c>
      <c r="J134" s="415">
        <v>1561116</v>
      </c>
      <c r="K134" s="415">
        <v>1561116</v>
      </c>
      <c r="L134" s="415">
        <v>0</v>
      </c>
      <c r="M134" s="415">
        <v>0</v>
      </c>
      <c r="N134" s="415">
        <v>0</v>
      </c>
      <c r="O134" s="415">
        <v>0</v>
      </c>
      <c r="P134" s="68">
        <v>527657</v>
      </c>
      <c r="Q134" s="68">
        <v>15611</v>
      </c>
      <c r="R134" s="415">
        <v>0</v>
      </c>
      <c r="S134" s="416">
        <v>3.9899999999999998</v>
      </c>
      <c r="T134" s="417">
        <v>3.9899999999999998</v>
      </c>
      <c r="U134" s="423">
        <v>0</v>
      </c>
      <c r="V134" s="424">
        <f t="shared" si="171"/>
        <v>0</v>
      </c>
      <c r="W134" s="418">
        <f t="shared" si="171"/>
        <v>0</v>
      </c>
      <c r="X134" s="418">
        <v>0</v>
      </c>
      <c r="Y134" s="418">
        <v>0</v>
      </c>
      <c r="Z134" s="418">
        <v>0</v>
      </c>
      <c r="AA134" s="418">
        <v>0</v>
      </c>
      <c r="AB134" s="418">
        <v>0</v>
      </c>
      <c r="AC134" s="418">
        <v>0</v>
      </c>
      <c r="AD134" s="418">
        <f>V134+X134+Y134+Z134+AB134</f>
        <v>0</v>
      </c>
      <c r="AE134" s="418">
        <f>W134+AA134+AC134</f>
        <v>0</v>
      </c>
      <c r="AF134" s="418">
        <f>SUM(AD134:AE134)</f>
        <v>0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>AG134+AI134+AJ134</f>
        <v>0</v>
      </c>
      <c r="AM134" s="418">
        <f>AH134+AK134</f>
        <v>0</v>
      </c>
      <c r="AN134" s="418">
        <f>SUM(AL134:AM134)</f>
        <v>0</v>
      </c>
      <c r="AO134" s="418">
        <f t="shared" si="172"/>
        <v>0</v>
      </c>
      <c r="AP134" s="418">
        <f t="shared" si="172"/>
        <v>0</v>
      </c>
      <c r="AQ134" s="418">
        <f>SUM(AO134:AP134)</f>
        <v>0</v>
      </c>
      <c r="AR134" s="68">
        <f>ROUND((AF134+AG134+AH134+AI134)*33.8%,0)</f>
        <v>0</v>
      </c>
      <c r="AS134" s="68">
        <f>ROUND(AF134*1%,0)</f>
        <v>0</v>
      </c>
      <c r="AT134" s="418">
        <v>0</v>
      </c>
      <c r="AU134" s="415"/>
      <c r="AV134" s="418">
        <f>AT134+AU134</f>
        <v>0</v>
      </c>
      <c r="AW134" s="418">
        <f>AQ134+AR134+AS134+AV134</f>
        <v>0</v>
      </c>
      <c r="AX134" s="419">
        <v>0</v>
      </c>
      <c r="AY134" s="419">
        <v>0</v>
      </c>
      <c r="AZ134" s="419">
        <v>0</v>
      </c>
      <c r="BA134" s="419">
        <v>0</v>
      </c>
      <c r="BB134" s="416">
        <v>0</v>
      </c>
      <c r="BC134" s="939">
        <v>0</v>
      </c>
      <c r="BD134" s="419">
        <v>0</v>
      </c>
      <c r="BE134" s="419">
        <v>0</v>
      </c>
      <c r="BF134" s="419">
        <f>AX134+AZ134+BA134+BC134+BD134</f>
        <v>0</v>
      </c>
      <c r="BG134" s="419">
        <f>AY134+BB134+BE134</f>
        <v>0</v>
      </c>
      <c r="BH134" s="421">
        <f>SUM(BF134:BG134)</f>
        <v>0</v>
      </c>
      <c r="BI134" s="780">
        <f>I134+AW134</f>
        <v>2104384</v>
      </c>
      <c r="BJ134" s="418">
        <f>J134+AF134</f>
        <v>1561116</v>
      </c>
      <c r="BK134" s="418">
        <f t="shared" si="173"/>
        <v>1561116</v>
      </c>
      <c r="BL134" s="418">
        <f t="shared" si="173"/>
        <v>0</v>
      </c>
      <c r="BM134" s="418">
        <f>M134+AN134</f>
        <v>0</v>
      </c>
      <c r="BN134" s="418">
        <f t="shared" si="174"/>
        <v>0</v>
      </c>
      <c r="BO134" s="418">
        <f t="shared" si="174"/>
        <v>0</v>
      </c>
      <c r="BP134" s="418">
        <f t="shared" si="175"/>
        <v>527657</v>
      </c>
      <c r="BQ134" s="418">
        <f t="shared" si="175"/>
        <v>15611</v>
      </c>
      <c r="BR134" s="418">
        <f>R134+AV134</f>
        <v>0</v>
      </c>
      <c r="BS134" s="419">
        <f>S134+BH134</f>
        <v>3.9899999999999998</v>
      </c>
      <c r="BT134" s="419">
        <f t="shared" si="176"/>
        <v>3.9899999999999998</v>
      </c>
      <c r="BU134" s="421">
        <f t="shared" si="176"/>
        <v>0</v>
      </c>
      <c r="BV134" s="420"/>
      <c r="BW134" s="415"/>
      <c r="BX134" s="415"/>
      <c r="BY134" s="415"/>
      <c r="BZ134" s="415"/>
      <c r="CA134" s="510"/>
    </row>
    <row r="135" spans="1:79" s="221" customFormat="1" ht="12.75" customHeight="1" x14ac:dyDescent="0.2">
      <c r="A135" s="223">
        <v>28</v>
      </c>
      <c r="B135" s="224">
        <v>3410</v>
      </c>
      <c r="C135" s="224">
        <v>650038550</v>
      </c>
      <c r="D135" s="224">
        <v>72743191</v>
      </c>
      <c r="E135" s="225" t="s">
        <v>63</v>
      </c>
      <c r="F135" s="224">
        <v>3141</v>
      </c>
      <c r="G135" s="225" t="s">
        <v>294</v>
      </c>
      <c r="H135" s="226" t="s">
        <v>272</v>
      </c>
      <c r="I135" s="420">
        <v>1840288</v>
      </c>
      <c r="J135" s="415">
        <v>1336130</v>
      </c>
      <c r="K135" s="415">
        <v>0</v>
      </c>
      <c r="L135" s="415">
        <v>1336130</v>
      </c>
      <c r="M135" s="415">
        <v>20000</v>
      </c>
      <c r="N135" s="415">
        <v>0</v>
      </c>
      <c r="O135" s="415">
        <v>20000</v>
      </c>
      <c r="P135" s="68">
        <v>458372</v>
      </c>
      <c r="Q135" s="68">
        <v>13361</v>
      </c>
      <c r="R135" s="415">
        <v>12425</v>
      </c>
      <c r="S135" s="416">
        <v>4.07</v>
      </c>
      <c r="T135" s="417">
        <v>0</v>
      </c>
      <c r="U135" s="423">
        <v>4.07</v>
      </c>
      <c r="V135" s="424">
        <f t="shared" si="171"/>
        <v>0</v>
      </c>
      <c r="W135" s="418">
        <f t="shared" si="171"/>
        <v>0</v>
      </c>
      <c r="X135" s="418">
        <v>0</v>
      </c>
      <c r="Y135" s="418">
        <v>0</v>
      </c>
      <c r="Z135" s="418">
        <v>0</v>
      </c>
      <c r="AA135" s="415">
        <v>678879</v>
      </c>
      <c r="AB135" s="418">
        <v>0</v>
      </c>
      <c r="AC135" s="418">
        <v>0</v>
      </c>
      <c r="AD135" s="418">
        <f>V135+X135+Y135+Z135+AB135</f>
        <v>0</v>
      </c>
      <c r="AE135" s="418">
        <f>W135+AA135+AC135</f>
        <v>678879</v>
      </c>
      <c r="AF135" s="418">
        <f>SUM(AD135:AE135)</f>
        <v>678879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>AG135+AI135+AJ135</f>
        <v>0</v>
      </c>
      <c r="AM135" s="418">
        <f>AH135+AK135</f>
        <v>0</v>
      </c>
      <c r="AN135" s="418">
        <f>SUM(AL135:AM135)</f>
        <v>0</v>
      </c>
      <c r="AO135" s="418">
        <f t="shared" si="172"/>
        <v>0</v>
      </c>
      <c r="AP135" s="418">
        <f t="shared" si="172"/>
        <v>678879</v>
      </c>
      <c r="AQ135" s="418">
        <f>SUM(AO135:AP135)</f>
        <v>678879</v>
      </c>
      <c r="AR135" s="68">
        <f>ROUND((AF135+AG135+AH135+AI135)*33.8%,0)</f>
        <v>229461</v>
      </c>
      <c r="AS135" s="68">
        <f>ROUND(AF135*1%,0)</f>
        <v>6789</v>
      </c>
      <c r="AT135" s="418">
        <v>0</v>
      </c>
      <c r="AU135" s="415">
        <v>6035</v>
      </c>
      <c r="AV135" s="418">
        <f>AT135+AU135</f>
        <v>6035</v>
      </c>
      <c r="AW135" s="418">
        <f>AQ135+AR135+AS135+AV135</f>
        <v>921164</v>
      </c>
      <c r="AX135" s="419">
        <v>0</v>
      </c>
      <c r="AY135" s="419">
        <v>0</v>
      </c>
      <c r="AZ135" s="419">
        <v>0</v>
      </c>
      <c r="BA135" s="419">
        <v>0</v>
      </c>
      <c r="BB135" s="416">
        <v>2.0299999999999998</v>
      </c>
      <c r="BC135" s="939">
        <v>0</v>
      </c>
      <c r="BD135" s="419">
        <v>0</v>
      </c>
      <c r="BE135" s="419">
        <v>0</v>
      </c>
      <c r="BF135" s="419">
        <f>AX135+AZ135+BA135+BC135+BD135</f>
        <v>0</v>
      </c>
      <c r="BG135" s="419">
        <f>AY135+BB135+BE135</f>
        <v>2.0299999999999998</v>
      </c>
      <c r="BH135" s="421">
        <f>SUM(BF135:BG135)</f>
        <v>2.0299999999999998</v>
      </c>
      <c r="BI135" s="780">
        <f>I135+AW135</f>
        <v>2761452</v>
      </c>
      <c r="BJ135" s="418">
        <f>J135+AF135</f>
        <v>2015009</v>
      </c>
      <c r="BK135" s="418">
        <f t="shared" si="173"/>
        <v>0</v>
      </c>
      <c r="BL135" s="418">
        <f t="shared" si="173"/>
        <v>2015009</v>
      </c>
      <c r="BM135" s="418">
        <f>M135+AN135</f>
        <v>20000</v>
      </c>
      <c r="BN135" s="418">
        <f t="shared" si="174"/>
        <v>0</v>
      </c>
      <c r="BO135" s="418">
        <f t="shared" si="174"/>
        <v>20000</v>
      </c>
      <c r="BP135" s="418">
        <f t="shared" si="175"/>
        <v>687833</v>
      </c>
      <c r="BQ135" s="418">
        <f t="shared" si="175"/>
        <v>20150</v>
      </c>
      <c r="BR135" s="418">
        <f>R135+AV135</f>
        <v>18460</v>
      </c>
      <c r="BS135" s="419">
        <f>S135+BH135</f>
        <v>6.1</v>
      </c>
      <c r="BT135" s="419">
        <f t="shared" si="176"/>
        <v>0</v>
      </c>
      <c r="BU135" s="421">
        <f t="shared" si="176"/>
        <v>6.1</v>
      </c>
      <c r="BV135" s="420"/>
      <c r="BW135" s="415"/>
      <c r="BX135" s="415"/>
      <c r="BY135" s="415"/>
      <c r="BZ135" s="415"/>
      <c r="CA135" s="510"/>
    </row>
    <row r="136" spans="1:79" s="221" customFormat="1" ht="12.75" customHeight="1" x14ac:dyDescent="0.2">
      <c r="A136" s="223">
        <v>28</v>
      </c>
      <c r="B136" s="224">
        <v>3410</v>
      </c>
      <c r="C136" s="224">
        <v>650038550</v>
      </c>
      <c r="D136" s="224">
        <v>72743191</v>
      </c>
      <c r="E136" s="225" t="s">
        <v>63</v>
      </c>
      <c r="F136" s="224">
        <v>3143</v>
      </c>
      <c r="G136" s="225" t="s">
        <v>595</v>
      </c>
      <c r="H136" s="226" t="s">
        <v>271</v>
      </c>
      <c r="I136" s="420">
        <v>2577139</v>
      </c>
      <c r="J136" s="415">
        <v>1882047</v>
      </c>
      <c r="K136" s="415">
        <v>1882047</v>
      </c>
      <c r="L136" s="415">
        <v>0</v>
      </c>
      <c r="M136" s="415">
        <v>30000</v>
      </c>
      <c r="N136" s="415">
        <v>30000</v>
      </c>
      <c r="O136" s="415">
        <v>0</v>
      </c>
      <c r="P136" s="68">
        <v>646272</v>
      </c>
      <c r="Q136" s="68">
        <v>18820</v>
      </c>
      <c r="R136" s="415">
        <v>0</v>
      </c>
      <c r="S136" s="416">
        <v>3.7229000000000001</v>
      </c>
      <c r="T136" s="417">
        <v>3.7229000000000001</v>
      </c>
      <c r="U136" s="423">
        <v>0</v>
      </c>
      <c r="V136" s="424">
        <f t="shared" si="171"/>
        <v>0</v>
      </c>
      <c r="W136" s="418">
        <f t="shared" si="171"/>
        <v>0</v>
      </c>
      <c r="X136" s="418">
        <v>0</v>
      </c>
      <c r="Y136" s="418">
        <v>0</v>
      </c>
      <c r="Z136" s="418">
        <v>0</v>
      </c>
      <c r="AA136" s="418">
        <v>0</v>
      </c>
      <c r="AB136" s="418">
        <v>0</v>
      </c>
      <c r="AC136" s="418">
        <v>0</v>
      </c>
      <c r="AD136" s="418">
        <f>V136+X136+Y136+Z136+AB136</f>
        <v>0</v>
      </c>
      <c r="AE136" s="418">
        <f>W136+AA136+AC136</f>
        <v>0</v>
      </c>
      <c r="AF136" s="418">
        <f>SUM(AD136:AE136)</f>
        <v>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>AG136+AI136+AJ136</f>
        <v>0</v>
      </c>
      <c r="AM136" s="418">
        <f>AH136+AK136</f>
        <v>0</v>
      </c>
      <c r="AN136" s="418">
        <f>SUM(AL136:AM136)</f>
        <v>0</v>
      </c>
      <c r="AO136" s="418">
        <f t="shared" si="172"/>
        <v>0</v>
      </c>
      <c r="AP136" s="418">
        <f t="shared" si="172"/>
        <v>0</v>
      </c>
      <c r="AQ136" s="418">
        <f>SUM(AO136:AP136)</f>
        <v>0</v>
      </c>
      <c r="AR136" s="68">
        <f>ROUND((AF136+AG136+AH136+AI136)*33.8%,0)</f>
        <v>0</v>
      </c>
      <c r="AS136" s="68">
        <f>ROUND(AF136*1%,0)</f>
        <v>0</v>
      </c>
      <c r="AT136" s="418">
        <v>0</v>
      </c>
      <c r="AU136" s="415">
        <v>0</v>
      </c>
      <c r="AV136" s="418">
        <f>AT136+AU136</f>
        <v>0</v>
      </c>
      <c r="AW136" s="418">
        <f>AQ136+AR136+AS136+AV136</f>
        <v>0</v>
      </c>
      <c r="AX136" s="419">
        <v>0</v>
      </c>
      <c r="AY136" s="419">
        <v>0</v>
      </c>
      <c r="AZ136" s="419">
        <v>0</v>
      </c>
      <c r="BA136" s="419">
        <v>0</v>
      </c>
      <c r="BB136" s="416">
        <v>0</v>
      </c>
      <c r="BC136" s="939">
        <v>0</v>
      </c>
      <c r="BD136" s="419">
        <v>0</v>
      </c>
      <c r="BE136" s="419">
        <v>0</v>
      </c>
      <c r="BF136" s="419">
        <f>AX136+AZ136+BA136+BC136+BD136</f>
        <v>0</v>
      </c>
      <c r="BG136" s="419">
        <f>AY136+BB136+BE136</f>
        <v>0</v>
      </c>
      <c r="BH136" s="421">
        <f>SUM(BF136:BG136)</f>
        <v>0</v>
      </c>
      <c r="BI136" s="780">
        <f>I136+AW136</f>
        <v>2577139</v>
      </c>
      <c r="BJ136" s="418">
        <f>J136+AF136</f>
        <v>1882047</v>
      </c>
      <c r="BK136" s="418">
        <f t="shared" si="173"/>
        <v>1882047</v>
      </c>
      <c r="BL136" s="418">
        <f t="shared" si="173"/>
        <v>0</v>
      </c>
      <c r="BM136" s="418">
        <f>M136+AN136</f>
        <v>30000</v>
      </c>
      <c r="BN136" s="418">
        <f t="shared" si="174"/>
        <v>30000</v>
      </c>
      <c r="BO136" s="418">
        <f t="shared" si="174"/>
        <v>0</v>
      </c>
      <c r="BP136" s="418">
        <f t="shared" si="175"/>
        <v>646272</v>
      </c>
      <c r="BQ136" s="418">
        <f t="shared" si="175"/>
        <v>18820</v>
      </c>
      <c r="BR136" s="418">
        <f>R136+AV136</f>
        <v>0</v>
      </c>
      <c r="BS136" s="419">
        <f>S136+BH136</f>
        <v>3.7229000000000001</v>
      </c>
      <c r="BT136" s="419">
        <f t="shared" si="176"/>
        <v>3.7229000000000001</v>
      </c>
      <c r="BU136" s="421">
        <f t="shared" si="176"/>
        <v>0</v>
      </c>
      <c r="BV136" s="420"/>
      <c r="BW136" s="415"/>
      <c r="BX136" s="415"/>
      <c r="BY136" s="415"/>
      <c r="BZ136" s="415"/>
      <c r="CA136" s="510"/>
    </row>
    <row r="137" spans="1:79" s="221" customFormat="1" ht="12.75" customHeight="1" x14ac:dyDescent="0.2">
      <c r="A137" s="223">
        <v>28</v>
      </c>
      <c r="B137" s="224">
        <v>3410</v>
      </c>
      <c r="C137" s="224">
        <v>650038550</v>
      </c>
      <c r="D137" s="224">
        <v>72743191</v>
      </c>
      <c r="E137" s="225" t="s">
        <v>63</v>
      </c>
      <c r="F137" s="224">
        <v>3143</v>
      </c>
      <c r="G137" s="225" t="s">
        <v>596</v>
      </c>
      <c r="H137" s="226" t="s">
        <v>272</v>
      </c>
      <c r="I137" s="420">
        <v>61448</v>
      </c>
      <c r="J137" s="415">
        <v>43982</v>
      </c>
      <c r="K137" s="415">
        <v>0</v>
      </c>
      <c r="L137" s="415">
        <v>43982</v>
      </c>
      <c r="M137" s="415">
        <v>0</v>
      </c>
      <c r="N137" s="415">
        <v>0</v>
      </c>
      <c r="O137" s="415">
        <v>0</v>
      </c>
      <c r="P137" s="68">
        <v>14866</v>
      </c>
      <c r="Q137" s="68">
        <v>440</v>
      </c>
      <c r="R137" s="415">
        <v>2160</v>
      </c>
      <c r="S137" s="416">
        <v>0.17</v>
      </c>
      <c r="T137" s="417">
        <v>0</v>
      </c>
      <c r="U137" s="423">
        <v>0.17</v>
      </c>
      <c r="V137" s="424">
        <f t="shared" si="171"/>
        <v>0</v>
      </c>
      <c r="W137" s="418">
        <f t="shared" si="171"/>
        <v>0</v>
      </c>
      <c r="X137" s="418">
        <v>0</v>
      </c>
      <c r="Y137" s="418">
        <v>0</v>
      </c>
      <c r="Z137" s="418">
        <v>0</v>
      </c>
      <c r="AA137" s="415">
        <v>22018</v>
      </c>
      <c r="AB137" s="418">
        <v>0</v>
      </c>
      <c r="AC137" s="418">
        <v>0</v>
      </c>
      <c r="AD137" s="418">
        <f>V137+X137+Y137+Z137+AB137</f>
        <v>0</v>
      </c>
      <c r="AE137" s="418">
        <f>W137+AA137+AC137</f>
        <v>22018</v>
      </c>
      <c r="AF137" s="418">
        <f>SUM(AD137:AE137)</f>
        <v>22018</v>
      </c>
      <c r="AG137" s="418">
        <v>0</v>
      </c>
      <c r="AH137" s="418">
        <v>0</v>
      </c>
      <c r="AI137" s="418">
        <v>0</v>
      </c>
      <c r="AJ137" s="418">
        <v>0</v>
      </c>
      <c r="AK137" s="418">
        <v>0</v>
      </c>
      <c r="AL137" s="418">
        <f>AG137+AI137+AJ137</f>
        <v>0</v>
      </c>
      <c r="AM137" s="418">
        <f>AH137+AK137</f>
        <v>0</v>
      </c>
      <c r="AN137" s="418">
        <f>SUM(AL137:AM137)</f>
        <v>0</v>
      </c>
      <c r="AO137" s="418">
        <f t="shared" si="172"/>
        <v>0</v>
      </c>
      <c r="AP137" s="418">
        <f t="shared" si="172"/>
        <v>22018</v>
      </c>
      <c r="AQ137" s="418">
        <f>SUM(AO137:AP137)</f>
        <v>22018</v>
      </c>
      <c r="AR137" s="68">
        <f>ROUND((AF137+AG137+AH137+AI137)*33.8%,0)</f>
        <v>7442</v>
      </c>
      <c r="AS137" s="68">
        <f>ROUND(AF137*1%,0)</f>
        <v>220</v>
      </c>
      <c r="AT137" s="418">
        <v>0</v>
      </c>
      <c r="AU137" s="415">
        <v>1080</v>
      </c>
      <c r="AV137" s="418">
        <f>AT137+AU137</f>
        <v>1080</v>
      </c>
      <c r="AW137" s="418">
        <f>AQ137+AR137+AS137+AV137</f>
        <v>30760</v>
      </c>
      <c r="AX137" s="419">
        <v>0</v>
      </c>
      <c r="AY137" s="419">
        <v>0</v>
      </c>
      <c r="AZ137" s="419">
        <v>0</v>
      </c>
      <c r="BA137" s="419">
        <v>0</v>
      </c>
      <c r="BB137" s="416">
        <v>0.08</v>
      </c>
      <c r="BC137" s="939">
        <v>0</v>
      </c>
      <c r="BD137" s="419">
        <v>0</v>
      </c>
      <c r="BE137" s="419">
        <v>0</v>
      </c>
      <c r="BF137" s="419">
        <f>AX137+AZ137+BA137+BC137+BD137</f>
        <v>0</v>
      </c>
      <c r="BG137" s="419">
        <f>AY137+BB137+BE137</f>
        <v>0.08</v>
      </c>
      <c r="BH137" s="421">
        <f>SUM(BF137:BG137)</f>
        <v>0.08</v>
      </c>
      <c r="BI137" s="780">
        <f>I137+AW137</f>
        <v>92208</v>
      </c>
      <c r="BJ137" s="418">
        <f>J137+AF137</f>
        <v>66000</v>
      </c>
      <c r="BK137" s="418">
        <f t="shared" si="173"/>
        <v>0</v>
      </c>
      <c r="BL137" s="418">
        <f t="shared" si="173"/>
        <v>66000</v>
      </c>
      <c r="BM137" s="418">
        <f>M137+AN137</f>
        <v>0</v>
      </c>
      <c r="BN137" s="418">
        <f t="shared" si="174"/>
        <v>0</v>
      </c>
      <c r="BO137" s="418">
        <f t="shared" si="174"/>
        <v>0</v>
      </c>
      <c r="BP137" s="418">
        <f t="shared" si="175"/>
        <v>22308</v>
      </c>
      <c r="BQ137" s="418">
        <f t="shared" si="175"/>
        <v>660</v>
      </c>
      <c r="BR137" s="418">
        <f>R137+AV137</f>
        <v>3240</v>
      </c>
      <c r="BS137" s="419">
        <f>S137+BH137</f>
        <v>0.25</v>
      </c>
      <c r="BT137" s="419">
        <f t="shared" si="176"/>
        <v>0</v>
      </c>
      <c r="BU137" s="421">
        <f t="shared" si="176"/>
        <v>0.25</v>
      </c>
      <c r="BV137" s="420"/>
      <c r="BW137" s="415"/>
      <c r="BX137" s="415"/>
      <c r="BY137" s="415"/>
      <c r="BZ137" s="415"/>
      <c r="CA137" s="510"/>
    </row>
    <row r="138" spans="1:79" s="221" customFormat="1" ht="12.75" customHeight="1" x14ac:dyDescent="0.2">
      <c r="A138" s="153">
        <v>28</v>
      </c>
      <c r="B138" s="14">
        <v>3410</v>
      </c>
      <c r="C138" s="152">
        <v>650038550</v>
      </c>
      <c r="D138" s="152">
        <v>72743191</v>
      </c>
      <c r="E138" s="222" t="s">
        <v>64</v>
      </c>
      <c r="F138" s="14"/>
      <c r="G138" s="222"/>
      <c r="H138" s="560"/>
      <c r="I138" s="505">
        <v>33406401</v>
      </c>
      <c r="J138" s="504">
        <v>24351838</v>
      </c>
      <c r="K138" s="504">
        <v>21396259</v>
      </c>
      <c r="L138" s="504">
        <v>2955579</v>
      </c>
      <c r="M138" s="504">
        <v>121812</v>
      </c>
      <c r="N138" s="504">
        <v>96812</v>
      </c>
      <c r="O138" s="504">
        <v>25000</v>
      </c>
      <c r="P138" s="504">
        <v>8272093</v>
      </c>
      <c r="Q138" s="504">
        <v>243518</v>
      </c>
      <c r="R138" s="504">
        <v>417140</v>
      </c>
      <c r="S138" s="544">
        <v>42.322099999999999</v>
      </c>
      <c r="T138" s="544">
        <v>33.329299999999996</v>
      </c>
      <c r="U138" s="401">
        <v>8.9928000000000008</v>
      </c>
      <c r="V138" s="505">
        <f t="shared" ref="V138:CA138" si="177">SUM(V133:V137)</f>
        <v>0</v>
      </c>
      <c r="W138" s="504">
        <f t="shared" si="177"/>
        <v>0</v>
      </c>
      <c r="X138" s="504">
        <f t="shared" si="177"/>
        <v>0</v>
      </c>
      <c r="Y138" s="504">
        <f t="shared" si="177"/>
        <v>0</v>
      </c>
      <c r="Z138" s="504">
        <f t="shared" si="177"/>
        <v>0</v>
      </c>
      <c r="AA138" s="575">
        <f t="shared" si="177"/>
        <v>700897</v>
      </c>
      <c r="AB138" s="504">
        <f t="shared" si="177"/>
        <v>0</v>
      </c>
      <c r="AC138" s="504">
        <f t="shared" si="177"/>
        <v>0</v>
      </c>
      <c r="AD138" s="504">
        <f t="shared" si="177"/>
        <v>0</v>
      </c>
      <c r="AE138" s="504">
        <f t="shared" si="177"/>
        <v>700897</v>
      </c>
      <c r="AF138" s="504">
        <f t="shared" si="177"/>
        <v>700897</v>
      </c>
      <c r="AG138" s="504">
        <f t="shared" si="177"/>
        <v>0</v>
      </c>
      <c r="AH138" s="504">
        <f t="shared" si="177"/>
        <v>0</v>
      </c>
      <c r="AI138" s="504">
        <f t="shared" si="177"/>
        <v>0</v>
      </c>
      <c r="AJ138" s="504">
        <f t="shared" si="177"/>
        <v>0</v>
      </c>
      <c r="AK138" s="504">
        <f t="shared" si="177"/>
        <v>0</v>
      </c>
      <c r="AL138" s="504">
        <f t="shared" si="177"/>
        <v>0</v>
      </c>
      <c r="AM138" s="504">
        <f t="shared" si="177"/>
        <v>0</v>
      </c>
      <c r="AN138" s="504">
        <f t="shared" si="177"/>
        <v>0</v>
      </c>
      <c r="AO138" s="504">
        <f t="shared" si="177"/>
        <v>0</v>
      </c>
      <c r="AP138" s="504">
        <f t="shared" si="177"/>
        <v>700897</v>
      </c>
      <c r="AQ138" s="504">
        <f t="shared" si="177"/>
        <v>700897</v>
      </c>
      <c r="AR138" s="504">
        <f t="shared" si="177"/>
        <v>236903</v>
      </c>
      <c r="AS138" s="504">
        <f t="shared" si="177"/>
        <v>7009</v>
      </c>
      <c r="AT138" s="504">
        <f t="shared" si="177"/>
        <v>0</v>
      </c>
      <c r="AU138" s="504">
        <f t="shared" si="177"/>
        <v>7115</v>
      </c>
      <c r="AV138" s="504">
        <f t="shared" si="177"/>
        <v>7115</v>
      </c>
      <c r="AW138" s="504">
        <f t="shared" si="177"/>
        <v>951924</v>
      </c>
      <c r="AX138" s="544">
        <f t="shared" si="177"/>
        <v>0</v>
      </c>
      <c r="AY138" s="544">
        <f t="shared" si="177"/>
        <v>0</v>
      </c>
      <c r="AZ138" s="544">
        <f t="shared" si="177"/>
        <v>0</v>
      </c>
      <c r="BA138" s="544">
        <f t="shared" si="177"/>
        <v>0</v>
      </c>
      <c r="BB138" s="544">
        <f t="shared" si="177"/>
        <v>2.11</v>
      </c>
      <c r="BC138" s="938">
        <f t="shared" si="177"/>
        <v>0</v>
      </c>
      <c r="BD138" s="544">
        <f t="shared" si="177"/>
        <v>0</v>
      </c>
      <c r="BE138" s="544">
        <f t="shared" si="177"/>
        <v>0</v>
      </c>
      <c r="BF138" s="544">
        <f t="shared" si="177"/>
        <v>0</v>
      </c>
      <c r="BG138" s="544">
        <f t="shared" si="177"/>
        <v>2.11</v>
      </c>
      <c r="BH138" s="442">
        <f t="shared" si="177"/>
        <v>2.11</v>
      </c>
      <c r="BI138" s="806">
        <f t="shared" si="177"/>
        <v>34358325</v>
      </c>
      <c r="BJ138" s="504">
        <f t="shared" si="177"/>
        <v>25052735</v>
      </c>
      <c r="BK138" s="504">
        <f t="shared" si="177"/>
        <v>21396259</v>
      </c>
      <c r="BL138" s="504">
        <f t="shared" si="177"/>
        <v>3656476</v>
      </c>
      <c r="BM138" s="504">
        <f t="shared" si="177"/>
        <v>121812</v>
      </c>
      <c r="BN138" s="504">
        <f t="shared" si="177"/>
        <v>96812</v>
      </c>
      <c r="BO138" s="504">
        <f t="shared" si="177"/>
        <v>25000</v>
      </c>
      <c r="BP138" s="504">
        <f t="shared" si="177"/>
        <v>8508996</v>
      </c>
      <c r="BQ138" s="504">
        <f t="shared" si="177"/>
        <v>250527</v>
      </c>
      <c r="BR138" s="504">
        <f t="shared" si="177"/>
        <v>424255</v>
      </c>
      <c r="BS138" s="544">
        <f t="shared" si="177"/>
        <v>44.432099999999998</v>
      </c>
      <c r="BT138" s="544">
        <f t="shared" si="177"/>
        <v>33.329299999999996</v>
      </c>
      <c r="BU138" s="442">
        <f t="shared" si="177"/>
        <v>11.1028</v>
      </c>
      <c r="BV138" s="824">
        <f t="shared" si="177"/>
        <v>62634</v>
      </c>
      <c r="BW138" s="710">
        <f t="shared" si="177"/>
        <v>0</v>
      </c>
      <c r="BX138" s="710">
        <f t="shared" si="177"/>
        <v>46812</v>
      </c>
      <c r="BY138" s="710">
        <f t="shared" si="177"/>
        <v>15822</v>
      </c>
      <c r="BZ138" s="710">
        <f t="shared" si="177"/>
        <v>0</v>
      </c>
      <c r="CA138" s="825">
        <f t="shared" si="177"/>
        <v>0</v>
      </c>
    </row>
    <row r="139" spans="1:79" s="221" customFormat="1" ht="12.75" customHeight="1" x14ac:dyDescent="0.2">
      <c r="A139" s="223">
        <v>29</v>
      </c>
      <c r="B139" s="224">
        <v>3455</v>
      </c>
      <c r="C139" s="224">
        <v>651040515</v>
      </c>
      <c r="D139" s="224">
        <v>75122308</v>
      </c>
      <c r="E139" s="225" t="s">
        <v>65</v>
      </c>
      <c r="F139" s="224">
        <v>3231</v>
      </c>
      <c r="G139" s="225" t="s">
        <v>295</v>
      </c>
      <c r="H139" s="226" t="s">
        <v>271</v>
      </c>
      <c r="I139" s="420">
        <v>33144640</v>
      </c>
      <c r="J139" s="415">
        <v>24479553</v>
      </c>
      <c r="K139" s="415">
        <v>23562050</v>
      </c>
      <c r="L139" s="415">
        <v>917503</v>
      </c>
      <c r="M139" s="415">
        <v>80000</v>
      </c>
      <c r="N139" s="415">
        <v>80000</v>
      </c>
      <c r="O139" s="415">
        <v>0</v>
      </c>
      <c r="P139" s="68">
        <v>8301129</v>
      </c>
      <c r="Q139" s="68">
        <v>244796</v>
      </c>
      <c r="R139" s="415">
        <v>39162</v>
      </c>
      <c r="S139" s="416">
        <v>39.9285</v>
      </c>
      <c r="T139" s="417">
        <v>37.353999999999999</v>
      </c>
      <c r="U139" s="423">
        <v>2.5745</v>
      </c>
      <c r="V139" s="424">
        <f>AG139*-1</f>
        <v>0</v>
      </c>
      <c r="W139" s="418">
        <f>AH139*-1</f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>V139+X139+Y139+Z139+AB139</f>
        <v>0</v>
      </c>
      <c r="AE139" s="418">
        <f>W139+AA139+AC139</f>
        <v>0</v>
      </c>
      <c r="AF139" s="418">
        <f>SUM(AD139:AE139)</f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>AG139+AI139+AJ139</f>
        <v>0</v>
      </c>
      <c r="AM139" s="418">
        <f>AH139+AK139</f>
        <v>0</v>
      </c>
      <c r="AN139" s="418">
        <f>SUM(AL139:AM139)</f>
        <v>0</v>
      </c>
      <c r="AO139" s="418">
        <f>AD139+AL139</f>
        <v>0</v>
      </c>
      <c r="AP139" s="418">
        <f>AE139+AM139</f>
        <v>0</v>
      </c>
      <c r="AQ139" s="418">
        <f>SUM(AO139:AP139)</f>
        <v>0</v>
      </c>
      <c r="AR139" s="68">
        <f>ROUND((AF139+AG139+AH139+AI139)*33.8%,0)</f>
        <v>0</v>
      </c>
      <c r="AS139" s="68">
        <f>ROUND(AF139*1%,0)</f>
        <v>0</v>
      </c>
      <c r="AT139" s="418">
        <v>0</v>
      </c>
      <c r="AU139" s="415">
        <v>0</v>
      </c>
      <c r="AV139" s="418">
        <f>AT139+AU139</f>
        <v>0</v>
      </c>
      <c r="AW139" s="418">
        <f>AQ139+AR139+AS139+AV139</f>
        <v>0</v>
      </c>
      <c r="AX139" s="419">
        <v>0</v>
      </c>
      <c r="AY139" s="419">
        <v>0</v>
      </c>
      <c r="AZ139" s="419">
        <v>0</v>
      </c>
      <c r="BA139" s="419">
        <v>0</v>
      </c>
      <c r="BB139" s="416">
        <v>0</v>
      </c>
      <c r="BC139" s="939">
        <v>0</v>
      </c>
      <c r="BD139" s="419">
        <v>0</v>
      </c>
      <c r="BE139" s="419">
        <v>0</v>
      </c>
      <c r="BF139" s="419">
        <f>AX139+AZ139+BA139+BC139+BD139</f>
        <v>0</v>
      </c>
      <c r="BG139" s="419">
        <f>AY139+BB139+BE139</f>
        <v>0</v>
      </c>
      <c r="BH139" s="421">
        <f>SUM(BF139:BG139)</f>
        <v>0</v>
      </c>
      <c r="BI139" s="780">
        <f>I139+AW139</f>
        <v>33144640</v>
      </c>
      <c r="BJ139" s="418">
        <f>J139+AF139</f>
        <v>24479553</v>
      </c>
      <c r="BK139" s="418">
        <f>K139+AD139</f>
        <v>23562050</v>
      </c>
      <c r="BL139" s="418">
        <f>L139+AE139</f>
        <v>917503</v>
      </c>
      <c r="BM139" s="418">
        <f>M139+AN139</f>
        <v>80000</v>
      </c>
      <c r="BN139" s="418">
        <f>N139+AL139</f>
        <v>80000</v>
      </c>
      <c r="BO139" s="418">
        <f>O139+AM139</f>
        <v>0</v>
      </c>
      <c r="BP139" s="418">
        <f>P139+AR139</f>
        <v>8301129</v>
      </c>
      <c r="BQ139" s="418">
        <f>Q139+AS139</f>
        <v>244796</v>
      </c>
      <c r="BR139" s="418">
        <f>R139+AV139</f>
        <v>39162</v>
      </c>
      <c r="BS139" s="419">
        <f>S139+BH139</f>
        <v>39.9285</v>
      </c>
      <c r="BT139" s="419">
        <f>T139+BF139</f>
        <v>37.353999999999999</v>
      </c>
      <c r="BU139" s="421">
        <f>U139+BG139</f>
        <v>2.5745</v>
      </c>
      <c r="BV139" s="420"/>
      <c r="BW139" s="415"/>
      <c r="BX139" s="415"/>
      <c r="BY139" s="415"/>
      <c r="BZ139" s="415"/>
      <c r="CA139" s="510"/>
    </row>
    <row r="140" spans="1:79" s="221" customFormat="1" ht="12.75" customHeight="1" x14ac:dyDescent="0.2">
      <c r="A140" s="153">
        <v>29</v>
      </c>
      <c r="B140" s="14">
        <v>3455</v>
      </c>
      <c r="C140" s="152">
        <v>651040515</v>
      </c>
      <c r="D140" s="152">
        <v>75122308</v>
      </c>
      <c r="E140" s="222" t="s">
        <v>66</v>
      </c>
      <c r="F140" s="14"/>
      <c r="G140" s="222"/>
      <c r="H140" s="560"/>
      <c r="I140" s="505">
        <v>33144640</v>
      </c>
      <c r="J140" s="504">
        <v>24479553</v>
      </c>
      <c r="K140" s="504">
        <v>23562050</v>
      </c>
      <c r="L140" s="504">
        <v>917503</v>
      </c>
      <c r="M140" s="504">
        <v>80000</v>
      </c>
      <c r="N140" s="504">
        <v>80000</v>
      </c>
      <c r="O140" s="504">
        <v>0</v>
      </c>
      <c r="P140" s="504">
        <v>8301129</v>
      </c>
      <c r="Q140" s="504">
        <v>244796</v>
      </c>
      <c r="R140" s="504">
        <v>39162</v>
      </c>
      <c r="S140" s="544">
        <v>39.9285</v>
      </c>
      <c r="T140" s="544">
        <v>37.353999999999999</v>
      </c>
      <c r="U140" s="401">
        <v>2.5745</v>
      </c>
      <c r="V140" s="505">
        <f t="shared" ref="V140:CA140" si="178">SUM(V139)</f>
        <v>0</v>
      </c>
      <c r="W140" s="504">
        <f t="shared" si="178"/>
        <v>0</v>
      </c>
      <c r="X140" s="504">
        <f t="shared" si="178"/>
        <v>0</v>
      </c>
      <c r="Y140" s="504">
        <f t="shared" si="178"/>
        <v>0</v>
      </c>
      <c r="Z140" s="504">
        <f t="shared" si="178"/>
        <v>0</v>
      </c>
      <c r="AA140" s="575">
        <f t="shared" si="178"/>
        <v>0</v>
      </c>
      <c r="AB140" s="504">
        <f t="shared" si="178"/>
        <v>0</v>
      </c>
      <c r="AC140" s="504">
        <f t="shared" si="178"/>
        <v>0</v>
      </c>
      <c r="AD140" s="504">
        <f t="shared" si="178"/>
        <v>0</v>
      </c>
      <c r="AE140" s="504">
        <f t="shared" si="178"/>
        <v>0</v>
      </c>
      <c r="AF140" s="504">
        <f t="shared" si="178"/>
        <v>0</v>
      </c>
      <c r="AG140" s="504">
        <f t="shared" si="178"/>
        <v>0</v>
      </c>
      <c r="AH140" s="504">
        <f t="shared" si="178"/>
        <v>0</v>
      </c>
      <c r="AI140" s="504">
        <f t="shared" si="178"/>
        <v>0</v>
      </c>
      <c r="AJ140" s="504">
        <f t="shared" si="178"/>
        <v>0</v>
      </c>
      <c r="AK140" s="504">
        <f t="shared" si="178"/>
        <v>0</v>
      </c>
      <c r="AL140" s="504">
        <f t="shared" si="178"/>
        <v>0</v>
      </c>
      <c r="AM140" s="504">
        <f t="shared" si="178"/>
        <v>0</v>
      </c>
      <c r="AN140" s="504">
        <f t="shared" si="178"/>
        <v>0</v>
      </c>
      <c r="AO140" s="504">
        <f t="shared" si="178"/>
        <v>0</v>
      </c>
      <c r="AP140" s="504">
        <f t="shared" si="178"/>
        <v>0</v>
      </c>
      <c r="AQ140" s="504">
        <f t="shared" si="178"/>
        <v>0</v>
      </c>
      <c r="AR140" s="504">
        <f t="shared" si="178"/>
        <v>0</v>
      </c>
      <c r="AS140" s="504">
        <f t="shared" si="178"/>
        <v>0</v>
      </c>
      <c r="AT140" s="504">
        <f t="shared" si="178"/>
        <v>0</v>
      </c>
      <c r="AU140" s="504">
        <f t="shared" si="178"/>
        <v>0</v>
      </c>
      <c r="AV140" s="504">
        <f t="shared" si="178"/>
        <v>0</v>
      </c>
      <c r="AW140" s="504">
        <f t="shared" si="178"/>
        <v>0</v>
      </c>
      <c r="AX140" s="544">
        <f t="shared" si="178"/>
        <v>0</v>
      </c>
      <c r="AY140" s="544">
        <f t="shared" si="178"/>
        <v>0</v>
      </c>
      <c r="AZ140" s="544">
        <f t="shared" si="178"/>
        <v>0</v>
      </c>
      <c r="BA140" s="544">
        <f t="shared" si="178"/>
        <v>0</v>
      </c>
      <c r="BB140" s="544">
        <f t="shared" si="178"/>
        <v>0</v>
      </c>
      <c r="BC140" s="938">
        <f t="shared" si="178"/>
        <v>0</v>
      </c>
      <c r="BD140" s="544">
        <f t="shared" si="178"/>
        <v>0</v>
      </c>
      <c r="BE140" s="544">
        <f t="shared" si="178"/>
        <v>0</v>
      </c>
      <c r="BF140" s="544">
        <f t="shared" si="178"/>
        <v>0</v>
      </c>
      <c r="BG140" s="544">
        <f t="shared" si="178"/>
        <v>0</v>
      </c>
      <c r="BH140" s="442">
        <f t="shared" si="178"/>
        <v>0</v>
      </c>
      <c r="BI140" s="806">
        <f t="shared" si="178"/>
        <v>33144640</v>
      </c>
      <c r="BJ140" s="504">
        <f t="shared" si="178"/>
        <v>24479553</v>
      </c>
      <c r="BK140" s="504">
        <f t="shared" si="178"/>
        <v>23562050</v>
      </c>
      <c r="BL140" s="504">
        <f t="shared" si="178"/>
        <v>917503</v>
      </c>
      <c r="BM140" s="504">
        <f t="shared" si="178"/>
        <v>80000</v>
      </c>
      <c r="BN140" s="504">
        <f t="shared" si="178"/>
        <v>80000</v>
      </c>
      <c r="BO140" s="504">
        <f t="shared" si="178"/>
        <v>0</v>
      </c>
      <c r="BP140" s="504">
        <f t="shared" si="178"/>
        <v>8301129</v>
      </c>
      <c r="BQ140" s="504">
        <f t="shared" si="178"/>
        <v>244796</v>
      </c>
      <c r="BR140" s="504">
        <f t="shared" si="178"/>
        <v>39162</v>
      </c>
      <c r="BS140" s="544">
        <f t="shared" si="178"/>
        <v>39.9285</v>
      </c>
      <c r="BT140" s="544">
        <f t="shared" si="178"/>
        <v>37.353999999999999</v>
      </c>
      <c r="BU140" s="442">
        <f t="shared" si="178"/>
        <v>2.5745</v>
      </c>
      <c r="BV140" s="824">
        <f t="shared" si="178"/>
        <v>0</v>
      </c>
      <c r="BW140" s="710">
        <f t="shared" si="178"/>
        <v>0</v>
      </c>
      <c r="BX140" s="710">
        <f t="shared" si="178"/>
        <v>0</v>
      </c>
      <c r="BY140" s="710">
        <f t="shared" si="178"/>
        <v>0</v>
      </c>
      <c r="BZ140" s="710">
        <f t="shared" si="178"/>
        <v>0</v>
      </c>
      <c r="CA140" s="825">
        <f t="shared" si="178"/>
        <v>0</v>
      </c>
    </row>
    <row r="141" spans="1:79" s="221" customFormat="1" ht="12.75" customHeight="1" x14ac:dyDescent="0.2">
      <c r="A141" s="223">
        <v>30</v>
      </c>
      <c r="B141" s="224">
        <v>3419</v>
      </c>
      <c r="C141" s="224">
        <v>600078434</v>
      </c>
      <c r="D141" s="224">
        <v>72742658</v>
      </c>
      <c r="E141" s="225" t="s">
        <v>67</v>
      </c>
      <c r="F141" s="224">
        <v>3111</v>
      </c>
      <c r="G141" s="225" t="s">
        <v>290</v>
      </c>
      <c r="H141" s="226" t="s">
        <v>271</v>
      </c>
      <c r="I141" s="420">
        <v>3060363</v>
      </c>
      <c r="J141" s="415">
        <v>2262376</v>
      </c>
      <c r="K141" s="415">
        <v>2142568</v>
      </c>
      <c r="L141" s="415">
        <v>119808</v>
      </c>
      <c r="M141" s="415">
        <v>0</v>
      </c>
      <c r="N141" s="415">
        <v>0</v>
      </c>
      <c r="O141" s="415">
        <v>0</v>
      </c>
      <c r="P141" s="68">
        <v>764683</v>
      </c>
      <c r="Q141" s="68">
        <v>22624</v>
      </c>
      <c r="R141" s="415">
        <v>10680</v>
      </c>
      <c r="S141" s="416">
        <v>4.3</v>
      </c>
      <c r="T141" s="417">
        <v>3.82</v>
      </c>
      <c r="U141" s="423">
        <v>0.48</v>
      </c>
      <c r="V141" s="424">
        <f t="shared" ref="V141:W147" si="179">AG141*-1</f>
        <v>0</v>
      </c>
      <c r="W141" s="418">
        <f t="shared" si="179"/>
        <v>0</v>
      </c>
      <c r="X141" s="418">
        <v>0</v>
      </c>
      <c r="Y141" s="418">
        <v>0</v>
      </c>
      <c r="Z141" s="418">
        <v>0</v>
      </c>
      <c r="AA141" s="418">
        <v>0</v>
      </c>
      <c r="AB141" s="418">
        <v>0</v>
      </c>
      <c r="AC141" s="418">
        <v>0</v>
      </c>
      <c r="AD141" s="418">
        <f t="shared" ref="AD141:AD147" si="180">V141+X141+Y141+Z141+AB141</f>
        <v>0</v>
      </c>
      <c r="AE141" s="418">
        <f t="shared" ref="AE141:AE147" si="181">W141+AA141+AC141</f>
        <v>0</v>
      </c>
      <c r="AF141" s="418">
        <f t="shared" ref="AF141:AF147" si="182">SUM(AD141:AE141)</f>
        <v>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ref="AL141:AL147" si="183">AG141+AI141+AJ141</f>
        <v>0</v>
      </c>
      <c r="AM141" s="418">
        <f t="shared" ref="AM141:AM147" si="184">AH141+AK141</f>
        <v>0</v>
      </c>
      <c r="AN141" s="418">
        <f t="shared" ref="AN141:AN147" si="185">SUM(AL141:AM141)</f>
        <v>0</v>
      </c>
      <c r="AO141" s="418">
        <f t="shared" ref="AO141:AP147" si="186">AD141+AL141</f>
        <v>0</v>
      </c>
      <c r="AP141" s="418">
        <f t="shared" si="186"/>
        <v>0</v>
      </c>
      <c r="AQ141" s="418">
        <f t="shared" ref="AQ141:AQ147" si="187">SUM(AO141:AP141)</f>
        <v>0</v>
      </c>
      <c r="AR141" s="68">
        <f t="shared" ref="AR141:AR147" si="188">ROUND((AF141+AG141+AH141+AI141)*33.8%,0)</f>
        <v>0</v>
      </c>
      <c r="AS141" s="68">
        <f t="shared" ref="AS141:AS147" si="189">ROUND(AF141*1%,0)</f>
        <v>0</v>
      </c>
      <c r="AT141" s="418">
        <v>0</v>
      </c>
      <c r="AU141" s="415">
        <v>0</v>
      </c>
      <c r="AV141" s="418">
        <f t="shared" ref="AV141:AV147" si="190">AT141+AU141</f>
        <v>0</v>
      </c>
      <c r="AW141" s="418">
        <f t="shared" ref="AW141:AW147" si="191">AQ141+AR141+AS141+AV141</f>
        <v>0</v>
      </c>
      <c r="AX141" s="419">
        <v>0</v>
      </c>
      <c r="AY141" s="419">
        <v>0</v>
      </c>
      <c r="AZ141" s="419">
        <v>0</v>
      </c>
      <c r="BA141" s="419">
        <v>0</v>
      </c>
      <c r="BB141" s="416">
        <v>0</v>
      </c>
      <c r="BC141" s="939">
        <v>0</v>
      </c>
      <c r="BD141" s="419">
        <v>0</v>
      </c>
      <c r="BE141" s="419">
        <v>0</v>
      </c>
      <c r="BF141" s="419">
        <f t="shared" ref="BF141:BF147" si="192">AX141+AZ141+BA141+BC141+BD141</f>
        <v>0</v>
      </c>
      <c r="BG141" s="419">
        <f t="shared" ref="BG141:BG147" si="193">AY141+BB141+BE141</f>
        <v>0</v>
      </c>
      <c r="BH141" s="421">
        <f t="shared" ref="BH141:BH147" si="194">SUM(BF141:BG141)</f>
        <v>0</v>
      </c>
      <c r="BI141" s="780">
        <f t="shared" ref="BI141:BI147" si="195">I141+AW141</f>
        <v>3060363</v>
      </c>
      <c r="BJ141" s="418">
        <f t="shared" ref="BJ141:BJ147" si="196">J141+AF141</f>
        <v>2262376</v>
      </c>
      <c r="BK141" s="418">
        <f t="shared" ref="BK141:BL147" si="197">K141+AD141</f>
        <v>2142568</v>
      </c>
      <c r="BL141" s="418">
        <f t="shared" si="197"/>
        <v>119808</v>
      </c>
      <c r="BM141" s="418">
        <f t="shared" ref="BM141:BM147" si="198">M141+AN141</f>
        <v>0</v>
      </c>
      <c r="BN141" s="418">
        <f t="shared" ref="BN141:BO147" si="199">N141+AL141</f>
        <v>0</v>
      </c>
      <c r="BO141" s="418">
        <f t="shared" si="199"/>
        <v>0</v>
      </c>
      <c r="BP141" s="418">
        <f t="shared" ref="BP141:BQ147" si="200">P141+AR141</f>
        <v>764683</v>
      </c>
      <c r="BQ141" s="418">
        <f t="shared" si="200"/>
        <v>22624</v>
      </c>
      <c r="BR141" s="418">
        <f t="shared" ref="BR141:BR147" si="201">R141+AV141</f>
        <v>10680</v>
      </c>
      <c r="BS141" s="419">
        <f t="shared" ref="BS141:BS147" si="202">S141+BH141</f>
        <v>4.3</v>
      </c>
      <c r="BT141" s="419">
        <f t="shared" ref="BT141:BU147" si="203">T141+BF141</f>
        <v>3.82</v>
      </c>
      <c r="BU141" s="421">
        <f t="shared" si="203"/>
        <v>0.48</v>
      </c>
      <c r="BV141" s="420"/>
      <c r="BW141" s="415"/>
      <c r="BX141" s="415"/>
      <c r="BY141" s="415"/>
      <c r="BZ141" s="415"/>
      <c r="CA141" s="510"/>
    </row>
    <row r="142" spans="1:79" s="221" customFormat="1" ht="12.75" customHeight="1" x14ac:dyDescent="0.2">
      <c r="A142" s="223">
        <v>30</v>
      </c>
      <c r="B142" s="224">
        <v>3419</v>
      </c>
      <c r="C142" s="224">
        <v>600078434</v>
      </c>
      <c r="D142" s="224">
        <v>72742658</v>
      </c>
      <c r="E142" s="225" t="s">
        <v>67</v>
      </c>
      <c r="F142" s="224">
        <v>3113</v>
      </c>
      <c r="G142" s="225" t="s">
        <v>293</v>
      </c>
      <c r="H142" s="226" t="s">
        <v>271</v>
      </c>
      <c r="I142" s="420">
        <v>13636708</v>
      </c>
      <c r="J142" s="415">
        <v>9924987</v>
      </c>
      <c r="K142" s="415">
        <v>8965441</v>
      </c>
      <c r="L142" s="415">
        <v>959546</v>
      </c>
      <c r="M142" s="415">
        <v>55400</v>
      </c>
      <c r="N142" s="415">
        <v>37400</v>
      </c>
      <c r="O142" s="415">
        <v>18000</v>
      </c>
      <c r="P142" s="68">
        <v>3373372</v>
      </c>
      <c r="Q142" s="68">
        <v>99250</v>
      </c>
      <c r="R142" s="415">
        <v>183699</v>
      </c>
      <c r="S142" s="416">
        <v>15.384200000000002</v>
      </c>
      <c r="T142" s="417">
        <v>12.6045</v>
      </c>
      <c r="U142" s="423">
        <v>2.7796999999999996</v>
      </c>
      <c r="V142" s="424">
        <f t="shared" si="179"/>
        <v>0</v>
      </c>
      <c r="W142" s="418">
        <f t="shared" si="179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180"/>
        <v>0</v>
      </c>
      <c r="AE142" s="418">
        <f t="shared" si="181"/>
        <v>0</v>
      </c>
      <c r="AF142" s="418">
        <f t="shared" si="182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183"/>
        <v>0</v>
      </c>
      <c r="AM142" s="418">
        <f t="shared" si="184"/>
        <v>0</v>
      </c>
      <c r="AN142" s="418">
        <f t="shared" si="185"/>
        <v>0</v>
      </c>
      <c r="AO142" s="418">
        <f t="shared" si="186"/>
        <v>0</v>
      </c>
      <c r="AP142" s="418">
        <f t="shared" si="186"/>
        <v>0</v>
      </c>
      <c r="AQ142" s="418">
        <f t="shared" si="187"/>
        <v>0</v>
      </c>
      <c r="AR142" s="68">
        <f t="shared" si="188"/>
        <v>0</v>
      </c>
      <c r="AS142" s="68">
        <f t="shared" si="189"/>
        <v>0</v>
      </c>
      <c r="AT142" s="418">
        <v>0</v>
      </c>
      <c r="AU142" s="415">
        <v>0</v>
      </c>
      <c r="AV142" s="418">
        <f t="shared" si="190"/>
        <v>0</v>
      </c>
      <c r="AW142" s="418">
        <f t="shared" si="191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6">
        <v>0</v>
      </c>
      <c r="BC142" s="939">
        <v>0</v>
      </c>
      <c r="BD142" s="419">
        <v>0</v>
      </c>
      <c r="BE142" s="419">
        <v>0</v>
      </c>
      <c r="BF142" s="419">
        <f t="shared" si="192"/>
        <v>0</v>
      </c>
      <c r="BG142" s="419">
        <f t="shared" si="193"/>
        <v>0</v>
      </c>
      <c r="BH142" s="421">
        <f t="shared" si="194"/>
        <v>0</v>
      </c>
      <c r="BI142" s="780">
        <f t="shared" si="195"/>
        <v>13636708</v>
      </c>
      <c r="BJ142" s="418">
        <f t="shared" si="196"/>
        <v>9924987</v>
      </c>
      <c r="BK142" s="418">
        <f t="shared" si="197"/>
        <v>8965441</v>
      </c>
      <c r="BL142" s="418">
        <f t="shared" si="197"/>
        <v>959546</v>
      </c>
      <c r="BM142" s="418">
        <f t="shared" si="198"/>
        <v>55400</v>
      </c>
      <c r="BN142" s="418">
        <f t="shared" si="199"/>
        <v>37400</v>
      </c>
      <c r="BO142" s="418">
        <f t="shared" si="199"/>
        <v>18000</v>
      </c>
      <c r="BP142" s="418">
        <f t="shared" si="200"/>
        <v>3373372</v>
      </c>
      <c r="BQ142" s="418">
        <f t="shared" si="200"/>
        <v>99250</v>
      </c>
      <c r="BR142" s="418">
        <f t="shared" si="201"/>
        <v>183699</v>
      </c>
      <c r="BS142" s="419">
        <f t="shared" si="202"/>
        <v>15.384200000000002</v>
      </c>
      <c r="BT142" s="419">
        <f t="shared" si="203"/>
        <v>12.6045</v>
      </c>
      <c r="BU142" s="421">
        <f t="shared" si="203"/>
        <v>2.7796999999999996</v>
      </c>
      <c r="BV142" s="420"/>
      <c r="BW142" s="415"/>
      <c r="BX142" s="415"/>
      <c r="BY142" s="415"/>
      <c r="BZ142" s="415"/>
      <c r="CA142" s="510"/>
    </row>
    <row r="143" spans="1:79" s="221" customFormat="1" x14ac:dyDescent="0.2">
      <c r="A143" s="223">
        <v>30</v>
      </c>
      <c r="B143" s="224">
        <v>3419</v>
      </c>
      <c r="C143" s="224">
        <v>600078434</v>
      </c>
      <c r="D143" s="224">
        <v>72742658</v>
      </c>
      <c r="E143" s="225" t="s">
        <v>67</v>
      </c>
      <c r="F143" s="224">
        <v>3113</v>
      </c>
      <c r="G143" s="225" t="s">
        <v>291</v>
      </c>
      <c r="H143" s="226" t="s">
        <v>272</v>
      </c>
      <c r="I143" s="420">
        <v>1811921</v>
      </c>
      <c r="J143" s="415">
        <v>1344155</v>
      </c>
      <c r="K143" s="415">
        <v>1344155</v>
      </c>
      <c r="L143" s="415">
        <v>0</v>
      </c>
      <c r="M143" s="415">
        <v>0</v>
      </c>
      <c r="N143" s="415">
        <v>0</v>
      </c>
      <c r="O143" s="415">
        <v>0</v>
      </c>
      <c r="P143" s="68">
        <v>454324</v>
      </c>
      <c r="Q143" s="68">
        <v>13442</v>
      </c>
      <c r="R143" s="415">
        <v>0</v>
      </c>
      <c r="S143" s="416">
        <v>3.63</v>
      </c>
      <c r="T143" s="417">
        <v>3.63</v>
      </c>
      <c r="U143" s="423">
        <v>0</v>
      </c>
      <c r="V143" s="424">
        <f t="shared" si="179"/>
        <v>0</v>
      </c>
      <c r="W143" s="418">
        <f t="shared" si="179"/>
        <v>0</v>
      </c>
      <c r="X143" s="418">
        <v>0</v>
      </c>
      <c r="Y143" s="418">
        <v>0</v>
      </c>
      <c r="Z143" s="418">
        <v>0</v>
      </c>
      <c r="AA143" s="418">
        <v>0</v>
      </c>
      <c r="AB143" s="418">
        <v>0</v>
      </c>
      <c r="AC143" s="418">
        <v>0</v>
      </c>
      <c r="AD143" s="418">
        <f t="shared" si="180"/>
        <v>0</v>
      </c>
      <c r="AE143" s="418">
        <f t="shared" si="181"/>
        <v>0</v>
      </c>
      <c r="AF143" s="418">
        <f t="shared" si="182"/>
        <v>0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183"/>
        <v>0</v>
      </c>
      <c r="AM143" s="418">
        <f t="shared" si="184"/>
        <v>0</v>
      </c>
      <c r="AN143" s="418">
        <f t="shared" si="185"/>
        <v>0</v>
      </c>
      <c r="AO143" s="418">
        <f t="shared" si="186"/>
        <v>0</v>
      </c>
      <c r="AP143" s="418">
        <f t="shared" si="186"/>
        <v>0</v>
      </c>
      <c r="AQ143" s="418">
        <f t="shared" si="187"/>
        <v>0</v>
      </c>
      <c r="AR143" s="68">
        <f t="shared" si="188"/>
        <v>0</v>
      </c>
      <c r="AS143" s="68">
        <f t="shared" si="189"/>
        <v>0</v>
      </c>
      <c r="AT143" s="418">
        <v>0</v>
      </c>
      <c r="AU143" s="415"/>
      <c r="AV143" s="418">
        <f t="shared" si="190"/>
        <v>0</v>
      </c>
      <c r="AW143" s="418">
        <f t="shared" si="191"/>
        <v>0</v>
      </c>
      <c r="AX143" s="419">
        <v>0</v>
      </c>
      <c r="AY143" s="419">
        <v>0</v>
      </c>
      <c r="AZ143" s="419">
        <v>0</v>
      </c>
      <c r="BA143" s="419">
        <v>0</v>
      </c>
      <c r="BB143" s="416">
        <v>0</v>
      </c>
      <c r="BC143" s="939">
        <v>0</v>
      </c>
      <c r="BD143" s="419">
        <v>0</v>
      </c>
      <c r="BE143" s="419">
        <v>0</v>
      </c>
      <c r="BF143" s="419">
        <f t="shared" si="192"/>
        <v>0</v>
      </c>
      <c r="BG143" s="419">
        <f t="shared" si="193"/>
        <v>0</v>
      </c>
      <c r="BH143" s="421">
        <f t="shared" si="194"/>
        <v>0</v>
      </c>
      <c r="BI143" s="780">
        <f t="shared" si="195"/>
        <v>1811921</v>
      </c>
      <c r="BJ143" s="418">
        <f t="shared" si="196"/>
        <v>1344155</v>
      </c>
      <c r="BK143" s="418">
        <f t="shared" si="197"/>
        <v>1344155</v>
      </c>
      <c r="BL143" s="418">
        <f t="shared" si="197"/>
        <v>0</v>
      </c>
      <c r="BM143" s="418">
        <f t="shared" si="198"/>
        <v>0</v>
      </c>
      <c r="BN143" s="418">
        <f t="shared" si="199"/>
        <v>0</v>
      </c>
      <c r="BO143" s="418">
        <f t="shared" si="199"/>
        <v>0</v>
      </c>
      <c r="BP143" s="418">
        <f t="shared" si="200"/>
        <v>454324</v>
      </c>
      <c r="BQ143" s="418">
        <f t="shared" si="200"/>
        <v>13442</v>
      </c>
      <c r="BR143" s="418">
        <f t="shared" si="201"/>
        <v>0</v>
      </c>
      <c r="BS143" s="419">
        <f t="shared" si="202"/>
        <v>3.63</v>
      </c>
      <c r="BT143" s="419">
        <f t="shared" si="203"/>
        <v>3.63</v>
      </c>
      <c r="BU143" s="421">
        <f t="shared" si="203"/>
        <v>0</v>
      </c>
      <c r="BV143" s="420"/>
      <c r="BW143" s="415"/>
      <c r="BX143" s="415"/>
      <c r="BY143" s="415"/>
      <c r="BZ143" s="415"/>
      <c r="CA143" s="510"/>
    </row>
    <row r="144" spans="1:79" s="221" customFormat="1" ht="12.75" customHeight="1" x14ac:dyDescent="0.2">
      <c r="A144" s="223">
        <v>30</v>
      </c>
      <c r="B144" s="224">
        <v>3419</v>
      </c>
      <c r="C144" s="224">
        <v>600078434</v>
      </c>
      <c r="D144" s="224">
        <v>72742658</v>
      </c>
      <c r="E144" s="225" t="s">
        <v>67</v>
      </c>
      <c r="F144" s="224">
        <v>3141</v>
      </c>
      <c r="G144" s="225" t="s">
        <v>294</v>
      </c>
      <c r="H144" s="226" t="s">
        <v>272</v>
      </c>
      <c r="I144" s="420">
        <v>1299023</v>
      </c>
      <c r="J144" s="415">
        <v>958188</v>
      </c>
      <c r="K144" s="415">
        <v>0</v>
      </c>
      <c r="L144" s="415">
        <v>958188</v>
      </c>
      <c r="M144" s="415">
        <v>0</v>
      </c>
      <c r="N144" s="415">
        <v>0</v>
      </c>
      <c r="O144" s="415">
        <v>0</v>
      </c>
      <c r="P144" s="68">
        <v>323868</v>
      </c>
      <c r="Q144" s="68">
        <v>9582</v>
      </c>
      <c r="R144" s="415">
        <v>7385</v>
      </c>
      <c r="S144" s="416">
        <v>2.87</v>
      </c>
      <c r="T144" s="417">
        <v>0</v>
      </c>
      <c r="U144" s="423">
        <v>2.87</v>
      </c>
      <c r="V144" s="424">
        <f t="shared" si="179"/>
        <v>0</v>
      </c>
      <c r="W144" s="418">
        <f t="shared" si="179"/>
        <v>0</v>
      </c>
      <c r="X144" s="418">
        <v>0</v>
      </c>
      <c r="Y144" s="418">
        <v>0</v>
      </c>
      <c r="Z144" s="418">
        <v>0</v>
      </c>
      <c r="AA144" s="605">
        <v>480366</v>
      </c>
      <c r="AB144" s="418">
        <v>0</v>
      </c>
      <c r="AC144" s="418">
        <v>0</v>
      </c>
      <c r="AD144" s="418">
        <f t="shared" si="180"/>
        <v>0</v>
      </c>
      <c r="AE144" s="418">
        <f t="shared" si="181"/>
        <v>480366</v>
      </c>
      <c r="AF144" s="418">
        <f t="shared" si="182"/>
        <v>480366</v>
      </c>
      <c r="AG144" s="418">
        <v>0</v>
      </c>
      <c r="AH144" s="418">
        <v>0</v>
      </c>
      <c r="AI144" s="418">
        <v>0</v>
      </c>
      <c r="AJ144" s="418">
        <v>0</v>
      </c>
      <c r="AK144" s="418">
        <v>0</v>
      </c>
      <c r="AL144" s="418">
        <f t="shared" si="183"/>
        <v>0</v>
      </c>
      <c r="AM144" s="418">
        <f t="shared" si="184"/>
        <v>0</v>
      </c>
      <c r="AN144" s="418">
        <f t="shared" si="185"/>
        <v>0</v>
      </c>
      <c r="AO144" s="418">
        <f t="shared" si="186"/>
        <v>0</v>
      </c>
      <c r="AP144" s="418">
        <f t="shared" si="186"/>
        <v>480366</v>
      </c>
      <c r="AQ144" s="418">
        <f t="shared" si="187"/>
        <v>480366</v>
      </c>
      <c r="AR144" s="68">
        <f t="shared" si="188"/>
        <v>162364</v>
      </c>
      <c r="AS144" s="68">
        <f t="shared" si="189"/>
        <v>4804</v>
      </c>
      <c r="AT144" s="418">
        <v>0</v>
      </c>
      <c r="AU144" s="605">
        <v>3587</v>
      </c>
      <c r="AV144" s="418">
        <f t="shared" si="190"/>
        <v>3587</v>
      </c>
      <c r="AW144" s="418">
        <f t="shared" si="191"/>
        <v>651121</v>
      </c>
      <c r="AX144" s="419">
        <v>0</v>
      </c>
      <c r="AY144" s="419">
        <v>0</v>
      </c>
      <c r="AZ144" s="419">
        <v>0</v>
      </c>
      <c r="BA144" s="419">
        <v>0</v>
      </c>
      <c r="BB144" s="607">
        <v>1.44</v>
      </c>
      <c r="BC144" s="939">
        <v>0</v>
      </c>
      <c r="BD144" s="419">
        <v>0</v>
      </c>
      <c r="BE144" s="419">
        <v>0</v>
      </c>
      <c r="BF144" s="419">
        <f t="shared" si="192"/>
        <v>0</v>
      </c>
      <c r="BG144" s="419">
        <f t="shared" si="193"/>
        <v>1.44</v>
      </c>
      <c r="BH144" s="421">
        <f t="shared" si="194"/>
        <v>1.44</v>
      </c>
      <c r="BI144" s="780">
        <f t="shared" si="195"/>
        <v>1950144</v>
      </c>
      <c r="BJ144" s="418">
        <f t="shared" si="196"/>
        <v>1438554</v>
      </c>
      <c r="BK144" s="418">
        <f t="shared" si="197"/>
        <v>0</v>
      </c>
      <c r="BL144" s="418">
        <f t="shared" si="197"/>
        <v>1438554</v>
      </c>
      <c r="BM144" s="418">
        <f t="shared" si="198"/>
        <v>0</v>
      </c>
      <c r="BN144" s="418">
        <f t="shared" si="199"/>
        <v>0</v>
      </c>
      <c r="BO144" s="418">
        <f t="shared" si="199"/>
        <v>0</v>
      </c>
      <c r="BP144" s="418">
        <f t="shared" si="200"/>
        <v>486232</v>
      </c>
      <c r="BQ144" s="418">
        <f t="shared" si="200"/>
        <v>14386</v>
      </c>
      <c r="BR144" s="418">
        <f t="shared" si="201"/>
        <v>10972</v>
      </c>
      <c r="BS144" s="419">
        <f t="shared" si="202"/>
        <v>4.3100000000000005</v>
      </c>
      <c r="BT144" s="419">
        <f t="shared" si="203"/>
        <v>0</v>
      </c>
      <c r="BU144" s="421">
        <f t="shared" si="203"/>
        <v>4.3100000000000005</v>
      </c>
      <c r="BV144" s="420"/>
      <c r="BW144" s="415"/>
      <c r="BX144" s="415"/>
      <c r="BY144" s="415"/>
      <c r="BZ144" s="415"/>
      <c r="CA144" s="510"/>
    </row>
    <row r="145" spans="1:79" s="221" customFormat="1" ht="12.75" customHeight="1" x14ac:dyDescent="0.2">
      <c r="A145" s="223">
        <v>30</v>
      </c>
      <c r="B145" s="224">
        <v>3419</v>
      </c>
      <c r="C145" s="224">
        <v>600078434</v>
      </c>
      <c r="D145" s="224">
        <v>72742658</v>
      </c>
      <c r="E145" s="225" t="s">
        <v>67</v>
      </c>
      <c r="F145" s="224">
        <v>3143</v>
      </c>
      <c r="G145" s="225" t="s">
        <v>595</v>
      </c>
      <c r="H145" s="226" t="s">
        <v>271</v>
      </c>
      <c r="I145" s="420">
        <v>903472</v>
      </c>
      <c r="J145" s="415">
        <v>670232</v>
      </c>
      <c r="K145" s="415">
        <v>670232</v>
      </c>
      <c r="L145" s="415">
        <v>0</v>
      </c>
      <c r="M145" s="415">
        <v>0</v>
      </c>
      <c r="N145" s="415">
        <v>0</v>
      </c>
      <c r="O145" s="415">
        <v>0</v>
      </c>
      <c r="P145" s="68">
        <v>226538</v>
      </c>
      <c r="Q145" s="68">
        <v>6702</v>
      </c>
      <c r="R145" s="415">
        <v>0</v>
      </c>
      <c r="S145" s="416">
        <v>1.29</v>
      </c>
      <c r="T145" s="417">
        <v>1.29</v>
      </c>
      <c r="U145" s="423">
        <v>0</v>
      </c>
      <c r="V145" s="424">
        <f t="shared" si="179"/>
        <v>0</v>
      </c>
      <c r="W145" s="418">
        <f t="shared" si="179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 t="shared" si="180"/>
        <v>0</v>
      </c>
      <c r="AE145" s="418">
        <f t="shared" si="181"/>
        <v>0</v>
      </c>
      <c r="AF145" s="418">
        <f t="shared" si="182"/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si="183"/>
        <v>0</v>
      </c>
      <c r="AM145" s="418">
        <f t="shared" si="184"/>
        <v>0</v>
      </c>
      <c r="AN145" s="418">
        <f t="shared" si="185"/>
        <v>0</v>
      </c>
      <c r="AO145" s="418">
        <f t="shared" si="186"/>
        <v>0</v>
      </c>
      <c r="AP145" s="418">
        <f t="shared" si="186"/>
        <v>0</v>
      </c>
      <c r="AQ145" s="418">
        <f t="shared" si="187"/>
        <v>0</v>
      </c>
      <c r="AR145" s="68">
        <f t="shared" si="188"/>
        <v>0</v>
      </c>
      <c r="AS145" s="68">
        <f t="shared" si="189"/>
        <v>0</v>
      </c>
      <c r="AT145" s="418">
        <v>0</v>
      </c>
      <c r="AU145" s="415">
        <v>0</v>
      </c>
      <c r="AV145" s="418">
        <f t="shared" si="190"/>
        <v>0</v>
      </c>
      <c r="AW145" s="418">
        <f t="shared" si="191"/>
        <v>0</v>
      </c>
      <c r="AX145" s="419">
        <v>0</v>
      </c>
      <c r="AY145" s="419">
        <v>0</v>
      </c>
      <c r="AZ145" s="419">
        <v>0</v>
      </c>
      <c r="BA145" s="419">
        <v>0</v>
      </c>
      <c r="BB145" s="416">
        <v>0</v>
      </c>
      <c r="BC145" s="939">
        <v>0</v>
      </c>
      <c r="BD145" s="419">
        <v>0</v>
      </c>
      <c r="BE145" s="419">
        <v>0</v>
      </c>
      <c r="BF145" s="419">
        <f t="shared" si="192"/>
        <v>0</v>
      </c>
      <c r="BG145" s="419">
        <f t="shared" si="193"/>
        <v>0</v>
      </c>
      <c r="BH145" s="421">
        <f t="shared" si="194"/>
        <v>0</v>
      </c>
      <c r="BI145" s="780">
        <f t="shared" si="195"/>
        <v>903472</v>
      </c>
      <c r="BJ145" s="418">
        <f t="shared" si="196"/>
        <v>670232</v>
      </c>
      <c r="BK145" s="418">
        <f t="shared" si="197"/>
        <v>670232</v>
      </c>
      <c r="BL145" s="418">
        <f t="shared" si="197"/>
        <v>0</v>
      </c>
      <c r="BM145" s="418">
        <f t="shared" si="198"/>
        <v>0</v>
      </c>
      <c r="BN145" s="418">
        <f t="shared" si="199"/>
        <v>0</v>
      </c>
      <c r="BO145" s="418">
        <f t="shared" si="199"/>
        <v>0</v>
      </c>
      <c r="BP145" s="418">
        <f t="shared" si="200"/>
        <v>226538</v>
      </c>
      <c r="BQ145" s="418">
        <f t="shared" si="200"/>
        <v>6702</v>
      </c>
      <c r="BR145" s="418">
        <f t="shared" si="201"/>
        <v>0</v>
      </c>
      <c r="BS145" s="419">
        <f t="shared" si="202"/>
        <v>1.29</v>
      </c>
      <c r="BT145" s="419">
        <f t="shared" si="203"/>
        <v>1.29</v>
      </c>
      <c r="BU145" s="421">
        <f t="shared" si="203"/>
        <v>0</v>
      </c>
      <c r="BV145" s="420"/>
      <c r="BW145" s="415"/>
      <c r="BX145" s="415"/>
      <c r="BY145" s="415"/>
      <c r="BZ145" s="415"/>
      <c r="CA145" s="510"/>
    </row>
    <row r="146" spans="1:79" s="221" customFormat="1" ht="12.75" customHeight="1" x14ac:dyDescent="0.2">
      <c r="A146" s="223">
        <v>30</v>
      </c>
      <c r="B146" s="224">
        <v>3419</v>
      </c>
      <c r="C146" s="224">
        <v>600078434</v>
      </c>
      <c r="D146" s="224">
        <v>72742658</v>
      </c>
      <c r="E146" s="225" t="s">
        <v>67</v>
      </c>
      <c r="F146" s="224">
        <v>3143</v>
      </c>
      <c r="G146" s="225" t="s">
        <v>596</v>
      </c>
      <c r="H146" s="226" t="s">
        <v>272</v>
      </c>
      <c r="I146" s="420">
        <v>24084</v>
      </c>
      <c r="J146" s="415">
        <v>17239</v>
      </c>
      <c r="K146" s="415">
        <v>0</v>
      </c>
      <c r="L146" s="415">
        <v>17239</v>
      </c>
      <c r="M146" s="415">
        <v>0</v>
      </c>
      <c r="N146" s="415">
        <v>0</v>
      </c>
      <c r="O146" s="415">
        <v>0</v>
      </c>
      <c r="P146" s="68">
        <v>5827</v>
      </c>
      <c r="Q146" s="68">
        <v>172</v>
      </c>
      <c r="R146" s="415">
        <v>846</v>
      </c>
      <c r="S146" s="416">
        <v>7.0000000000000007E-2</v>
      </c>
      <c r="T146" s="417">
        <v>0</v>
      </c>
      <c r="U146" s="423">
        <v>7.0000000000000007E-2</v>
      </c>
      <c r="V146" s="424">
        <f t="shared" si="179"/>
        <v>0</v>
      </c>
      <c r="W146" s="418">
        <f t="shared" si="179"/>
        <v>0</v>
      </c>
      <c r="X146" s="418">
        <v>0</v>
      </c>
      <c r="Y146" s="418">
        <v>0</v>
      </c>
      <c r="Z146" s="418">
        <v>0</v>
      </c>
      <c r="AA146" s="605">
        <v>8611</v>
      </c>
      <c r="AB146" s="418">
        <v>0</v>
      </c>
      <c r="AC146" s="418">
        <v>0</v>
      </c>
      <c r="AD146" s="418">
        <f t="shared" si="180"/>
        <v>0</v>
      </c>
      <c r="AE146" s="418">
        <f t="shared" si="181"/>
        <v>8611</v>
      </c>
      <c r="AF146" s="418">
        <f t="shared" si="182"/>
        <v>8611</v>
      </c>
      <c r="AG146" s="418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 t="shared" si="183"/>
        <v>0</v>
      </c>
      <c r="AM146" s="418">
        <f t="shared" si="184"/>
        <v>0</v>
      </c>
      <c r="AN146" s="418">
        <f t="shared" si="185"/>
        <v>0</v>
      </c>
      <c r="AO146" s="418">
        <f t="shared" si="186"/>
        <v>0</v>
      </c>
      <c r="AP146" s="418">
        <f t="shared" si="186"/>
        <v>8611</v>
      </c>
      <c r="AQ146" s="418">
        <f t="shared" si="187"/>
        <v>8611</v>
      </c>
      <c r="AR146" s="68">
        <f t="shared" si="188"/>
        <v>2911</v>
      </c>
      <c r="AS146" s="68">
        <f t="shared" si="189"/>
        <v>86</v>
      </c>
      <c r="AT146" s="418">
        <v>0</v>
      </c>
      <c r="AU146" s="606">
        <v>423</v>
      </c>
      <c r="AV146" s="418">
        <f t="shared" si="190"/>
        <v>423</v>
      </c>
      <c r="AW146" s="418">
        <f t="shared" si="191"/>
        <v>12031</v>
      </c>
      <c r="AX146" s="419">
        <v>0</v>
      </c>
      <c r="AY146" s="419">
        <v>0</v>
      </c>
      <c r="AZ146" s="419">
        <v>0</v>
      </c>
      <c r="BA146" s="419">
        <v>0</v>
      </c>
      <c r="BB146" s="607">
        <v>0.03</v>
      </c>
      <c r="BC146" s="939">
        <v>0</v>
      </c>
      <c r="BD146" s="419">
        <v>0</v>
      </c>
      <c r="BE146" s="419">
        <v>0</v>
      </c>
      <c r="BF146" s="419">
        <f t="shared" si="192"/>
        <v>0</v>
      </c>
      <c r="BG146" s="419">
        <f t="shared" si="193"/>
        <v>0.03</v>
      </c>
      <c r="BH146" s="421">
        <f t="shared" si="194"/>
        <v>0.03</v>
      </c>
      <c r="BI146" s="780">
        <f t="shared" si="195"/>
        <v>36115</v>
      </c>
      <c r="BJ146" s="418">
        <f t="shared" si="196"/>
        <v>25850</v>
      </c>
      <c r="BK146" s="418">
        <f t="shared" si="197"/>
        <v>0</v>
      </c>
      <c r="BL146" s="418">
        <f t="shared" si="197"/>
        <v>25850</v>
      </c>
      <c r="BM146" s="418">
        <f t="shared" si="198"/>
        <v>0</v>
      </c>
      <c r="BN146" s="418">
        <f t="shared" si="199"/>
        <v>0</v>
      </c>
      <c r="BO146" s="418">
        <f t="shared" si="199"/>
        <v>0</v>
      </c>
      <c r="BP146" s="418">
        <f t="shared" si="200"/>
        <v>8738</v>
      </c>
      <c r="BQ146" s="418">
        <f t="shared" si="200"/>
        <v>258</v>
      </c>
      <c r="BR146" s="418">
        <f t="shared" si="201"/>
        <v>1269</v>
      </c>
      <c r="BS146" s="419">
        <f t="shared" si="202"/>
        <v>0.1</v>
      </c>
      <c r="BT146" s="419">
        <f t="shared" si="203"/>
        <v>0</v>
      </c>
      <c r="BU146" s="421">
        <f t="shared" si="203"/>
        <v>0.1</v>
      </c>
      <c r="BV146" s="420"/>
      <c r="BW146" s="415"/>
      <c r="BX146" s="415"/>
      <c r="BY146" s="415"/>
      <c r="BZ146" s="415"/>
      <c r="CA146" s="510"/>
    </row>
    <row r="147" spans="1:79" s="221" customFormat="1" ht="12.75" customHeight="1" x14ac:dyDescent="0.2">
      <c r="A147" s="223">
        <v>30</v>
      </c>
      <c r="B147" s="224">
        <v>3419</v>
      </c>
      <c r="C147" s="224">
        <v>600078434</v>
      </c>
      <c r="D147" s="224">
        <v>72742658</v>
      </c>
      <c r="E147" s="225" t="s">
        <v>67</v>
      </c>
      <c r="F147" s="224">
        <v>3143</v>
      </c>
      <c r="G147" s="225" t="s">
        <v>296</v>
      </c>
      <c r="H147" s="226" t="s">
        <v>272</v>
      </c>
      <c r="I147" s="420">
        <v>186225</v>
      </c>
      <c r="J147" s="415">
        <v>137936</v>
      </c>
      <c r="K147" s="415">
        <v>129145</v>
      </c>
      <c r="L147" s="415">
        <v>8791</v>
      </c>
      <c r="M147" s="415">
        <v>0</v>
      </c>
      <c r="N147" s="415">
        <v>0</v>
      </c>
      <c r="O147" s="415">
        <v>0</v>
      </c>
      <c r="P147" s="68">
        <v>46622</v>
      </c>
      <c r="Q147" s="68">
        <v>1379</v>
      </c>
      <c r="R147" s="415">
        <v>288</v>
      </c>
      <c r="S147" s="416">
        <v>0.29000000000000004</v>
      </c>
      <c r="T147" s="417">
        <v>0.26</v>
      </c>
      <c r="U147" s="423">
        <v>0.03</v>
      </c>
      <c r="V147" s="424">
        <f t="shared" si="179"/>
        <v>0</v>
      </c>
      <c r="W147" s="418">
        <f t="shared" si="179"/>
        <v>0</v>
      </c>
      <c r="X147" s="418">
        <v>0</v>
      </c>
      <c r="Y147" s="418">
        <v>0</v>
      </c>
      <c r="Z147" s="418">
        <v>0</v>
      </c>
      <c r="AA147" s="605">
        <v>4409</v>
      </c>
      <c r="AB147" s="418">
        <v>0</v>
      </c>
      <c r="AC147" s="418">
        <v>0</v>
      </c>
      <c r="AD147" s="418">
        <f t="shared" si="180"/>
        <v>0</v>
      </c>
      <c r="AE147" s="418">
        <f t="shared" si="181"/>
        <v>4409</v>
      </c>
      <c r="AF147" s="418">
        <f t="shared" si="182"/>
        <v>4409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183"/>
        <v>0</v>
      </c>
      <c r="AM147" s="418">
        <f t="shared" si="184"/>
        <v>0</v>
      </c>
      <c r="AN147" s="418">
        <f t="shared" si="185"/>
        <v>0</v>
      </c>
      <c r="AO147" s="418">
        <f t="shared" si="186"/>
        <v>0</v>
      </c>
      <c r="AP147" s="418">
        <f t="shared" si="186"/>
        <v>4409</v>
      </c>
      <c r="AQ147" s="418">
        <f t="shared" si="187"/>
        <v>4409</v>
      </c>
      <c r="AR147" s="68">
        <f t="shared" si="188"/>
        <v>1490</v>
      </c>
      <c r="AS147" s="68">
        <f t="shared" si="189"/>
        <v>44</v>
      </c>
      <c r="AT147" s="418">
        <v>0</v>
      </c>
      <c r="AU147" s="606">
        <v>144</v>
      </c>
      <c r="AV147" s="418">
        <f t="shared" si="190"/>
        <v>144</v>
      </c>
      <c r="AW147" s="418">
        <f t="shared" si="191"/>
        <v>6087</v>
      </c>
      <c r="AX147" s="419">
        <v>0</v>
      </c>
      <c r="AY147" s="419">
        <v>0</v>
      </c>
      <c r="AZ147" s="419">
        <v>0</v>
      </c>
      <c r="BA147" s="419">
        <v>0</v>
      </c>
      <c r="BB147" s="607">
        <v>0.02</v>
      </c>
      <c r="BC147" s="939">
        <v>0</v>
      </c>
      <c r="BD147" s="419">
        <v>0</v>
      </c>
      <c r="BE147" s="419">
        <v>0</v>
      </c>
      <c r="BF147" s="419">
        <f t="shared" si="192"/>
        <v>0</v>
      </c>
      <c r="BG147" s="419">
        <f t="shared" si="193"/>
        <v>0.02</v>
      </c>
      <c r="BH147" s="421">
        <f t="shared" si="194"/>
        <v>0.02</v>
      </c>
      <c r="BI147" s="780">
        <f t="shared" si="195"/>
        <v>192312</v>
      </c>
      <c r="BJ147" s="418">
        <f t="shared" si="196"/>
        <v>142345</v>
      </c>
      <c r="BK147" s="418">
        <f t="shared" si="197"/>
        <v>129145</v>
      </c>
      <c r="BL147" s="418">
        <f t="shared" si="197"/>
        <v>13200</v>
      </c>
      <c r="BM147" s="418">
        <f t="shared" si="198"/>
        <v>0</v>
      </c>
      <c r="BN147" s="418">
        <f t="shared" si="199"/>
        <v>0</v>
      </c>
      <c r="BO147" s="418">
        <f t="shared" si="199"/>
        <v>0</v>
      </c>
      <c r="BP147" s="418">
        <f t="shared" si="200"/>
        <v>48112</v>
      </c>
      <c r="BQ147" s="418">
        <f t="shared" si="200"/>
        <v>1423</v>
      </c>
      <c r="BR147" s="418">
        <f t="shared" si="201"/>
        <v>432</v>
      </c>
      <c r="BS147" s="419">
        <f t="shared" si="202"/>
        <v>0.31000000000000005</v>
      </c>
      <c r="BT147" s="419">
        <f t="shared" si="203"/>
        <v>0.26</v>
      </c>
      <c r="BU147" s="421">
        <f t="shared" si="203"/>
        <v>0.05</v>
      </c>
      <c r="BV147" s="420"/>
      <c r="BW147" s="415"/>
      <c r="BX147" s="415"/>
      <c r="BY147" s="415"/>
      <c r="BZ147" s="415"/>
      <c r="CA147" s="510"/>
    </row>
    <row r="148" spans="1:79" s="221" customFormat="1" ht="12.75" customHeight="1" x14ac:dyDescent="0.2">
      <c r="A148" s="153">
        <v>30</v>
      </c>
      <c r="B148" s="14">
        <v>3419</v>
      </c>
      <c r="C148" s="152">
        <v>600078434</v>
      </c>
      <c r="D148" s="152">
        <v>72742658</v>
      </c>
      <c r="E148" s="222" t="s">
        <v>68</v>
      </c>
      <c r="F148" s="14"/>
      <c r="G148" s="222"/>
      <c r="H148" s="560"/>
      <c r="I148" s="505">
        <v>20921796</v>
      </c>
      <c r="J148" s="504">
        <v>15315113</v>
      </c>
      <c r="K148" s="504">
        <v>13251541</v>
      </c>
      <c r="L148" s="504">
        <v>2063572</v>
      </c>
      <c r="M148" s="504">
        <v>55400</v>
      </c>
      <c r="N148" s="504">
        <v>37400</v>
      </c>
      <c r="O148" s="504">
        <v>18000</v>
      </c>
      <c r="P148" s="504">
        <v>5195234</v>
      </c>
      <c r="Q148" s="504">
        <v>153151</v>
      </c>
      <c r="R148" s="504">
        <v>202898</v>
      </c>
      <c r="S148" s="544">
        <v>27.834199999999999</v>
      </c>
      <c r="T148" s="544">
        <v>21.604499999999998</v>
      </c>
      <c r="U148" s="401">
        <v>6.2297000000000002</v>
      </c>
      <c r="V148" s="505">
        <f t="shared" ref="V148:CA148" si="204">SUM(V141:V147)</f>
        <v>0</v>
      </c>
      <c r="W148" s="504">
        <f t="shared" si="204"/>
        <v>0</v>
      </c>
      <c r="X148" s="504">
        <f t="shared" si="204"/>
        <v>0</v>
      </c>
      <c r="Y148" s="504">
        <f t="shared" si="204"/>
        <v>0</v>
      </c>
      <c r="Z148" s="504">
        <f t="shared" si="204"/>
        <v>0</v>
      </c>
      <c r="AA148" s="575">
        <f t="shared" si="204"/>
        <v>493386</v>
      </c>
      <c r="AB148" s="504">
        <f t="shared" si="204"/>
        <v>0</v>
      </c>
      <c r="AC148" s="504">
        <f t="shared" si="204"/>
        <v>0</v>
      </c>
      <c r="AD148" s="504">
        <f t="shared" si="204"/>
        <v>0</v>
      </c>
      <c r="AE148" s="504">
        <f t="shared" si="204"/>
        <v>493386</v>
      </c>
      <c r="AF148" s="504">
        <f t="shared" si="204"/>
        <v>493386</v>
      </c>
      <c r="AG148" s="504">
        <f t="shared" si="204"/>
        <v>0</v>
      </c>
      <c r="AH148" s="504">
        <f t="shared" si="204"/>
        <v>0</v>
      </c>
      <c r="AI148" s="504">
        <f t="shared" si="204"/>
        <v>0</v>
      </c>
      <c r="AJ148" s="504">
        <f t="shared" si="204"/>
        <v>0</v>
      </c>
      <c r="AK148" s="504">
        <f t="shared" si="204"/>
        <v>0</v>
      </c>
      <c r="AL148" s="504">
        <f t="shared" si="204"/>
        <v>0</v>
      </c>
      <c r="AM148" s="504">
        <f t="shared" si="204"/>
        <v>0</v>
      </c>
      <c r="AN148" s="504">
        <f t="shared" si="204"/>
        <v>0</v>
      </c>
      <c r="AO148" s="504">
        <f t="shared" si="204"/>
        <v>0</v>
      </c>
      <c r="AP148" s="504">
        <f t="shared" si="204"/>
        <v>493386</v>
      </c>
      <c r="AQ148" s="504">
        <f t="shared" si="204"/>
        <v>493386</v>
      </c>
      <c r="AR148" s="504">
        <f t="shared" si="204"/>
        <v>166765</v>
      </c>
      <c r="AS148" s="504">
        <f t="shared" si="204"/>
        <v>4934</v>
      </c>
      <c r="AT148" s="504">
        <f t="shared" si="204"/>
        <v>0</v>
      </c>
      <c r="AU148" s="504">
        <f t="shared" si="204"/>
        <v>4154</v>
      </c>
      <c r="AV148" s="504">
        <f t="shared" si="204"/>
        <v>4154</v>
      </c>
      <c r="AW148" s="504">
        <f t="shared" si="204"/>
        <v>669239</v>
      </c>
      <c r="AX148" s="544">
        <f t="shared" si="204"/>
        <v>0</v>
      </c>
      <c r="AY148" s="544">
        <f t="shared" si="204"/>
        <v>0</v>
      </c>
      <c r="AZ148" s="544">
        <f t="shared" si="204"/>
        <v>0</v>
      </c>
      <c r="BA148" s="544">
        <f t="shared" si="204"/>
        <v>0</v>
      </c>
      <c r="BB148" s="544">
        <f t="shared" si="204"/>
        <v>1.49</v>
      </c>
      <c r="BC148" s="938">
        <f t="shared" si="204"/>
        <v>0</v>
      </c>
      <c r="BD148" s="544">
        <f t="shared" si="204"/>
        <v>0</v>
      </c>
      <c r="BE148" s="544">
        <f t="shared" si="204"/>
        <v>0</v>
      </c>
      <c r="BF148" s="544">
        <f t="shared" si="204"/>
        <v>0</v>
      </c>
      <c r="BG148" s="544">
        <f t="shared" si="204"/>
        <v>1.49</v>
      </c>
      <c r="BH148" s="442">
        <f t="shared" si="204"/>
        <v>1.49</v>
      </c>
      <c r="BI148" s="806">
        <f t="shared" si="204"/>
        <v>21591035</v>
      </c>
      <c r="BJ148" s="504">
        <f t="shared" si="204"/>
        <v>15808499</v>
      </c>
      <c r="BK148" s="504">
        <f t="shared" si="204"/>
        <v>13251541</v>
      </c>
      <c r="BL148" s="504">
        <f t="shared" si="204"/>
        <v>2556958</v>
      </c>
      <c r="BM148" s="504">
        <f t="shared" si="204"/>
        <v>55400</v>
      </c>
      <c r="BN148" s="504">
        <f t="shared" si="204"/>
        <v>37400</v>
      </c>
      <c r="BO148" s="504">
        <f t="shared" si="204"/>
        <v>18000</v>
      </c>
      <c r="BP148" s="504">
        <f t="shared" si="204"/>
        <v>5361999</v>
      </c>
      <c r="BQ148" s="504">
        <f t="shared" si="204"/>
        <v>158085</v>
      </c>
      <c r="BR148" s="504">
        <f t="shared" si="204"/>
        <v>207052</v>
      </c>
      <c r="BS148" s="544">
        <f t="shared" si="204"/>
        <v>29.324200000000001</v>
      </c>
      <c r="BT148" s="544">
        <f t="shared" si="204"/>
        <v>21.604499999999998</v>
      </c>
      <c r="BU148" s="442">
        <f t="shared" si="204"/>
        <v>7.7196999999999996</v>
      </c>
      <c r="BV148" s="824">
        <f t="shared" si="204"/>
        <v>0</v>
      </c>
      <c r="BW148" s="710">
        <f t="shared" si="204"/>
        <v>0</v>
      </c>
      <c r="BX148" s="710">
        <f t="shared" si="204"/>
        <v>0</v>
      </c>
      <c r="BY148" s="710">
        <f t="shared" si="204"/>
        <v>0</v>
      </c>
      <c r="BZ148" s="710">
        <f t="shared" si="204"/>
        <v>0</v>
      </c>
      <c r="CA148" s="825">
        <f t="shared" si="204"/>
        <v>0</v>
      </c>
    </row>
    <row r="149" spans="1:79" s="221" customFormat="1" ht="12.75" customHeight="1" x14ac:dyDescent="0.2">
      <c r="A149" s="223">
        <v>31</v>
      </c>
      <c r="B149" s="224">
        <v>3422</v>
      </c>
      <c r="C149" s="224">
        <v>600078591</v>
      </c>
      <c r="D149" s="224">
        <v>72742682</v>
      </c>
      <c r="E149" s="225" t="s">
        <v>69</v>
      </c>
      <c r="F149" s="224">
        <v>3111</v>
      </c>
      <c r="G149" s="225" t="s">
        <v>290</v>
      </c>
      <c r="H149" s="226" t="s">
        <v>271</v>
      </c>
      <c r="I149" s="420">
        <v>2743627</v>
      </c>
      <c r="J149" s="415">
        <v>2029191</v>
      </c>
      <c r="K149" s="415">
        <v>1909383</v>
      </c>
      <c r="L149" s="415">
        <v>119808</v>
      </c>
      <c r="M149" s="415">
        <v>0</v>
      </c>
      <c r="N149" s="415">
        <v>0</v>
      </c>
      <c r="O149" s="415">
        <v>0</v>
      </c>
      <c r="P149" s="68">
        <v>685867</v>
      </c>
      <c r="Q149" s="68">
        <v>20292</v>
      </c>
      <c r="R149" s="415">
        <v>8277</v>
      </c>
      <c r="S149" s="416">
        <v>4.2864000000000004</v>
      </c>
      <c r="T149" s="417">
        <v>3.8064</v>
      </c>
      <c r="U149" s="423">
        <v>0.48</v>
      </c>
      <c r="V149" s="424">
        <f t="shared" ref="V149:W154" si="205">AG149*-1</f>
        <v>0</v>
      </c>
      <c r="W149" s="418">
        <f t="shared" si="205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ref="AD149:AD154" si="206">V149+X149+Y149+Z149+AB149</f>
        <v>0</v>
      </c>
      <c r="AE149" s="418">
        <f t="shared" ref="AE149:AE154" si="207">W149+AA149+AC149</f>
        <v>0</v>
      </c>
      <c r="AF149" s="418">
        <f t="shared" ref="AF149:AF154" si="208"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ref="AL149:AL154" si="209">AG149+AI149+AJ149</f>
        <v>0</v>
      </c>
      <c r="AM149" s="418">
        <f t="shared" ref="AM149:AM154" si="210">AH149+AK149</f>
        <v>0</v>
      </c>
      <c r="AN149" s="418">
        <f t="shared" ref="AN149:AN154" si="211">SUM(AL149:AM149)</f>
        <v>0</v>
      </c>
      <c r="AO149" s="418">
        <f t="shared" ref="AO149:AP154" si="212">AD149+AL149</f>
        <v>0</v>
      </c>
      <c r="AP149" s="418">
        <f t="shared" si="212"/>
        <v>0</v>
      </c>
      <c r="AQ149" s="418">
        <f t="shared" ref="AQ149:AQ154" si="213">SUM(AO149:AP149)</f>
        <v>0</v>
      </c>
      <c r="AR149" s="68">
        <f t="shared" ref="AR149:AR154" si="214">ROUND((AF149+AG149+AH149+AI149)*33.8%,0)</f>
        <v>0</v>
      </c>
      <c r="AS149" s="68">
        <f t="shared" ref="AS149:AS154" si="215">ROUND(AF149*1%,0)</f>
        <v>0</v>
      </c>
      <c r="AT149" s="418">
        <v>0</v>
      </c>
      <c r="AU149" s="415">
        <v>0</v>
      </c>
      <c r="AV149" s="418">
        <f t="shared" ref="AV149:AV154" si="216">AT149+AU149</f>
        <v>0</v>
      </c>
      <c r="AW149" s="418">
        <f t="shared" ref="AW149:AW154" si="217"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6">
        <v>0</v>
      </c>
      <c r="BC149" s="939">
        <v>0</v>
      </c>
      <c r="BD149" s="419">
        <v>0</v>
      </c>
      <c r="BE149" s="419">
        <v>0</v>
      </c>
      <c r="BF149" s="419">
        <f t="shared" ref="BF149:BF154" si="218">AX149+AZ149+BA149+BC149+BD149</f>
        <v>0</v>
      </c>
      <c r="BG149" s="419">
        <f t="shared" ref="BG149:BG154" si="219">AY149+BB149+BE149</f>
        <v>0</v>
      </c>
      <c r="BH149" s="421">
        <f t="shared" ref="BH149:BH154" si="220">SUM(BF149:BG149)</f>
        <v>0</v>
      </c>
      <c r="BI149" s="780">
        <f t="shared" ref="BI149:BI154" si="221">I149+AW149</f>
        <v>2743627</v>
      </c>
      <c r="BJ149" s="418">
        <f t="shared" ref="BJ149:BJ154" si="222">J149+AF149</f>
        <v>2029191</v>
      </c>
      <c r="BK149" s="418">
        <f t="shared" ref="BK149:BL154" si="223">K149+AD149</f>
        <v>1909383</v>
      </c>
      <c r="BL149" s="418">
        <f t="shared" si="223"/>
        <v>119808</v>
      </c>
      <c r="BM149" s="418">
        <f t="shared" ref="BM149:BM154" si="224">M149+AN149</f>
        <v>0</v>
      </c>
      <c r="BN149" s="418">
        <f t="shared" ref="BN149:BO154" si="225">N149+AL149</f>
        <v>0</v>
      </c>
      <c r="BO149" s="418">
        <f t="shared" si="225"/>
        <v>0</v>
      </c>
      <c r="BP149" s="418">
        <f t="shared" ref="BP149:BQ154" si="226">P149+AR149</f>
        <v>685867</v>
      </c>
      <c r="BQ149" s="418">
        <f t="shared" si="226"/>
        <v>20292</v>
      </c>
      <c r="BR149" s="418">
        <f t="shared" ref="BR149:BR154" si="227">R149+AV149</f>
        <v>8277</v>
      </c>
      <c r="BS149" s="419">
        <f t="shared" ref="BS149:BS154" si="228">S149+BH149</f>
        <v>4.2864000000000004</v>
      </c>
      <c r="BT149" s="419">
        <f t="shared" ref="BT149:BU154" si="229">T149+BF149</f>
        <v>3.8064</v>
      </c>
      <c r="BU149" s="421">
        <f t="shared" si="229"/>
        <v>0.48</v>
      </c>
      <c r="BV149" s="420"/>
      <c r="BW149" s="415"/>
      <c r="BX149" s="415"/>
      <c r="BY149" s="415"/>
      <c r="BZ149" s="415"/>
      <c r="CA149" s="510"/>
    </row>
    <row r="150" spans="1:79" s="221" customFormat="1" ht="12.75" customHeight="1" x14ac:dyDescent="0.2">
      <c r="A150" s="223">
        <v>31</v>
      </c>
      <c r="B150" s="224">
        <v>3422</v>
      </c>
      <c r="C150" s="224">
        <v>600078591</v>
      </c>
      <c r="D150" s="224">
        <v>72742682</v>
      </c>
      <c r="E150" s="225" t="s">
        <v>69</v>
      </c>
      <c r="F150" s="224">
        <v>3113</v>
      </c>
      <c r="G150" s="225" t="s">
        <v>293</v>
      </c>
      <c r="H150" s="226" t="s">
        <v>271</v>
      </c>
      <c r="I150" s="420">
        <v>8617233</v>
      </c>
      <c r="J150" s="415">
        <v>6319623</v>
      </c>
      <c r="K150" s="415">
        <v>5660733</v>
      </c>
      <c r="L150" s="415">
        <v>658890</v>
      </c>
      <c r="M150" s="415">
        <v>0</v>
      </c>
      <c r="N150" s="415">
        <v>0</v>
      </c>
      <c r="O150" s="415">
        <v>0</v>
      </c>
      <c r="P150" s="68">
        <v>2136033</v>
      </c>
      <c r="Q150" s="68">
        <v>63196</v>
      </c>
      <c r="R150" s="415">
        <v>98381</v>
      </c>
      <c r="S150" s="416">
        <v>10.976299999999998</v>
      </c>
      <c r="T150" s="417">
        <v>9.2007999999999992</v>
      </c>
      <c r="U150" s="423">
        <v>1.7755000000000001</v>
      </c>
      <c r="V150" s="424">
        <f t="shared" si="205"/>
        <v>0</v>
      </c>
      <c r="W150" s="418">
        <f t="shared" si="205"/>
        <v>0</v>
      </c>
      <c r="X150" s="418">
        <v>0</v>
      </c>
      <c r="Y150" s="418">
        <v>0</v>
      </c>
      <c r="Z150" s="418">
        <v>0</v>
      </c>
      <c r="AA150" s="418">
        <v>0</v>
      </c>
      <c r="AB150" s="418">
        <v>0</v>
      </c>
      <c r="AC150" s="418">
        <v>0</v>
      </c>
      <c r="AD150" s="418">
        <f t="shared" si="206"/>
        <v>0</v>
      </c>
      <c r="AE150" s="418">
        <f t="shared" si="207"/>
        <v>0</v>
      </c>
      <c r="AF150" s="418">
        <f t="shared" si="208"/>
        <v>0</v>
      </c>
      <c r="AG150" s="418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209"/>
        <v>0</v>
      </c>
      <c r="AM150" s="418">
        <f t="shared" si="210"/>
        <v>0</v>
      </c>
      <c r="AN150" s="418">
        <f t="shared" si="211"/>
        <v>0</v>
      </c>
      <c r="AO150" s="418">
        <f t="shared" si="212"/>
        <v>0</v>
      </c>
      <c r="AP150" s="418">
        <f t="shared" si="212"/>
        <v>0</v>
      </c>
      <c r="AQ150" s="418">
        <f t="shared" si="213"/>
        <v>0</v>
      </c>
      <c r="AR150" s="68">
        <f t="shared" si="214"/>
        <v>0</v>
      </c>
      <c r="AS150" s="68">
        <f t="shared" si="215"/>
        <v>0</v>
      </c>
      <c r="AT150" s="418">
        <v>0</v>
      </c>
      <c r="AU150" s="415">
        <v>0</v>
      </c>
      <c r="AV150" s="418">
        <f t="shared" si="216"/>
        <v>0</v>
      </c>
      <c r="AW150" s="418">
        <f t="shared" si="217"/>
        <v>0</v>
      </c>
      <c r="AX150" s="419">
        <v>0</v>
      </c>
      <c r="AY150" s="419">
        <v>0</v>
      </c>
      <c r="AZ150" s="419">
        <v>0</v>
      </c>
      <c r="BA150" s="419">
        <v>0</v>
      </c>
      <c r="BB150" s="416">
        <v>0</v>
      </c>
      <c r="BC150" s="939">
        <v>0</v>
      </c>
      <c r="BD150" s="419">
        <v>0</v>
      </c>
      <c r="BE150" s="419">
        <v>0</v>
      </c>
      <c r="BF150" s="419">
        <f t="shared" si="218"/>
        <v>0</v>
      </c>
      <c r="BG150" s="419">
        <f t="shared" si="219"/>
        <v>0</v>
      </c>
      <c r="BH150" s="421">
        <f t="shared" si="220"/>
        <v>0</v>
      </c>
      <c r="BI150" s="780">
        <f t="shared" si="221"/>
        <v>8617233</v>
      </c>
      <c r="BJ150" s="418">
        <f t="shared" si="222"/>
        <v>6319623</v>
      </c>
      <c r="BK150" s="418">
        <f t="shared" si="223"/>
        <v>5660733</v>
      </c>
      <c r="BL150" s="418">
        <f t="shared" si="223"/>
        <v>658890</v>
      </c>
      <c r="BM150" s="418">
        <f t="shared" si="224"/>
        <v>0</v>
      </c>
      <c r="BN150" s="418">
        <f t="shared" si="225"/>
        <v>0</v>
      </c>
      <c r="BO150" s="418">
        <f t="shared" si="225"/>
        <v>0</v>
      </c>
      <c r="BP150" s="418">
        <f t="shared" si="226"/>
        <v>2136033</v>
      </c>
      <c r="BQ150" s="418">
        <f t="shared" si="226"/>
        <v>63196</v>
      </c>
      <c r="BR150" s="418">
        <f t="shared" si="227"/>
        <v>98381</v>
      </c>
      <c r="BS150" s="419">
        <f t="shared" si="228"/>
        <v>10.976299999999998</v>
      </c>
      <c r="BT150" s="419">
        <f t="shared" si="229"/>
        <v>9.2007999999999992</v>
      </c>
      <c r="BU150" s="421">
        <f t="shared" si="229"/>
        <v>1.7755000000000001</v>
      </c>
      <c r="BV150" s="420"/>
      <c r="BW150" s="415"/>
      <c r="BX150" s="415"/>
      <c r="BY150" s="415"/>
      <c r="BZ150" s="415"/>
      <c r="CA150" s="510"/>
    </row>
    <row r="151" spans="1:79" s="221" customFormat="1" x14ac:dyDescent="0.2">
      <c r="A151" s="223">
        <v>31</v>
      </c>
      <c r="B151" s="224">
        <v>3422</v>
      </c>
      <c r="C151" s="224">
        <v>600078591</v>
      </c>
      <c r="D151" s="224">
        <v>72742682</v>
      </c>
      <c r="E151" s="225" t="s">
        <v>69</v>
      </c>
      <c r="F151" s="224">
        <v>3113</v>
      </c>
      <c r="G151" s="225" t="s">
        <v>291</v>
      </c>
      <c r="H151" s="226" t="s">
        <v>272</v>
      </c>
      <c r="I151" s="420">
        <v>888616</v>
      </c>
      <c r="J151" s="415">
        <v>659211</v>
      </c>
      <c r="K151" s="415">
        <v>659211</v>
      </c>
      <c r="L151" s="415">
        <v>0</v>
      </c>
      <c r="M151" s="415">
        <v>0</v>
      </c>
      <c r="N151" s="415">
        <v>0</v>
      </c>
      <c r="O151" s="415">
        <v>0</v>
      </c>
      <c r="P151" s="68">
        <v>222813</v>
      </c>
      <c r="Q151" s="68">
        <v>6592</v>
      </c>
      <c r="R151" s="415">
        <v>0</v>
      </c>
      <c r="S151" s="416">
        <v>1.78</v>
      </c>
      <c r="T151" s="417">
        <v>1.78</v>
      </c>
      <c r="U151" s="423">
        <v>0</v>
      </c>
      <c r="V151" s="424">
        <f t="shared" si="205"/>
        <v>0</v>
      </c>
      <c r="W151" s="418">
        <f t="shared" si="205"/>
        <v>0</v>
      </c>
      <c r="X151" s="418">
        <v>0</v>
      </c>
      <c r="Y151" s="418">
        <v>0</v>
      </c>
      <c r="Z151" s="418">
        <v>0</v>
      </c>
      <c r="AA151" s="418">
        <v>0</v>
      </c>
      <c r="AB151" s="418">
        <v>0</v>
      </c>
      <c r="AC151" s="418">
        <v>0</v>
      </c>
      <c r="AD151" s="418">
        <f t="shared" si="206"/>
        <v>0</v>
      </c>
      <c r="AE151" s="418">
        <f t="shared" si="207"/>
        <v>0</v>
      </c>
      <c r="AF151" s="418">
        <f t="shared" si="208"/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si="209"/>
        <v>0</v>
      </c>
      <c r="AM151" s="418">
        <f t="shared" si="210"/>
        <v>0</v>
      </c>
      <c r="AN151" s="418">
        <f t="shared" si="211"/>
        <v>0</v>
      </c>
      <c r="AO151" s="418">
        <f t="shared" si="212"/>
        <v>0</v>
      </c>
      <c r="AP151" s="418">
        <f t="shared" si="212"/>
        <v>0</v>
      </c>
      <c r="AQ151" s="418">
        <f t="shared" si="213"/>
        <v>0</v>
      </c>
      <c r="AR151" s="68">
        <f t="shared" si="214"/>
        <v>0</v>
      </c>
      <c r="AS151" s="68">
        <f t="shared" si="215"/>
        <v>0</v>
      </c>
      <c r="AT151" s="418">
        <v>0</v>
      </c>
      <c r="AU151" s="415"/>
      <c r="AV151" s="418">
        <f t="shared" si="216"/>
        <v>0</v>
      </c>
      <c r="AW151" s="418">
        <f t="shared" si="217"/>
        <v>0</v>
      </c>
      <c r="AX151" s="419">
        <v>0</v>
      </c>
      <c r="AY151" s="419">
        <v>0</v>
      </c>
      <c r="AZ151" s="419">
        <v>0</v>
      </c>
      <c r="BA151" s="419">
        <v>0</v>
      </c>
      <c r="BB151" s="416">
        <v>0</v>
      </c>
      <c r="BC151" s="939">
        <v>0</v>
      </c>
      <c r="BD151" s="419">
        <v>0</v>
      </c>
      <c r="BE151" s="419">
        <v>0</v>
      </c>
      <c r="BF151" s="419">
        <f t="shared" si="218"/>
        <v>0</v>
      </c>
      <c r="BG151" s="419">
        <f t="shared" si="219"/>
        <v>0</v>
      </c>
      <c r="BH151" s="421">
        <f t="shared" si="220"/>
        <v>0</v>
      </c>
      <c r="BI151" s="780">
        <f t="shared" si="221"/>
        <v>888616</v>
      </c>
      <c r="BJ151" s="418">
        <f t="shared" si="222"/>
        <v>659211</v>
      </c>
      <c r="BK151" s="418">
        <f t="shared" si="223"/>
        <v>659211</v>
      </c>
      <c r="BL151" s="418">
        <f t="shared" si="223"/>
        <v>0</v>
      </c>
      <c r="BM151" s="418">
        <f t="shared" si="224"/>
        <v>0</v>
      </c>
      <c r="BN151" s="418">
        <f t="shared" si="225"/>
        <v>0</v>
      </c>
      <c r="BO151" s="418">
        <f t="shared" si="225"/>
        <v>0</v>
      </c>
      <c r="BP151" s="418">
        <f t="shared" si="226"/>
        <v>222813</v>
      </c>
      <c r="BQ151" s="418">
        <f t="shared" si="226"/>
        <v>6592</v>
      </c>
      <c r="BR151" s="418">
        <f t="shared" si="227"/>
        <v>0</v>
      </c>
      <c r="BS151" s="419">
        <f t="shared" si="228"/>
        <v>1.78</v>
      </c>
      <c r="BT151" s="419">
        <f t="shared" si="229"/>
        <v>1.78</v>
      </c>
      <c r="BU151" s="421">
        <f t="shared" si="229"/>
        <v>0</v>
      </c>
      <c r="BV151" s="420"/>
      <c r="BW151" s="415"/>
      <c r="BX151" s="415"/>
      <c r="BY151" s="415"/>
      <c r="BZ151" s="415"/>
      <c r="CA151" s="510"/>
    </row>
    <row r="152" spans="1:79" s="221" customFormat="1" ht="12.75" customHeight="1" x14ac:dyDescent="0.2">
      <c r="A152" s="223">
        <v>31</v>
      </c>
      <c r="B152" s="224">
        <v>3422</v>
      </c>
      <c r="C152" s="224">
        <v>600078591</v>
      </c>
      <c r="D152" s="224">
        <v>72742682</v>
      </c>
      <c r="E152" s="225" t="s">
        <v>69</v>
      </c>
      <c r="F152" s="224">
        <v>3141</v>
      </c>
      <c r="G152" s="225" t="s">
        <v>294</v>
      </c>
      <c r="H152" s="226" t="s">
        <v>272</v>
      </c>
      <c r="I152" s="420">
        <v>794465</v>
      </c>
      <c r="J152" s="415">
        <v>586925</v>
      </c>
      <c r="K152" s="415">
        <v>0</v>
      </c>
      <c r="L152" s="415">
        <v>586925</v>
      </c>
      <c r="M152" s="415">
        <v>0</v>
      </c>
      <c r="N152" s="415">
        <v>0</v>
      </c>
      <c r="O152" s="415">
        <v>0</v>
      </c>
      <c r="P152" s="68">
        <v>198381</v>
      </c>
      <c r="Q152" s="68">
        <v>5869</v>
      </c>
      <c r="R152" s="415">
        <v>3290</v>
      </c>
      <c r="S152" s="416">
        <v>1.76</v>
      </c>
      <c r="T152" s="417">
        <v>0</v>
      </c>
      <c r="U152" s="423">
        <v>1.76</v>
      </c>
      <c r="V152" s="424">
        <f t="shared" si="205"/>
        <v>0</v>
      </c>
      <c r="W152" s="418">
        <f t="shared" si="205"/>
        <v>0</v>
      </c>
      <c r="X152" s="418">
        <v>0</v>
      </c>
      <c r="Y152" s="418">
        <v>0</v>
      </c>
      <c r="Z152" s="418">
        <v>0</v>
      </c>
      <c r="AA152" s="415">
        <v>294543</v>
      </c>
      <c r="AB152" s="418">
        <v>0</v>
      </c>
      <c r="AC152" s="418">
        <v>0</v>
      </c>
      <c r="AD152" s="418">
        <f t="shared" si="206"/>
        <v>0</v>
      </c>
      <c r="AE152" s="418">
        <f t="shared" si="207"/>
        <v>294543</v>
      </c>
      <c r="AF152" s="418">
        <f t="shared" si="208"/>
        <v>294543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 t="shared" si="209"/>
        <v>0</v>
      </c>
      <c r="AM152" s="418">
        <f t="shared" si="210"/>
        <v>0</v>
      </c>
      <c r="AN152" s="418">
        <f t="shared" si="211"/>
        <v>0</v>
      </c>
      <c r="AO152" s="418">
        <f t="shared" si="212"/>
        <v>0</v>
      </c>
      <c r="AP152" s="418">
        <f t="shared" si="212"/>
        <v>294543</v>
      </c>
      <c r="AQ152" s="418">
        <f t="shared" si="213"/>
        <v>294543</v>
      </c>
      <c r="AR152" s="68">
        <f t="shared" si="214"/>
        <v>99556</v>
      </c>
      <c r="AS152" s="68">
        <f t="shared" si="215"/>
        <v>2945</v>
      </c>
      <c r="AT152" s="418">
        <v>0</v>
      </c>
      <c r="AU152" s="415">
        <v>1598</v>
      </c>
      <c r="AV152" s="418">
        <f t="shared" si="216"/>
        <v>1598</v>
      </c>
      <c r="AW152" s="418">
        <f t="shared" si="217"/>
        <v>398642</v>
      </c>
      <c r="AX152" s="419">
        <v>0</v>
      </c>
      <c r="AY152" s="419">
        <v>0</v>
      </c>
      <c r="AZ152" s="419">
        <v>0</v>
      </c>
      <c r="BA152" s="419">
        <v>0</v>
      </c>
      <c r="BB152" s="416">
        <v>0.88</v>
      </c>
      <c r="BC152" s="939">
        <v>0</v>
      </c>
      <c r="BD152" s="419">
        <v>0</v>
      </c>
      <c r="BE152" s="419">
        <v>0</v>
      </c>
      <c r="BF152" s="419">
        <f t="shared" si="218"/>
        <v>0</v>
      </c>
      <c r="BG152" s="419">
        <f t="shared" si="219"/>
        <v>0.88</v>
      </c>
      <c r="BH152" s="421">
        <f t="shared" si="220"/>
        <v>0.88</v>
      </c>
      <c r="BI152" s="780">
        <f t="shared" si="221"/>
        <v>1193107</v>
      </c>
      <c r="BJ152" s="418">
        <f t="shared" si="222"/>
        <v>881468</v>
      </c>
      <c r="BK152" s="418">
        <f t="shared" si="223"/>
        <v>0</v>
      </c>
      <c r="BL152" s="418">
        <f t="shared" si="223"/>
        <v>881468</v>
      </c>
      <c r="BM152" s="418">
        <f t="shared" si="224"/>
        <v>0</v>
      </c>
      <c r="BN152" s="418">
        <f t="shared" si="225"/>
        <v>0</v>
      </c>
      <c r="BO152" s="418">
        <f t="shared" si="225"/>
        <v>0</v>
      </c>
      <c r="BP152" s="418">
        <f t="shared" si="226"/>
        <v>297937</v>
      </c>
      <c r="BQ152" s="418">
        <f t="shared" si="226"/>
        <v>8814</v>
      </c>
      <c r="BR152" s="418">
        <f t="shared" si="227"/>
        <v>4888</v>
      </c>
      <c r="BS152" s="419">
        <f t="shared" si="228"/>
        <v>2.64</v>
      </c>
      <c r="BT152" s="419">
        <f t="shared" si="229"/>
        <v>0</v>
      </c>
      <c r="BU152" s="421">
        <f t="shared" si="229"/>
        <v>2.64</v>
      </c>
      <c r="BV152" s="420"/>
      <c r="BW152" s="415"/>
      <c r="BX152" s="415"/>
      <c r="BY152" s="415"/>
      <c r="BZ152" s="415"/>
      <c r="CA152" s="510"/>
    </row>
    <row r="153" spans="1:79" s="221" customFormat="1" ht="12.75" customHeight="1" x14ac:dyDescent="0.2">
      <c r="A153" s="223">
        <v>31</v>
      </c>
      <c r="B153" s="224">
        <v>3422</v>
      </c>
      <c r="C153" s="224">
        <v>600078591</v>
      </c>
      <c r="D153" s="224">
        <v>72742682</v>
      </c>
      <c r="E153" s="225" t="s">
        <v>69</v>
      </c>
      <c r="F153" s="224">
        <v>3143</v>
      </c>
      <c r="G153" s="225" t="s">
        <v>595</v>
      </c>
      <c r="H153" s="226" t="s">
        <v>271</v>
      </c>
      <c r="I153" s="420">
        <v>393071</v>
      </c>
      <c r="J153" s="415">
        <v>291596</v>
      </c>
      <c r="K153" s="415">
        <v>291596</v>
      </c>
      <c r="L153" s="415">
        <v>0</v>
      </c>
      <c r="M153" s="415">
        <v>0</v>
      </c>
      <c r="N153" s="415">
        <v>0</v>
      </c>
      <c r="O153" s="415">
        <v>0</v>
      </c>
      <c r="P153" s="68">
        <v>98559</v>
      </c>
      <c r="Q153" s="68">
        <v>2916</v>
      </c>
      <c r="R153" s="415">
        <v>0</v>
      </c>
      <c r="S153" s="416">
        <v>0.53569999999999995</v>
      </c>
      <c r="T153" s="417">
        <v>0.53569999999999995</v>
      </c>
      <c r="U153" s="423">
        <v>0</v>
      </c>
      <c r="V153" s="424">
        <f t="shared" si="205"/>
        <v>0</v>
      </c>
      <c r="W153" s="418">
        <f t="shared" si="205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 t="shared" si="206"/>
        <v>0</v>
      </c>
      <c r="AE153" s="418">
        <f t="shared" si="207"/>
        <v>0</v>
      </c>
      <c r="AF153" s="418">
        <f t="shared" si="208"/>
        <v>0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209"/>
        <v>0</v>
      </c>
      <c r="AM153" s="418">
        <f t="shared" si="210"/>
        <v>0</v>
      </c>
      <c r="AN153" s="418">
        <f t="shared" si="211"/>
        <v>0</v>
      </c>
      <c r="AO153" s="418">
        <f t="shared" si="212"/>
        <v>0</v>
      </c>
      <c r="AP153" s="418">
        <f t="shared" si="212"/>
        <v>0</v>
      </c>
      <c r="AQ153" s="418">
        <f t="shared" si="213"/>
        <v>0</v>
      </c>
      <c r="AR153" s="68">
        <f t="shared" si="214"/>
        <v>0</v>
      </c>
      <c r="AS153" s="68">
        <f t="shared" si="215"/>
        <v>0</v>
      </c>
      <c r="AT153" s="418">
        <v>0</v>
      </c>
      <c r="AU153" s="415">
        <v>0</v>
      </c>
      <c r="AV153" s="418">
        <f t="shared" si="216"/>
        <v>0</v>
      </c>
      <c r="AW153" s="418">
        <f t="shared" si="217"/>
        <v>0</v>
      </c>
      <c r="AX153" s="419">
        <v>0</v>
      </c>
      <c r="AY153" s="419">
        <v>0</v>
      </c>
      <c r="AZ153" s="419">
        <v>0</v>
      </c>
      <c r="BA153" s="419">
        <v>0</v>
      </c>
      <c r="BB153" s="416">
        <v>0</v>
      </c>
      <c r="BC153" s="939">
        <v>0</v>
      </c>
      <c r="BD153" s="419">
        <v>0</v>
      </c>
      <c r="BE153" s="419">
        <v>0</v>
      </c>
      <c r="BF153" s="419">
        <f t="shared" si="218"/>
        <v>0</v>
      </c>
      <c r="BG153" s="419">
        <f t="shared" si="219"/>
        <v>0</v>
      </c>
      <c r="BH153" s="421">
        <f t="shared" si="220"/>
        <v>0</v>
      </c>
      <c r="BI153" s="780">
        <f t="shared" si="221"/>
        <v>393071</v>
      </c>
      <c r="BJ153" s="418">
        <f t="shared" si="222"/>
        <v>291596</v>
      </c>
      <c r="BK153" s="418">
        <f t="shared" si="223"/>
        <v>291596</v>
      </c>
      <c r="BL153" s="418">
        <f t="shared" si="223"/>
        <v>0</v>
      </c>
      <c r="BM153" s="418">
        <f t="shared" si="224"/>
        <v>0</v>
      </c>
      <c r="BN153" s="418">
        <f t="shared" si="225"/>
        <v>0</v>
      </c>
      <c r="BO153" s="418">
        <f t="shared" si="225"/>
        <v>0</v>
      </c>
      <c r="BP153" s="418">
        <f t="shared" si="226"/>
        <v>98559</v>
      </c>
      <c r="BQ153" s="418">
        <f t="shared" si="226"/>
        <v>2916</v>
      </c>
      <c r="BR153" s="418">
        <f t="shared" si="227"/>
        <v>0</v>
      </c>
      <c r="BS153" s="419">
        <f t="shared" si="228"/>
        <v>0.53569999999999995</v>
      </c>
      <c r="BT153" s="419">
        <f t="shared" si="229"/>
        <v>0.53569999999999995</v>
      </c>
      <c r="BU153" s="421">
        <f t="shared" si="229"/>
        <v>0</v>
      </c>
      <c r="BV153" s="420"/>
      <c r="BW153" s="415"/>
      <c r="BX153" s="415"/>
      <c r="BY153" s="415"/>
      <c r="BZ153" s="415"/>
      <c r="CA153" s="510"/>
    </row>
    <row r="154" spans="1:79" s="221" customFormat="1" ht="12.75" customHeight="1" x14ac:dyDescent="0.2">
      <c r="A154" s="223">
        <v>31</v>
      </c>
      <c r="B154" s="224">
        <v>3422</v>
      </c>
      <c r="C154" s="224">
        <v>600078591</v>
      </c>
      <c r="D154" s="224">
        <v>72742682</v>
      </c>
      <c r="E154" s="225" t="s">
        <v>69</v>
      </c>
      <c r="F154" s="224">
        <v>3143</v>
      </c>
      <c r="G154" s="225" t="s">
        <v>596</v>
      </c>
      <c r="H154" s="226" t="s">
        <v>272</v>
      </c>
      <c r="I154" s="420">
        <v>15380</v>
      </c>
      <c r="J154" s="415">
        <v>11009</v>
      </c>
      <c r="K154" s="415">
        <v>0</v>
      </c>
      <c r="L154" s="415">
        <v>11009</v>
      </c>
      <c r="M154" s="415">
        <v>0</v>
      </c>
      <c r="N154" s="415">
        <v>0</v>
      </c>
      <c r="O154" s="415">
        <v>0</v>
      </c>
      <c r="P154" s="68">
        <v>3721</v>
      </c>
      <c r="Q154" s="68">
        <v>110</v>
      </c>
      <c r="R154" s="415">
        <v>540</v>
      </c>
      <c r="S154" s="416">
        <v>0.04</v>
      </c>
      <c r="T154" s="417">
        <v>0</v>
      </c>
      <c r="U154" s="423">
        <v>0.04</v>
      </c>
      <c r="V154" s="424">
        <f t="shared" si="205"/>
        <v>0</v>
      </c>
      <c r="W154" s="418">
        <f t="shared" si="205"/>
        <v>0</v>
      </c>
      <c r="X154" s="418">
        <v>0</v>
      </c>
      <c r="Y154" s="418">
        <v>0</v>
      </c>
      <c r="Z154" s="418">
        <v>0</v>
      </c>
      <c r="AA154" s="605">
        <v>5491</v>
      </c>
      <c r="AB154" s="418">
        <v>0</v>
      </c>
      <c r="AC154" s="418">
        <v>0</v>
      </c>
      <c r="AD154" s="418">
        <f t="shared" si="206"/>
        <v>0</v>
      </c>
      <c r="AE154" s="418">
        <f t="shared" si="207"/>
        <v>5491</v>
      </c>
      <c r="AF154" s="418">
        <f t="shared" si="208"/>
        <v>5491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209"/>
        <v>0</v>
      </c>
      <c r="AM154" s="418">
        <f t="shared" si="210"/>
        <v>0</v>
      </c>
      <c r="AN154" s="418">
        <f t="shared" si="211"/>
        <v>0</v>
      </c>
      <c r="AO154" s="418">
        <f t="shared" si="212"/>
        <v>0</v>
      </c>
      <c r="AP154" s="418">
        <f t="shared" si="212"/>
        <v>5491</v>
      </c>
      <c r="AQ154" s="418">
        <f t="shared" si="213"/>
        <v>5491</v>
      </c>
      <c r="AR154" s="68">
        <f t="shared" si="214"/>
        <v>1856</v>
      </c>
      <c r="AS154" s="68">
        <f t="shared" si="215"/>
        <v>55</v>
      </c>
      <c r="AT154" s="418">
        <v>0</v>
      </c>
      <c r="AU154" s="606">
        <v>270</v>
      </c>
      <c r="AV154" s="418">
        <f t="shared" si="216"/>
        <v>270</v>
      </c>
      <c r="AW154" s="418">
        <f t="shared" si="217"/>
        <v>7672</v>
      </c>
      <c r="AX154" s="419">
        <v>0</v>
      </c>
      <c r="AY154" s="419">
        <v>0</v>
      </c>
      <c r="AZ154" s="419">
        <v>0</v>
      </c>
      <c r="BA154" s="419">
        <v>0</v>
      </c>
      <c r="BB154" s="607">
        <v>0.02</v>
      </c>
      <c r="BC154" s="939">
        <v>0</v>
      </c>
      <c r="BD154" s="419">
        <v>0</v>
      </c>
      <c r="BE154" s="419">
        <v>0</v>
      </c>
      <c r="BF154" s="419">
        <f t="shared" si="218"/>
        <v>0</v>
      </c>
      <c r="BG154" s="419">
        <f t="shared" si="219"/>
        <v>0.02</v>
      </c>
      <c r="BH154" s="421">
        <f t="shared" si="220"/>
        <v>0.02</v>
      </c>
      <c r="BI154" s="780">
        <f t="shared" si="221"/>
        <v>23052</v>
      </c>
      <c r="BJ154" s="418">
        <f t="shared" si="222"/>
        <v>16500</v>
      </c>
      <c r="BK154" s="418">
        <f t="shared" si="223"/>
        <v>0</v>
      </c>
      <c r="BL154" s="418">
        <f t="shared" si="223"/>
        <v>16500</v>
      </c>
      <c r="BM154" s="418">
        <f t="shared" si="224"/>
        <v>0</v>
      </c>
      <c r="BN154" s="418">
        <f t="shared" si="225"/>
        <v>0</v>
      </c>
      <c r="BO154" s="418">
        <f t="shared" si="225"/>
        <v>0</v>
      </c>
      <c r="BP154" s="418">
        <f t="shared" si="226"/>
        <v>5577</v>
      </c>
      <c r="BQ154" s="418">
        <f t="shared" si="226"/>
        <v>165</v>
      </c>
      <c r="BR154" s="418">
        <f t="shared" si="227"/>
        <v>810</v>
      </c>
      <c r="BS154" s="419">
        <f t="shared" si="228"/>
        <v>0.06</v>
      </c>
      <c r="BT154" s="419">
        <f t="shared" si="229"/>
        <v>0</v>
      </c>
      <c r="BU154" s="421">
        <f t="shared" si="229"/>
        <v>0.06</v>
      </c>
      <c r="BV154" s="420"/>
      <c r="BW154" s="415"/>
      <c r="BX154" s="415"/>
      <c r="BY154" s="415"/>
      <c r="BZ154" s="415"/>
      <c r="CA154" s="510"/>
    </row>
    <row r="155" spans="1:79" s="221" customFormat="1" ht="12.75" customHeight="1" x14ac:dyDescent="0.2">
      <c r="A155" s="153">
        <v>31</v>
      </c>
      <c r="B155" s="14">
        <v>3422</v>
      </c>
      <c r="C155" s="152">
        <v>600078591</v>
      </c>
      <c r="D155" s="152">
        <v>72742682</v>
      </c>
      <c r="E155" s="222" t="s">
        <v>70</v>
      </c>
      <c r="F155" s="14"/>
      <c r="G155" s="222"/>
      <c r="H155" s="560"/>
      <c r="I155" s="505">
        <v>13452392</v>
      </c>
      <c r="J155" s="504">
        <v>9897555</v>
      </c>
      <c r="K155" s="504">
        <v>8520923</v>
      </c>
      <c r="L155" s="504">
        <v>1376632</v>
      </c>
      <c r="M155" s="504">
        <v>0</v>
      </c>
      <c r="N155" s="504">
        <v>0</v>
      </c>
      <c r="O155" s="504">
        <v>0</v>
      </c>
      <c r="P155" s="504">
        <v>3345374</v>
      </c>
      <c r="Q155" s="504">
        <v>98975</v>
      </c>
      <c r="R155" s="504">
        <v>110488</v>
      </c>
      <c r="S155" s="544">
        <v>19.378399999999999</v>
      </c>
      <c r="T155" s="544">
        <v>15.322899999999999</v>
      </c>
      <c r="U155" s="401">
        <v>4.0555000000000003</v>
      </c>
      <c r="V155" s="505">
        <f t="shared" ref="V155:CA155" si="230">SUM(V149:V154)</f>
        <v>0</v>
      </c>
      <c r="W155" s="504">
        <f t="shared" si="230"/>
        <v>0</v>
      </c>
      <c r="X155" s="504">
        <f t="shared" si="230"/>
        <v>0</v>
      </c>
      <c r="Y155" s="504">
        <f t="shared" si="230"/>
        <v>0</v>
      </c>
      <c r="Z155" s="504">
        <f t="shared" si="230"/>
        <v>0</v>
      </c>
      <c r="AA155" s="575">
        <f t="shared" si="230"/>
        <v>300034</v>
      </c>
      <c r="AB155" s="504">
        <f t="shared" si="230"/>
        <v>0</v>
      </c>
      <c r="AC155" s="504">
        <f t="shared" si="230"/>
        <v>0</v>
      </c>
      <c r="AD155" s="504">
        <f t="shared" si="230"/>
        <v>0</v>
      </c>
      <c r="AE155" s="504">
        <f t="shared" si="230"/>
        <v>300034</v>
      </c>
      <c r="AF155" s="504">
        <f t="shared" si="230"/>
        <v>300034</v>
      </c>
      <c r="AG155" s="504">
        <f t="shared" si="230"/>
        <v>0</v>
      </c>
      <c r="AH155" s="504">
        <f t="shared" si="230"/>
        <v>0</v>
      </c>
      <c r="AI155" s="504">
        <f t="shared" si="230"/>
        <v>0</v>
      </c>
      <c r="AJ155" s="504">
        <f t="shared" si="230"/>
        <v>0</v>
      </c>
      <c r="AK155" s="504">
        <f t="shared" si="230"/>
        <v>0</v>
      </c>
      <c r="AL155" s="504">
        <f t="shared" si="230"/>
        <v>0</v>
      </c>
      <c r="AM155" s="504">
        <f t="shared" si="230"/>
        <v>0</v>
      </c>
      <c r="AN155" s="504">
        <f t="shared" si="230"/>
        <v>0</v>
      </c>
      <c r="AO155" s="504">
        <f t="shared" si="230"/>
        <v>0</v>
      </c>
      <c r="AP155" s="504">
        <f t="shared" si="230"/>
        <v>300034</v>
      </c>
      <c r="AQ155" s="504">
        <f t="shared" si="230"/>
        <v>300034</v>
      </c>
      <c r="AR155" s="504">
        <f t="shared" si="230"/>
        <v>101412</v>
      </c>
      <c r="AS155" s="504">
        <f t="shared" si="230"/>
        <v>3000</v>
      </c>
      <c r="AT155" s="504">
        <f t="shared" si="230"/>
        <v>0</v>
      </c>
      <c r="AU155" s="504">
        <f t="shared" si="230"/>
        <v>1868</v>
      </c>
      <c r="AV155" s="504">
        <f t="shared" si="230"/>
        <v>1868</v>
      </c>
      <c r="AW155" s="504">
        <f t="shared" si="230"/>
        <v>406314</v>
      </c>
      <c r="AX155" s="544">
        <f t="shared" si="230"/>
        <v>0</v>
      </c>
      <c r="AY155" s="544">
        <f t="shared" si="230"/>
        <v>0</v>
      </c>
      <c r="AZ155" s="544">
        <f t="shared" si="230"/>
        <v>0</v>
      </c>
      <c r="BA155" s="544">
        <f t="shared" si="230"/>
        <v>0</v>
      </c>
      <c r="BB155" s="544">
        <f t="shared" si="230"/>
        <v>0.9</v>
      </c>
      <c r="BC155" s="938">
        <f t="shared" si="230"/>
        <v>0</v>
      </c>
      <c r="BD155" s="544">
        <f t="shared" si="230"/>
        <v>0</v>
      </c>
      <c r="BE155" s="544">
        <f t="shared" si="230"/>
        <v>0</v>
      </c>
      <c r="BF155" s="544">
        <f t="shared" si="230"/>
        <v>0</v>
      </c>
      <c r="BG155" s="544">
        <f t="shared" si="230"/>
        <v>0.9</v>
      </c>
      <c r="BH155" s="442">
        <f t="shared" si="230"/>
        <v>0.9</v>
      </c>
      <c r="BI155" s="806">
        <f t="shared" si="230"/>
        <v>13858706</v>
      </c>
      <c r="BJ155" s="504">
        <f t="shared" si="230"/>
        <v>10197589</v>
      </c>
      <c r="BK155" s="504">
        <f t="shared" si="230"/>
        <v>8520923</v>
      </c>
      <c r="BL155" s="504">
        <f t="shared" si="230"/>
        <v>1676666</v>
      </c>
      <c r="BM155" s="504">
        <f t="shared" si="230"/>
        <v>0</v>
      </c>
      <c r="BN155" s="504">
        <f t="shared" si="230"/>
        <v>0</v>
      </c>
      <c r="BO155" s="504">
        <f t="shared" si="230"/>
        <v>0</v>
      </c>
      <c r="BP155" s="504">
        <f t="shared" si="230"/>
        <v>3446786</v>
      </c>
      <c r="BQ155" s="504">
        <f t="shared" si="230"/>
        <v>101975</v>
      </c>
      <c r="BR155" s="504">
        <f t="shared" si="230"/>
        <v>112356</v>
      </c>
      <c r="BS155" s="544">
        <f t="shared" si="230"/>
        <v>20.278399999999998</v>
      </c>
      <c r="BT155" s="544">
        <f t="shared" si="230"/>
        <v>15.322899999999999</v>
      </c>
      <c r="BU155" s="442">
        <f t="shared" si="230"/>
        <v>4.9554999999999998</v>
      </c>
      <c r="BV155" s="824">
        <f t="shared" si="230"/>
        <v>0</v>
      </c>
      <c r="BW155" s="710">
        <f t="shared" si="230"/>
        <v>0</v>
      </c>
      <c r="BX155" s="710">
        <f t="shared" si="230"/>
        <v>0</v>
      </c>
      <c r="BY155" s="710">
        <f t="shared" si="230"/>
        <v>0</v>
      </c>
      <c r="BZ155" s="710">
        <f t="shared" si="230"/>
        <v>0</v>
      </c>
      <c r="CA155" s="825">
        <f t="shared" si="230"/>
        <v>0</v>
      </c>
    </row>
    <row r="156" spans="1:79" s="221" customFormat="1" ht="12.75" customHeight="1" x14ac:dyDescent="0.2">
      <c r="A156" s="223">
        <v>32</v>
      </c>
      <c r="B156" s="224">
        <v>3426</v>
      </c>
      <c r="C156" s="224">
        <v>600078019</v>
      </c>
      <c r="D156" s="224">
        <v>72742470</v>
      </c>
      <c r="E156" s="225" t="s">
        <v>71</v>
      </c>
      <c r="F156" s="224">
        <v>3111</v>
      </c>
      <c r="G156" s="225" t="s">
        <v>290</v>
      </c>
      <c r="H156" s="226" t="s">
        <v>271</v>
      </c>
      <c r="I156" s="420">
        <v>5047801</v>
      </c>
      <c r="J156" s="415">
        <v>3703196</v>
      </c>
      <c r="K156" s="415">
        <v>3400527</v>
      </c>
      <c r="L156" s="415">
        <v>302669</v>
      </c>
      <c r="M156" s="415">
        <v>30000</v>
      </c>
      <c r="N156" s="415">
        <v>0</v>
      </c>
      <c r="O156" s="415">
        <v>30000</v>
      </c>
      <c r="P156" s="68">
        <v>1261820</v>
      </c>
      <c r="Q156" s="68">
        <v>37032</v>
      </c>
      <c r="R156" s="415">
        <v>15753</v>
      </c>
      <c r="S156" s="416">
        <v>7</v>
      </c>
      <c r="T156" s="417">
        <v>6</v>
      </c>
      <c r="U156" s="423">
        <v>1</v>
      </c>
      <c r="V156" s="424">
        <f t="shared" ref="V156:W158" si="231">AG156*-1</f>
        <v>0</v>
      </c>
      <c r="W156" s="418">
        <f t="shared" si="231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0</v>
      </c>
      <c r="AF156" s="418">
        <f>SUM(AD156:AE156)</f>
        <v>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>AG156+AI156+AJ156</f>
        <v>0</v>
      </c>
      <c r="AM156" s="418">
        <f>AH156+AK156</f>
        <v>0</v>
      </c>
      <c r="AN156" s="418">
        <f>SUM(AL156:AM156)</f>
        <v>0</v>
      </c>
      <c r="AO156" s="418">
        <f t="shared" ref="AO156:AP158" si="232">AD156+AL156</f>
        <v>0</v>
      </c>
      <c r="AP156" s="418">
        <f t="shared" si="232"/>
        <v>0</v>
      </c>
      <c r="AQ156" s="418">
        <f>SUM(AO156:AP156)</f>
        <v>0</v>
      </c>
      <c r="AR156" s="68">
        <f>ROUND((AF156+AG156+AH156+AI156)*33.8%,0)</f>
        <v>0</v>
      </c>
      <c r="AS156" s="68">
        <f>ROUND(AF156*1%,0)</f>
        <v>0</v>
      </c>
      <c r="AT156" s="418">
        <v>0</v>
      </c>
      <c r="AU156" s="415">
        <v>0</v>
      </c>
      <c r="AV156" s="418">
        <f>AT156+AU156</f>
        <v>0</v>
      </c>
      <c r="AW156" s="418">
        <f>AQ156+AR156+AS156+AV156</f>
        <v>0</v>
      </c>
      <c r="AX156" s="419">
        <v>0</v>
      </c>
      <c r="AY156" s="419">
        <v>0</v>
      </c>
      <c r="AZ156" s="419">
        <v>0</v>
      </c>
      <c r="BA156" s="419">
        <v>0</v>
      </c>
      <c r="BB156" s="416">
        <v>0</v>
      </c>
      <c r="BC156" s="939">
        <v>0</v>
      </c>
      <c r="BD156" s="419">
        <v>0</v>
      </c>
      <c r="BE156" s="419">
        <v>0</v>
      </c>
      <c r="BF156" s="419">
        <f>AX156+AZ156+BA156+BC156+BD156</f>
        <v>0</v>
      </c>
      <c r="BG156" s="419">
        <f>AY156+BB156+BE156</f>
        <v>0</v>
      </c>
      <c r="BH156" s="421">
        <f>SUM(BF156:BG156)</f>
        <v>0</v>
      </c>
      <c r="BI156" s="780">
        <f>I156+AW156</f>
        <v>5047801</v>
      </c>
      <c r="BJ156" s="418">
        <f>J156+AF156</f>
        <v>3703196</v>
      </c>
      <c r="BK156" s="418">
        <f t="shared" ref="BK156:BL158" si="233">K156+AD156</f>
        <v>3400527</v>
      </c>
      <c r="BL156" s="418">
        <f t="shared" si="233"/>
        <v>302669</v>
      </c>
      <c r="BM156" s="418">
        <f>M156+AN156</f>
        <v>30000</v>
      </c>
      <c r="BN156" s="418">
        <f t="shared" ref="BN156:BO158" si="234">N156+AL156</f>
        <v>0</v>
      </c>
      <c r="BO156" s="418">
        <f t="shared" si="234"/>
        <v>30000</v>
      </c>
      <c r="BP156" s="418">
        <f t="shared" ref="BP156:BQ158" si="235">P156+AR156</f>
        <v>1261820</v>
      </c>
      <c r="BQ156" s="418">
        <f t="shared" si="235"/>
        <v>37032</v>
      </c>
      <c r="BR156" s="418">
        <f>R156+AV156</f>
        <v>15753</v>
      </c>
      <c r="BS156" s="419">
        <f>S156+BH156</f>
        <v>7</v>
      </c>
      <c r="BT156" s="419">
        <f t="shared" ref="BT156:BU158" si="236">T156+BF156</f>
        <v>6</v>
      </c>
      <c r="BU156" s="421">
        <f t="shared" si="236"/>
        <v>1</v>
      </c>
      <c r="BV156" s="420"/>
      <c r="BW156" s="415"/>
      <c r="BX156" s="415"/>
      <c r="BY156" s="415"/>
      <c r="BZ156" s="415"/>
      <c r="CA156" s="510"/>
    </row>
    <row r="157" spans="1:79" s="221" customFormat="1" x14ac:dyDescent="0.2">
      <c r="A157" s="223">
        <v>32</v>
      </c>
      <c r="B157" s="224">
        <v>3426</v>
      </c>
      <c r="C157" s="224">
        <v>600078019</v>
      </c>
      <c r="D157" s="224">
        <v>72742470</v>
      </c>
      <c r="E157" s="225" t="s">
        <v>71</v>
      </c>
      <c r="F157" s="224">
        <v>3111</v>
      </c>
      <c r="G157" s="225" t="s">
        <v>291</v>
      </c>
      <c r="H157" s="226" t="s">
        <v>272</v>
      </c>
      <c r="I157" s="420">
        <v>864307</v>
      </c>
      <c r="J157" s="415">
        <v>641177</v>
      </c>
      <c r="K157" s="415">
        <v>641177</v>
      </c>
      <c r="L157" s="415">
        <v>0</v>
      </c>
      <c r="M157" s="415">
        <v>0</v>
      </c>
      <c r="N157" s="415">
        <v>0</v>
      </c>
      <c r="O157" s="415">
        <v>0</v>
      </c>
      <c r="P157" s="68">
        <v>216718</v>
      </c>
      <c r="Q157" s="68">
        <v>6412</v>
      </c>
      <c r="R157" s="415">
        <v>0</v>
      </c>
      <c r="S157" s="416">
        <v>1.73</v>
      </c>
      <c r="T157" s="417">
        <v>1.73</v>
      </c>
      <c r="U157" s="423">
        <v>0</v>
      </c>
      <c r="V157" s="424">
        <f t="shared" si="231"/>
        <v>0</v>
      </c>
      <c r="W157" s="418">
        <f t="shared" si="231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418">
        <f>SUM(AD157:AE157)</f>
        <v>0</v>
      </c>
      <c r="AG157" s="418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si="232"/>
        <v>0</v>
      </c>
      <c r="AP157" s="418">
        <f t="shared" si="232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5"/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6">
        <v>0</v>
      </c>
      <c r="BC157" s="93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421">
        <f>SUM(BF157:BG157)</f>
        <v>0</v>
      </c>
      <c r="BI157" s="780">
        <f>I157+AW157</f>
        <v>864307</v>
      </c>
      <c r="BJ157" s="418">
        <f>J157+AF157</f>
        <v>641177</v>
      </c>
      <c r="BK157" s="418">
        <f t="shared" si="233"/>
        <v>641177</v>
      </c>
      <c r="BL157" s="418">
        <f t="shared" si="233"/>
        <v>0</v>
      </c>
      <c r="BM157" s="418">
        <f>M157+AN157</f>
        <v>0</v>
      </c>
      <c r="BN157" s="418">
        <f t="shared" si="234"/>
        <v>0</v>
      </c>
      <c r="BO157" s="418">
        <f t="shared" si="234"/>
        <v>0</v>
      </c>
      <c r="BP157" s="418">
        <f t="shared" si="235"/>
        <v>216718</v>
      </c>
      <c r="BQ157" s="418">
        <f t="shared" si="235"/>
        <v>6412</v>
      </c>
      <c r="BR157" s="418">
        <f>R157+AV157</f>
        <v>0</v>
      </c>
      <c r="BS157" s="419">
        <f>S157+BH157</f>
        <v>1.73</v>
      </c>
      <c r="BT157" s="419">
        <f t="shared" si="236"/>
        <v>1.73</v>
      </c>
      <c r="BU157" s="421">
        <f t="shared" si="236"/>
        <v>0</v>
      </c>
      <c r="BV157" s="420"/>
      <c r="BW157" s="415"/>
      <c r="BX157" s="415"/>
      <c r="BY157" s="415"/>
      <c r="BZ157" s="415"/>
      <c r="CA157" s="510"/>
    </row>
    <row r="158" spans="1:79" s="221" customFormat="1" ht="12.75" customHeight="1" x14ac:dyDescent="0.2">
      <c r="A158" s="223">
        <v>32</v>
      </c>
      <c r="B158" s="224">
        <v>3426</v>
      </c>
      <c r="C158" s="224">
        <v>600078019</v>
      </c>
      <c r="D158" s="224">
        <v>72742470</v>
      </c>
      <c r="E158" s="225" t="s">
        <v>71</v>
      </c>
      <c r="F158" s="224">
        <v>3141</v>
      </c>
      <c r="G158" s="225" t="s">
        <v>294</v>
      </c>
      <c r="H158" s="226" t="s">
        <v>272</v>
      </c>
      <c r="I158" s="420">
        <v>1380217</v>
      </c>
      <c r="J158" s="415">
        <v>1018214</v>
      </c>
      <c r="K158" s="415">
        <v>0</v>
      </c>
      <c r="L158" s="415">
        <v>1018214</v>
      </c>
      <c r="M158" s="415">
        <v>0</v>
      </c>
      <c r="N158" s="415">
        <v>0</v>
      </c>
      <c r="O158" s="415">
        <v>0</v>
      </c>
      <c r="P158" s="68">
        <v>344156</v>
      </c>
      <c r="Q158" s="68">
        <v>10182</v>
      </c>
      <c r="R158" s="415">
        <v>7665</v>
      </c>
      <c r="S158" s="416">
        <v>3.05</v>
      </c>
      <c r="T158" s="417">
        <v>0</v>
      </c>
      <c r="U158" s="423">
        <v>3.05</v>
      </c>
      <c r="V158" s="424">
        <f t="shared" si="231"/>
        <v>0</v>
      </c>
      <c r="W158" s="418">
        <f t="shared" si="231"/>
        <v>0</v>
      </c>
      <c r="X158" s="418">
        <v>0</v>
      </c>
      <c r="Y158" s="418">
        <v>0</v>
      </c>
      <c r="Z158" s="418">
        <v>0</v>
      </c>
      <c r="AA158" s="605">
        <v>509865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509865</v>
      </c>
      <c r="AF158" s="418">
        <f>SUM(AD158:AE158)</f>
        <v>509865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232"/>
        <v>0</v>
      </c>
      <c r="AP158" s="418">
        <f t="shared" si="232"/>
        <v>509865</v>
      </c>
      <c r="AQ158" s="418">
        <f>SUM(AO158:AP158)</f>
        <v>509865</v>
      </c>
      <c r="AR158" s="68">
        <f>ROUND((AF158+AG158+AH158+AI158)*33.8%,0)</f>
        <v>172334</v>
      </c>
      <c r="AS158" s="68">
        <f>ROUND(AF158*1%,0)</f>
        <v>5099</v>
      </c>
      <c r="AT158" s="418">
        <v>0</v>
      </c>
      <c r="AU158" s="605">
        <v>3723</v>
      </c>
      <c r="AV158" s="418">
        <f>AT158+AU158</f>
        <v>3723</v>
      </c>
      <c r="AW158" s="418">
        <f>AQ158+AR158+AS158+AV158</f>
        <v>691021</v>
      </c>
      <c r="AX158" s="419">
        <v>0</v>
      </c>
      <c r="AY158" s="419">
        <v>0</v>
      </c>
      <c r="AZ158" s="419">
        <v>0</v>
      </c>
      <c r="BA158" s="419">
        <v>0</v>
      </c>
      <c r="BB158" s="607">
        <v>1.53</v>
      </c>
      <c r="BC158" s="93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1.53</v>
      </c>
      <c r="BH158" s="421">
        <f>SUM(BF158:BG158)</f>
        <v>1.53</v>
      </c>
      <c r="BI158" s="780">
        <f>I158+AW158</f>
        <v>2071238</v>
      </c>
      <c r="BJ158" s="418">
        <f>J158+AF158</f>
        <v>1528079</v>
      </c>
      <c r="BK158" s="418">
        <f t="shared" si="233"/>
        <v>0</v>
      </c>
      <c r="BL158" s="418">
        <f t="shared" si="233"/>
        <v>1528079</v>
      </c>
      <c r="BM158" s="418">
        <f>M158+AN158</f>
        <v>0</v>
      </c>
      <c r="BN158" s="418">
        <f t="shared" si="234"/>
        <v>0</v>
      </c>
      <c r="BO158" s="418">
        <f t="shared" si="234"/>
        <v>0</v>
      </c>
      <c r="BP158" s="418">
        <f t="shared" si="235"/>
        <v>516490</v>
      </c>
      <c r="BQ158" s="418">
        <f t="shared" si="235"/>
        <v>15281</v>
      </c>
      <c r="BR158" s="418">
        <f>R158+AV158</f>
        <v>11388</v>
      </c>
      <c r="BS158" s="419">
        <f>S158+BH158</f>
        <v>4.58</v>
      </c>
      <c r="BT158" s="419">
        <f t="shared" si="236"/>
        <v>0</v>
      </c>
      <c r="BU158" s="421">
        <f t="shared" si="236"/>
        <v>4.58</v>
      </c>
      <c r="BV158" s="420"/>
      <c r="BW158" s="415"/>
      <c r="BX158" s="415"/>
      <c r="BY158" s="415"/>
      <c r="BZ158" s="415"/>
      <c r="CA158" s="510"/>
    </row>
    <row r="159" spans="1:79" s="221" customFormat="1" ht="12.75" customHeight="1" x14ac:dyDescent="0.2">
      <c r="A159" s="153">
        <v>32</v>
      </c>
      <c r="B159" s="14">
        <v>3426</v>
      </c>
      <c r="C159" s="152">
        <v>600078019</v>
      </c>
      <c r="D159" s="152">
        <v>72742470</v>
      </c>
      <c r="E159" s="222" t="s">
        <v>72</v>
      </c>
      <c r="F159" s="14"/>
      <c r="G159" s="222"/>
      <c r="H159" s="560"/>
      <c r="I159" s="505">
        <v>7292325</v>
      </c>
      <c r="J159" s="504">
        <v>5362587</v>
      </c>
      <c r="K159" s="504">
        <v>4041704</v>
      </c>
      <c r="L159" s="504">
        <v>1320883</v>
      </c>
      <c r="M159" s="504">
        <v>30000</v>
      </c>
      <c r="N159" s="504">
        <v>0</v>
      </c>
      <c r="O159" s="504">
        <v>30000</v>
      </c>
      <c r="P159" s="504">
        <v>1822694</v>
      </c>
      <c r="Q159" s="504">
        <v>53626</v>
      </c>
      <c r="R159" s="504">
        <v>23418</v>
      </c>
      <c r="S159" s="544">
        <v>11.780000000000001</v>
      </c>
      <c r="T159" s="544">
        <v>7.73</v>
      </c>
      <c r="U159" s="401">
        <v>4.05</v>
      </c>
      <c r="V159" s="505">
        <f t="shared" ref="V159:CA159" si="237">SUM(V156:V158)</f>
        <v>0</v>
      </c>
      <c r="W159" s="504">
        <f t="shared" si="237"/>
        <v>0</v>
      </c>
      <c r="X159" s="504">
        <f t="shared" si="237"/>
        <v>0</v>
      </c>
      <c r="Y159" s="504">
        <f t="shared" si="237"/>
        <v>0</v>
      </c>
      <c r="Z159" s="504">
        <f t="shared" si="237"/>
        <v>0</v>
      </c>
      <c r="AA159" s="575">
        <f t="shared" si="237"/>
        <v>509865</v>
      </c>
      <c r="AB159" s="504">
        <f t="shared" si="237"/>
        <v>0</v>
      </c>
      <c r="AC159" s="504">
        <f t="shared" si="237"/>
        <v>0</v>
      </c>
      <c r="AD159" s="504">
        <f t="shared" si="237"/>
        <v>0</v>
      </c>
      <c r="AE159" s="504">
        <f t="shared" si="237"/>
        <v>509865</v>
      </c>
      <c r="AF159" s="504">
        <f t="shared" si="237"/>
        <v>509865</v>
      </c>
      <c r="AG159" s="504">
        <f t="shared" si="237"/>
        <v>0</v>
      </c>
      <c r="AH159" s="504">
        <f t="shared" si="237"/>
        <v>0</v>
      </c>
      <c r="AI159" s="504">
        <f t="shared" si="237"/>
        <v>0</v>
      </c>
      <c r="AJ159" s="504">
        <f t="shared" si="237"/>
        <v>0</v>
      </c>
      <c r="AK159" s="504">
        <f t="shared" si="237"/>
        <v>0</v>
      </c>
      <c r="AL159" s="504">
        <f t="shared" si="237"/>
        <v>0</v>
      </c>
      <c r="AM159" s="504">
        <f t="shared" si="237"/>
        <v>0</v>
      </c>
      <c r="AN159" s="504">
        <f t="shared" si="237"/>
        <v>0</v>
      </c>
      <c r="AO159" s="504">
        <f t="shared" si="237"/>
        <v>0</v>
      </c>
      <c r="AP159" s="504">
        <f t="shared" si="237"/>
        <v>509865</v>
      </c>
      <c r="AQ159" s="504">
        <f t="shared" si="237"/>
        <v>509865</v>
      </c>
      <c r="AR159" s="504">
        <f t="shared" si="237"/>
        <v>172334</v>
      </c>
      <c r="AS159" s="504">
        <f t="shared" si="237"/>
        <v>5099</v>
      </c>
      <c r="AT159" s="504">
        <f t="shared" si="237"/>
        <v>0</v>
      </c>
      <c r="AU159" s="504">
        <f t="shared" si="237"/>
        <v>3723</v>
      </c>
      <c r="AV159" s="504">
        <f t="shared" si="237"/>
        <v>3723</v>
      </c>
      <c r="AW159" s="504">
        <f t="shared" si="237"/>
        <v>691021</v>
      </c>
      <c r="AX159" s="544">
        <f t="shared" si="237"/>
        <v>0</v>
      </c>
      <c r="AY159" s="544">
        <f t="shared" si="237"/>
        <v>0</v>
      </c>
      <c r="AZ159" s="544">
        <f t="shared" si="237"/>
        <v>0</v>
      </c>
      <c r="BA159" s="544">
        <f t="shared" si="237"/>
        <v>0</v>
      </c>
      <c r="BB159" s="544">
        <f t="shared" si="237"/>
        <v>1.53</v>
      </c>
      <c r="BC159" s="938">
        <f t="shared" si="237"/>
        <v>0</v>
      </c>
      <c r="BD159" s="544">
        <f t="shared" si="237"/>
        <v>0</v>
      </c>
      <c r="BE159" s="544">
        <f t="shared" si="237"/>
        <v>0</v>
      </c>
      <c r="BF159" s="544">
        <f t="shared" si="237"/>
        <v>0</v>
      </c>
      <c r="BG159" s="544">
        <f t="shared" si="237"/>
        <v>1.53</v>
      </c>
      <c r="BH159" s="442">
        <f t="shared" si="237"/>
        <v>1.53</v>
      </c>
      <c r="BI159" s="806">
        <f t="shared" si="237"/>
        <v>7983346</v>
      </c>
      <c r="BJ159" s="504">
        <f t="shared" si="237"/>
        <v>5872452</v>
      </c>
      <c r="BK159" s="504">
        <f t="shared" si="237"/>
        <v>4041704</v>
      </c>
      <c r="BL159" s="504">
        <f t="shared" si="237"/>
        <v>1830748</v>
      </c>
      <c r="BM159" s="504">
        <f t="shared" si="237"/>
        <v>30000</v>
      </c>
      <c r="BN159" s="504">
        <f t="shared" si="237"/>
        <v>0</v>
      </c>
      <c r="BO159" s="504">
        <f t="shared" si="237"/>
        <v>30000</v>
      </c>
      <c r="BP159" s="504">
        <f t="shared" si="237"/>
        <v>1995028</v>
      </c>
      <c r="BQ159" s="504">
        <f t="shared" si="237"/>
        <v>58725</v>
      </c>
      <c r="BR159" s="504">
        <f t="shared" si="237"/>
        <v>27141</v>
      </c>
      <c r="BS159" s="544">
        <f t="shared" si="237"/>
        <v>13.31</v>
      </c>
      <c r="BT159" s="544">
        <f t="shared" si="237"/>
        <v>7.73</v>
      </c>
      <c r="BU159" s="442">
        <f t="shared" si="237"/>
        <v>5.58</v>
      </c>
      <c r="BV159" s="824">
        <f t="shared" si="237"/>
        <v>0</v>
      </c>
      <c r="BW159" s="710">
        <f t="shared" si="237"/>
        <v>0</v>
      </c>
      <c r="BX159" s="710">
        <f t="shared" si="237"/>
        <v>0</v>
      </c>
      <c r="BY159" s="710">
        <f t="shared" si="237"/>
        <v>0</v>
      </c>
      <c r="BZ159" s="710">
        <f t="shared" si="237"/>
        <v>0</v>
      </c>
      <c r="CA159" s="825">
        <f t="shared" si="237"/>
        <v>0</v>
      </c>
    </row>
    <row r="160" spans="1:79" s="221" customFormat="1" ht="12.75" customHeight="1" x14ac:dyDescent="0.2">
      <c r="A160" s="223">
        <v>33</v>
      </c>
      <c r="B160" s="224">
        <v>3425</v>
      </c>
      <c r="C160" s="224">
        <v>600078451</v>
      </c>
      <c r="D160" s="224">
        <v>72742551</v>
      </c>
      <c r="E160" s="225" t="s">
        <v>73</v>
      </c>
      <c r="F160" s="224">
        <v>3113</v>
      </c>
      <c r="G160" s="225" t="s">
        <v>293</v>
      </c>
      <c r="H160" s="226" t="s">
        <v>271</v>
      </c>
      <c r="I160" s="420">
        <v>13439305</v>
      </c>
      <c r="J160" s="415">
        <v>9815700</v>
      </c>
      <c r="K160" s="415">
        <v>8950522</v>
      </c>
      <c r="L160" s="415">
        <v>865178</v>
      </c>
      <c r="M160" s="415">
        <v>19200</v>
      </c>
      <c r="N160" s="415">
        <v>19200</v>
      </c>
      <c r="O160" s="415">
        <v>0</v>
      </c>
      <c r="P160" s="68">
        <v>3324196</v>
      </c>
      <c r="Q160" s="68">
        <v>98157</v>
      </c>
      <c r="R160" s="415">
        <v>182052</v>
      </c>
      <c r="S160" s="416">
        <v>15.210199999999999</v>
      </c>
      <c r="T160" s="417">
        <v>12.7372</v>
      </c>
      <c r="U160" s="423">
        <v>2.4729999999999999</v>
      </c>
      <c r="V160" s="424">
        <f t="shared" ref="V160:W163" si="238">AG160*-1</f>
        <v>0</v>
      </c>
      <c r="W160" s="418">
        <f t="shared" si="238"/>
        <v>0</v>
      </c>
      <c r="X160" s="418">
        <v>0</v>
      </c>
      <c r="Y160" s="418">
        <v>0</v>
      </c>
      <c r="Z160" s="418">
        <v>0</v>
      </c>
      <c r="AA160" s="418">
        <v>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0</v>
      </c>
      <c r="AF160" s="418">
        <f>SUM(AD160:AE160)</f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ref="AO160:AP163" si="239">AD160+AL160</f>
        <v>0</v>
      </c>
      <c r="AP160" s="418">
        <f t="shared" si="239"/>
        <v>0</v>
      </c>
      <c r="AQ160" s="418">
        <f>SUM(AO160:AP160)</f>
        <v>0</v>
      </c>
      <c r="AR160" s="68">
        <f>ROUND((AF160+AG160+AH160+AI160)*33.8%,0)</f>
        <v>0</v>
      </c>
      <c r="AS160" s="68">
        <f>ROUND(AF160*1%,0)</f>
        <v>0</v>
      </c>
      <c r="AT160" s="418">
        <v>0</v>
      </c>
      <c r="AU160" s="415">
        <v>0</v>
      </c>
      <c r="AV160" s="418">
        <f>AT160+AU160</f>
        <v>0</v>
      </c>
      <c r="AW160" s="418">
        <f>AQ160+AR160+AS160+AV160</f>
        <v>0</v>
      </c>
      <c r="AX160" s="419">
        <v>0</v>
      </c>
      <c r="AY160" s="419">
        <v>0</v>
      </c>
      <c r="AZ160" s="419">
        <v>0</v>
      </c>
      <c r="BA160" s="419">
        <v>0</v>
      </c>
      <c r="BB160" s="416">
        <v>0</v>
      </c>
      <c r="BC160" s="93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</v>
      </c>
      <c r="BH160" s="421">
        <f>SUM(BF160:BG160)</f>
        <v>0</v>
      </c>
      <c r="BI160" s="780">
        <f>I160+AW160</f>
        <v>13439305</v>
      </c>
      <c r="BJ160" s="418">
        <f>J160+AF160</f>
        <v>9815700</v>
      </c>
      <c r="BK160" s="418">
        <f t="shared" ref="BK160:BL163" si="240">K160+AD160</f>
        <v>8950522</v>
      </c>
      <c r="BL160" s="418">
        <f t="shared" si="240"/>
        <v>865178</v>
      </c>
      <c r="BM160" s="418">
        <f>M160+AN160</f>
        <v>19200</v>
      </c>
      <c r="BN160" s="418">
        <f t="shared" ref="BN160:BO163" si="241">N160+AL160</f>
        <v>19200</v>
      </c>
      <c r="BO160" s="418">
        <f t="shared" si="241"/>
        <v>0</v>
      </c>
      <c r="BP160" s="418">
        <f t="shared" ref="BP160:BQ163" si="242">P160+AR160</f>
        <v>3324196</v>
      </c>
      <c r="BQ160" s="418">
        <f t="shared" si="242"/>
        <v>98157</v>
      </c>
      <c r="BR160" s="418">
        <f>R160+AV160</f>
        <v>182052</v>
      </c>
      <c r="BS160" s="419">
        <f>S160+BH160</f>
        <v>15.210199999999999</v>
      </c>
      <c r="BT160" s="419">
        <f t="shared" ref="BT160:BU163" si="243">T160+BF160</f>
        <v>12.7372</v>
      </c>
      <c r="BU160" s="421">
        <f t="shared" si="243"/>
        <v>2.4729999999999999</v>
      </c>
      <c r="BV160" s="420"/>
      <c r="BW160" s="415"/>
      <c r="BX160" s="415"/>
      <c r="BY160" s="415"/>
      <c r="BZ160" s="415"/>
      <c r="CA160" s="510"/>
    </row>
    <row r="161" spans="1:79" s="221" customFormat="1" x14ac:dyDescent="0.2">
      <c r="A161" s="223">
        <v>33</v>
      </c>
      <c r="B161" s="224">
        <v>3425</v>
      </c>
      <c r="C161" s="224">
        <v>600078451</v>
      </c>
      <c r="D161" s="224">
        <v>72742551</v>
      </c>
      <c r="E161" s="225" t="s">
        <v>73</v>
      </c>
      <c r="F161" s="224">
        <v>3113</v>
      </c>
      <c r="G161" s="225" t="s">
        <v>291</v>
      </c>
      <c r="H161" s="226" t="s">
        <v>272</v>
      </c>
      <c r="I161" s="420">
        <v>1738494</v>
      </c>
      <c r="J161" s="415">
        <v>1289684</v>
      </c>
      <c r="K161" s="415">
        <v>1289684</v>
      </c>
      <c r="L161" s="415">
        <v>0</v>
      </c>
      <c r="M161" s="415">
        <v>0</v>
      </c>
      <c r="N161" s="415">
        <v>0</v>
      </c>
      <c r="O161" s="415">
        <v>0</v>
      </c>
      <c r="P161" s="68">
        <v>435913</v>
      </c>
      <c r="Q161" s="68">
        <v>12897</v>
      </c>
      <c r="R161" s="415">
        <v>0</v>
      </c>
      <c r="S161" s="416">
        <v>3.43</v>
      </c>
      <c r="T161" s="417">
        <v>3.43</v>
      </c>
      <c r="U161" s="423">
        <v>0</v>
      </c>
      <c r="V161" s="424">
        <f t="shared" si="238"/>
        <v>0</v>
      </c>
      <c r="W161" s="418">
        <f t="shared" si="238"/>
        <v>0</v>
      </c>
      <c r="X161" s="418">
        <v>0</v>
      </c>
      <c r="Y161" s="418">
        <v>0</v>
      </c>
      <c r="Z161" s="418">
        <v>0</v>
      </c>
      <c r="AA161" s="418">
        <v>0</v>
      </c>
      <c r="AB161" s="418">
        <v>0</v>
      </c>
      <c r="AC161" s="418">
        <v>0</v>
      </c>
      <c r="AD161" s="418">
        <f>V161+X161+Y161+Z161+AB161</f>
        <v>0</v>
      </c>
      <c r="AE161" s="418">
        <f>W161+AA161+AC161</f>
        <v>0</v>
      </c>
      <c r="AF161" s="418">
        <f>SUM(AD161:AE161)</f>
        <v>0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>AG161+AI161+AJ161</f>
        <v>0</v>
      </c>
      <c r="AM161" s="418">
        <f>AH161+AK161</f>
        <v>0</v>
      </c>
      <c r="AN161" s="418">
        <f>SUM(AL161:AM161)</f>
        <v>0</v>
      </c>
      <c r="AO161" s="418">
        <f t="shared" si="239"/>
        <v>0</v>
      </c>
      <c r="AP161" s="418">
        <f t="shared" si="239"/>
        <v>0</v>
      </c>
      <c r="AQ161" s="418">
        <f>SUM(AO161:AP161)</f>
        <v>0</v>
      </c>
      <c r="AR161" s="68">
        <f>ROUND((AF161+AG161+AH161+AI161)*33.8%,0)</f>
        <v>0</v>
      </c>
      <c r="AS161" s="68">
        <f>ROUND(AF161*1%,0)</f>
        <v>0</v>
      </c>
      <c r="AT161" s="418">
        <v>0</v>
      </c>
      <c r="AU161" s="415"/>
      <c r="AV161" s="418">
        <f>AT161+AU161</f>
        <v>0</v>
      </c>
      <c r="AW161" s="418">
        <f>AQ161+AR161+AS161+AV161</f>
        <v>0</v>
      </c>
      <c r="AX161" s="419">
        <v>0</v>
      </c>
      <c r="AY161" s="419">
        <v>0</v>
      </c>
      <c r="AZ161" s="419">
        <v>0</v>
      </c>
      <c r="BA161" s="419">
        <v>0</v>
      </c>
      <c r="BB161" s="416">
        <v>0</v>
      </c>
      <c r="BC161" s="939">
        <v>0</v>
      </c>
      <c r="BD161" s="419">
        <v>0</v>
      </c>
      <c r="BE161" s="419">
        <v>0</v>
      </c>
      <c r="BF161" s="419">
        <f>AX161+AZ161+BA161+BC161+BD161</f>
        <v>0</v>
      </c>
      <c r="BG161" s="419">
        <f>AY161+BB161+BE161</f>
        <v>0</v>
      </c>
      <c r="BH161" s="421">
        <f>SUM(BF161:BG161)</f>
        <v>0</v>
      </c>
      <c r="BI161" s="780">
        <f>I161+AW161</f>
        <v>1738494</v>
      </c>
      <c r="BJ161" s="418">
        <f>J161+AF161</f>
        <v>1289684</v>
      </c>
      <c r="BK161" s="418">
        <f t="shared" si="240"/>
        <v>1289684</v>
      </c>
      <c r="BL161" s="418">
        <f t="shared" si="240"/>
        <v>0</v>
      </c>
      <c r="BM161" s="418">
        <f>M161+AN161</f>
        <v>0</v>
      </c>
      <c r="BN161" s="418">
        <f t="shared" si="241"/>
        <v>0</v>
      </c>
      <c r="BO161" s="418">
        <f t="shared" si="241"/>
        <v>0</v>
      </c>
      <c r="BP161" s="418">
        <f t="shared" si="242"/>
        <v>435913</v>
      </c>
      <c r="BQ161" s="418">
        <f t="shared" si="242"/>
        <v>12897</v>
      </c>
      <c r="BR161" s="418">
        <f>R161+AV161</f>
        <v>0</v>
      </c>
      <c r="BS161" s="419">
        <f>S161+BH161</f>
        <v>3.43</v>
      </c>
      <c r="BT161" s="419">
        <f t="shared" si="243"/>
        <v>3.43</v>
      </c>
      <c r="BU161" s="421">
        <f t="shared" si="243"/>
        <v>0</v>
      </c>
      <c r="BV161" s="420"/>
      <c r="BW161" s="415"/>
      <c r="BX161" s="415"/>
      <c r="BY161" s="415"/>
      <c r="BZ161" s="415"/>
      <c r="CA161" s="510"/>
    </row>
    <row r="162" spans="1:79" s="221" customFormat="1" ht="12.75" customHeight="1" x14ac:dyDescent="0.2">
      <c r="A162" s="223">
        <v>33</v>
      </c>
      <c r="B162" s="224">
        <v>3425</v>
      </c>
      <c r="C162" s="224">
        <v>600078451</v>
      </c>
      <c r="D162" s="224">
        <v>72742551</v>
      </c>
      <c r="E162" s="225" t="s">
        <v>73</v>
      </c>
      <c r="F162" s="224">
        <v>3143</v>
      </c>
      <c r="G162" s="225" t="s">
        <v>595</v>
      </c>
      <c r="H162" s="226" t="s">
        <v>271</v>
      </c>
      <c r="I162" s="420">
        <v>1439193</v>
      </c>
      <c r="J162" s="415">
        <v>1067650</v>
      </c>
      <c r="K162" s="415">
        <v>1067650</v>
      </c>
      <c r="L162" s="415">
        <v>0</v>
      </c>
      <c r="M162" s="415">
        <v>0</v>
      </c>
      <c r="N162" s="415">
        <v>0</v>
      </c>
      <c r="O162" s="415">
        <v>0</v>
      </c>
      <c r="P162" s="68">
        <v>360866</v>
      </c>
      <c r="Q162" s="68">
        <v>10677</v>
      </c>
      <c r="R162" s="415">
        <v>0</v>
      </c>
      <c r="S162" s="416">
        <v>2</v>
      </c>
      <c r="T162" s="417">
        <v>2</v>
      </c>
      <c r="U162" s="423">
        <v>0</v>
      </c>
      <c r="V162" s="424">
        <f t="shared" si="238"/>
        <v>0</v>
      </c>
      <c r="W162" s="418">
        <f t="shared" si="238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418">
        <f>SUM(AD162:AE162)</f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>AG162+AI162+AJ162</f>
        <v>0</v>
      </c>
      <c r="AM162" s="418">
        <f>AH162+AK162</f>
        <v>0</v>
      </c>
      <c r="AN162" s="418">
        <f>SUM(AL162:AM162)</f>
        <v>0</v>
      </c>
      <c r="AO162" s="418">
        <f t="shared" si="239"/>
        <v>0</v>
      </c>
      <c r="AP162" s="418">
        <f t="shared" si="239"/>
        <v>0</v>
      </c>
      <c r="AQ162" s="418">
        <f>SUM(AO162:AP162)</f>
        <v>0</v>
      </c>
      <c r="AR162" s="68">
        <f>ROUND((AF162+AG162+AH162+AI162)*33.8%,0)</f>
        <v>0</v>
      </c>
      <c r="AS162" s="68">
        <f>ROUND(AF162*1%,0)</f>
        <v>0</v>
      </c>
      <c r="AT162" s="418">
        <v>0</v>
      </c>
      <c r="AU162" s="415">
        <v>0</v>
      </c>
      <c r="AV162" s="418">
        <f>AT162+AU162</f>
        <v>0</v>
      </c>
      <c r="AW162" s="418">
        <f>AQ162+AR162+AS162+AV162</f>
        <v>0</v>
      </c>
      <c r="AX162" s="419">
        <v>0</v>
      </c>
      <c r="AY162" s="419">
        <v>0</v>
      </c>
      <c r="AZ162" s="419">
        <v>0</v>
      </c>
      <c r="BA162" s="419">
        <v>0</v>
      </c>
      <c r="BB162" s="416">
        <v>0</v>
      </c>
      <c r="BC162" s="939">
        <v>0</v>
      </c>
      <c r="BD162" s="419">
        <v>0</v>
      </c>
      <c r="BE162" s="419">
        <v>0</v>
      </c>
      <c r="BF162" s="419">
        <f>AX162+AZ162+BA162+BC162+BD162</f>
        <v>0</v>
      </c>
      <c r="BG162" s="419">
        <f>AY162+BB162+BE162</f>
        <v>0</v>
      </c>
      <c r="BH162" s="421">
        <f>SUM(BF162:BG162)</f>
        <v>0</v>
      </c>
      <c r="BI162" s="780">
        <f>I162+AW162</f>
        <v>1439193</v>
      </c>
      <c r="BJ162" s="418">
        <f>J162+AF162</f>
        <v>1067650</v>
      </c>
      <c r="BK162" s="418">
        <f t="shared" si="240"/>
        <v>1067650</v>
      </c>
      <c r="BL162" s="418">
        <f t="shared" si="240"/>
        <v>0</v>
      </c>
      <c r="BM162" s="418">
        <f>M162+AN162</f>
        <v>0</v>
      </c>
      <c r="BN162" s="418">
        <f t="shared" si="241"/>
        <v>0</v>
      </c>
      <c r="BO162" s="418">
        <f t="shared" si="241"/>
        <v>0</v>
      </c>
      <c r="BP162" s="418">
        <f t="shared" si="242"/>
        <v>360866</v>
      </c>
      <c r="BQ162" s="418">
        <f t="shared" si="242"/>
        <v>10677</v>
      </c>
      <c r="BR162" s="418">
        <f>R162+AV162</f>
        <v>0</v>
      </c>
      <c r="BS162" s="419">
        <f>S162+BH162</f>
        <v>2</v>
      </c>
      <c r="BT162" s="419">
        <f t="shared" si="243"/>
        <v>2</v>
      </c>
      <c r="BU162" s="421">
        <f t="shared" si="243"/>
        <v>0</v>
      </c>
      <c r="BV162" s="420"/>
      <c r="BW162" s="415"/>
      <c r="BX162" s="415"/>
      <c r="BY162" s="415"/>
      <c r="BZ162" s="415"/>
      <c r="CA162" s="510"/>
    </row>
    <row r="163" spans="1:79" s="221" customFormat="1" ht="12.75" customHeight="1" x14ac:dyDescent="0.2">
      <c r="A163" s="223">
        <v>33</v>
      </c>
      <c r="B163" s="224">
        <v>3425</v>
      </c>
      <c r="C163" s="224">
        <v>600078451</v>
      </c>
      <c r="D163" s="224">
        <v>72742551</v>
      </c>
      <c r="E163" s="225" t="s">
        <v>73</v>
      </c>
      <c r="F163" s="224">
        <v>3143</v>
      </c>
      <c r="G163" s="225" t="s">
        <v>596</v>
      </c>
      <c r="H163" s="226" t="s">
        <v>272</v>
      </c>
      <c r="I163" s="420">
        <v>27145</v>
      </c>
      <c r="J163" s="415">
        <v>19430</v>
      </c>
      <c r="K163" s="415">
        <v>0</v>
      </c>
      <c r="L163" s="415">
        <v>19430</v>
      </c>
      <c r="M163" s="415">
        <v>0</v>
      </c>
      <c r="N163" s="415">
        <v>0</v>
      </c>
      <c r="O163" s="415">
        <v>0</v>
      </c>
      <c r="P163" s="68">
        <v>6567</v>
      </c>
      <c r="Q163" s="68">
        <v>194</v>
      </c>
      <c r="R163" s="415">
        <v>954</v>
      </c>
      <c r="S163" s="416">
        <v>7.0000000000000007E-2</v>
      </c>
      <c r="T163" s="417">
        <v>0</v>
      </c>
      <c r="U163" s="423">
        <v>7.0000000000000007E-2</v>
      </c>
      <c r="V163" s="424">
        <f t="shared" si="238"/>
        <v>0</v>
      </c>
      <c r="W163" s="418">
        <f t="shared" si="238"/>
        <v>0</v>
      </c>
      <c r="X163" s="418">
        <v>0</v>
      </c>
      <c r="Y163" s="418">
        <v>0</v>
      </c>
      <c r="Z163" s="418">
        <v>0</v>
      </c>
      <c r="AA163" s="418">
        <v>9720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9720</v>
      </c>
      <c r="AF163" s="418">
        <f>SUM(AD163:AE163)</f>
        <v>9720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si="239"/>
        <v>0</v>
      </c>
      <c r="AP163" s="418">
        <f t="shared" si="239"/>
        <v>9720</v>
      </c>
      <c r="AQ163" s="418">
        <f>SUM(AO163:AP163)</f>
        <v>9720</v>
      </c>
      <c r="AR163" s="68">
        <f>ROUND((AF163+AG163+AH163+AI163)*33.8%,0)</f>
        <v>3285</v>
      </c>
      <c r="AS163" s="68">
        <f>ROUND(AF163*1%,0)</f>
        <v>97</v>
      </c>
      <c r="AT163" s="418">
        <v>0</v>
      </c>
      <c r="AU163" s="415">
        <v>477</v>
      </c>
      <c r="AV163" s="418">
        <f>AT163+AU163</f>
        <v>477</v>
      </c>
      <c r="AW163" s="418">
        <f>AQ163+AR163+AS163+AV163</f>
        <v>13579</v>
      </c>
      <c r="AX163" s="419">
        <v>0</v>
      </c>
      <c r="AY163" s="419">
        <v>0</v>
      </c>
      <c r="AZ163" s="419">
        <v>0</v>
      </c>
      <c r="BA163" s="419">
        <v>0</v>
      </c>
      <c r="BB163" s="416">
        <v>0.04</v>
      </c>
      <c r="BC163" s="93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0.04</v>
      </c>
      <c r="BH163" s="421">
        <f>SUM(BF163:BG163)</f>
        <v>0.04</v>
      </c>
      <c r="BI163" s="780">
        <f>I163+AW163</f>
        <v>40724</v>
      </c>
      <c r="BJ163" s="418">
        <f>J163+AF163</f>
        <v>29150</v>
      </c>
      <c r="BK163" s="418">
        <f t="shared" si="240"/>
        <v>0</v>
      </c>
      <c r="BL163" s="418">
        <f t="shared" si="240"/>
        <v>29150</v>
      </c>
      <c r="BM163" s="418">
        <f>M163+AN163</f>
        <v>0</v>
      </c>
      <c r="BN163" s="418">
        <f t="shared" si="241"/>
        <v>0</v>
      </c>
      <c r="BO163" s="418">
        <f t="shared" si="241"/>
        <v>0</v>
      </c>
      <c r="BP163" s="418">
        <f t="shared" si="242"/>
        <v>9852</v>
      </c>
      <c r="BQ163" s="418">
        <f t="shared" si="242"/>
        <v>291</v>
      </c>
      <c r="BR163" s="418">
        <f>R163+AV163</f>
        <v>1431</v>
      </c>
      <c r="BS163" s="419">
        <f>S163+BH163</f>
        <v>0.11000000000000001</v>
      </c>
      <c r="BT163" s="419">
        <f t="shared" si="243"/>
        <v>0</v>
      </c>
      <c r="BU163" s="421">
        <f t="shared" si="243"/>
        <v>0.11000000000000001</v>
      </c>
      <c r="BV163" s="420"/>
      <c r="BW163" s="415"/>
      <c r="BX163" s="415"/>
      <c r="BY163" s="415"/>
      <c r="BZ163" s="415"/>
      <c r="CA163" s="510"/>
    </row>
    <row r="164" spans="1:79" s="221" customFormat="1" ht="12.75" customHeight="1" x14ac:dyDescent="0.2">
      <c r="A164" s="153">
        <v>33</v>
      </c>
      <c r="B164" s="14">
        <v>3425</v>
      </c>
      <c r="C164" s="152">
        <v>600078451</v>
      </c>
      <c r="D164" s="152">
        <v>72742551</v>
      </c>
      <c r="E164" s="222" t="s">
        <v>74</v>
      </c>
      <c r="F164" s="14"/>
      <c r="G164" s="222"/>
      <c r="H164" s="560"/>
      <c r="I164" s="505">
        <v>16644137</v>
      </c>
      <c r="J164" s="504">
        <v>12192464</v>
      </c>
      <c r="K164" s="504">
        <v>11307856</v>
      </c>
      <c r="L164" s="504">
        <v>884608</v>
      </c>
      <c r="M164" s="504">
        <v>19200</v>
      </c>
      <c r="N164" s="504">
        <v>19200</v>
      </c>
      <c r="O164" s="504">
        <v>0</v>
      </c>
      <c r="P164" s="504">
        <v>4127542</v>
      </c>
      <c r="Q164" s="504">
        <v>121925</v>
      </c>
      <c r="R164" s="504">
        <v>183006</v>
      </c>
      <c r="S164" s="544">
        <v>20.7102</v>
      </c>
      <c r="T164" s="544">
        <v>18.167200000000001</v>
      </c>
      <c r="U164" s="401">
        <v>2.5429999999999997</v>
      </c>
      <c r="V164" s="505">
        <f t="shared" ref="V164:CA164" si="244">SUM(V160:V163)</f>
        <v>0</v>
      </c>
      <c r="W164" s="504">
        <f t="shared" si="244"/>
        <v>0</v>
      </c>
      <c r="X164" s="504">
        <f t="shared" si="244"/>
        <v>0</v>
      </c>
      <c r="Y164" s="504">
        <f t="shared" si="244"/>
        <v>0</v>
      </c>
      <c r="Z164" s="504">
        <f t="shared" si="244"/>
        <v>0</v>
      </c>
      <c r="AA164" s="575">
        <f t="shared" si="244"/>
        <v>9720</v>
      </c>
      <c r="AB164" s="504">
        <f t="shared" si="244"/>
        <v>0</v>
      </c>
      <c r="AC164" s="504">
        <f t="shared" si="244"/>
        <v>0</v>
      </c>
      <c r="AD164" s="504">
        <f t="shared" si="244"/>
        <v>0</v>
      </c>
      <c r="AE164" s="504">
        <f t="shared" si="244"/>
        <v>9720</v>
      </c>
      <c r="AF164" s="504">
        <f t="shared" si="244"/>
        <v>9720</v>
      </c>
      <c r="AG164" s="504">
        <f t="shared" si="244"/>
        <v>0</v>
      </c>
      <c r="AH164" s="504">
        <f t="shared" si="244"/>
        <v>0</v>
      </c>
      <c r="AI164" s="504">
        <f t="shared" si="244"/>
        <v>0</v>
      </c>
      <c r="AJ164" s="504">
        <f t="shared" si="244"/>
        <v>0</v>
      </c>
      <c r="AK164" s="504">
        <f t="shared" si="244"/>
        <v>0</v>
      </c>
      <c r="AL164" s="504">
        <f t="shared" si="244"/>
        <v>0</v>
      </c>
      <c r="AM164" s="504">
        <f t="shared" si="244"/>
        <v>0</v>
      </c>
      <c r="AN164" s="504">
        <f t="shared" si="244"/>
        <v>0</v>
      </c>
      <c r="AO164" s="504">
        <f t="shared" si="244"/>
        <v>0</v>
      </c>
      <c r="AP164" s="504">
        <f t="shared" si="244"/>
        <v>9720</v>
      </c>
      <c r="AQ164" s="504">
        <f t="shared" si="244"/>
        <v>9720</v>
      </c>
      <c r="AR164" s="504">
        <f t="shared" si="244"/>
        <v>3285</v>
      </c>
      <c r="AS164" s="504">
        <f t="shared" si="244"/>
        <v>97</v>
      </c>
      <c r="AT164" s="504">
        <f t="shared" si="244"/>
        <v>0</v>
      </c>
      <c r="AU164" s="504">
        <f t="shared" si="244"/>
        <v>477</v>
      </c>
      <c r="AV164" s="504">
        <f t="shared" si="244"/>
        <v>477</v>
      </c>
      <c r="AW164" s="504">
        <f t="shared" si="244"/>
        <v>13579</v>
      </c>
      <c r="AX164" s="544">
        <f t="shared" si="244"/>
        <v>0</v>
      </c>
      <c r="AY164" s="544">
        <f t="shared" si="244"/>
        <v>0</v>
      </c>
      <c r="AZ164" s="544">
        <f t="shared" si="244"/>
        <v>0</v>
      </c>
      <c r="BA164" s="544">
        <f t="shared" si="244"/>
        <v>0</v>
      </c>
      <c r="BB164" s="544">
        <f t="shared" si="244"/>
        <v>0.04</v>
      </c>
      <c r="BC164" s="938">
        <f t="shared" si="244"/>
        <v>0</v>
      </c>
      <c r="BD164" s="544">
        <f t="shared" si="244"/>
        <v>0</v>
      </c>
      <c r="BE164" s="544">
        <f t="shared" si="244"/>
        <v>0</v>
      </c>
      <c r="BF164" s="544">
        <f t="shared" si="244"/>
        <v>0</v>
      </c>
      <c r="BG164" s="544">
        <f t="shared" si="244"/>
        <v>0.04</v>
      </c>
      <c r="BH164" s="442">
        <f t="shared" si="244"/>
        <v>0.04</v>
      </c>
      <c r="BI164" s="806">
        <f t="shared" si="244"/>
        <v>16657716</v>
      </c>
      <c r="BJ164" s="504">
        <f t="shared" si="244"/>
        <v>12202184</v>
      </c>
      <c r="BK164" s="504">
        <f t="shared" si="244"/>
        <v>11307856</v>
      </c>
      <c r="BL164" s="504">
        <f t="shared" si="244"/>
        <v>894328</v>
      </c>
      <c r="BM164" s="504">
        <f t="shared" si="244"/>
        <v>19200</v>
      </c>
      <c r="BN164" s="504">
        <f t="shared" si="244"/>
        <v>19200</v>
      </c>
      <c r="BO164" s="504">
        <f t="shared" si="244"/>
        <v>0</v>
      </c>
      <c r="BP164" s="504">
        <f t="shared" si="244"/>
        <v>4130827</v>
      </c>
      <c r="BQ164" s="504">
        <f t="shared" si="244"/>
        <v>122022</v>
      </c>
      <c r="BR164" s="504">
        <f t="shared" si="244"/>
        <v>183483</v>
      </c>
      <c r="BS164" s="544">
        <f t="shared" si="244"/>
        <v>20.7502</v>
      </c>
      <c r="BT164" s="544">
        <f t="shared" si="244"/>
        <v>18.167200000000001</v>
      </c>
      <c r="BU164" s="442">
        <f t="shared" si="244"/>
        <v>2.5829999999999997</v>
      </c>
      <c r="BV164" s="824">
        <f t="shared" si="244"/>
        <v>0</v>
      </c>
      <c r="BW164" s="710">
        <f t="shared" si="244"/>
        <v>0</v>
      </c>
      <c r="BX164" s="710">
        <f t="shared" si="244"/>
        <v>0</v>
      </c>
      <c r="BY164" s="710">
        <f t="shared" si="244"/>
        <v>0</v>
      </c>
      <c r="BZ164" s="710">
        <f t="shared" si="244"/>
        <v>0</v>
      </c>
      <c r="CA164" s="825">
        <f t="shared" si="244"/>
        <v>0</v>
      </c>
    </row>
    <row r="165" spans="1:79" s="221" customFormat="1" ht="12.75" customHeight="1" x14ac:dyDescent="0.2">
      <c r="A165" s="223">
        <v>34</v>
      </c>
      <c r="B165" s="224">
        <v>3418</v>
      </c>
      <c r="C165" s="224">
        <v>600078001</v>
      </c>
      <c r="D165" s="224">
        <v>70695954</v>
      </c>
      <c r="E165" s="225" t="s">
        <v>75</v>
      </c>
      <c r="F165" s="224">
        <v>3111</v>
      </c>
      <c r="G165" s="225" t="s">
        <v>290</v>
      </c>
      <c r="H165" s="226" t="s">
        <v>271</v>
      </c>
      <c r="I165" s="420">
        <v>1905783</v>
      </c>
      <c r="J165" s="415">
        <v>1405257</v>
      </c>
      <c r="K165" s="415">
        <v>1299380</v>
      </c>
      <c r="L165" s="415">
        <v>105877</v>
      </c>
      <c r="M165" s="415">
        <v>5000</v>
      </c>
      <c r="N165" s="415">
        <v>0</v>
      </c>
      <c r="O165" s="415">
        <v>5000</v>
      </c>
      <c r="P165" s="68">
        <v>476667</v>
      </c>
      <c r="Q165" s="68">
        <v>14053</v>
      </c>
      <c r="R165" s="415">
        <v>4806</v>
      </c>
      <c r="S165" s="416">
        <v>2.6635999999999997</v>
      </c>
      <c r="T165" s="417">
        <v>2.2902999999999998</v>
      </c>
      <c r="U165" s="423">
        <v>0.37329999999999997</v>
      </c>
      <c r="V165" s="424">
        <f t="shared" ref="V165:W167" si="245">AG165*-1</f>
        <v>0</v>
      </c>
      <c r="W165" s="418">
        <f t="shared" si="245"/>
        <v>0</v>
      </c>
      <c r="X165" s="418">
        <v>0</v>
      </c>
      <c r="Y165" s="418">
        <v>0</v>
      </c>
      <c r="Z165" s="418">
        <v>0</v>
      </c>
      <c r="AA165" s="418">
        <v>0</v>
      </c>
      <c r="AB165" s="418">
        <v>0</v>
      </c>
      <c r="AC165" s="418">
        <v>0</v>
      </c>
      <c r="AD165" s="418">
        <f>V165+X165+Y165+Z165+AB165</f>
        <v>0</v>
      </c>
      <c r="AE165" s="418">
        <f>W165+AA165+AC165</f>
        <v>0</v>
      </c>
      <c r="AF165" s="418">
        <f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>AG165+AI165+AJ165</f>
        <v>0</v>
      </c>
      <c r="AM165" s="418">
        <f>AH165+AK165</f>
        <v>0</v>
      </c>
      <c r="AN165" s="418">
        <f>SUM(AL165:AM165)</f>
        <v>0</v>
      </c>
      <c r="AO165" s="418">
        <f t="shared" ref="AO165:AP167" si="246">AD165+AL165</f>
        <v>0</v>
      </c>
      <c r="AP165" s="418">
        <f t="shared" si="246"/>
        <v>0</v>
      </c>
      <c r="AQ165" s="418">
        <f>SUM(AO165:AP165)</f>
        <v>0</v>
      </c>
      <c r="AR165" s="68">
        <f>ROUND((AF165+AG165+AH165+AI165)*33.8%,0)</f>
        <v>0</v>
      </c>
      <c r="AS165" s="68">
        <f>ROUND(AF165*1%,0)</f>
        <v>0</v>
      </c>
      <c r="AT165" s="418">
        <v>0</v>
      </c>
      <c r="AU165" s="415">
        <v>0</v>
      </c>
      <c r="AV165" s="418">
        <f>AT165+AU165</f>
        <v>0</v>
      </c>
      <c r="AW165" s="418">
        <f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6">
        <v>0</v>
      </c>
      <c r="BC165" s="939">
        <v>0</v>
      </c>
      <c r="BD165" s="419">
        <v>0</v>
      </c>
      <c r="BE165" s="419">
        <v>0</v>
      </c>
      <c r="BF165" s="419">
        <f>AX165+AZ165+BA165+BC165+BD165</f>
        <v>0</v>
      </c>
      <c r="BG165" s="419">
        <f>AY165+BB165+BE165</f>
        <v>0</v>
      </c>
      <c r="BH165" s="421">
        <f>SUM(BF165:BG165)</f>
        <v>0</v>
      </c>
      <c r="BI165" s="780">
        <f>I165+AW165</f>
        <v>1905783</v>
      </c>
      <c r="BJ165" s="418">
        <f>J165+AF165</f>
        <v>1405257</v>
      </c>
      <c r="BK165" s="418">
        <f t="shared" ref="BK165:BL167" si="247">K165+AD165</f>
        <v>1299380</v>
      </c>
      <c r="BL165" s="418">
        <f t="shared" si="247"/>
        <v>105877</v>
      </c>
      <c r="BM165" s="418">
        <f>M165+AN165</f>
        <v>5000</v>
      </c>
      <c r="BN165" s="418">
        <f t="shared" ref="BN165:BO167" si="248">N165+AL165</f>
        <v>0</v>
      </c>
      <c r="BO165" s="418">
        <f t="shared" si="248"/>
        <v>5000</v>
      </c>
      <c r="BP165" s="418">
        <f t="shared" ref="BP165:BQ167" si="249">P165+AR165</f>
        <v>476667</v>
      </c>
      <c r="BQ165" s="418">
        <f t="shared" si="249"/>
        <v>14053</v>
      </c>
      <c r="BR165" s="418">
        <f>R165+AV165</f>
        <v>4806</v>
      </c>
      <c r="BS165" s="419">
        <f>S165+BH165</f>
        <v>2.6635999999999997</v>
      </c>
      <c r="BT165" s="419">
        <f t="shared" ref="BT165:BU167" si="250">T165+BF165</f>
        <v>2.2902999999999998</v>
      </c>
      <c r="BU165" s="421">
        <f t="shared" si="250"/>
        <v>0.37329999999999997</v>
      </c>
      <c r="BV165" s="420"/>
      <c r="BW165" s="415"/>
      <c r="BX165" s="415"/>
      <c r="BY165" s="415"/>
      <c r="BZ165" s="415"/>
      <c r="CA165" s="510"/>
    </row>
    <row r="166" spans="1:79" s="221" customFormat="1" ht="12.75" customHeight="1" x14ac:dyDescent="0.2">
      <c r="A166" s="223">
        <v>34</v>
      </c>
      <c r="B166" s="224">
        <v>3418</v>
      </c>
      <c r="C166" s="224">
        <v>600078001</v>
      </c>
      <c r="D166" s="224">
        <v>70695954</v>
      </c>
      <c r="E166" s="225" t="s">
        <v>75</v>
      </c>
      <c r="F166" s="224">
        <v>3111</v>
      </c>
      <c r="G166" s="225" t="s">
        <v>291</v>
      </c>
      <c r="H166" s="226" t="s">
        <v>272</v>
      </c>
      <c r="I166" s="420">
        <v>0</v>
      </c>
      <c r="J166" s="415">
        <v>0</v>
      </c>
      <c r="K166" s="415">
        <v>0</v>
      </c>
      <c r="L166" s="415">
        <v>0</v>
      </c>
      <c r="M166" s="415">
        <v>0</v>
      </c>
      <c r="N166" s="415">
        <v>0</v>
      </c>
      <c r="O166" s="415">
        <v>0</v>
      </c>
      <c r="P166" s="68">
        <v>0</v>
      </c>
      <c r="Q166" s="68">
        <v>0</v>
      </c>
      <c r="R166" s="415">
        <v>0</v>
      </c>
      <c r="S166" s="416">
        <v>0</v>
      </c>
      <c r="T166" s="417">
        <v>0</v>
      </c>
      <c r="U166" s="423">
        <v>0</v>
      </c>
      <c r="V166" s="424">
        <f t="shared" si="245"/>
        <v>0</v>
      </c>
      <c r="W166" s="418">
        <f t="shared" si="245"/>
        <v>0</v>
      </c>
      <c r="X166" s="418">
        <v>0</v>
      </c>
      <c r="Y166" s="418">
        <v>0</v>
      </c>
      <c r="Z166" s="418">
        <v>0</v>
      </c>
      <c r="AA166" s="418">
        <v>0</v>
      </c>
      <c r="AB166" s="418">
        <v>0</v>
      </c>
      <c r="AC166" s="418">
        <v>0</v>
      </c>
      <c r="AD166" s="418">
        <f>V166+X166+Y166+Z166+AB166</f>
        <v>0</v>
      </c>
      <c r="AE166" s="418">
        <f>W166+AA166+AC166</f>
        <v>0</v>
      </c>
      <c r="AF166" s="418">
        <f>SUM(AD166:AE166)</f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>AG166+AI166+AJ166</f>
        <v>0</v>
      </c>
      <c r="AM166" s="418">
        <f>AH166+AK166</f>
        <v>0</v>
      </c>
      <c r="AN166" s="418">
        <f>SUM(AL166:AM166)</f>
        <v>0</v>
      </c>
      <c r="AO166" s="418">
        <f t="shared" si="246"/>
        <v>0</v>
      </c>
      <c r="AP166" s="418">
        <f t="shared" si="246"/>
        <v>0</v>
      </c>
      <c r="AQ166" s="418">
        <f>SUM(AO166:AP166)</f>
        <v>0</v>
      </c>
      <c r="AR166" s="68">
        <f>ROUND((AF166+AG166+AH166+AI166)*33.8%,0)</f>
        <v>0</v>
      </c>
      <c r="AS166" s="68">
        <f>ROUND(AF166*1%,0)</f>
        <v>0</v>
      </c>
      <c r="AT166" s="418">
        <v>0</v>
      </c>
      <c r="AU166" s="415"/>
      <c r="AV166" s="418">
        <f>AT166+AU166</f>
        <v>0</v>
      </c>
      <c r="AW166" s="418">
        <f>AQ166+AR166+AS166+AV166</f>
        <v>0</v>
      </c>
      <c r="AX166" s="419">
        <v>0</v>
      </c>
      <c r="AY166" s="419">
        <v>0</v>
      </c>
      <c r="AZ166" s="419">
        <v>0</v>
      </c>
      <c r="BA166" s="419">
        <v>0</v>
      </c>
      <c r="BB166" s="416">
        <v>0</v>
      </c>
      <c r="BC166" s="939">
        <v>0</v>
      </c>
      <c r="BD166" s="419">
        <v>0</v>
      </c>
      <c r="BE166" s="419">
        <v>0</v>
      </c>
      <c r="BF166" s="419">
        <f>AX166+AZ166+BA166+BC166+BD166</f>
        <v>0</v>
      </c>
      <c r="BG166" s="419">
        <f>AY166+BB166+BE166</f>
        <v>0</v>
      </c>
      <c r="BH166" s="421">
        <f>SUM(BF166:BG166)</f>
        <v>0</v>
      </c>
      <c r="BI166" s="780">
        <f>I166+AW166</f>
        <v>0</v>
      </c>
      <c r="BJ166" s="418">
        <f>J166+AF166</f>
        <v>0</v>
      </c>
      <c r="BK166" s="418">
        <f t="shared" si="247"/>
        <v>0</v>
      </c>
      <c r="BL166" s="418">
        <f t="shared" si="247"/>
        <v>0</v>
      </c>
      <c r="BM166" s="418">
        <f>M166+AN166</f>
        <v>0</v>
      </c>
      <c r="BN166" s="418">
        <f t="shared" si="248"/>
        <v>0</v>
      </c>
      <c r="BO166" s="418">
        <f t="shared" si="248"/>
        <v>0</v>
      </c>
      <c r="BP166" s="418">
        <f t="shared" si="249"/>
        <v>0</v>
      </c>
      <c r="BQ166" s="418">
        <f t="shared" si="249"/>
        <v>0</v>
      </c>
      <c r="BR166" s="418">
        <f>R166+AV166</f>
        <v>0</v>
      </c>
      <c r="BS166" s="419">
        <f>S166+BH166</f>
        <v>0</v>
      </c>
      <c r="BT166" s="419">
        <f t="shared" si="250"/>
        <v>0</v>
      </c>
      <c r="BU166" s="421">
        <f t="shared" si="250"/>
        <v>0</v>
      </c>
      <c r="BV166" s="420"/>
      <c r="BW166" s="415"/>
      <c r="BX166" s="415"/>
      <c r="BY166" s="415"/>
      <c r="BZ166" s="415"/>
      <c r="CA166" s="510"/>
    </row>
    <row r="167" spans="1:79" s="221" customFormat="1" ht="12.75" customHeight="1" x14ac:dyDescent="0.2">
      <c r="A167" s="223">
        <v>34</v>
      </c>
      <c r="B167" s="224">
        <v>3418</v>
      </c>
      <c r="C167" s="224">
        <v>600078001</v>
      </c>
      <c r="D167" s="224">
        <v>70695954</v>
      </c>
      <c r="E167" s="225" t="s">
        <v>75</v>
      </c>
      <c r="F167" s="224">
        <v>3141</v>
      </c>
      <c r="G167" s="225" t="s">
        <v>294</v>
      </c>
      <c r="H167" s="226" t="s">
        <v>272</v>
      </c>
      <c r="I167" s="420">
        <v>216255</v>
      </c>
      <c r="J167" s="415">
        <v>145070</v>
      </c>
      <c r="K167" s="415">
        <v>0</v>
      </c>
      <c r="L167" s="415">
        <v>145070</v>
      </c>
      <c r="M167" s="415">
        <v>15000</v>
      </c>
      <c r="N167" s="415">
        <v>0</v>
      </c>
      <c r="O167" s="415">
        <v>15000</v>
      </c>
      <c r="P167" s="68">
        <v>54104</v>
      </c>
      <c r="Q167" s="68">
        <v>1451</v>
      </c>
      <c r="R167" s="415">
        <v>630</v>
      </c>
      <c r="S167" s="416">
        <v>0.48</v>
      </c>
      <c r="T167" s="417">
        <v>0</v>
      </c>
      <c r="U167" s="423">
        <v>0.48</v>
      </c>
      <c r="V167" s="424">
        <f t="shared" si="245"/>
        <v>0</v>
      </c>
      <c r="W167" s="418">
        <f t="shared" si="245"/>
        <v>0</v>
      </c>
      <c r="X167" s="418">
        <v>0</v>
      </c>
      <c r="Y167" s="418">
        <v>0</v>
      </c>
      <c r="Z167" s="418">
        <v>0</v>
      </c>
      <c r="AA167" s="605">
        <v>81397</v>
      </c>
      <c r="AB167" s="418">
        <v>0</v>
      </c>
      <c r="AC167" s="418">
        <v>0</v>
      </c>
      <c r="AD167" s="418">
        <f>V167+X167+Y167+Z167+AB167</f>
        <v>0</v>
      </c>
      <c r="AE167" s="418">
        <f>W167+AA167+AC167</f>
        <v>81397</v>
      </c>
      <c r="AF167" s="418">
        <f>SUM(AD167:AE167)</f>
        <v>81397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>AG167+AI167+AJ167</f>
        <v>0</v>
      </c>
      <c r="AM167" s="418">
        <f>AH167+AK167</f>
        <v>0</v>
      </c>
      <c r="AN167" s="418">
        <f>SUM(AL167:AM167)</f>
        <v>0</v>
      </c>
      <c r="AO167" s="418">
        <f t="shared" si="246"/>
        <v>0</v>
      </c>
      <c r="AP167" s="418">
        <f t="shared" si="246"/>
        <v>81397</v>
      </c>
      <c r="AQ167" s="418">
        <f>SUM(AO167:AP167)</f>
        <v>81397</v>
      </c>
      <c r="AR167" s="68">
        <f>ROUND((AF167+AG167+AH167+AI167)*33.8%,0)</f>
        <v>27512</v>
      </c>
      <c r="AS167" s="68">
        <f>ROUND(AF167*1%,0)</f>
        <v>814</v>
      </c>
      <c r="AT167" s="418">
        <v>0</v>
      </c>
      <c r="AU167" s="605">
        <v>306</v>
      </c>
      <c r="AV167" s="418">
        <f>AT167+AU167</f>
        <v>306</v>
      </c>
      <c r="AW167" s="418">
        <f>AQ167+AR167+AS167+AV167</f>
        <v>110029</v>
      </c>
      <c r="AX167" s="419">
        <v>0</v>
      </c>
      <c r="AY167" s="419">
        <v>0</v>
      </c>
      <c r="AZ167" s="419">
        <v>0</v>
      </c>
      <c r="BA167" s="419">
        <v>0</v>
      </c>
      <c r="BB167" s="607">
        <v>0.24</v>
      </c>
      <c r="BC167" s="939">
        <v>0</v>
      </c>
      <c r="BD167" s="419">
        <v>0</v>
      </c>
      <c r="BE167" s="419">
        <v>0</v>
      </c>
      <c r="BF167" s="419">
        <f>AX167+AZ167+BA167+BC167+BD167</f>
        <v>0</v>
      </c>
      <c r="BG167" s="419">
        <f>AY167+BB167+BE167</f>
        <v>0.24</v>
      </c>
      <c r="BH167" s="421">
        <f>SUM(BF167:BG167)</f>
        <v>0.24</v>
      </c>
      <c r="BI167" s="780">
        <f>I167+AW167</f>
        <v>326284</v>
      </c>
      <c r="BJ167" s="418">
        <f>J167+AF167</f>
        <v>226467</v>
      </c>
      <c r="BK167" s="418">
        <f t="shared" si="247"/>
        <v>0</v>
      </c>
      <c r="BL167" s="418">
        <f t="shared" si="247"/>
        <v>226467</v>
      </c>
      <c r="BM167" s="418">
        <f>M167+AN167</f>
        <v>15000</v>
      </c>
      <c r="BN167" s="418">
        <f t="shared" si="248"/>
        <v>0</v>
      </c>
      <c r="BO167" s="418">
        <f t="shared" si="248"/>
        <v>15000</v>
      </c>
      <c r="BP167" s="418">
        <f t="shared" si="249"/>
        <v>81616</v>
      </c>
      <c r="BQ167" s="418">
        <f t="shared" si="249"/>
        <v>2265</v>
      </c>
      <c r="BR167" s="418">
        <f>R167+AV167</f>
        <v>936</v>
      </c>
      <c r="BS167" s="419">
        <f>S167+BH167</f>
        <v>0.72</v>
      </c>
      <c r="BT167" s="419">
        <f t="shared" si="250"/>
        <v>0</v>
      </c>
      <c r="BU167" s="421">
        <f t="shared" si="250"/>
        <v>0.72</v>
      </c>
      <c r="BV167" s="420"/>
      <c r="BW167" s="415"/>
      <c r="BX167" s="415"/>
      <c r="BY167" s="415"/>
      <c r="BZ167" s="415"/>
      <c r="CA167" s="510"/>
    </row>
    <row r="168" spans="1:79" s="221" customFormat="1" ht="12.75" customHeight="1" x14ac:dyDescent="0.2">
      <c r="A168" s="153">
        <v>34</v>
      </c>
      <c r="B168" s="14">
        <v>3418</v>
      </c>
      <c r="C168" s="152">
        <v>600078001</v>
      </c>
      <c r="D168" s="152">
        <v>70695954</v>
      </c>
      <c r="E168" s="222" t="s">
        <v>76</v>
      </c>
      <c r="F168" s="14"/>
      <c r="G168" s="222"/>
      <c r="H168" s="560"/>
      <c r="I168" s="505">
        <v>2122038</v>
      </c>
      <c r="J168" s="504">
        <v>1550327</v>
      </c>
      <c r="K168" s="504">
        <v>1299380</v>
      </c>
      <c r="L168" s="504">
        <v>250947</v>
      </c>
      <c r="M168" s="504">
        <v>20000</v>
      </c>
      <c r="N168" s="504">
        <v>0</v>
      </c>
      <c r="O168" s="504">
        <v>20000</v>
      </c>
      <c r="P168" s="504">
        <v>530771</v>
      </c>
      <c r="Q168" s="504">
        <v>15504</v>
      </c>
      <c r="R168" s="504">
        <v>5436</v>
      </c>
      <c r="S168" s="544">
        <v>3.1435999999999997</v>
      </c>
      <c r="T168" s="544">
        <v>2.2902999999999998</v>
      </c>
      <c r="U168" s="401">
        <v>0.85329999999999995</v>
      </c>
      <c r="V168" s="505">
        <f t="shared" ref="V168:CA168" si="251">SUM(V165:V167)</f>
        <v>0</v>
      </c>
      <c r="W168" s="504">
        <f t="shared" si="251"/>
        <v>0</v>
      </c>
      <c r="X168" s="504">
        <f t="shared" si="251"/>
        <v>0</v>
      </c>
      <c r="Y168" s="504">
        <f t="shared" si="251"/>
        <v>0</v>
      </c>
      <c r="Z168" s="504">
        <f t="shared" si="251"/>
        <v>0</v>
      </c>
      <c r="AA168" s="575">
        <f t="shared" si="251"/>
        <v>81397</v>
      </c>
      <c r="AB168" s="504">
        <f t="shared" si="251"/>
        <v>0</v>
      </c>
      <c r="AC168" s="504">
        <f t="shared" si="251"/>
        <v>0</v>
      </c>
      <c r="AD168" s="504">
        <f t="shared" si="251"/>
        <v>0</v>
      </c>
      <c r="AE168" s="504">
        <f t="shared" si="251"/>
        <v>81397</v>
      </c>
      <c r="AF168" s="504">
        <f t="shared" si="251"/>
        <v>81397</v>
      </c>
      <c r="AG168" s="504">
        <f t="shared" si="251"/>
        <v>0</v>
      </c>
      <c r="AH168" s="504">
        <f t="shared" si="251"/>
        <v>0</v>
      </c>
      <c r="AI168" s="504">
        <f t="shared" si="251"/>
        <v>0</v>
      </c>
      <c r="AJ168" s="504">
        <f t="shared" si="251"/>
        <v>0</v>
      </c>
      <c r="AK168" s="504">
        <f t="shared" si="251"/>
        <v>0</v>
      </c>
      <c r="AL168" s="504">
        <f t="shared" si="251"/>
        <v>0</v>
      </c>
      <c r="AM168" s="504">
        <f t="shared" si="251"/>
        <v>0</v>
      </c>
      <c r="AN168" s="504">
        <f t="shared" si="251"/>
        <v>0</v>
      </c>
      <c r="AO168" s="504">
        <f t="shared" si="251"/>
        <v>0</v>
      </c>
      <c r="AP168" s="504">
        <f t="shared" si="251"/>
        <v>81397</v>
      </c>
      <c r="AQ168" s="504">
        <f t="shared" si="251"/>
        <v>81397</v>
      </c>
      <c r="AR168" s="504">
        <f t="shared" si="251"/>
        <v>27512</v>
      </c>
      <c r="AS168" s="504">
        <f t="shared" si="251"/>
        <v>814</v>
      </c>
      <c r="AT168" s="504">
        <f t="shared" si="251"/>
        <v>0</v>
      </c>
      <c r="AU168" s="504">
        <f t="shared" si="251"/>
        <v>306</v>
      </c>
      <c r="AV168" s="504">
        <f t="shared" si="251"/>
        <v>306</v>
      </c>
      <c r="AW168" s="504">
        <f t="shared" si="251"/>
        <v>110029</v>
      </c>
      <c r="AX168" s="544">
        <f t="shared" si="251"/>
        <v>0</v>
      </c>
      <c r="AY168" s="544">
        <f t="shared" si="251"/>
        <v>0</v>
      </c>
      <c r="AZ168" s="544">
        <f t="shared" si="251"/>
        <v>0</v>
      </c>
      <c r="BA168" s="544">
        <f t="shared" si="251"/>
        <v>0</v>
      </c>
      <c r="BB168" s="544">
        <f t="shared" si="251"/>
        <v>0.24</v>
      </c>
      <c r="BC168" s="938">
        <f t="shared" si="251"/>
        <v>0</v>
      </c>
      <c r="BD168" s="544">
        <f t="shared" si="251"/>
        <v>0</v>
      </c>
      <c r="BE168" s="544">
        <f t="shared" si="251"/>
        <v>0</v>
      </c>
      <c r="BF168" s="544">
        <f t="shared" si="251"/>
        <v>0</v>
      </c>
      <c r="BG168" s="544">
        <f t="shared" si="251"/>
        <v>0.24</v>
      </c>
      <c r="BH168" s="442">
        <f t="shared" si="251"/>
        <v>0.24</v>
      </c>
      <c r="BI168" s="806">
        <f t="shared" si="251"/>
        <v>2232067</v>
      </c>
      <c r="BJ168" s="504">
        <f t="shared" si="251"/>
        <v>1631724</v>
      </c>
      <c r="BK168" s="504">
        <f t="shared" si="251"/>
        <v>1299380</v>
      </c>
      <c r="BL168" s="504">
        <f t="shared" si="251"/>
        <v>332344</v>
      </c>
      <c r="BM168" s="504">
        <f t="shared" si="251"/>
        <v>20000</v>
      </c>
      <c r="BN168" s="504">
        <f t="shared" si="251"/>
        <v>0</v>
      </c>
      <c r="BO168" s="504">
        <f t="shared" si="251"/>
        <v>20000</v>
      </c>
      <c r="BP168" s="504">
        <f t="shared" si="251"/>
        <v>558283</v>
      </c>
      <c r="BQ168" s="504">
        <f t="shared" si="251"/>
        <v>16318</v>
      </c>
      <c r="BR168" s="504">
        <f t="shared" si="251"/>
        <v>5742</v>
      </c>
      <c r="BS168" s="544">
        <f t="shared" si="251"/>
        <v>3.3835999999999995</v>
      </c>
      <c r="BT168" s="544">
        <f t="shared" si="251"/>
        <v>2.2902999999999998</v>
      </c>
      <c r="BU168" s="442">
        <f t="shared" si="251"/>
        <v>1.0932999999999999</v>
      </c>
      <c r="BV168" s="824">
        <f t="shared" si="251"/>
        <v>0</v>
      </c>
      <c r="BW168" s="710">
        <f t="shared" si="251"/>
        <v>0</v>
      </c>
      <c r="BX168" s="710">
        <f t="shared" si="251"/>
        <v>0</v>
      </c>
      <c r="BY168" s="710">
        <f t="shared" si="251"/>
        <v>0</v>
      </c>
      <c r="BZ168" s="710">
        <f t="shared" si="251"/>
        <v>0</v>
      </c>
      <c r="CA168" s="825">
        <f t="shared" si="251"/>
        <v>0</v>
      </c>
    </row>
    <row r="169" spans="1:79" s="221" customFormat="1" ht="12.75" customHeight="1" x14ac:dyDescent="0.2">
      <c r="A169" s="223">
        <v>35</v>
      </c>
      <c r="B169" s="224">
        <v>3428</v>
      </c>
      <c r="C169" s="224">
        <v>600078311</v>
      </c>
      <c r="D169" s="224">
        <v>72742518</v>
      </c>
      <c r="E169" s="225" t="s">
        <v>77</v>
      </c>
      <c r="F169" s="224">
        <v>3111</v>
      </c>
      <c r="G169" s="225" t="s">
        <v>290</v>
      </c>
      <c r="H169" s="226" t="s">
        <v>271</v>
      </c>
      <c r="I169" s="420">
        <v>3227983</v>
      </c>
      <c r="J169" s="415">
        <v>2386327</v>
      </c>
      <c r="K169" s="415">
        <v>2253191</v>
      </c>
      <c r="L169" s="415">
        <v>133136</v>
      </c>
      <c r="M169" s="415">
        <v>0</v>
      </c>
      <c r="N169" s="415">
        <v>0</v>
      </c>
      <c r="O169" s="415">
        <v>0</v>
      </c>
      <c r="P169" s="68">
        <v>806579</v>
      </c>
      <c r="Q169" s="68">
        <v>23863</v>
      </c>
      <c r="R169" s="415">
        <v>11214</v>
      </c>
      <c r="S169" s="416">
        <v>4.5334000000000003</v>
      </c>
      <c r="T169" s="417">
        <v>4</v>
      </c>
      <c r="U169" s="423">
        <v>0.53339999999999999</v>
      </c>
      <c r="V169" s="424">
        <f t="shared" ref="V169:W174" si="252">AG169*-1</f>
        <v>0</v>
      </c>
      <c r="W169" s="418">
        <f t="shared" si="252"/>
        <v>0</v>
      </c>
      <c r="X169" s="418">
        <v>0</v>
      </c>
      <c r="Y169" s="418">
        <v>0</v>
      </c>
      <c r="Z169" s="418">
        <v>0</v>
      </c>
      <c r="AA169" s="418">
        <v>0</v>
      </c>
      <c r="AB169" s="418">
        <v>0</v>
      </c>
      <c r="AC169" s="418">
        <v>0</v>
      </c>
      <c r="AD169" s="418">
        <f t="shared" ref="AD169:AD174" si="253">V169+X169+Y169+Z169+AB169</f>
        <v>0</v>
      </c>
      <c r="AE169" s="418">
        <f t="shared" ref="AE169:AE174" si="254">W169+AA169+AC169</f>
        <v>0</v>
      </c>
      <c r="AF169" s="418">
        <f t="shared" ref="AF169:AF174" si="255">SUM(AD169:AE169)</f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 t="shared" ref="AL169:AL174" si="256">AG169+AI169+AJ169</f>
        <v>0</v>
      </c>
      <c r="AM169" s="418">
        <f t="shared" ref="AM169:AM174" si="257">AH169+AK169</f>
        <v>0</v>
      </c>
      <c r="AN169" s="418">
        <f t="shared" ref="AN169:AN174" si="258">SUM(AL169:AM169)</f>
        <v>0</v>
      </c>
      <c r="AO169" s="418">
        <f t="shared" ref="AO169:AP174" si="259">AD169+AL169</f>
        <v>0</v>
      </c>
      <c r="AP169" s="418">
        <f t="shared" si="259"/>
        <v>0</v>
      </c>
      <c r="AQ169" s="418">
        <f t="shared" ref="AQ169:AQ174" si="260">SUM(AO169:AP169)</f>
        <v>0</v>
      </c>
      <c r="AR169" s="68">
        <f t="shared" ref="AR169:AR174" si="261">ROUND((AF169+AG169+AH169+AI169)*33.8%,0)</f>
        <v>0</v>
      </c>
      <c r="AS169" s="68">
        <f t="shared" ref="AS169:AS174" si="262">ROUND(AF169*1%,0)</f>
        <v>0</v>
      </c>
      <c r="AT169" s="418">
        <v>0</v>
      </c>
      <c r="AU169" s="415">
        <v>0</v>
      </c>
      <c r="AV169" s="418">
        <f t="shared" ref="AV169:AV174" si="263">AT169+AU169</f>
        <v>0</v>
      </c>
      <c r="AW169" s="418">
        <f t="shared" ref="AW169:AW174" si="264">AQ169+AR169+AS169+AV169</f>
        <v>0</v>
      </c>
      <c r="AX169" s="419">
        <v>0</v>
      </c>
      <c r="AY169" s="419">
        <v>0</v>
      </c>
      <c r="AZ169" s="419">
        <v>0</v>
      </c>
      <c r="BA169" s="419">
        <v>0</v>
      </c>
      <c r="BB169" s="416">
        <v>0</v>
      </c>
      <c r="BC169" s="939">
        <v>0</v>
      </c>
      <c r="BD169" s="419">
        <v>0</v>
      </c>
      <c r="BE169" s="419">
        <v>0</v>
      </c>
      <c r="BF169" s="419">
        <f t="shared" ref="BF169:BF174" si="265">AX169+AZ169+BA169+BC169+BD169</f>
        <v>0</v>
      </c>
      <c r="BG169" s="419">
        <f t="shared" ref="BG169:BG174" si="266">AY169+BB169+BE169</f>
        <v>0</v>
      </c>
      <c r="BH169" s="421">
        <f t="shared" ref="BH169:BH174" si="267">SUM(BF169:BG169)</f>
        <v>0</v>
      </c>
      <c r="BI169" s="780">
        <f t="shared" ref="BI169:BI174" si="268">I169+AW169</f>
        <v>3227983</v>
      </c>
      <c r="BJ169" s="418">
        <f t="shared" ref="BJ169:BJ174" si="269">J169+AF169</f>
        <v>2386327</v>
      </c>
      <c r="BK169" s="418">
        <f t="shared" ref="BK169:BL174" si="270">K169+AD169</f>
        <v>2253191</v>
      </c>
      <c r="BL169" s="418">
        <f t="shared" si="270"/>
        <v>133136</v>
      </c>
      <c r="BM169" s="418">
        <f t="shared" ref="BM169:BM174" si="271">M169+AN169</f>
        <v>0</v>
      </c>
      <c r="BN169" s="418">
        <f t="shared" ref="BN169:BO174" si="272">N169+AL169</f>
        <v>0</v>
      </c>
      <c r="BO169" s="418">
        <f t="shared" si="272"/>
        <v>0</v>
      </c>
      <c r="BP169" s="418">
        <f t="shared" ref="BP169:BQ174" si="273">P169+AR169</f>
        <v>806579</v>
      </c>
      <c r="BQ169" s="418">
        <f t="shared" si="273"/>
        <v>23863</v>
      </c>
      <c r="BR169" s="418">
        <f t="shared" ref="BR169:BR174" si="274">R169+AV169</f>
        <v>11214</v>
      </c>
      <c r="BS169" s="419">
        <f t="shared" ref="BS169:BS174" si="275">S169+BH169</f>
        <v>4.5334000000000003</v>
      </c>
      <c r="BT169" s="419">
        <f t="shared" ref="BT169:BU174" si="276">T169+BF169</f>
        <v>4</v>
      </c>
      <c r="BU169" s="421">
        <f t="shared" si="276"/>
        <v>0.53339999999999999</v>
      </c>
      <c r="BV169" s="420"/>
      <c r="BW169" s="415"/>
      <c r="BX169" s="415"/>
      <c r="BY169" s="415"/>
      <c r="BZ169" s="415"/>
      <c r="CA169" s="510"/>
    </row>
    <row r="170" spans="1:79" s="221" customFormat="1" ht="12.75" customHeight="1" x14ac:dyDescent="0.2">
      <c r="A170" s="223">
        <v>35</v>
      </c>
      <c r="B170" s="224">
        <v>3428</v>
      </c>
      <c r="C170" s="224">
        <v>600078311</v>
      </c>
      <c r="D170" s="224">
        <v>72742518</v>
      </c>
      <c r="E170" s="225" t="s">
        <v>77</v>
      </c>
      <c r="F170" s="224">
        <v>3117</v>
      </c>
      <c r="G170" s="225" t="s">
        <v>293</v>
      </c>
      <c r="H170" s="226" t="s">
        <v>271</v>
      </c>
      <c r="I170" s="420">
        <v>4086106</v>
      </c>
      <c r="J170" s="415">
        <v>2986095</v>
      </c>
      <c r="K170" s="415">
        <v>2591893</v>
      </c>
      <c r="L170" s="415">
        <v>394202</v>
      </c>
      <c r="M170" s="415">
        <v>0</v>
      </c>
      <c r="N170" s="415">
        <v>0</v>
      </c>
      <c r="O170" s="415">
        <v>0</v>
      </c>
      <c r="P170" s="68">
        <v>1009300</v>
      </c>
      <c r="Q170" s="68">
        <v>29861</v>
      </c>
      <c r="R170" s="415">
        <v>60850</v>
      </c>
      <c r="S170" s="416">
        <v>5.0543999999999993</v>
      </c>
      <c r="T170" s="417">
        <v>3.9544999999999999</v>
      </c>
      <c r="U170" s="423">
        <v>1.0998999999999999</v>
      </c>
      <c r="V170" s="424">
        <f t="shared" si="252"/>
        <v>0</v>
      </c>
      <c r="W170" s="418">
        <f t="shared" si="252"/>
        <v>0</v>
      </c>
      <c r="X170" s="418">
        <v>0</v>
      </c>
      <c r="Y170" s="418">
        <v>0</v>
      </c>
      <c r="Z170" s="418">
        <v>0</v>
      </c>
      <c r="AA170" s="418">
        <v>0</v>
      </c>
      <c r="AB170" s="418">
        <v>0</v>
      </c>
      <c r="AC170" s="418">
        <v>0</v>
      </c>
      <c r="AD170" s="418">
        <f t="shared" si="253"/>
        <v>0</v>
      </c>
      <c r="AE170" s="418">
        <f t="shared" si="254"/>
        <v>0</v>
      </c>
      <c r="AF170" s="418">
        <f t="shared" si="255"/>
        <v>0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256"/>
        <v>0</v>
      </c>
      <c r="AM170" s="418">
        <f t="shared" si="257"/>
        <v>0</v>
      </c>
      <c r="AN170" s="418">
        <f t="shared" si="258"/>
        <v>0</v>
      </c>
      <c r="AO170" s="418">
        <f t="shared" si="259"/>
        <v>0</v>
      </c>
      <c r="AP170" s="418">
        <f t="shared" si="259"/>
        <v>0</v>
      </c>
      <c r="AQ170" s="418">
        <f t="shared" si="260"/>
        <v>0</v>
      </c>
      <c r="AR170" s="68">
        <f t="shared" si="261"/>
        <v>0</v>
      </c>
      <c r="AS170" s="68">
        <f t="shared" si="262"/>
        <v>0</v>
      </c>
      <c r="AT170" s="418">
        <v>0</v>
      </c>
      <c r="AU170" s="415">
        <v>0</v>
      </c>
      <c r="AV170" s="418">
        <f t="shared" si="263"/>
        <v>0</v>
      </c>
      <c r="AW170" s="418">
        <f t="shared" si="264"/>
        <v>0</v>
      </c>
      <c r="AX170" s="419">
        <v>0</v>
      </c>
      <c r="AY170" s="419">
        <v>0</v>
      </c>
      <c r="AZ170" s="419">
        <v>0</v>
      </c>
      <c r="BA170" s="419">
        <v>0</v>
      </c>
      <c r="BB170" s="416">
        <v>0</v>
      </c>
      <c r="BC170" s="939">
        <v>0</v>
      </c>
      <c r="BD170" s="419">
        <v>0</v>
      </c>
      <c r="BE170" s="419">
        <v>0</v>
      </c>
      <c r="BF170" s="419">
        <f t="shared" si="265"/>
        <v>0</v>
      </c>
      <c r="BG170" s="419">
        <f t="shared" si="266"/>
        <v>0</v>
      </c>
      <c r="BH170" s="421">
        <f t="shared" si="267"/>
        <v>0</v>
      </c>
      <c r="BI170" s="780">
        <f t="shared" si="268"/>
        <v>4086106</v>
      </c>
      <c r="BJ170" s="418">
        <f t="shared" si="269"/>
        <v>2986095</v>
      </c>
      <c r="BK170" s="418">
        <f t="shared" si="270"/>
        <v>2591893</v>
      </c>
      <c r="BL170" s="418">
        <f t="shared" si="270"/>
        <v>394202</v>
      </c>
      <c r="BM170" s="418">
        <f t="shared" si="271"/>
        <v>0</v>
      </c>
      <c r="BN170" s="418">
        <f t="shared" si="272"/>
        <v>0</v>
      </c>
      <c r="BO170" s="418">
        <f t="shared" si="272"/>
        <v>0</v>
      </c>
      <c r="BP170" s="418">
        <f t="shared" si="273"/>
        <v>1009300</v>
      </c>
      <c r="BQ170" s="418">
        <f t="shared" si="273"/>
        <v>29861</v>
      </c>
      <c r="BR170" s="418">
        <f t="shared" si="274"/>
        <v>60850</v>
      </c>
      <c r="BS170" s="419">
        <f t="shared" si="275"/>
        <v>5.0543999999999993</v>
      </c>
      <c r="BT170" s="419">
        <f t="shared" si="276"/>
        <v>3.9544999999999999</v>
      </c>
      <c r="BU170" s="421">
        <f t="shared" si="276"/>
        <v>1.0998999999999999</v>
      </c>
      <c r="BV170" s="420"/>
      <c r="BW170" s="415"/>
      <c r="BX170" s="415"/>
      <c r="BY170" s="415"/>
      <c r="BZ170" s="415"/>
      <c r="CA170" s="510"/>
    </row>
    <row r="171" spans="1:79" s="221" customFormat="1" x14ac:dyDescent="0.2">
      <c r="A171" s="223">
        <v>35</v>
      </c>
      <c r="B171" s="224">
        <v>3428</v>
      </c>
      <c r="C171" s="224">
        <v>600078311</v>
      </c>
      <c r="D171" s="224">
        <v>72742518</v>
      </c>
      <c r="E171" s="225" t="s">
        <v>77</v>
      </c>
      <c r="F171" s="224">
        <v>3117</v>
      </c>
      <c r="G171" s="225" t="s">
        <v>291</v>
      </c>
      <c r="H171" s="226" t="s">
        <v>272</v>
      </c>
      <c r="I171" s="420">
        <v>1632823</v>
      </c>
      <c r="J171" s="415">
        <v>1211293</v>
      </c>
      <c r="K171" s="415">
        <v>1211293</v>
      </c>
      <c r="L171" s="415">
        <v>0</v>
      </c>
      <c r="M171" s="415">
        <v>0</v>
      </c>
      <c r="N171" s="415">
        <v>0</v>
      </c>
      <c r="O171" s="415">
        <v>0</v>
      </c>
      <c r="P171" s="68">
        <v>409417</v>
      </c>
      <c r="Q171" s="68">
        <v>12113</v>
      </c>
      <c r="R171" s="415">
        <v>0</v>
      </c>
      <c r="S171" s="416">
        <v>3.26</v>
      </c>
      <c r="T171" s="417">
        <v>3.26</v>
      </c>
      <c r="U171" s="423">
        <v>0</v>
      </c>
      <c r="V171" s="424">
        <f t="shared" si="252"/>
        <v>0</v>
      </c>
      <c r="W171" s="418">
        <f t="shared" si="252"/>
        <v>0</v>
      </c>
      <c r="X171" s="418">
        <v>0</v>
      </c>
      <c r="Y171" s="418">
        <v>0</v>
      </c>
      <c r="Z171" s="418">
        <v>0</v>
      </c>
      <c r="AA171" s="418">
        <v>0</v>
      </c>
      <c r="AB171" s="418">
        <v>0</v>
      </c>
      <c r="AC171" s="418">
        <v>0</v>
      </c>
      <c r="AD171" s="418">
        <f t="shared" si="253"/>
        <v>0</v>
      </c>
      <c r="AE171" s="418">
        <f t="shared" si="254"/>
        <v>0</v>
      </c>
      <c r="AF171" s="418">
        <f t="shared" si="255"/>
        <v>0</v>
      </c>
      <c r="AG171" s="418">
        <v>0</v>
      </c>
      <c r="AH171" s="418">
        <v>0</v>
      </c>
      <c r="AI171" s="418">
        <v>0</v>
      </c>
      <c r="AJ171" s="418">
        <v>0</v>
      </c>
      <c r="AK171" s="418">
        <v>0</v>
      </c>
      <c r="AL171" s="418">
        <f t="shared" si="256"/>
        <v>0</v>
      </c>
      <c r="AM171" s="418">
        <f t="shared" si="257"/>
        <v>0</v>
      </c>
      <c r="AN171" s="418">
        <f t="shared" si="258"/>
        <v>0</v>
      </c>
      <c r="AO171" s="418">
        <f t="shared" si="259"/>
        <v>0</v>
      </c>
      <c r="AP171" s="418">
        <f t="shared" si="259"/>
        <v>0</v>
      </c>
      <c r="AQ171" s="418">
        <f t="shared" si="260"/>
        <v>0</v>
      </c>
      <c r="AR171" s="68">
        <f t="shared" si="261"/>
        <v>0</v>
      </c>
      <c r="AS171" s="68">
        <f t="shared" si="262"/>
        <v>0</v>
      </c>
      <c r="AT171" s="418">
        <v>0</v>
      </c>
      <c r="AU171" s="415"/>
      <c r="AV171" s="418">
        <f t="shared" si="263"/>
        <v>0</v>
      </c>
      <c r="AW171" s="418">
        <f t="shared" si="264"/>
        <v>0</v>
      </c>
      <c r="AX171" s="419">
        <v>0</v>
      </c>
      <c r="AY171" s="419">
        <v>0</v>
      </c>
      <c r="AZ171" s="419">
        <v>0</v>
      </c>
      <c r="BA171" s="419">
        <v>0</v>
      </c>
      <c r="BB171" s="416">
        <v>0</v>
      </c>
      <c r="BC171" s="939">
        <v>0</v>
      </c>
      <c r="BD171" s="419">
        <v>0</v>
      </c>
      <c r="BE171" s="419">
        <v>0</v>
      </c>
      <c r="BF171" s="419">
        <f t="shared" si="265"/>
        <v>0</v>
      </c>
      <c r="BG171" s="419">
        <f t="shared" si="266"/>
        <v>0</v>
      </c>
      <c r="BH171" s="421">
        <f t="shared" si="267"/>
        <v>0</v>
      </c>
      <c r="BI171" s="780">
        <f t="shared" si="268"/>
        <v>1632823</v>
      </c>
      <c r="BJ171" s="418">
        <f t="shared" si="269"/>
        <v>1211293</v>
      </c>
      <c r="BK171" s="418">
        <f t="shared" si="270"/>
        <v>1211293</v>
      </c>
      <c r="BL171" s="418">
        <f t="shared" si="270"/>
        <v>0</v>
      </c>
      <c r="BM171" s="418">
        <f t="shared" si="271"/>
        <v>0</v>
      </c>
      <c r="BN171" s="418">
        <f t="shared" si="272"/>
        <v>0</v>
      </c>
      <c r="BO171" s="418">
        <f t="shared" si="272"/>
        <v>0</v>
      </c>
      <c r="BP171" s="418">
        <f t="shared" si="273"/>
        <v>409417</v>
      </c>
      <c r="BQ171" s="418">
        <f t="shared" si="273"/>
        <v>12113</v>
      </c>
      <c r="BR171" s="418">
        <f t="shared" si="274"/>
        <v>0</v>
      </c>
      <c r="BS171" s="419">
        <f t="shared" si="275"/>
        <v>3.26</v>
      </c>
      <c r="BT171" s="419">
        <f t="shared" si="276"/>
        <v>3.26</v>
      </c>
      <c r="BU171" s="421">
        <f t="shared" si="276"/>
        <v>0</v>
      </c>
      <c r="BV171" s="420"/>
      <c r="BW171" s="415"/>
      <c r="BX171" s="415"/>
      <c r="BY171" s="415"/>
      <c r="BZ171" s="415"/>
      <c r="CA171" s="510"/>
    </row>
    <row r="172" spans="1:79" s="221" customFormat="1" ht="12.75" customHeight="1" x14ac:dyDescent="0.2">
      <c r="A172" s="223">
        <v>35</v>
      </c>
      <c r="B172" s="224">
        <v>3428</v>
      </c>
      <c r="C172" s="224">
        <v>600078311</v>
      </c>
      <c r="D172" s="224">
        <v>72742518</v>
      </c>
      <c r="E172" s="225" t="s">
        <v>77</v>
      </c>
      <c r="F172" s="224">
        <v>3141</v>
      </c>
      <c r="G172" s="225" t="s">
        <v>294</v>
      </c>
      <c r="H172" s="226" t="s">
        <v>272</v>
      </c>
      <c r="I172" s="420">
        <v>749337</v>
      </c>
      <c r="J172" s="415">
        <v>553577</v>
      </c>
      <c r="K172" s="415">
        <v>0</v>
      </c>
      <c r="L172" s="415">
        <v>553577</v>
      </c>
      <c r="M172" s="415">
        <v>0</v>
      </c>
      <c r="N172" s="415">
        <v>0</v>
      </c>
      <c r="O172" s="415">
        <v>0</v>
      </c>
      <c r="P172" s="68">
        <v>187109</v>
      </c>
      <c r="Q172" s="68">
        <v>5536</v>
      </c>
      <c r="R172" s="415">
        <v>3115</v>
      </c>
      <c r="S172" s="416">
        <v>1.66</v>
      </c>
      <c r="T172" s="417">
        <v>0</v>
      </c>
      <c r="U172" s="423">
        <v>1.66</v>
      </c>
      <c r="V172" s="424">
        <f t="shared" si="252"/>
        <v>0</v>
      </c>
      <c r="W172" s="418">
        <f t="shared" si="252"/>
        <v>0</v>
      </c>
      <c r="X172" s="418">
        <v>0</v>
      </c>
      <c r="Y172" s="418">
        <v>0</v>
      </c>
      <c r="Z172" s="418">
        <v>0</v>
      </c>
      <c r="AA172" s="605">
        <v>278213</v>
      </c>
      <c r="AB172" s="418">
        <v>0</v>
      </c>
      <c r="AC172" s="418">
        <v>0</v>
      </c>
      <c r="AD172" s="418">
        <f t="shared" si="253"/>
        <v>0</v>
      </c>
      <c r="AE172" s="418">
        <f t="shared" si="254"/>
        <v>278213</v>
      </c>
      <c r="AF172" s="418">
        <f t="shared" si="255"/>
        <v>278213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si="256"/>
        <v>0</v>
      </c>
      <c r="AM172" s="418">
        <f t="shared" si="257"/>
        <v>0</v>
      </c>
      <c r="AN172" s="418">
        <f t="shared" si="258"/>
        <v>0</v>
      </c>
      <c r="AO172" s="418">
        <f t="shared" si="259"/>
        <v>0</v>
      </c>
      <c r="AP172" s="418">
        <f t="shared" si="259"/>
        <v>278213</v>
      </c>
      <c r="AQ172" s="418">
        <f t="shared" si="260"/>
        <v>278213</v>
      </c>
      <c r="AR172" s="68">
        <f t="shared" si="261"/>
        <v>94036</v>
      </c>
      <c r="AS172" s="68">
        <f t="shared" si="262"/>
        <v>2782</v>
      </c>
      <c r="AT172" s="418">
        <v>0</v>
      </c>
      <c r="AU172" s="605">
        <v>1513</v>
      </c>
      <c r="AV172" s="418">
        <f t="shared" si="263"/>
        <v>1513</v>
      </c>
      <c r="AW172" s="418">
        <f t="shared" si="264"/>
        <v>376544</v>
      </c>
      <c r="AX172" s="419">
        <v>0</v>
      </c>
      <c r="AY172" s="419">
        <v>0</v>
      </c>
      <c r="AZ172" s="419">
        <v>0</v>
      </c>
      <c r="BA172" s="419">
        <v>0</v>
      </c>
      <c r="BB172" s="607">
        <v>0.83000000000000029</v>
      </c>
      <c r="BC172" s="939">
        <v>0</v>
      </c>
      <c r="BD172" s="419">
        <v>0</v>
      </c>
      <c r="BE172" s="419">
        <v>0</v>
      </c>
      <c r="BF172" s="419">
        <f t="shared" si="265"/>
        <v>0</v>
      </c>
      <c r="BG172" s="419">
        <f t="shared" si="266"/>
        <v>0.83000000000000029</v>
      </c>
      <c r="BH172" s="421">
        <f t="shared" si="267"/>
        <v>0.83000000000000029</v>
      </c>
      <c r="BI172" s="780">
        <f t="shared" si="268"/>
        <v>1125881</v>
      </c>
      <c r="BJ172" s="418">
        <f t="shared" si="269"/>
        <v>831790</v>
      </c>
      <c r="BK172" s="418">
        <f t="shared" si="270"/>
        <v>0</v>
      </c>
      <c r="BL172" s="418">
        <f t="shared" si="270"/>
        <v>831790</v>
      </c>
      <c r="BM172" s="418">
        <f t="shared" si="271"/>
        <v>0</v>
      </c>
      <c r="BN172" s="418">
        <f t="shared" si="272"/>
        <v>0</v>
      </c>
      <c r="BO172" s="418">
        <f t="shared" si="272"/>
        <v>0</v>
      </c>
      <c r="BP172" s="418">
        <f t="shared" si="273"/>
        <v>281145</v>
      </c>
      <c r="BQ172" s="418">
        <f t="shared" si="273"/>
        <v>8318</v>
      </c>
      <c r="BR172" s="418">
        <f t="shared" si="274"/>
        <v>4628</v>
      </c>
      <c r="BS172" s="419">
        <f t="shared" si="275"/>
        <v>2.4900000000000002</v>
      </c>
      <c r="BT172" s="419">
        <f t="shared" si="276"/>
        <v>0</v>
      </c>
      <c r="BU172" s="421">
        <f t="shared" si="276"/>
        <v>2.4900000000000002</v>
      </c>
      <c r="BV172" s="420"/>
      <c r="BW172" s="415"/>
      <c r="BX172" s="415"/>
      <c r="BY172" s="415"/>
      <c r="BZ172" s="415"/>
      <c r="CA172" s="510"/>
    </row>
    <row r="173" spans="1:79" s="221" customFormat="1" ht="12.75" customHeight="1" x14ac:dyDescent="0.2">
      <c r="A173" s="223">
        <v>35</v>
      </c>
      <c r="B173" s="224">
        <v>3428</v>
      </c>
      <c r="C173" s="224">
        <v>600078311</v>
      </c>
      <c r="D173" s="224">
        <v>72742518</v>
      </c>
      <c r="E173" s="225" t="s">
        <v>77</v>
      </c>
      <c r="F173" s="224">
        <v>3143</v>
      </c>
      <c r="G173" s="225" t="s">
        <v>595</v>
      </c>
      <c r="H173" s="226" t="s">
        <v>271</v>
      </c>
      <c r="I173" s="420">
        <v>1306069</v>
      </c>
      <c r="J173" s="415">
        <v>968894</v>
      </c>
      <c r="K173" s="415">
        <v>968894</v>
      </c>
      <c r="L173" s="415">
        <v>0</v>
      </c>
      <c r="M173" s="415">
        <v>0</v>
      </c>
      <c r="N173" s="415">
        <v>0</v>
      </c>
      <c r="O173" s="415">
        <v>0</v>
      </c>
      <c r="P173" s="68">
        <v>327486</v>
      </c>
      <c r="Q173" s="68">
        <v>9689</v>
      </c>
      <c r="R173" s="415">
        <v>0</v>
      </c>
      <c r="S173" s="416">
        <v>2.0535999999999999</v>
      </c>
      <c r="T173" s="417">
        <v>2.0535999999999999</v>
      </c>
      <c r="U173" s="423">
        <v>0</v>
      </c>
      <c r="V173" s="424">
        <f t="shared" si="252"/>
        <v>0</v>
      </c>
      <c r="W173" s="418">
        <f t="shared" si="252"/>
        <v>0</v>
      </c>
      <c r="X173" s="418">
        <v>0</v>
      </c>
      <c r="Y173" s="418">
        <v>0</v>
      </c>
      <c r="Z173" s="418">
        <v>0</v>
      </c>
      <c r="AA173" s="418">
        <v>0</v>
      </c>
      <c r="AB173" s="418">
        <v>0</v>
      </c>
      <c r="AC173" s="418">
        <v>0</v>
      </c>
      <c r="AD173" s="418">
        <f t="shared" si="253"/>
        <v>0</v>
      </c>
      <c r="AE173" s="418">
        <f t="shared" si="254"/>
        <v>0</v>
      </c>
      <c r="AF173" s="418">
        <f t="shared" si="255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256"/>
        <v>0</v>
      </c>
      <c r="AM173" s="418">
        <f t="shared" si="257"/>
        <v>0</v>
      </c>
      <c r="AN173" s="418">
        <f t="shared" si="258"/>
        <v>0</v>
      </c>
      <c r="AO173" s="418">
        <f t="shared" si="259"/>
        <v>0</v>
      </c>
      <c r="AP173" s="418">
        <f t="shared" si="259"/>
        <v>0</v>
      </c>
      <c r="AQ173" s="418">
        <f t="shared" si="260"/>
        <v>0</v>
      </c>
      <c r="AR173" s="68">
        <f t="shared" si="261"/>
        <v>0</v>
      </c>
      <c r="AS173" s="68">
        <f t="shared" si="262"/>
        <v>0</v>
      </c>
      <c r="AT173" s="418">
        <v>0</v>
      </c>
      <c r="AU173" s="415">
        <v>0</v>
      </c>
      <c r="AV173" s="418">
        <f t="shared" si="263"/>
        <v>0</v>
      </c>
      <c r="AW173" s="418">
        <f t="shared" si="264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6">
        <v>0</v>
      </c>
      <c r="BC173" s="939">
        <v>0</v>
      </c>
      <c r="BD173" s="419">
        <v>0</v>
      </c>
      <c r="BE173" s="419">
        <v>0</v>
      </c>
      <c r="BF173" s="419">
        <f t="shared" si="265"/>
        <v>0</v>
      </c>
      <c r="BG173" s="419">
        <f t="shared" si="266"/>
        <v>0</v>
      </c>
      <c r="BH173" s="421">
        <f t="shared" si="267"/>
        <v>0</v>
      </c>
      <c r="BI173" s="780">
        <f t="shared" si="268"/>
        <v>1306069</v>
      </c>
      <c r="BJ173" s="418">
        <f t="shared" si="269"/>
        <v>968894</v>
      </c>
      <c r="BK173" s="418">
        <f t="shared" si="270"/>
        <v>968894</v>
      </c>
      <c r="BL173" s="418">
        <f t="shared" si="270"/>
        <v>0</v>
      </c>
      <c r="BM173" s="418">
        <f t="shared" si="271"/>
        <v>0</v>
      </c>
      <c r="BN173" s="418">
        <f t="shared" si="272"/>
        <v>0</v>
      </c>
      <c r="BO173" s="418">
        <f t="shared" si="272"/>
        <v>0</v>
      </c>
      <c r="BP173" s="418">
        <f t="shared" si="273"/>
        <v>327486</v>
      </c>
      <c r="BQ173" s="418">
        <f t="shared" si="273"/>
        <v>9689</v>
      </c>
      <c r="BR173" s="418">
        <f t="shared" si="274"/>
        <v>0</v>
      </c>
      <c r="BS173" s="419">
        <f t="shared" si="275"/>
        <v>2.0535999999999999</v>
      </c>
      <c r="BT173" s="419">
        <f t="shared" si="276"/>
        <v>2.0535999999999999</v>
      </c>
      <c r="BU173" s="421">
        <f t="shared" si="276"/>
        <v>0</v>
      </c>
      <c r="BV173" s="420"/>
      <c r="BW173" s="415"/>
      <c r="BX173" s="415"/>
      <c r="BY173" s="415"/>
      <c r="BZ173" s="415"/>
      <c r="CA173" s="510"/>
    </row>
    <row r="174" spans="1:79" s="221" customFormat="1" ht="12.75" customHeight="1" x14ac:dyDescent="0.2">
      <c r="A174" s="223">
        <v>35</v>
      </c>
      <c r="B174" s="224">
        <v>3428</v>
      </c>
      <c r="C174" s="224">
        <v>600078311</v>
      </c>
      <c r="D174" s="224">
        <v>72742518</v>
      </c>
      <c r="E174" s="225" t="s">
        <v>77</v>
      </c>
      <c r="F174" s="224">
        <v>3143</v>
      </c>
      <c r="G174" s="225" t="s">
        <v>596</v>
      </c>
      <c r="H174" s="226" t="s">
        <v>272</v>
      </c>
      <c r="I174" s="420">
        <v>21503</v>
      </c>
      <c r="J174" s="415">
        <v>15391</v>
      </c>
      <c r="K174" s="415">
        <v>0</v>
      </c>
      <c r="L174" s="415">
        <v>15391</v>
      </c>
      <c r="M174" s="415">
        <v>0</v>
      </c>
      <c r="N174" s="415">
        <v>0</v>
      </c>
      <c r="O174" s="415">
        <v>0</v>
      </c>
      <c r="P174" s="68">
        <v>5202</v>
      </c>
      <c r="Q174" s="68">
        <v>154</v>
      </c>
      <c r="R174" s="415">
        <v>756</v>
      </c>
      <c r="S174" s="416">
        <v>0.06</v>
      </c>
      <c r="T174" s="417">
        <v>0</v>
      </c>
      <c r="U174" s="423">
        <v>0.06</v>
      </c>
      <c r="V174" s="424">
        <f t="shared" si="252"/>
        <v>0</v>
      </c>
      <c r="W174" s="418">
        <f t="shared" si="252"/>
        <v>0</v>
      </c>
      <c r="X174" s="418">
        <v>0</v>
      </c>
      <c r="Y174" s="418">
        <v>0</v>
      </c>
      <c r="Z174" s="418">
        <v>0</v>
      </c>
      <c r="AA174" s="605">
        <v>7709</v>
      </c>
      <c r="AB174" s="418">
        <v>0</v>
      </c>
      <c r="AC174" s="418">
        <v>0</v>
      </c>
      <c r="AD174" s="418">
        <f t="shared" si="253"/>
        <v>0</v>
      </c>
      <c r="AE174" s="418">
        <f t="shared" si="254"/>
        <v>7709</v>
      </c>
      <c r="AF174" s="418">
        <f t="shared" si="255"/>
        <v>7709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256"/>
        <v>0</v>
      </c>
      <c r="AM174" s="418">
        <f t="shared" si="257"/>
        <v>0</v>
      </c>
      <c r="AN174" s="418">
        <f t="shared" si="258"/>
        <v>0</v>
      </c>
      <c r="AO174" s="418">
        <f t="shared" si="259"/>
        <v>0</v>
      </c>
      <c r="AP174" s="418">
        <f t="shared" si="259"/>
        <v>7709</v>
      </c>
      <c r="AQ174" s="418">
        <f t="shared" si="260"/>
        <v>7709</v>
      </c>
      <c r="AR174" s="68">
        <f t="shared" si="261"/>
        <v>2606</v>
      </c>
      <c r="AS174" s="68">
        <f t="shared" si="262"/>
        <v>77</v>
      </c>
      <c r="AT174" s="418">
        <v>0</v>
      </c>
      <c r="AU174" s="606">
        <v>378</v>
      </c>
      <c r="AV174" s="418">
        <f t="shared" si="263"/>
        <v>378</v>
      </c>
      <c r="AW174" s="418">
        <f t="shared" si="264"/>
        <v>10770</v>
      </c>
      <c r="AX174" s="419">
        <v>0</v>
      </c>
      <c r="AY174" s="419">
        <v>0</v>
      </c>
      <c r="AZ174" s="419">
        <v>0</v>
      </c>
      <c r="BA174" s="419">
        <v>0</v>
      </c>
      <c r="BB174" s="607">
        <v>0.03</v>
      </c>
      <c r="BC174" s="939">
        <v>0</v>
      </c>
      <c r="BD174" s="419">
        <v>0</v>
      </c>
      <c r="BE174" s="419">
        <v>0</v>
      </c>
      <c r="BF174" s="419">
        <f t="shared" si="265"/>
        <v>0</v>
      </c>
      <c r="BG174" s="419">
        <f t="shared" si="266"/>
        <v>0.03</v>
      </c>
      <c r="BH174" s="421">
        <f t="shared" si="267"/>
        <v>0.03</v>
      </c>
      <c r="BI174" s="780">
        <f t="shared" si="268"/>
        <v>32273</v>
      </c>
      <c r="BJ174" s="418">
        <f t="shared" si="269"/>
        <v>23100</v>
      </c>
      <c r="BK174" s="418">
        <f t="shared" si="270"/>
        <v>0</v>
      </c>
      <c r="BL174" s="418">
        <f t="shared" si="270"/>
        <v>23100</v>
      </c>
      <c r="BM174" s="418">
        <f t="shared" si="271"/>
        <v>0</v>
      </c>
      <c r="BN174" s="418">
        <f t="shared" si="272"/>
        <v>0</v>
      </c>
      <c r="BO174" s="418">
        <f t="shared" si="272"/>
        <v>0</v>
      </c>
      <c r="BP174" s="418">
        <f t="shared" si="273"/>
        <v>7808</v>
      </c>
      <c r="BQ174" s="418">
        <f t="shared" si="273"/>
        <v>231</v>
      </c>
      <c r="BR174" s="418">
        <f t="shared" si="274"/>
        <v>1134</v>
      </c>
      <c r="BS174" s="419">
        <f t="shared" si="275"/>
        <v>0.09</v>
      </c>
      <c r="BT174" s="419">
        <f t="shared" si="276"/>
        <v>0</v>
      </c>
      <c r="BU174" s="421">
        <f t="shared" si="276"/>
        <v>0.09</v>
      </c>
      <c r="BV174" s="420"/>
      <c r="BW174" s="415"/>
      <c r="BX174" s="415"/>
      <c r="BY174" s="415"/>
      <c r="BZ174" s="415"/>
      <c r="CA174" s="510"/>
    </row>
    <row r="175" spans="1:79" s="221" customFormat="1" ht="12.75" customHeight="1" x14ac:dyDescent="0.2">
      <c r="A175" s="153">
        <v>35</v>
      </c>
      <c r="B175" s="14">
        <v>3428</v>
      </c>
      <c r="C175" s="152">
        <v>600078311</v>
      </c>
      <c r="D175" s="152">
        <v>72742518</v>
      </c>
      <c r="E175" s="222" t="s">
        <v>78</v>
      </c>
      <c r="F175" s="14"/>
      <c r="G175" s="222"/>
      <c r="H175" s="560"/>
      <c r="I175" s="505">
        <v>11023821</v>
      </c>
      <c r="J175" s="504">
        <v>8121577</v>
      </c>
      <c r="K175" s="504">
        <v>7025271</v>
      </c>
      <c r="L175" s="504">
        <v>1096306</v>
      </c>
      <c r="M175" s="504">
        <v>0</v>
      </c>
      <c r="N175" s="504">
        <v>0</v>
      </c>
      <c r="O175" s="504">
        <v>0</v>
      </c>
      <c r="P175" s="504">
        <v>2745093</v>
      </c>
      <c r="Q175" s="504">
        <v>81216</v>
      </c>
      <c r="R175" s="504">
        <v>75935</v>
      </c>
      <c r="S175" s="544">
        <v>16.621399999999998</v>
      </c>
      <c r="T175" s="544">
        <v>13.268099999999999</v>
      </c>
      <c r="U175" s="401">
        <v>3.3532999999999995</v>
      </c>
      <c r="V175" s="505">
        <f t="shared" ref="V175:CA175" si="277">SUM(V169:V174)</f>
        <v>0</v>
      </c>
      <c r="W175" s="504">
        <f t="shared" si="277"/>
        <v>0</v>
      </c>
      <c r="X175" s="504">
        <f t="shared" si="277"/>
        <v>0</v>
      </c>
      <c r="Y175" s="504">
        <f t="shared" si="277"/>
        <v>0</v>
      </c>
      <c r="Z175" s="504">
        <f t="shared" si="277"/>
        <v>0</v>
      </c>
      <c r="AA175" s="575">
        <f t="shared" si="277"/>
        <v>285922</v>
      </c>
      <c r="AB175" s="504">
        <f t="shared" si="277"/>
        <v>0</v>
      </c>
      <c r="AC175" s="504">
        <f t="shared" si="277"/>
        <v>0</v>
      </c>
      <c r="AD175" s="504">
        <f t="shared" si="277"/>
        <v>0</v>
      </c>
      <c r="AE175" s="504">
        <f t="shared" si="277"/>
        <v>285922</v>
      </c>
      <c r="AF175" s="504">
        <f t="shared" si="277"/>
        <v>285922</v>
      </c>
      <c r="AG175" s="504">
        <f t="shared" si="277"/>
        <v>0</v>
      </c>
      <c r="AH175" s="504">
        <f t="shared" si="277"/>
        <v>0</v>
      </c>
      <c r="AI175" s="504">
        <f t="shared" si="277"/>
        <v>0</v>
      </c>
      <c r="AJ175" s="504">
        <f t="shared" si="277"/>
        <v>0</v>
      </c>
      <c r="AK175" s="504">
        <f t="shared" si="277"/>
        <v>0</v>
      </c>
      <c r="AL175" s="504">
        <f t="shared" si="277"/>
        <v>0</v>
      </c>
      <c r="AM175" s="504">
        <f t="shared" si="277"/>
        <v>0</v>
      </c>
      <c r="AN175" s="504">
        <f t="shared" si="277"/>
        <v>0</v>
      </c>
      <c r="AO175" s="504">
        <f t="shared" si="277"/>
        <v>0</v>
      </c>
      <c r="AP175" s="504">
        <f t="shared" si="277"/>
        <v>285922</v>
      </c>
      <c r="AQ175" s="504">
        <f t="shared" si="277"/>
        <v>285922</v>
      </c>
      <c r="AR175" s="504">
        <f t="shared" si="277"/>
        <v>96642</v>
      </c>
      <c r="AS175" s="504">
        <f t="shared" si="277"/>
        <v>2859</v>
      </c>
      <c r="AT175" s="504">
        <f t="shared" si="277"/>
        <v>0</v>
      </c>
      <c r="AU175" s="504">
        <f t="shared" si="277"/>
        <v>1891</v>
      </c>
      <c r="AV175" s="504">
        <f t="shared" si="277"/>
        <v>1891</v>
      </c>
      <c r="AW175" s="504">
        <f t="shared" si="277"/>
        <v>387314</v>
      </c>
      <c r="AX175" s="544">
        <f t="shared" si="277"/>
        <v>0</v>
      </c>
      <c r="AY175" s="544">
        <f t="shared" si="277"/>
        <v>0</v>
      </c>
      <c r="AZ175" s="544">
        <f t="shared" si="277"/>
        <v>0</v>
      </c>
      <c r="BA175" s="544">
        <f t="shared" si="277"/>
        <v>0</v>
      </c>
      <c r="BB175" s="544">
        <f t="shared" si="277"/>
        <v>0.86000000000000032</v>
      </c>
      <c r="BC175" s="938">
        <f t="shared" si="277"/>
        <v>0</v>
      </c>
      <c r="BD175" s="544">
        <f t="shared" si="277"/>
        <v>0</v>
      </c>
      <c r="BE175" s="544">
        <f t="shared" si="277"/>
        <v>0</v>
      </c>
      <c r="BF175" s="544">
        <f t="shared" si="277"/>
        <v>0</v>
      </c>
      <c r="BG175" s="544">
        <f t="shared" si="277"/>
        <v>0.86000000000000032</v>
      </c>
      <c r="BH175" s="442">
        <f t="shared" si="277"/>
        <v>0.86000000000000032</v>
      </c>
      <c r="BI175" s="806">
        <f t="shared" si="277"/>
        <v>11411135</v>
      </c>
      <c r="BJ175" s="504">
        <f t="shared" si="277"/>
        <v>8407499</v>
      </c>
      <c r="BK175" s="504">
        <f t="shared" si="277"/>
        <v>7025271</v>
      </c>
      <c r="BL175" s="504">
        <f t="shared" si="277"/>
        <v>1382228</v>
      </c>
      <c r="BM175" s="504">
        <f t="shared" si="277"/>
        <v>0</v>
      </c>
      <c r="BN175" s="504">
        <f t="shared" si="277"/>
        <v>0</v>
      </c>
      <c r="BO175" s="504">
        <f t="shared" si="277"/>
        <v>0</v>
      </c>
      <c r="BP175" s="504">
        <f t="shared" si="277"/>
        <v>2841735</v>
      </c>
      <c r="BQ175" s="504">
        <f t="shared" si="277"/>
        <v>84075</v>
      </c>
      <c r="BR175" s="504">
        <f t="shared" si="277"/>
        <v>77826</v>
      </c>
      <c r="BS175" s="544">
        <f t="shared" si="277"/>
        <v>17.481400000000001</v>
      </c>
      <c r="BT175" s="544">
        <f t="shared" si="277"/>
        <v>13.268099999999999</v>
      </c>
      <c r="BU175" s="442">
        <f t="shared" si="277"/>
        <v>4.2133000000000003</v>
      </c>
      <c r="BV175" s="824">
        <f t="shared" si="277"/>
        <v>0</v>
      </c>
      <c r="BW175" s="710">
        <f t="shared" si="277"/>
        <v>0</v>
      </c>
      <c r="BX175" s="710">
        <f t="shared" si="277"/>
        <v>0</v>
      </c>
      <c r="BY175" s="710">
        <f t="shared" si="277"/>
        <v>0</v>
      </c>
      <c r="BZ175" s="710">
        <f t="shared" si="277"/>
        <v>0</v>
      </c>
      <c r="CA175" s="825">
        <f t="shared" si="277"/>
        <v>0</v>
      </c>
    </row>
    <row r="176" spans="1:79" s="221" customFormat="1" ht="12.75" customHeight="1" x14ac:dyDescent="0.2">
      <c r="A176" s="223">
        <v>36</v>
      </c>
      <c r="B176" s="224">
        <v>3433</v>
      </c>
      <c r="C176" s="224">
        <v>600078043</v>
      </c>
      <c r="D176" s="224">
        <v>70695130</v>
      </c>
      <c r="E176" s="225" t="s">
        <v>79</v>
      </c>
      <c r="F176" s="224">
        <v>3111</v>
      </c>
      <c r="G176" s="225" t="s">
        <v>290</v>
      </c>
      <c r="H176" s="226" t="s">
        <v>271</v>
      </c>
      <c r="I176" s="420">
        <v>3513505</v>
      </c>
      <c r="J176" s="415">
        <v>2598139</v>
      </c>
      <c r="K176" s="415">
        <v>2363019</v>
      </c>
      <c r="L176" s="415">
        <v>235120</v>
      </c>
      <c r="M176" s="415">
        <v>0</v>
      </c>
      <c r="N176" s="415">
        <v>0</v>
      </c>
      <c r="O176" s="415">
        <v>0</v>
      </c>
      <c r="P176" s="68">
        <v>878171</v>
      </c>
      <c r="Q176" s="68">
        <v>25981</v>
      </c>
      <c r="R176" s="415">
        <v>11214</v>
      </c>
      <c r="S176" s="416">
        <v>4.8001000000000005</v>
      </c>
      <c r="T176" s="417">
        <v>4</v>
      </c>
      <c r="U176" s="423">
        <v>0.80010000000000003</v>
      </c>
      <c r="V176" s="424">
        <f>AG176*-1</f>
        <v>0</v>
      </c>
      <c r="W176" s="418">
        <f>AH176*-1</f>
        <v>0</v>
      </c>
      <c r="X176" s="418">
        <v>0</v>
      </c>
      <c r="Y176" s="418">
        <v>0</v>
      </c>
      <c r="Z176" s="418">
        <v>0</v>
      </c>
      <c r="AA176" s="418">
        <v>0</v>
      </c>
      <c r="AB176" s="418">
        <v>0</v>
      </c>
      <c r="AC176" s="418">
        <v>0</v>
      </c>
      <c r="AD176" s="418">
        <f>V176+X176+Y176+Z176+AB176</f>
        <v>0</v>
      </c>
      <c r="AE176" s="418">
        <f>W176+AA176+AC176</f>
        <v>0</v>
      </c>
      <c r="AF176" s="418">
        <f>SUM(AD176:AE176)</f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>AG176+AI176+AJ176</f>
        <v>0</v>
      </c>
      <c r="AM176" s="418">
        <f>AH176+AK176</f>
        <v>0</v>
      </c>
      <c r="AN176" s="418">
        <f>SUM(AL176:AM176)</f>
        <v>0</v>
      </c>
      <c r="AO176" s="418">
        <f>AD176+AL176</f>
        <v>0</v>
      </c>
      <c r="AP176" s="418">
        <f>AE176+AM176</f>
        <v>0</v>
      </c>
      <c r="AQ176" s="418">
        <f>SUM(AO176:AP176)</f>
        <v>0</v>
      </c>
      <c r="AR176" s="68">
        <f>ROUND((AF176+AG176+AH176+AI176)*33.8%,0)</f>
        <v>0</v>
      </c>
      <c r="AS176" s="68">
        <f>ROUND(AF176*1%,0)</f>
        <v>0</v>
      </c>
      <c r="AT176" s="418">
        <v>0</v>
      </c>
      <c r="AU176" s="415">
        <v>0</v>
      </c>
      <c r="AV176" s="418">
        <f>AT176+AU176</f>
        <v>0</v>
      </c>
      <c r="AW176" s="418">
        <f>AQ176+AR176+AS176+AV176</f>
        <v>0</v>
      </c>
      <c r="AX176" s="419">
        <v>0</v>
      </c>
      <c r="AY176" s="419">
        <v>0</v>
      </c>
      <c r="AZ176" s="419">
        <v>0</v>
      </c>
      <c r="BA176" s="419">
        <v>0</v>
      </c>
      <c r="BB176" s="416">
        <v>0</v>
      </c>
      <c r="BC176" s="939">
        <v>0</v>
      </c>
      <c r="BD176" s="419">
        <v>0</v>
      </c>
      <c r="BE176" s="419">
        <v>0</v>
      </c>
      <c r="BF176" s="419">
        <f>AX176+AZ176+BA176+BC176+BD176</f>
        <v>0</v>
      </c>
      <c r="BG176" s="419">
        <f>AY176+BB176+BE176</f>
        <v>0</v>
      </c>
      <c r="BH176" s="421">
        <f>SUM(BF176:BG176)</f>
        <v>0</v>
      </c>
      <c r="BI176" s="780">
        <f>I176+AW176</f>
        <v>3513505</v>
      </c>
      <c r="BJ176" s="418">
        <f>J176+AF176</f>
        <v>2598139</v>
      </c>
      <c r="BK176" s="418">
        <f>K176+AD176</f>
        <v>2363019</v>
      </c>
      <c r="BL176" s="418">
        <f>L176+AE176</f>
        <v>235120</v>
      </c>
      <c r="BM176" s="418">
        <f>M176+AN176</f>
        <v>0</v>
      </c>
      <c r="BN176" s="418">
        <f>N176+AL176</f>
        <v>0</v>
      </c>
      <c r="BO176" s="418">
        <f>O176+AM176</f>
        <v>0</v>
      </c>
      <c r="BP176" s="418">
        <f>P176+AR176</f>
        <v>878171</v>
      </c>
      <c r="BQ176" s="418">
        <f>Q176+AS176</f>
        <v>25981</v>
      </c>
      <c r="BR176" s="418">
        <f>R176+AV176</f>
        <v>11214</v>
      </c>
      <c r="BS176" s="419">
        <f>S176+BH176</f>
        <v>4.8001000000000005</v>
      </c>
      <c r="BT176" s="419">
        <f>T176+BF176</f>
        <v>4</v>
      </c>
      <c r="BU176" s="421">
        <f>U176+BG176</f>
        <v>0.80010000000000003</v>
      </c>
      <c r="BV176" s="420"/>
      <c r="BW176" s="415"/>
      <c r="BX176" s="415"/>
      <c r="BY176" s="415"/>
      <c r="BZ176" s="415"/>
      <c r="CA176" s="510"/>
    </row>
    <row r="177" spans="1:79" s="221" customFormat="1" ht="12.75" customHeight="1" x14ac:dyDescent="0.2">
      <c r="A177" s="223">
        <v>36</v>
      </c>
      <c r="B177" s="224">
        <v>3433</v>
      </c>
      <c r="C177" s="224">
        <v>600078043</v>
      </c>
      <c r="D177" s="224">
        <v>70695130</v>
      </c>
      <c r="E177" s="225" t="s">
        <v>79</v>
      </c>
      <c r="F177" s="224">
        <v>3141</v>
      </c>
      <c r="G177" s="225" t="s">
        <v>294</v>
      </c>
      <c r="H177" s="226" t="s">
        <v>272</v>
      </c>
      <c r="I177" s="420">
        <v>412027</v>
      </c>
      <c r="J177" s="415">
        <v>304567</v>
      </c>
      <c r="K177" s="415">
        <v>0</v>
      </c>
      <c r="L177" s="415">
        <v>304567</v>
      </c>
      <c r="M177" s="415">
        <v>0</v>
      </c>
      <c r="N177" s="415">
        <v>0</v>
      </c>
      <c r="O177" s="415">
        <v>0</v>
      </c>
      <c r="P177" s="68">
        <v>102944</v>
      </c>
      <c r="Q177" s="68">
        <v>3046</v>
      </c>
      <c r="R177" s="415">
        <v>1470</v>
      </c>
      <c r="S177" s="416">
        <v>0.91</v>
      </c>
      <c r="T177" s="417">
        <v>0</v>
      </c>
      <c r="U177" s="423">
        <v>0.91</v>
      </c>
      <c r="V177" s="424">
        <f>AG177*-1</f>
        <v>0</v>
      </c>
      <c r="W177" s="418">
        <f>AH177*-1</f>
        <v>0</v>
      </c>
      <c r="X177" s="418">
        <v>0</v>
      </c>
      <c r="Y177" s="418">
        <v>0</v>
      </c>
      <c r="Z177" s="418">
        <v>0</v>
      </c>
      <c r="AA177" s="605">
        <v>151416</v>
      </c>
      <c r="AB177" s="418">
        <v>0</v>
      </c>
      <c r="AC177" s="418">
        <v>0</v>
      </c>
      <c r="AD177" s="418">
        <f>V177+X177+Y177+Z177+AB177</f>
        <v>0</v>
      </c>
      <c r="AE177" s="418">
        <f>W177+AA177+AC177</f>
        <v>151416</v>
      </c>
      <c r="AF177" s="418">
        <f>SUM(AD177:AE177)</f>
        <v>151416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>AG177+AI177+AJ177</f>
        <v>0</v>
      </c>
      <c r="AM177" s="418">
        <f>AH177+AK177</f>
        <v>0</v>
      </c>
      <c r="AN177" s="418">
        <f>SUM(AL177:AM177)</f>
        <v>0</v>
      </c>
      <c r="AO177" s="418">
        <f>AD177+AL177</f>
        <v>0</v>
      </c>
      <c r="AP177" s="418">
        <f>AE177+AM177</f>
        <v>151416</v>
      </c>
      <c r="AQ177" s="418">
        <f>SUM(AO177:AP177)</f>
        <v>151416</v>
      </c>
      <c r="AR177" s="68">
        <f>ROUND((AF177+AG177+AH177+AI177)*33.8%,0)</f>
        <v>51179</v>
      </c>
      <c r="AS177" s="68">
        <f>ROUND(AF177*1%,0)</f>
        <v>1514</v>
      </c>
      <c r="AT177" s="418">
        <v>0</v>
      </c>
      <c r="AU177" s="605">
        <v>714</v>
      </c>
      <c r="AV177" s="418">
        <f>AT177+AU177</f>
        <v>714</v>
      </c>
      <c r="AW177" s="418">
        <f>AQ177+AR177+AS177+AV177</f>
        <v>204823</v>
      </c>
      <c r="AX177" s="419">
        <v>0</v>
      </c>
      <c r="AY177" s="419">
        <v>0</v>
      </c>
      <c r="AZ177" s="419">
        <v>0</v>
      </c>
      <c r="BA177" s="419">
        <v>0</v>
      </c>
      <c r="BB177" s="607">
        <v>0.46</v>
      </c>
      <c r="BC177" s="939">
        <v>0</v>
      </c>
      <c r="BD177" s="419">
        <v>0</v>
      </c>
      <c r="BE177" s="419">
        <v>0</v>
      </c>
      <c r="BF177" s="419">
        <f>AX177+AZ177+BA177+BC177+BD177</f>
        <v>0</v>
      </c>
      <c r="BG177" s="419">
        <f>AY177+BB177+BE177</f>
        <v>0.46</v>
      </c>
      <c r="BH177" s="421">
        <f>SUM(BF177:BG177)</f>
        <v>0.46</v>
      </c>
      <c r="BI177" s="780">
        <f>I177+AW177</f>
        <v>616850</v>
      </c>
      <c r="BJ177" s="418">
        <f>J177+AF177</f>
        <v>455983</v>
      </c>
      <c r="BK177" s="418">
        <f>K177+AD177</f>
        <v>0</v>
      </c>
      <c r="BL177" s="418">
        <f>L177+AE177</f>
        <v>455983</v>
      </c>
      <c r="BM177" s="418">
        <f>M177+AN177</f>
        <v>0</v>
      </c>
      <c r="BN177" s="418">
        <f>N177+AL177</f>
        <v>0</v>
      </c>
      <c r="BO177" s="418">
        <f>O177+AM177</f>
        <v>0</v>
      </c>
      <c r="BP177" s="418">
        <f>P177+AR177</f>
        <v>154123</v>
      </c>
      <c r="BQ177" s="418">
        <f>Q177+AS177</f>
        <v>4560</v>
      </c>
      <c r="BR177" s="418">
        <f>R177+AV177</f>
        <v>2184</v>
      </c>
      <c r="BS177" s="419">
        <f>S177+BH177</f>
        <v>1.37</v>
      </c>
      <c r="BT177" s="419">
        <f>T177+BF177</f>
        <v>0</v>
      </c>
      <c r="BU177" s="421">
        <f>U177+BG177</f>
        <v>1.37</v>
      </c>
      <c r="BV177" s="420"/>
      <c r="BW177" s="415"/>
      <c r="BX177" s="415"/>
      <c r="BY177" s="415"/>
      <c r="BZ177" s="415"/>
      <c r="CA177" s="510"/>
    </row>
    <row r="178" spans="1:79" s="221" customFormat="1" ht="12.75" customHeight="1" x14ac:dyDescent="0.2">
      <c r="A178" s="153">
        <v>36</v>
      </c>
      <c r="B178" s="14">
        <v>3433</v>
      </c>
      <c r="C178" s="152">
        <v>600078043</v>
      </c>
      <c r="D178" s="152">
        <v>70695130</v>
      </c>
      <c r="E178" s="222" t="s">
        <v>80</v>
      </c>
      <c r="F178" s="14"/>
      <c r="G178" s="222"/>
      <c r="H178" s="560"/>
      <c r="I178" s="505">
        <v>3925532</v>
      </c>
      <c r="J178" s="504">
        <v>2902706</v>
      </c>
      <c r="K178" s="504">
        <v>2363019</v>
      </c>
      <c r="L178" s="504">
        <v>539687</v>
      </c>
      <c r="M178" s="504">
        <v>0</v>
      </c>
      <c r="N178" s="504">
        <v>0</v>
      </c>
      <c r="O178" s="504">
        <v>0</v>
      </c>
      <c r="P178" s="504">
        <v>981115</v>
      </c>
      <c r="Q178" s="504">
        <v>29027</v>
      </c>
      <c r="R178" s="504">
        <v>12684</v>
      </c>
      <c r="S178" s="544">
        <v>5.7101000000000006</v>
      </c>
      <c r="T178" s="544">
        <v>4</v>
      </c>
      <c r="U178" s="401">
        <v>1.7101000000000002</v>
      </c>
      <c r="V178" s="505">
        <f t="shared" ref="V178:CA178" si="278">SUM(V176:V177)</f>
        <v>0</v>
      </c>
      <c r="W178" s="504">
        <f t="shared" si="278"/>
        <v>0</v>
      </c>
      <c r="X178" s="504">
        <f t="shared" si="278"/>
        <v>0</v>
      </c>
      <c r="Y178" s="504">
        <f t="shared" si="278"/>
        <v>0</v>
      </c>
      <c r="Z178" s="504">
        <f t="shared" si="278"/>
        <v>0</v>
      </c>
      <c r="AA178" s="575">
        <f t="shared" si="278"/>
        <v>151416</v>
      </c>
      <c r="AB178" s="504">
        <f t="shared" si="278"/>
        <v>0</v>
      </c>
      <c r="AC178" s="504">
        <f t="shared" si="278"/>
        <v>0</v>
      </c>
      <c r="AD178" s="504">
        <f t="shared" si="278"/>
        <v>0</v>
      </c>
      <c r="AE178" s="504">
        <f t="shared" si="278"/>
        <v>151416</v>
      </c>
      <c r="AF178" s="504">
        <f t="shared" si="278"/>
        <v>151416</v>
      </c>
      <c r="AG178" s="504">
        <f t="shared" si="278"/>
        <v>0</v>
      </c>
      <c r="AH178" s="504">
        <f t="shared" si="278"/>
        <v>0</v>
      </c>
      <c r="AI178" s="504">
        <f t="shared" si="278"/>
        <v>0</v>
      </c>
      <c r="AJ178" s="504">
        <f t="shared" si="278"/>
        <v>0</v>
      </c>
      <c r="AK178" s="504">
        <f t="shared" si="278"/>
        <v>0</v>
      </c>
      <c r="AL178" s="504">
        <f t="shared" si="278"/>
        <v>0</v>
      </c>
      <c r="AM178" s="504">
        <f t="shared" si="278"/>
        <v>0</v>
      </c>
      <c r="AN178" s="504">
        <f t="shared" si="278"/>
        <v>0</v>
      </c>
      <c r="AO178" s="504">
        <f t="shared" si="278"/>
        <v>0</v>
      </c>
      <c r="AP178" s="504">
        <f t="shared" si="278"/>
        <v>151416</v>
      </c>
      <c r="AQ178" s="504">
        <f t="shared" si="278"/>
        <v>151416</v>
      </c>
      <c r="AR178" s="504">
        <f t="shared" si="278"/>
        <v>51179</v>
      </c>
      <c r="AS178" s="504">
        <f t="shared" si="278"/>
        <v>1514</v>
      </c>
      <c r="AT178" s="504">
        <f t="shared" si="278"/>
        <v>0</v>
      </c>
      <c r="AU178" s="504">
        <f t="shared" si="278"/>
        <v>714</v>
      </c>
      <c r="AV178" s="504">
        <f t="shared" si="278"/>
        <v>714</v>
      </c>
      <c r="AW178" s="504">
        <f t="shared" si="278"/>
        <v>204823</v>
      </c>
      <c r="AX178" s="544">
        <f t="shared" si="278"/>
        <v>0</v>
      </c>
      <c r="AY178" s="544">
        <f t="shared" si="278"/>
        <v>0</v>
      </c>
      <c r="AZ178" s="544">
        <f t="shared" si="278"/>
        <v>0</v>
      </c>
      <c r="BA178" s="544">
        <f t="shared" si="278"/>
        <v>0</v>
      </c>
      <c r="BB178" s="544">
        <f t="shared" si="278"/>
        <v>0.46</v>
      </c>
      <c r="BC178" s="938">
        <f t="shared" si="278"/>
        <v>0</v>
      </c>
      <c r="BD178" s="544">
        <f t="shared" si="278"/>
        <v>0</v>
      </c>
      <c r="BE178" s="544">
        <f t="shared" si="278"/>
        <v>0</v>
      </c>
      <c r="BF178" s="544">
        <f t="shared" si="278"/>
        <v>0</v>
      </c>
      <c r="BG178" s="544">
        <f t="shared" si="278"/>
        <v>0.46</v>
      </c>
      <c r="BH178" s="442">
        <f t="shared" si="278"/>
        <v>0.46</v>
      </c>
      <c r="BI178" s="806">
        <f t="shared" si="278"/>
        <v>4130355</v>
      </c>
      <c r="BJ178" s="504">
        <f t="shared" si="278"/>
        <v>3054122</v>
      </c>
      <c r="BK178" s="504">
        <f t="shared" si="278"/>
        <v>2363019</v>
      </c>
      <c r="BL178" s="504">
        <f t="shared" si="278"/>
        <v>691103</v>
      </c>
      <c r="BM178" s="504">
        <f t="shared" si="278"/>
        <v>0</v>
      </c>
      <c r="BN178" s="504">
        <f t="shared" si="278"/>
        <v>0</v>
      </c>
      <c r="BO178" s="504">
        <f t="shared" si="278"/>
        <v>0</v>
      </c>
      <c r="BP178" s="504">
        <f t="shared" si="278"/>
        <v>1032294</v>
      </c>
      <c r="BQ178" s="504">
        <f t="shared" si="278"/>
        <v>30541</v>
      </c>
      <c r="BR178" s="504">
        <f t="shared" si="278"/>
        <v>13398</v>
      </c>
      <c r="BS178" s="544">
        <f t="shared" si="278"/>
        <v>6.1701000000000006</v>
      </c>
      <c r="BT178" s="544">
        <f t="shared" si="278"/>
        <v>4</v>
      </c>
      <c r="BU178" s="442">
        <f t="shared" si="278"/>
        <v>2.1701000000000001</v>
      </c>
      <c r="BV178" s="824">
        <f t="shared" si="278"/>
        <v>0</v>
      </c>
      <c r="BW178" s="710">
        <f t="shared" si="278"/>
        <v>0</v>
      </c>
      <c r="BX178" s="710">
        <f t="shared" si="278"/>
        <v>0</v>
      </c>
      <c r="BY178" s="710">
        <f t="shared" si="278"/>
        <v>0</v>
      </c>
      <c r="BZ178" s="710">
        <f t="shared" si="278"/>
        <v>0</v>
      </c>
      <c r="CA178" s="825">
        <f t="shared" si="278"/>
        <v>0</v>
      </c>
    </row>
    <row r="179" spans="1:79" s="221" customFormat="1" ht="12.75" customHeight="1" x14ac:dyDescent="0.2">
      <c r="A179" s="223">
        <v>37</v>
      </c>
      <c r="B179" s="224">
        <v>3432</v>
      </c>
      <c r="C179" s="224">
        <v>600078329</v>
      </c>
      <c r="D179" s="224">
        <v>70695121</v>
      </c>
      <c r="E179" s="225" t="s">
        <v>81</v>
      </c>
      <c r="F179" s="224">
        <v>3117</v>
      </c>
      <c r="G179" s="225" t="s">
        <v>293</v>
      </c>
      <c r="H179" s="226" t="s">
        <v>271</v>
      </c>
      <c r="I179" s="420">
        <v>5070460</v>
      </c>
      <c r="J179" s="415">
        <v>3704591</v>
      </c>
      <c r="K179" s="415">
        <v>3325789</v>
      </c>
      <c r="L179" s="415">
        <v>378802</v>
      </c>
      <c r="M179" s="415">
        <v>0</v>
      </c>
      <c r="N179" s="415">
        <v>0</v>
      </c>
      <c r="O179" s="415">
        <v>0</v>
      </c>
      <c r="P179" s="68">
        <v>1252152</v>
      </c>
      <c r="Q179" s="68">
        <v>37046</v>
      </c>
      <c r="R179" s="415">
        <v>76671</v>
      </c>
      <c r="S179" s="416">
        <v>6.3671000000000006</v>
      </c>
      <c r="T179" s="417">
        <v>5.3939000000000004</v>
      </c>
      <c r="U179" s="423">
        <v>0.97320000000000007</v>
      </c>
      <c r="V179" s="424">
        <f t="shared" ref="V179:W183" si="279">AG179*-1</f>
        <v>0</v>
      </c>
      <c r="W179" s="418">
        <f t="shared" si="279"/>
        <v>0</v>
      </c>
      <c r="X179" s="418">
        <v>0</v>
      </c>
      <c r="Y179" s="418">
        <v>0</v>
      </c>
      <c r="Z179" s="418">
        <v>0</v>
      </c>
      <c r="AA179" s="418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>SUM(AD179:AE179)</f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>AG179+AI179+AJ179</f>
        <v>0</v>
      </c>
      <c r="AM179" s="418">
        <f>AH179+AK179</f>
        <v>0</v>
      </c>
      <c r="AN179" s="418">
        <f>SUM(AL179:AM179)</f>
        <v>0</v>
      </c>
      <c r="AO179" s="418">
        <f t="shared" ref="AO179:AP183" si="280">AD179+AL179</f>
        <v>0</v>
      </c>
      <c r="AP179" s="418">
        <f t="shared" si="280"/>
        <v>0</v>
      </c>
      <c r="AQ179" s="418">
        <f>SUM(AO179:AP179)</f>
        <v>0</v>
      </c>
      <c r="AR179" s="68">
        <f>ROUND((AF179+AG179+AH179+AI179)*33.8%,0)</f>
        <v>0</v>
      </c>
      <c r="AS179" s="68">
        <f>ROUND(AF179*1%,0)</f>
        <v>0</v>
      </c>
      <c r="AT179" s="418">
        <v>0</v>
      </c>
      <c r="AU179" s="415">
        <v>0</v>
      </c>
      <c r="AV179" s="418">
        <f>AT179+AU179</f>
        <v>0</v>
      </c>
      <c r="AW179" s="418">
        <f>AQ179+AR179+AS179+AV179</f>
        <v>0</v>
      </c>
      <c r="AX179" s="419">
        <v>0</v>
      </c>
      <c r="AY179" s="419">
        <v>0</v>
      </c>
      <c r="AZ179" s="419">
        <v>0</v>
      </c>
      <c r="BA179" s="419">
        <v>0</v>
      </c>
      <c r="BB179" s="416">
        <v>0</v>
      </c>
      <c r="BC179" s="939">
        <v>0</v>
      </c>
      <c r="BD179" s="419">
        <v>0</v>
      </c>
      <c r="BE179" s="419">
        <v>0</v>
      </c>
      <c r="BF179" s="419">
        <f>AX179+AZ179+BA179+BC179+BD179</f>
        <v>0</v>
      </c>
      <c r="BG179" s="419">
        <f>AY179+BB179+BE179</f>
        <v>0</v>
      </c>
      <c r="BH179" s="421">
        <f>SUM(BF179:BG179)</f>
        <v>0</v>
      </c>
      <c r="BI179" s="780">
        <f>I179+AW179</f>
        <v>5070460</v>
      </c>
      <c r="BJ179" s="418">
        <f>J179+AF179</f>
        <v>3704591</v>
      </c>
      <c r="BK179" s="418">
        <f t="shared" ref="BK179:BL183" si="281">K179+AD179</f>
        <v>3325789</v>
      </c>
      <c r="BL179" s="418">
        <f t="shared" si="281"/>
        <v>378802</v>
      </c>
      <c r="BM179" s="418">
        <f>M179+AN179</f>
        <v>0</v>
      </c>
      <c r="BN179" s="418">
        <f t="shared" ref="BN179:BO183" si="282">N179+AL179</f>
        <v>0</v>
      </c>
      <c r="BO179" s="418">
        <f t="shared" si="282"/>
        <v>0</v>
      </c>
      <c r="BP179" s="418">
        <f t="shared" ref="BP179:BQ183" si="283">P179+AR179</f>
        <v>1252152</v>
      </c>
      <c r="BQ179" s="418">
        <f t="shared" si="283"/>
        <v>37046</v>
      </c>
      <c r="BR179" s="418">
        <f>R179+AV179</f>
        <v>76671</v>
      </c>
      <c r="BS179" s="419">
        <f>S179+BH179</f>
        <v>6.3671000000000006</v>
      </c>
      <c r="BT179" s="419">
        <f t="shared" ref="BT179:BU183" si="284">T179+BF179</f>
        <v>5.3939000000000004</v>
      </c>
      <c r="BU179" s="421">
        <f t="shared" si="284"/>
        <v>0.97320000000000007</v>
      </c>
      <c r="BV179" s="420"/>
      <c r="BW179" s="415"/>
      <c r="BX179" s="415"/>
      <c r="BY179" s="415"/>
      <c r="BZ179" s="415"/>
      <c r="CA179" s="510"/>
    </row>
    <row r="180" spans="1:79" s="221" customFormat="1" x14ac:dyDescent="0.2">
      <c r="A180" s="223">
        <v>37</v>
      </c>
      <c r="B180" s="224">
        <v>3432</v>
      </c>
      <c r="C180" s="224">
        <v>600078329</v>
      </c>
      <c r="D180" s="224">
        <v>70695121</v>
      </c>
      <c r="E180" s="225" t="s">
        <v>81</v>
      </c>
      <c r="F180" s="224">
        <v>3117</v>
      </c>
      <c r="G180" s="225" t="s">
        <v>291</v>
      </c>
      <c r="H180" s="226" t="s">
        <v>272</v>
      </c>
      <c r="I180" s="420">
        <v>944149</v>
      </c>
      <c r="J180" s="415">
        <v>700407</v>
      </c>
      <c r="K180" s="415">
        <v>700407</v>
      </c>
      <c r="L180" s="415">
        <v>0</v>
      </c>
      <c r="M180" s="415">
        <v>0</v>
      </c>
      <c r="N180" s="415">
        <v>0</v>
      </c>
      <c r="O180" s="415">
        <v>0</v>
      </c>
      <c r="P180" s="68">
        <v>236738</v>
      </c>
      <c r="Q180" s="68">
        <v>7004</v>
      </c>
      <c r="R180" s="415">
        <v>0</v>
      </c>
      <c r="S180" s="416">
        <v>1.89</v>
      </c>
      <c r="T180" s="417">
        <v>1.89</v>
      </c>
      <c r="U180" s="423">
        <v>0</v>
      </c>
      <c r="V180" s="424">
        <f t="shared" si="279"/>
        <v>0</v>
      </c>
      <c r="W180" s="418">
        <f t="shared" si="279"/>
        <v>0</v>
      </c>
      <c r="X180" s="418">
        <v>0</v>
      </c>
      <c r="Y180" s="418">
        <v>0</v>
      </c>
      <c r="Z180" s="418">
        <v>0</v>
      </c>
      <c r="AA180" s="418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si="280"/>
        <v>0</v>
      </c>
      <c r="AP180" s="418">
        <f t="shared" si="280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5"/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6">
        <v>0</v>
      </c>
      <c r="BC180" s="93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421">
        <f>SUM(BF180:BG180)</f>
        <v>0</v>
      </c>
      <c r="BI180" s="780">
        <f>I180+AW180</f>
        <v>944149</v>
      </c>
      <c r="BJ180" s="418">
        <f>J180+AF180</f>
        <v>700407</v>
      </c>
      <c r="BK180" s="418">
        <f t="shared" si="281"/>
        <v>700407</v>
      </c>
      <c r="BL180" s="418">
        <f t="shared" si="281"/>
        <v>0</v>
      </c>
      <c r="BM180" s="418">
        <f>M180+AN180</f>
        <v>0</v>
      </c>
      <c r="BN180" s="418">
        <f t="shared" si="282"/>
        <v>0</v>
      </c>
      <c r="BO180" s="418">
        <f t="shared" si="282"/>
        <v>0</v>
      </c>
      <c r="BP180" s="418">
        <f t="shared" si="283"/>
        <v>236738</v>
      </c>
      <c r="BQ180" s="418">
        <f t="shared" si="283"/>
        <v>7004</v>
      </c>
      <c r="BR180" s="418">
        <f>R180+AV180</f>
        <v>0</v>
      </c>
      <c r="BS180" s="419">
        <f>S180+BH180</f>
        <v>1.89</v>
      </c>
      <c r="BT180" s="419">
        <f t="shared" si="284"/>
        <v>1.89</v>
      </c>
      <c r="BU180" s="421">
        <f t="shared" si="284"/>
        <v>0</v>
      </c>
      <c r="BV180" s="420"/>
      <c r="BW180" s="415"/>
      <c r="BX180" s="415"/>
      <c r="BY180" s="415"/>
      <c r="BZ180" s="415"/>
      <c r="CA180" s="510"/>
    </row>
    <row r="181" spans="1:79" s="221" customFormat="1" ht="12.75" customHeight="1" x14ac:dyDescent="0.2">
      <c r="A181" s="223">
        <v>37</v>
      </c>
      <c r="B181" s="224">
        <v>3432</v>
      </c>
      <c r="C181" s="224">
        <v>600078329</v>
      </c>
      <c r="D181" s="224">
        <v>70695121</v>
      </c>
      <c r="E181" s="225" t="s">
        <v>81</v>
      </c>
      <c r="F181" s="224">
        <v>3141</v>
      </c>
      <c r="G181" s="225" t="s">
        <v>294</v>
      </c>
      <c r="H181" s="226" t="s">
        <v>272</v>
      </c>
      <c r="I181" s="420">
        <v>421752</v>
      </c>
      <c r="J181" s="415">
        <v>311237</v>
      </c>
      <c r="K181" s="415">
        <v>0</v>
      </c>
      <c r="L181" s="415">
        <v>311237</v>
      </c>
      <c r="M181" s="415">
        <v>0</v>
      </c>
      <c r="N181" s="415">
        <v>0</v>
      </c>
      <c r="O181" s="415">
        <v>0</v>
      </c>
      <c r="P181" s="68">
        <v>105198</v>
      </c>
      <c r="Q181" s="68">
        <v>3112</v>
      </c>
      <c r="R181" s="415">
        <v>2205</v>
      </c>
      <c r="S181" s="416">
        <v>0.93</v>
      </c>
      <c r="T181" s="417">
        <v>0</v>
      </c>
      <c r="U181" s="423">
        <v>0.93</v>
      </c>
      <c r="V181" s="424">
        <f t="shared" si="279"/>
        <v>0</v>
      </c>
      <c r="W181" s="418">
        <f t="shared" si="279"/>
        <v>0</v>
      </c>
      <c r="X181" s="418">
        <v>0</v>
      </c>
      <c r="Y181" s="418">
        <v>0</v>
      </c>
      <c r="Z181" s="418">
        <v>0</v>
      </c>
      <c r="AA181" s="605">
        <v>154132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154132</v>
      </c>
      <c r="AF181" s="418">
        <f>SUM(AD181:AE181)</f>
        <v>154132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280"/>
        <v>0</v>
      </c>
      <c r="AP181" s="418">
        <f t="shared" si="280"/>
        <v>154132</v>
      </c>
      <c r="AQ181" s="418">
        <f>SUM(AO181:AP181)</f>
        <v>154132</v>
      </c>
      <c r="AR181" s="68">
        <f>ROUND((AF181+AG181+AH181+AI181)*33.8%,0)</f>
        <v>52097</v>
      </c>
      <c r="AS181" s="68">
        <f>ROUND(AF181*1%,0)</f>
        <v>1541</v>
      </c>
      <c r="AT181" s="418">
        <v>0</v>
      </c>
      <c r="AU181" s="605">
        <v>1071</v>
      </c>
      <c r="AV181" s="418">
        <f>AT181+AU181</f>
        <v>1071</v>
      </c>
      <c r="AW181" s="418">
        <f>AQ181+AR181+AS181+AV181</f>
        <v>208841</v>
      </c>
      <c r="AX181" s="419">
        <v>0</v>
      </c>
      <c r="AY181" s="419">
        <v>0</v>
      </c>
      <c r="AZ181" s="419">
        <v>0</v>
      </c>
      <c r="BA181" s="419">
        <v>0</v>
      </c>
      <c r="BB181" s="607">
        <v>0.47</v>
      </c>
      <c r="BC181" s="93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0.47</v>
      </c>
      <c r="BH181" s="421">
        <f>SUM(BF181:BG181)</f>
        <v>0.47</v>
      </c>
      <c r="BI181" s="780">
        <f>I181+AW181</f>
        <v>630593</v>
      </c>
      <c r="BJ181" s="418">
        <f>J181+AF181</f>
        <v>465369</v>
      </c>
      <c r="BK181" s="418">
        <f t="shared" si="281"/>
        <v>0</v>
      </c>
      <c r="BL181" s="418">
        <f t="shared" si="281"/>
        <v>465369</v>
      </c>
      <c r="BM181" s="418">
        <f>M181+AN181</f>
        <v>0</v>
      </c>
      <c r="BN181" s="418">
        <f t="shared" si="282"/>
        <v>0</v>
      </c>
      <c r="BO181" s="418">
        <f t="shared" si="282"/>
        <v>0</v>
      </c>
      <c r="BP181" s="418">
        <f t="shared" si="283"/>
        <v>157295</v>
      </c>
      <c r="BQ181" s="418">
        <f t="shared" si="283"/>
        <v>4653</v>
      </c>
      <c r="BR181" s="418">
        <f>R181+AV181</f>
        <v>3276</v>
      </c>
      <c r="BS181" s="419">
        <f>S181+BH181</f>
        <v>1.4</v>
      </c>
      <c r="BT181" s="419">
        <f t="shared" si="284"/>
        <v>0</v>
      </c>
      <c r="BU181" s="421">
        <f t="shared" si="284"/>
        <v>1.4</v>
      </c>
      <c r="BV181" s="420"/>
      <c r="BW181" s="415"/>
      <c r="BX181" s="415"/>
      <c r="BY181" s="415"/>
      <c r="BZ181" s="415"/>
      <c r="CA181" s="510"/>
    </row>
    <row r="182" spans="1:79" s="221" customFormat="1" ht="12.75" customHeight="1" x14ac:dyDescent="0.2">
      <c r="A182" s="223">
        <v>37</v>
      </c>
      <c r="B182" s="224">
        <v>3432</v>
      </c>
      <c r="C182" s="224">
        <v>600078329</v>
      </c>
      <c r="D182" s="224">
        <v>70695121</v>
      </c>
      <c r="E182" s="225" t="s">
        <v>82</v>
      </c>
      <c r="F182" s="224">
        <v>3143</v>
      </c>
      <c r="G182" s="225" t="s">
        <v>595</v>
      </c>
      <c r="H182" s="226" t="s">
        <v>271</v>
      </c>
      <c r="I182" s="420">
        <v>635318</v>
      </c>
      <c r="J182" s="415">
        <v>471304</v>
      </c>
      <c r="K182" s="415">
        <v>471304</v>
      </c>
      <c r="L182" s="415">
        <v>0</v>
      </c>
      <c r="M182" s="415">
        <v>0</v>
      </c>
      <c r="N182" s="415">
        <v>0</v>
      </c>
      <c r="O182" s="415">
        <v>0</v>
      </c>
      <c r="P182" s="68">
        <v>159301</v>
      </c>
      <c r="Q182" s="68">
        <v>4713</v>
      </c>
      <c r="R182" s="415">
        <v>0</v>
      </c>
      <c r="S182" s="416">
        <v>0.93</v>
      </c>
      <c r="T182" s="417">
        <v>0.93</v>
      </c>
      <c r="U182" s="423">
        <v>0</v>
      </c>
      <c r="V182" s="424">
        <f t="shared" si="279"/>
        <v>0</v>
      </c>
      <c r="W182" s="418">
        <f t="shared" si="279"/>
        <v>0</v>
      </c>
      <c r="X182" s="418">
        <v>0</v>
      </c>
      <c r="Y182" s="418">
        <v>0</v>
      </c>
      <c r="Z182" s="418">
        <v>0</v>
      </c>
      <c r="AA182" s="418">
        <v>0</v>
      </c>
      <c r="AB182" s="418">
        <v>0</v>
      </c>
      <c r="AC182" s="418">
        <v>0</v>
      </c>
      <c r="AD182" s="418">
        <f>V182+X182+Y182+Z182+AB182</f>
        <v>0</v>
      </c>
      <c r="AE182" s="418">
        <f>W182+AA182+AC182</f>
        <v>0</v>
      </c>
      <c r="AF182" s="418">
        <f>SUM(AD182:AE182)</f>
        <v>0</v>
      </c>
      <c r="AG182" s="418">
        <v>0</v>
      </c>
      <c r="AH182" s="418">
        <v>0</v>
      </c>
      <c r="AI182" s="418">
        <v>0</v>
      </c>
      <c r="AJ182" s="418">
        <v>0</v>
      </c>
      <c r="AK182" s="418">
        <v>0</v>
      </c>
      <c r="AL182" s="418">
        <f>AG182+AI182+AJ182</f>
        <v>0</v>
      </c>
      <c r="AM182" s="418">
        <f>AH182+AK182</f>
        <v>0</v>
      </c>
      <c r="AN182" s="418">
        <f>SUM(AL182:AM182)</f>
        <v>0</v>
      </c>
      <c r="AO182" s="418">
        <f t="shared" si="280"/>
        <v>0</v>
      </c>
      <c r="AP182" s="418">
        <f t="shared" si="280"/>
        <v>0</v>
      </c>
      <c r="AQ182" s="418">
        <f>SUM(AO182:AP182)</f>
        <v>0</v>
      </c>
      <c r="AR182" s="68">
        <f>ROUND((AF182+AG182+AH182+AI182)*33.8%,0)</f>
        <v>0</v>
      </c>
      <c r="AS182" s="68">
        <f>ROUND(AF182*1%,0)</f>
        <v>0</v>
      </c>
      <c r="AT182" s="418">
        <v>0</v>
      </c>
      <c r="AU182" s="415">
        <v>0</v>
      </c>
      <c r="AV182" s="418">
        <f>AT182+AU182</f>
        <v>0</v>
      </c>
      <c r="AW182" s="418">
        <f>AQ182+AR182+AS182+AV182</f>
        <v>0</v>
      </c>
      <c r="AX182" s="419">
        <v>0</v>
      </c>
      <c r="AY182" s="419">
        <v>0</v>
      </c>
      <c r="AZ182" s="419">
        <v>0</v>
      </c>
      <c r="BA182" s="419">
        <v>0</v>
      </c>
      <c r="BB182" s="416">
        <v>0</v>
      </c>
      <c r="BC182" s="939">
        <v>0</v>
      </c>
      <c r="BD182" s="419">
        <v>0</v>
      </c>
      <c r="BE182" s="419">
        <v>0</v>
      </c>
      <c r="BF182" s="419">
        <f>AX182+AZ182+BA182+BC182+BD182</f>
        <v>0</v>
      </c>
      <c r="BG182" s="419">
        <f>AY182+BB182+BE182</f>
        <v>0</v>
      </c>
      <c r="BH182" s="421">
        <f>SUM(BF182:BG182)</f>
        <v>0</v>
      </c>
      <c r="BI182" s="780">
        <f>I182+AW182</f>
        <v>635318</v>
      </c>
      <c r="BJ182" s="418">
        <f>J182+AF182</f>
        <v>471304</v>
      </c>
      <c r="BK182" s="418">
        <f t="shared" si="281"/>
        <v>471304</v>
      </c>
      <c r="BL182" s="418">
        <f t="shared" si="281"/>
        <v>0</v>
      </c>
      <c r="BM182" s="418">
        <f>M182+AN182</f>
        <v>0</v>
      </c>
      <c r="BN182" s="418">
        <f t="shared" si="282"/>
        <v>0</v>
      </c>
      <c r="BO182" s="418">
        <f t="shared" si="282"/>
        <v>0</v>
      </c>
      <c r="BP182" s="418">
        <f t="shared" si="283"/>
        <v>159301</v>
      </c>
      <c r="BQ182" s="418">
        <f t="shared" si="283"/>
        <v>4713</v>
      </c>
      <c r="BR182" s="418">
        <f>R182+AV182</f>
        <v>0</v>
      </c>
      <c r="BS182" s="419">
        <f>S182+BH182</f>
        <v>0.93</v>
      </c>
      <c r="BT182" s="419">
        <f t="shared" si="284"/>
        <v>0.93</v>
      </c>
      <c r="BU182" s="421">
        <f t="shared" si="284"/>
        <v>0</v>
      </c>
      <c r="BV182" s="420"/>
      <c r="BW182" s="415"/>
      <c r="BX182" s="415"/>
      <c r="BY182" s="415"/>
      <c r="BZ182" s="415"/>
      <c r="CA182" s="510"/>
    </row>
    <row r="183" spans="1:79" s="221" customFormat="1" ht="13.5" customHeight="1" x14ac:dyDescent="0.2">
      <c r="A183" s="223">
        <v>37</v>
      </c>
      <c r="B183" s="224">
        <v>3432</v>
      </c>
      <c r="C183" s="224">
        <v>600078329</v>
      </c>
      <c r="D183" s="224">
        <v>70695121</v>
      </c>
      <c r="E183" s="225" t="s">
        <v>82</v>
      </c>
      <c r="F183" s="224">
        <v>3143</v>
      </c>
      <c r="G183" s="225" t="s">
        <v>596</v>
      </c>
      <c r="H183" s="226" t="s">
        <v>272</v>
      </c>
      <c r="I183" s="420">
        <v>11285</v>
      </c>
      <c r="J183" s="415">
        <v>8078</v>
      </c>
      <c r="K183" s="415">
        <v>0</v>
      </c>
      <c r="L183" s="415">
        <v>8078</v>
      </c>
      <c r="M183" s="415">
        <v>0</v>
      </c>
      <c r="N183" s="415">
        <v>0</v>
      </c>
      <c r="O183" s="415">
        <v>0</v>
      </c>
      <c r="P183" s="68">
        <v>2730</v>
      </c>
      <c r="Q183" s="68">
        <v>81</v>
      </c>
      <c r="R183" s="415">
        <v>396</v>
      </c>
      <c r="S183" s="416">
        <v>0.03</v>
      </c>
      <c r="T183" s="417">
        <v>0</v>
      </c>
      <c r="U183" s="423">
        <v>0.03</v>
      </c>
      <c r="V183" s="424">
        <f t="shared" si="279"/>
        <v>0</v>
      </c>
      <c r="W183" s="418">
        <f t="shared" si="279"/>
        <v>0</v>
      </c>
      <c r="X183" s="418">
        <v>0</v>
      </c>
      <c r="Y183" s="418">
        <v>0</v>
      </c>
      <c r="Z183" s="418">
        <v>0</v>
      </c>
      <c r="AA183" s="605">
        <v>4022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4022</v>
      </c>
      <c r="AF183" s="418">
        <f>SUM(AD183:AE183)</f>
        <v>4022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si="280"/>
        <v>0</v>
      </c>
      <c r="AP183" s="418">
        <f t="shared" si="280"/>
        <v>4022</v>
      </c>
      <c r="AQ183" s="418">
        <f>SUM(AO183:AP183)</f>
        <v>4022</v>
      </c>
      <c r="AR183" s="68">
        <f>ROUND((AF183+AG183+AH183+AI183)*33.8%,0)</f>
        <v>1359</v>
      </c>
      <c r="AS183" s="68">
        <f>ROUND(AF183*1%,0)</f>
        <v>40</v>
      </c>
      <c r="AT183" s="418">
        <v>0</v>
      </c>
      <c r="AU183" s="606">
        <v>198</v>
      </c>
      <c r="AV183" s="418">
        <f>AT183+AU183</f>
        <v>198</v>
      </c>
      <c r="AW183" s="418">
        <f>AQ183+AR183+AS183+AV183</f>
        <v>5619</v>
      </c>
      <c r="AX183" s="419">
        <v>0</v>
      </c>
      <c r="AY183" s="419">
        <v>0</v>
      </c>
      <c r="AZ183" s="419">
        <v>0</v>
      </c>
      <c r="BA183" s="419">
        <v>0</v>
      </c>
      <c r="BB183" s="607">
        <v>0.02</v>
      </c>
      <c r="BC183" s="93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0.02</v>
      </c>
      <c r="BH183" s="421">
        <f>SUM(BF183:BG183)</f>
        <v>0.02</v>
      </c>
      <c r="BI183" s="780">
        <f>I183+AW183</f>
        <v>16904</v>
      </c>
      <c r="BJ183" s="418">
        <f>J183+AF183</f>
        <v>12100</v>
      </c>
      <c r="BK183" s="418">
        <f t="shared" si="281"/>
        <v>0</v>
      </c>
      <c r="BL183" s="418">
        <f t="shared" si="281"/>
        <v>12100</v>
      </c>
      <c r="BM183" s="418">
        <f>M183+AN183</f>
        <v>0</v>
      </c>
      <c r="BN183" s="418">
        <f t="shared" si="282"/>
        <v>0</v>
      </c>
      <c r="BO183" s="418">
        <f t="shared" si="282"/>
        <v>0</v>
      </c>
      <c r="BP183" s="418">
        <f t="shared" si="283"/>
        <v>4089</v>
      </c>
      <c r="BQ183" s="418">
        <f t="shared" si="283"/>
        <v>121</v>
      </c>
      <c r="BR183" s="418">
        <f>R183+AV183</f>
        <v>594</v>
      </c>
      <c r="BS183" s="419">
        <f>S183+BH183</f>
        <v>0.05</v>
      </c>
      <c r="BT183" s="419">
        <f t="shared" si="284"/>
        <v>0</v>
      </c>
      <c r="BU183" s="421">
        <f t="shared" si="284"/>
        <v>0.05</v>
      </c>
      <c r="BV183" s="420"/>
      <c r="BW183" s="415"/>
      <c r="BX183" s="415"/>
      <c r="BY183" s="415"/>
      <c r="BZ183" s="415"/>
      <c r="CA183" s="510"/>
    </row>
    <row r="184" spans="1:79" s="221" customFormat="1" ht="13.5" customHeight="1" x14ac:dyDescent="0.2">
      <c r="A184" s="153">
        <v>37</v>
      </c>
      <c r="B184" s="14">
        <v>3432</v>
      </c>
      <c r="C184" s="152">
        <v>600078329</v>
      </c>
      <c r="D184" s="152">
        <v>70695121</v>
      </c>
      <c r="E184" s="222" t="s">
        <v>83</v>
      </c>
      <c r="F184" s="14"/>
      <c r="G184" s="222"/>
      <c r="H184" s="560"/>
      <c r="I184" s="505">
        <v>7082964</v>
      </c>
      <c r="J184" s="504">
        <v>5195617</v>
      </c>
      <c r="K184" s="504">
        <v>4497500</v>
      </c>
      <c r="L184" s="504">
        <v>698117</v>
      </c>
      <c r="M184" s="504">
        <v>0</v>
      </c>
      <c r="N184" s="504">
        <v>0</v>
      </c>
      <c r="O184" s="504">
        <v>0</v>
      </c>
      <c r="P184" s="504">
        <v>1756119</v>
      </c>
      <c r="Q184" s="504">
        <v>51956</v>
      </c>
      <c r="R184" s="504">
        <v>79272</v>
      </c>
      <c r="S184" s="544">
        <v>10.1471</v>
      </c>
      <c r="T184" s="544">
        <v>8.2139000000000006</v>
      </c>
      <c r="U184" s="401">
        <v>1.9332</v>
      </c>
      <c r="V184" s="505">
        <f t="shared" ref="V184:CA184" si="285">SUM(V179:V183)</f>
        <v>0</v>
      </c>
      <c r="W184" s="504">
        <f t="shared" si="285"/>
        <v>0</v>
      </c>
      <c r="X184" s="504">
        <f t="shared" si="285"/>
        <v>0</v>
      </c>
      <c r="Y184" s="504">
        <f t="shared" si="285"/>
        <v>0</v>
      </c>
      <c r="Z184" s="504">
        <f t="shared" si="285"/>
        <v>0</v>
      </c>
      <c r="AA184" s="575">
        <f t="shared" si="285"/>
        <v>158154</v>
      </c>
      <c r="AB184" s="504">
        <f t="shared" si="285"/>
        <v>0</v>
      </c>
      <c r="AC184" s="504">
        <f t="shared" si="285"/>
        <v>0</v>
      </c>
      <c r="AD184" s="504">
        <f t="shared" si="285"/>
        <v>0</v>
      </c>
      <c r="AE184" s="504">
        <f t="shared" si="285"/>
        <v>158154</v>
      </c>
      <c r="AF184" s="504">
        <f t="shared" si="285"/>
        <v>158154</v>
      </c>
      <c r="AG184" s="504">
        <f t="shared" si="285"/>
        <v>0</v>
      </c>
      <c r="AH184" s="504">
        <f t="shared" si="285"/>
        <v>0</v>
      </c>
      <c r="AI184" s="504">
        <f t="shared" si="285"/>
        <v>0</v>
      </c>
      <c r="AJ184" s="504">
        <f t="shared" si="285"/>
        <v>0</v>
      </c>
      <c r="AK184" s="504">
        <f t="shared" si="285"/>
        <v>0</v>
      </c>
      <c r="AL184" s="504">
        <f t="shared" si="285"/>
        <v>0</v>
      </c>
      <c r="AM184" s="504">
        <f t="shared" si="285"/>
        <v>0</v>
      </c>
      <c r="AN184" s="504">
        <f t="shared" si="285"/>
        <v>0</v>
      </c>
      <c r="AO184" s="504">
        <f t="shared" si="285"/>
        <v>0</v>
      </c>
      <c r="AP184" s="504">
        <f t="shared" si="285"/>
        <v>158154</v>
      </c>
      <c r="AQ184" s="504">
        <f t="shared" si="285"/>
        <v>158154</v>
      </c>
      <c r="AR184" s="504">
        <f t="shared" si="285"/>
        <v>53456</v>
      </c>
      <c r="AS184" s="504">
        <f t="shared" si="285"/>
        <v>1581</v>
      </c>
      <c r="AT184" s="504">
        <f t="shared" si="285"/>
        <v>0</v>
      </c>
      <c r="AU184" s="504">
        <f t="shared" si="285"/>
        <v>1269</v>
      </c>
      <c r="AV184" s="504">
        <f t="shared" si="285"/>
        <v>1269</v>
      </c>
      <c r="AW184" s="504">
        <f t="shared" si="285"/>
        <v>214460</v>
      </c>
      <c r="AX184" s="544">
        <f t="shared" si="285"/>
        <v>0</v>
      </c>
      <c r="AY184" s="544">
        <f t="shared" si="285"/>
        <v>0</v>
      </c>
      <c r="AZ184" s="544">
        <f t="shared" si="285"/>
        <v>0</v>
      </c>
      <c r="BA184" s="544">
        <f t="shared" si="285"/>
        <v>0</v>
      </c>
      <c r="BB184" s="544">
        <f t="shared" si="285"/>
        <v>0.49</v>
      </c>
      <c r="BC184" s="938">
        <f t="shared" si="285"/>
        <v>0</v>
      </c>
      <c r="BD184" s="544">
        <f t="shared" si="285"/>
        <v>0</v>
      </c>
      <c r="BE184" s="544">
        <f t="shared" si="285"/>
        <v>0</v>
      </c>
      <c r="BF184" s="544">
        <f t="shared" si="285"/>
        <v>0</v>
      </c>
      <c r="BG184" s="544">
        <f t="shared" si="285"/>
        <v>0.49</v>
      </c>
      <c r="BH184" s="442">
        <f t="shared" si="285"/>
        <v>0.49</v>
      </c>
      <c r="BI184" s="806">
        <f t="shared" si="285"/>
        <v>7297424</v>
      </c>
      <c r="BJ184" s="504">
        <f t="shared" si="285"/>
        <v>5353771</v>
      </c>
      <c r="BK184" s="504">
        <f t="shared" si="285"/>
        <v>4497500</v>
      </c>
      <c r="BL184" s="504">
        <f t="shared" si="285"/>
        <v>856271</v>
      </c>
      <c r="BM184" s="504">
        <f t="shared" si="285"/>
        <v>0</v>
      </c>
      <c r="BN184" s="504">
        <f t="shared" si="285"/>
        <v>0</v>
      </c>
      <c r="BO184" s="504">
        <f t="shared" si="285"/>
        <v>0</v>
      </c>
      <c r="BP184" s="504">
        <f t="shared" si="285"/>
        <v>1809575</v>
      </c>
      <c r="BQ184" s="504">
        <f t="shared" si="285"/>
        <v>53537</v>
      </c>
      <c r="BR184" s="504">
        <f t="shared" si="285"/>
        <v>80541</v>
      </c>
      <c r="BS184" s="544">
        <f t="shared" si="285"/>
        <v>10.637100000000002</v>
      </c>
      <c r="BT184" s="544">
        <f t="shared" si="285"/>
        <v>8.2139000000000006</v>
      </c>
      <c r="BU184" s="442">
        <f t="shared" si="285"/>
        <v>2.4231999999999996</v>
      </c>
      <c r="BV184" s="824">
        <f t="shared" si="285"/>
        <v>0</v>
      </c>
      <c r="BW184" s="710">
        <f t="shared" si="285"/>
        <v>0</v>
      </c>
      <c r="BX184" s="710">
        <f t="shared" si="285"/>
        <v>0</v>
      </c>
      <c r="BY184" s="710">
        <f t="shared" si="285"/>
        <v>0</v>
      </c>
      <c r="BZ184" s="710">
        <f t="shared" si="285"/>
        <v>0</v>
      </c>
      <c r="CA184" s="825">
        <f t="shared" si="285"/>
        <v>0</v>
      </c>
    </row>
    <row r="185" spans="1:79" s="221" customFormat="1" ht="12.75" customHeight="1" x14ac:dyDescent="0.2">
      <c r="A185" s="223">
        <v>38</v>
      </c>
      <c r="B185" s="224">
        <v>3435</v>
      </c>
      <c r="C185" s="224">
        <v>650022131</v>
      </c>
      <c r="D185" s="224">
        <v>70981531</v>
      </c>
      <c r="E185" s="225" t="s">
        <v>84</v>
      </c>
      <c r="F185" s="224">
        <v>3111</v>
      </c>
      <c r="G185" s="225" t="s">
        <v>290</v>
      </c>
      <c r="H185" s="226" t="s">
        <v>271</v>
      </c>
      <c r="I185" s="420">
        <v>7809603</v>
      </c>
      <c r="J185" s="415">
        <v>5771838</v>
      </c>
      <c r="K185" s="415">
        <v>5472318</v>
      </c>
      <c r="L185" s="415">
        <v>299520</v>
      </c>
      <c r="M185" s="415">
        <v>0</v>
      </c>
      <c r="N185" s="415">
        <v>0</v>
      </c>
      <c r="O185" s="415">
        <v>0</v>
      </c>
      <c r="P185" s="68">
        <v>1950881</v>
      </c>
      <c r="Q185" s="68">
        <v>57718</v>
      </c>
      <c r="R185" s="415">
        <v>29166</v>
      </c>
      <c r="S185" s="416">
        <v>10.989999999999998</v>
      </c>
      <c r="T185" s="417">
        <v>9.7899999999999991</v>
      </c>
      <c r="U185" s="423">
        <v>1.2</v>
      </c>
      <c r="V185" s="424">
        <f t="shared" ref="V185:W190" si="286">AG185*-1</f>
        <v>0</v>
      </c>
      <c r="W185" s="418">
        <f t="shared" si="286"/>
        <v>0</v>
      </c>
      <c r="X185" s="418">
        <v>0</v>
      </c>
      <c r="Y185" s="418">
        <v>0</v>
      </c>
      <c r="Z185" s="418">
        <v>0</v>
      </c>
      <c r="AA185" s="418">
        <v>0</v>
      </c>
      <c r="AB185" s="418">
        <v>0</v>
      </c>
      <c r="AC185" s="418">
        <v>0</v>
      </c>
      <c r="AD185" s="418">
        <f t="shared" ref="AD185:AD190" si="287">V185+X185+Y185+Z185+AB185</f>
        <v>0</v>
      </c>
      <c r="AE185" s="418">
        <f t="shared" ref="AE185:AE190" si="288">W185+AA185+AC185</f>
        <v>0</v>
      </c>
      <c r="AF185" s="418">
        <f t="shared" ref="AF185:AF190" si="289">SUM(AD185:AE185)</f>
        <v>0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 t="shared" ref="AL185:AL190" si="290">AG185+AI185+AJ185</f>
        <v>0</v>
      </c>
      <c r="AM185" s="418">
        <f t="shared" ref="AM185:AM190" si="291">AH185+AK185</f>
        <v>0</v>
      </c>
      <c r="AN185" s="418">
        <f t="shared" ref="AN185:AN190" si="292">SUM(AL185:AM185)</f>
        <v>0</v>
      </c>
      <c r="AO185" s="418">
        <f t="shared" ref="AO185:AP190" si="293">AD185+AL185</f>
        <v>0</v>
      </c>
      <c r="AP185" s="418">
        <f t="shared" si="293"/>
        <v>0</v>
      </c>
      <c r="AQ185" s="418">
        <f t="shared" ref="AQ185:AQ190" si="294">SUM(AO185:AP185)</f>
        <v>0</v>
      </c>
      <c r="AR185" s="68">
        <f t="shared" ref="AR185:AR190" si="295">ROUND((AF185+AG185+AH185+AI185)*33.8%,0)</f>
        <v>0</v>
      </c>
      <c r="AS185" s="68">
        <f t="shared" ref="AS185:AS190" si="296">ROUND(AF185*1%,0)</f>
        <v>0</v>
      </c>
      <c r="AT185" s="418">
        <v>0</v>
      </c>
      <c r="AU185" s="415">
        <v>0</v>
      </c>
      <c r="AV185" s="418">
        <f t="shared" ref="AV185:AV190" si="297">AT185+AU185</f>
        <v>0</v>
      </c>
      <c r="AW185" s="418">
        <f t="shared" ref="AW185:AW190" si="298">AQ185+AR185+AS185+AV185</f>
        <v>0</v>
      </c>
      <c r="AX185" s="419">
        <v>0</v>
      </c>
      <c r="AY185" s="419">
        <v>0</v>
      </c>
      <c r="AZ185" s="419">
        <v>0</v>
      </c>
      <c r="BA185" s="419">
        <v>0</v>
      </c>
      <c r="BB185" s="416">
        <v>0</v>
      </c>
      <c r="BC185" s="939">
        <v>0</v>
      </c>
      <c r="BD185" s="419">
        <v>0</v>
      </c>
      <c r="BE185" s="419">
        <v>0</v>
      </c>
      <c r="BF185" s="419">
        <f t="shared" ref="BF185:BF190" si="299">AX185+AZ185+BA185+BC185+BD185</f>
        <v>0</v>
      </c>
      <c r="BG185" s="419">
        <f t="shared" ref="BG185:BG190" si="300">AY185+BB185+BE185</f>
        <v>0</v>
      </c>
      <c r="BH185" s="421">
        <f t="shared" ref="BH185:BH190" si="301">SUM(BF185:BG185)</f>
        <v>0</v>
      </c>
      <c r="BI185" s="780">
        <f t="shared" ref="BI185:BI190" si="302">I185+AW185</f>
        <v>7809603</v>
      </c>
      <c r="BJ185" s="418">
        <f t="shared" ref="BJ185:BJ190" si="303">J185+AF185</f>
        <v>5771838</v>
      </c>
      <c r="BK185" s="418">
        <f t="shared" ref="BK185:BL190" si="304">K185+AD185</f>
        <v>5472318</v>
      </c>
      <c r="BL185" s="418">
        <f t="shared" si="304"/>
        <v>299520</v>
      </c>
      <c r="BM185" s="418">
        <f t="shared" ref="BM185:BM190" si="305">M185+AN185</f>
        <v>0</v>
      </c>
      <c r="BN185" s="418">
        <f t="shared" ref="BN185:BO190" si="306">N185+AL185</f>
        <v>0</v>
      </c>
      <c r="BO185" s="418">
        <f t="shared" si="306"/>
        <v>0</v>
      </c>
      <c r="BP185" s="418">
        <f t="shared" ref="BP185:BQ190" si="307">P185+AR185</f>
        <v>1950881</v>
      </c>
      <c r="BQ185" s="418">
        <f t="shared" si="307"/>
        <v>57718</v>
      </c>
      <c r="BR185" s="418">
        <f t="shared" ref="BR185:BR190" si="308">R185+AV185</f>
        <v>29166</v>
      </c>
      <c r="BS185" s="419">
        <f t="shared" ref="BS185:BS190" si="309">S185+BH185</f>
        <v>10.989999999999998</v>
      </c>
      <c r="BT185" s="419">
        <f t="shared" ref="BT185:BU190" si="310">T185+BF185</f>
        <v>9.7899999999999991</v>
      </c>
      <c r="BU185" s="421">
        <f t="shared" si="310"/>
        <v>1.2</v>
      </c>
      <c r="BV185" s="420"/>
      <c r="BW185" s="415"/>
      <c r="BX185" s="415"/>
      <c r="BY185" s="415"/>
      <c r="BZ185" s="415"/>
      <c r="CA185" s="510"/>
    </row>
    <row r="186" spans="1:79" s="221" customFormat="1" ht="13.5" customHeight="1" x14ac:dyDescent="0.2">
      <c r="A186" s="223">
        <v>38</v>
      </c>
      <c r="B186" s="224">
        <v>3435</v>
      </c>
      <c r="C186" s="224">
        <v>650022131</v>
      </c>
      <c r="D186" s="224">
        <v>70981531</v>
      </c>
      <c r="E186" s="225" t="s">
        <v>84</v>
      </c>
      <c r="F186" s="224">
        <v>3113</v>
      </c>
      <c r="G186" s="225" t="s">
        <v>293</v>
      </c>
      <c r="H186" s="226" t="s">
        <v>271</v>
      </c>
      <c r="I186" s="420">
        <v>25730537</v>
      </c>
      <c r="J186" s="415">
        <v>18626736</v>
      </c>
      <c r="K186" s="415">
        <v>17059750</v>
      </c>
      <c r="L186" s="415">
        <v>1566986</v>
      </c>
      <c r="M186" s="415">
        <v>194200</v>
      </c>
      <c r="N186" s="415">
        <v>184200</v>
      </c>
      <c r="O186" s="415">
        <v>10000</v>
      </c>
      <c r="P186" s="68">
        <v>6361477</v>
      </c>
      <c r="Q186" s="68">
        <v>186268</v>
      </c>
      <c r="R186" s="415">
        <v>361856</v>
      </c>
      <c r="S186" s="416">
        <v>29.683399999999999</v>
      </c>
      <c r="T186" s="417">
        <v>25.000499999999999</v>
      </c>
      <c r="U186" s="423">
        <v>4.6829000000000001</v>
      </c>
      <c r="V186" s="424">
        <f t="shared" si="286"/>
        <v>0</v>
      </c>
      <c r="W186" s="418">
        <f t="shared" si="286"/>
        <v>0</v>
      </c>
      <c r="X186" s="418">
        <v>0</v>
      </c>
      <c r="Y186" s="418">
        <v>0</v>
      </c>
      <c r="Z186" s="418">
        <v>0</v>
      </c>
      <c r="AA186" s="418">
        <v>0</v>
      </c>
      <c r="AB186" s="418">
        <v>0</v>
      </c>
      <c r="AC186" s="418">
        <v>0</v>
      </c>
      <c r="AD186" s="418">
        <f t="shared" si="287"/>
        <v>0</v>
      </c>
      <c r="AE186" s="418">
        <f t="shared" si="288"/>
        <v>0</v>
      </c>
      <c r="AF186" s="418">
        <f t="shared" si="289"/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 t="shared" si="290"/>
        <v>0</v>
      </c>
      <c r="AM186" s="418">
        <f t="shared" si="291"/>
        <v>0</v>
      </c>
      <c r="AN186" s="418">
        <f t="shared" si="292"/>
        <v>0</v>
      </c>
      <c r="AO186" s="418">
        <f t="shared" si="293"/>
        <v>0</v>
      </c>
      <c r="AP186" s="418">
        <f t="shared" si="293"/>
        <v>0</v>
      </c>
      <c r="AQ186" s="418">
        <f t="shared" si="294"/>
        <v>0</v>
      </c>
      <c r="AR186" s="68">
        <f t="shared" si="295"/>
        <v>0</v>
      </c>
      <c r="AS186" s="68">
        <f t="shared" si="296"/>
        <v>0</v>
      </c>
      <c r="AT186" s="418">
        <v>0</v>
      </c>
      <c r="AU186" s="415">
        <v>0</v>
      </c>
      <c r="AV186" s="418">
        <f t="shared" si="297"/>
        <v>0</v>
      </c>
      <c r="AW186" s="418">
        <f t="shared" si="298"/>
        <v>0</v>
      </c>
      <c r="AX186" s="419">
        <v>0</v>
      </c>
      <c r="AY186" s="419">
        <v>0</v>
      </c>
      <c r="AZ186" s="419">
        <v>0</v>
      </c>
      <c r="BA186" s="419">
        <v>0</v>
      </c>
      <c r="BB186" s="416">
        <v>0</v>
      </c>
      <c r="BC186" s="939">
        <v>0</v>
      </c>
      <c r="BD186" s="419">
        <v>0</v>
      </c>
      <c r="BE186" s="419">
        <v>0</v>
      </c>
      <c r="BF186" s="419">
        <f t="shared" si="299"/>
        <v>0</v>
      </c>
      <c r="BG186" s="419">
        <f t="shared" si="300"/>
        <v>0</v>
      </c>
      <c r="BH186" s="421">
        <f t="shared" si="301"/>
        <v>0</v>
      </c>
      <c r="BI186" s="780">
        <f t="shared" si="302"/>
        <v>25730537</v>
      </c>
      <c r="BJ186" s="418">
        <f t="shared" si="303"/>
        <v>18626736</v>
      </c>
      <c r="BK186" s="418">
        <f t="shared" si="304"/>
        <v>17059750</v>
      </c>
      <c r="BL186" s="418">
        <f t="shared" si="304"/>
        <v>1566986</v>
      </c>
      <c r="BM186" s="418">
        <f t="shared" si="305"/>
        <v>194200</v>
      </c>
      <c r="BN186" s="418">
        <f t="shared" si="306"/>
        <v>184200</v>
      </c>
      <c r="BO186" s="418">
        <f t="shared" si="306"/>
        <v>10000</v>
      </c>
      <c r="BP186" s="418">
        <f t="shared" si="307"/>
        <v>6361477</v>
      </c>
      <c r="BQ186" s="418">
        <f t="shared" si="307"/>
        <v>186268</v>
      </c>
      <c r="BR186" s="418">
        <f t="shared" si="308"/>
        <v>361856</v>
      </c>
      <c r="BS186" s="419">
        <f t="shared" si="309"/>
        <v>29.683399999999999</v>
      </c>
      <c r="BT186" s="419">
        <f t="shared" si="310"/>
        <v>25.000499999999999</v>
      </c>
      <c r="BU186" s="421">
        <f t="shared" si="310"/>
        <v>4.6829000000000001</v>
      </c>
      <c r="BV186" s="420">
        <v>606526</v>
      </c>
      <c r="BW186" s="415">
        <v>282000</v>
      </c>
      <c r="BX186" s="415">
        <v>169200</v>
      </c>
      <c r="BY186" s="415">
        <v>152506</v>
      </c>
      <c r="BZ186" s="415">
        <v>2820</v>
      </c>
      <c r="CA186" s="510">
        <v>0.5</v>
      </c>
    </row>
    <row r="187" spans="1:79" s="221" customFormat="1" ht="13.5" customHeight="1" x14ac:dyDescent="0.2">
      <c r="A187" s="223">
        <v>38</v>
      </c>
      <c r="B187" s="224">
        <v>3435</v>
      </c>
      <c r="C187" s="224">
        <v>650022131</v>
      </c>
      <c r="D187" s="224">
        <v>70981531</v>
      </c>
      <c r="E187" s="225" t="s">
        <v>84</v>
      </c>
      <c r="F187" s="224">
        <v>3113</v>
      </c>
      <c r="G187" s="225" t="s">
        <v>291</v>
      </c>
      <c r="H187" s="226" t="s">
        <v>272</v>
      </c>
      <c r="I187" s="420">
        <v>6534608</v>
      </c>
      <c r="J187" s="415">
        <v>4847632</v>
      </c>
      <c r="K187" s="415">
        <v>4847632</v>
      </c>
      <c r="L187" s="415">
        <v>0</v>
      </c>
      <c r="M187" s="415">
        <v>0</v>
      </c>
      <c r="N187" s="415">
        <v>0</v>
      </c>
      <c r="O187" s="415">
        <v>0</v>
      </c>
      <c r="P187" s="68">
        <v>1638500</v>
      </c>
      <c r="Q187" s="68">
        <v>48476</v>
      </c>
      <c r="R187" s="415">
        <v>0</v>
      </c>
      <c r="S187" s="416">
        <v>12.89</v>
      </c>
      <c r="T187" s="417">
        <v>12.89</v>
      </c>
      <c r="U187" s="423">
        <v>0</v>
      </c>
      <c r="V187" s="424">
        <f t="shared" si="286"/>
        <v>0</v>
      </c>
      <c r="W187" s="418">
        <f t="shared" si="286"/>
        <v>0</v>
      </c>
      <c r="X187" s="418">
        <v>-12379</v>
      </c>
      <c r="Y187" s="418">
        <v>0</v>
      </c>
      <c r="Z187" s="418">
        <v>0</v>
      </c>
      <c r="AA187" s="418">
        <v>0</v>
      </c>
      <c r="AB187" s="418">
        <v>0</v>
      </c>
      <c r="AC187" s="418">
        <v>0</v>
      </c>
      <c r="AD187" s="418">
        <f t="shared" si="287"/>
        <v>-12379</v>
      </c>
      <c r="AE187" s="418">
        <f t="shared" si="288"/>
        <v>0</v>
      </c>
      <c r="AF187" s="418">
        <f t="shared" si="289"/>
        <v>-12379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 t="shared" si="290"/>
        <v>0</v>
      </c>
      <c r="AM187" s="418">
        <f t="shared" si="291"/>
        <v>0</v>
      </c>
      <c r="AN187" s="418">
        <f t="shared" si="292"/>
        <v>0</v>
      </c>
      <c r="AO187" s="418">
        <f t="shared" si="293"/>
        <v>-12379</v>
      </c>
      <c r="AP187" s="418">
        <f t="shared" si="293"/>
        <v>0</v>
      </c>
      <c r="AQ187" s="418">
        <f t="shared" si="294"/>
        <v>-12379</v>
      </c>
      <c r="AR187" s="68">
        <f t="shared" si="295"/>
        <v>-4184</v>
      </c>
      <c r="AS187" s="68">
        <f t="shared" si="296"/>
        <v>-124</v>
      </c>
      <c r="AT187" s="418">
        <v>0</v>
      </c>
      <c r="AU187" s="415"/>
      <c r="AV187" s="418">
        <f t="shared" si="297"/>
        <v>0</v>
      </c>
      <c r="AW187" s="418">
        <f t="shared" si="298"/>
        <v>-16687</v>
      </c>
      <c r="AX187" s="419">
        <v>0</v>
      </c>
      <c r="AY187" s="419">
        <v>0</v>
      </c>
      <c r="AZ187" s="419">
        <v>-0.03</v>
      </c>
      <c r="BA187" s="419">
        <v>0</v>
      </c>
      <c r="BB187" s="416">
        <v>0</v>
      </c>
      <c r="BC187" s="939">
        <v>0</v>
      </c>
      <c r="BD187" s="419">
        <v>0</v>
      </c>
      <c r="BE187" s="419">
        <v>0</v>
      </c>
      <c r="BF187" s="419">
        <f t="shared" si="299"/>
        <v>-0.03</v>
      </c>
      <c r="BG187" s="419">
        <f t="shared" si="300"/>
        <v>0</v>
      </c>
      <c r="BH187" s="421">
        <f t="shared" si="301"/>
        <v>-0.03</v>
      </c>
      <c r="BI187" s="780">
        <f t="shared" si="302"/>
        <v>6517921</v>
      </c>
      <c r="BJ187" s="418">
        <f t="shared" si="303"/>
        <v>4835253</v>
      </c>
      <c r="BK187" s="418">
        <f t="shared" si="304"/>
        <v>4835253</v>
      </c>
      <c r="BL187" s="418">
        <f t="shared" si="304"/>
        <v>0</v>
      </c>
      <c r="BM187" s="418">
        <f t="shared" si="305"/>
        <v>0</v>
      </c>
      <c r="BN187" s="418">
        <f t="shared" si="306"/>
        <v>0</v>
      </c>
      <c r="BO187" s="418">
        <f t="shared" si="306"/>
        <v>0</v>
      </c>
      <c r="BP187" s="418">
        <f t="shared" si="307"/>
        <v>1634316</v>
      </c>
      <c r="BQ187" s="418">
        <f t="shared" si="307"/>
        <v>48352</v>
      </c>
      <c r="BR187" s="418">
        <f t="shared" si="308"/>
        <v>0</v>
      </c>
      <c r="BS187" s="419">
        <f t="shared" si="309"/>
        <v>12.860000000000001</v>
      </c>
      <c r="BT187" s="419">
        <f t="shared" si="310"/>
        <v>12.860000000000001</v>
      </c>
      <c r="BU187" s="421">
        <f t="shared" si="310"/>
        <v>0</v>
      </c>
      <c r="BV187" s="420"/>
      <c r="BW187" s="415"/>
      <c r="BX187" s="415"/>
      <c r="BY187" s="415"/>
      <c r="BZ187" s="415"/>
      <c r="CA187" s="510"/>
    </row>
    <row r="188" spans="1:79" s="221" customFormat="1" ht="12.75" customHeight="1" x14ac:dyDescent="0.2">
      <c r="A188" s="223">
        <v>38</v>
      </c>
      <c r="B188" s="224">
        <v>3435</v>
      </c>
      <c r="C188" s="224">
        <v>650022131</v>
      </c>
      <c r="D188" s="224">
        <v>70981531</v>
      </c>
      <c r="E188" s="225" t="s">
        <v>84</v>
      </c>
      <c r="F188" s="224">
        <v>3141</v>
      </c>
      <c r="G188" s="225" t="s">
        <v>294</v>
      </c>
      <c r="H188" s="226" t="s">
        <v>272</v>
      </c>
      <c r="I188" s="420">
        <v>2011625</v>
      </c>
      <c r="J188" s="415">
        <v>1482852</v>
      </c>
      <c r="K188" s="415">
        <v>0</v>
      </c>
      <c r="L188" s="415">
        <v>1482852</v>
      </c>
      <c r="M188" s="415">
        <v>0</v>
      </c>
      <c r="N188" s="415">
        <v>0</v>
      </c>
      <c r="O188" s="415">
        <v>0</v>
      </c>
      <c r="P188" s="68">
        <v>501204</v>
      </c>
      <c r="Q188" s="68">
        <v>14829</v>
      </c>
      <c r="R188" s="415">
        <v>12740</v>
      </c>
      <c r="S188" s="416">
        <v>4.45</v>
      </c>
      <c r="T188" s="417">
        <v>0</v>
      </c>
      <c r="U188" s="423">
        <v>4.45</v>
      </c>
      <c r="V188" s="424">
        <f t="shared" si="286"/>
        <v>0</v>
      </c>
      <c r="W188" s="418">
        <f t="shared" si="286"/>
        <v>0</v>
      </c>
      <c r="X188" s="418">
        <v>0</v>
      </c>
      <c r="Y188" s="418">
        <v>0</v>
      </c>
      <c r="Z188" s="418">
        <v>0</v>
      </c>
      <c r="AA188" s="415">
        <v>744098</v>
      </c>
      <c r="AB188" s="418">
        <v>0</v>
      </c>
      <c r="AC188" s="418">
        <v>0</v>
      </c>
      <c r="AD188" s="418">
        <f t="shared" si="287"/>
        <v>0</v>
      </c>
      <c r="AE188" s="418">
        <f t="shared" si="288"/>
        <v>744098</v>
      </c>
      <c r="AF188" s="418">
        <f t="shared" si="289"/>
        <v>744098</v>
      </c>
      <c r="AG188" s="418">
        <v>0</v>
      </c>
      <c r="AH188" s="418">
        <v>0</v>
      </c>
      <c r="AI188" s="418">
        <v>0</v>
      </c>
      <c r="AJ188" s="418">
        <v>0</v>
      </c>
      <c r="AK188" s="418">
        <v>0</v>
      </c>
      <c r="AL188" s="418">
        <f t="shared" si="290"/>
        <v>0</v>
      </c>
      <c r="AM188" s="418">
        <f t="shared" si="291"/>
        <v>0</v>
      </c>
      <c r="AN188" s="418">
        <f t="shared" si="292"/>
        <v>0</v>
      </c>
      <c r="AO188" s="418">
        <f t="shared" si="293"/>
        <v>0</v>
      </c>
      <c r="AP188" s="418">
        <f t="shared" si="293"/>
        <v>744098</v>
      </c>
      <c r="AQ188" s="418">
        <f t="shared" si="294"/>
        <v>744098</v>
      </c>
      <c r="AR188" s="68">
        <f t="shared" si="295"/>
        <v>251505</v>
      </c>
      <c r="AS188" s="68">
        <f t="shared" si="296"/>
        <v>7441</v>
      </c>
      <c r="AT188" s="418">
        <v>0</v>
      </c>
      <c r="AU188" s="415">
        <v>6188</v>
      </c>
      <c r="AV188" s="418">
        <f t="shared" si="297"/>
        <v>6188</v>
      </c>
      <c r="AW188" s="418">
        <f t="shared" si="298"/>
        <v>1009232</v>
      </c>
      <c r="AX188" s="419">
        <v>0</v>
      </c>
      <c r="AY188" s="419">
        <v>0</v>
      </c>
      <c r="AZ188" s="419">
        <v>0</v>
      </c>
      <c r="BA188" s="419">
        <v>0</v>
      </c>
      <c r="BB188" s="416">
        <v>2.2200000000000002</v>
      </c>
      <c r="BC188" s="939">
        <v>0</v>
      </c>
      <c r="BD188" s="419">
        <v>0</v>
      </c>
      <c r="BE188" s="419">
        <v>0</v>
      </c>
      <c r="BF188" s="419">
        <f t="shared" si="299"/>
        <v>0</v>
      </c>
      <c r="BG188" s="419">
        <f t="shared" si="300"/>
        <v>2.2200000000000002</v>
      </c>
      <c r="BH188" s="421">
        <f t="shared" si="301"/>
        <v>2.2200000000000002</v>
      </c>
      <c r="BI188" s="780">
        <f t="shared" si="302"/>
        <v>3020857</v>
      </c>
      <c r="BJ188" s="418">
        <f t="shared" si="303"/>
        <v>2226950</v>
      </c>
      <c r="BK188" s="418">
        <f t="shared" si="304"/>
        <v>0</v>
      </c>
      <c r="BL188" s="418">
        <f t="shared" si="304"/>
        <v>2226950</v>
      </c>
      <c r="BM188" s="418">
        <f t="shared" si="305"/>
        <v>0</v>
      </c>
      <c r="BN188" s="418">
        <f t="shared" si="306"/>
        <v>0</v>
      </c>
      <c r="BO188" s="418">
        <f t="shared" si="306"/>
        <v>0</v>
      </c>
      <c r="BP188" s="418">
        <f t="shared" si="307"/>
        <v>752709</v>
      </c>
      <c r="BQ188" s="418">
        <f t="shared" si="307"/>
        <v>22270</v>
      </c>
      <c r="BR188" s="418">
        <f t="shared" si="308"/>
        <v>18928</v>
      </c>
      <c r="BS188" s="419">
        <f t="shared" si="309"/>
        <v>6.67</v>
      </c>
      <c r="BT188" s="419">
        <f t="shared" si="310"/>
        <v>0</v>
      </c>
      <c r="BU188" s="421">
        <f t="shared" si="310"/>
        <v>6.67</v>
      </c>
      <c r="BV188" s="420"/>
      <c r="BW188" s="415"/>
      <c r="BX188" s="415"/>
      <c r="BY188" s="415"/>
      <c r="BZ188" s="415"/>
      <c r="CA188" s="510"/>
    </row>
    <row r="189" spans="1:79" s="221" customFormat="1" ht="12.75" customHeight="1" x14ac:dyDescent="0.2">
      <c r="A189" s="223">
        <v>38</v>
      </c>
      <c r="B189" s="224">
        <v>3435</v>
      </c>
      <c r="C189" s="224">
        <v>650022131</v>
      </c>
      <c r="D189" s="224">
        <v>70981531</v>
      </c>
      <c r="E189" s="225" t="s">
        <v>84</v>
      </c>
      <c r="F189" s="224">
        <v>3143</v>
      </c>
      <c r="G189" s="225" t="s">
        <v>595</v>
      </c>
      <c r="H189" s="226" t="s">
        <v>271</v>
      </c>
      <c r="I189" s="420">
        <v>2149853</v>
      </c>
      <c r="J189" s="415">
        <v>1594847</v>
      </c>
      <c r="K189" s="415">
        <v>1594847</v>
      </c>
      <c r="L189" s="415">
        <v>0</v>
      </c>
      <c r="M189" s="415">
        <v>0</v>
      </c>
      <c r="N189" s="415">
        <v>0</v>
      </c>
      <c r="O189" s="415">
        <v>0</v>
      </c>
      <c r="P189" s="68">
        <v>539058</v>
      </c>
      <c r="Q189" s="68">
        <v>15948</v>
      </c>
      <c r="R189" s="415">
        <v>0</v>
      </c>
      <c r="S189" s="416">
        <v>3.1429</v>
      </c>
      <c r="T189" s="417">
        <v>3.1429</v>
      </c>
      <c r="U189" s="423">
        <v>0</v>
      </c>
      <c r="V189" s="424">
        <f t="shared" si="286"/>
        <v>0</v>
      </c>
      <c r="W189" s="418">
        <f t="shared" si="286"/>
        <v>0</v>
      </c>
      <c r="X189" s="418">
        <v>0</v>
      </c>
      <c r="Y189" s="418">
        <v>0</v>
      </c>
      <c r="Z189" s="418">
        <v>0</v>
      </c>
      <c r="AA189" s="418">
        <v>0</v>
      </c>
      <c r="AB189" s="418">
        <v>0</v>
      </c>
      <c r="AC189" s="418">
        <v>0</v>
      </c>
      <c r="AD189" s="418">
        <f t="shared" si="287"/>
        <v>0</v>
      </c>
      <c r="AE189" s="418">
        <f t="shared" si="288"/>
        <v>0</v>
      </c>
      <c r="AF189" s="418">
        <f t="shared" si="289"/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si="290"/>
        <v>0</v>
      </c>
      <c r="AM189" s="418">
        <f t="shared" si="291"/>
        <v>0</v>
      </c>
      <c r="AN189" s="418">
        <f t="shared" si="292"/>
        <v>0</v>
      </c>
      <c r="AO189" s="418">
        <f t="shared" si="293"/>
        <v>0</v>
      </c>
      <c r="AP189" s="418">
        <f t="shared" si="293"/>
        <v>0</v>
      </c>
      <c r="AQ189" s="418">
        <f t="shared" si="294"/>
        <v>0</v>
      </c>
      <c r="AR189" s="68">
        <f t="shared" si="295"/>
        <v>0</v>
      </c>
      <c r="AS189" s="68">
        <f t="shared" si="296"/>
        <v>0</v>
      </c>
      <c r="AT189" s="418">
        <v>0</v>
      </c>
      <c r="AU189" s="415">
        <v>0</v>
      </c>
      <c r="AV189" s="418">
        <f t="shared" si="297"/>
        <v>0</v>
      </c>
      <c r="AW189" s="418">
        <f t="shared" si="298"/>
        <v>0</v>
      </c>
      <c r="AX189" s="419">
        <v>0</v>
      </c>
      <c r="AY189" s="419">
        <v>0</v>
      </c>
      <c r="AZ189" s="419">
        <v>0</v>
      </c>
      <c r="BA189" s="419">
        <v>0</v>
      </c>
      <c r="BB189" s="416">
        <v>0</v>
      </c>
      <c r="BC189" s="939">
        <v>0</v>
      </c>
      <c r="BD189" s="419">
        <v>0</v>
      </c>
      <c r="BE189" s="419">
        <v>0</v>
      </c>
      <c r="BF189" s="419">
        <f t="shared" si="299"/>
        <v>0</v>
      </c>
      <c r="BG189" s="419">
        <f t="shared" si="300"/>
        <v>0</v>
      </c>
      <c r="BH189" s="421">
        <f t="shared" si="301"/>
        <v>0</v>
      </c>
      <c r="BI189" s="780">
        <f t="shared" si="302"/>
        <v>2149853</v>
      </c>
      <c r="BJ189" s="418">
        <f t="shared" si="303"/>
        <v>1594847</v>
      </c>
      <c r="BK189" s="418">
        <f t="shared" si="304"/>
        <v>1594847</v>
      </c>
      <c r="BL189" s="418">
        <f t="shared" si="304"/>
        <v>0</v>
      </c>
      <c r="BM189" s="418">
        <f t="shared" si="305"/>
        <v>0</v>
      </c>
      <c r="BN189" s="418">
        <f t="shared" si="306"/>
        <v>0</v>
      </c>
      <c r="BO189" s="418">
        <f t="shared" si="306"/>
        <v>0</v>
      </c>
      <c r="BP189" s="418">
        <f t="shared" si="307"/>
        <v>539058</v>
      </c>
      <c r="BQ189" s="418">
        <f t="shared" si="307"/>
        <v>15948</v>
      </c>
      <c r="BR189" s="418">
        <f t="shared" si="308"/>
        <v>0</v>
      </c>
      <c r="BS189" s="419">
        <f t="shared" si="309"/>
        <v>3.1429</v>
      </c>
      <c r="BT189" s="419">
        <f t="shared" si="310"/>
        <v>3.1429</v>
      </c>
      <c r="BU189" s="421">
        <f t="shared" si="310"/>
        <v>0</v>
      </c>
      <c r="BV189" s="420"/>
      <c r="BW189" s="415"/>
      <c r="BX189" s="415"/>
      <c r="BY189" s="415"/>
      <c r="BZ189" s="415"/>
      <c r="CA189" s="510"/>
    </row>
    <row r="190" spans="1:79" s="221" customFormat="1" ht="12.75" customHeight="1" x14ac:dyDescent="0.2">
      <c r="A190" s="223">
        <v>38</v>
      </c>
      <c r="B190" s="224">
        <v>3435</v>
      </c>
      <c r="C190" s="224">
        <v>650022131</v>
      </c>
      <c r="D190" s="224">
        <v>70981531</v>
      </c>
      <c r="E190" s="225" t="s">
        <v>84</v>
      </c>
      <c r="F190" s="224">
        <v>3143</v>
      </c>
      <c r="G190" s="225" t="s">
        <v>596</v>
      </c>
      <c r="H190" s="226" t="s">
        <v>272</v>
      </c>
      <c r="I190" s="420">
        <v>58903</v>
      </c>
      <c r="J190" s="415">
        <v>42161</v>
      </c>
      <c r="K190" s="415">
        <v>0</v>
      </c>
      <c r="L190" s="415">
        <v>42161</v>
      </c>
      <c r="M190" s="415">
        <v>0</v>
      </c>
      <c r="N190" s="415">
        <v>0</v>
      </c>
      <c r="O190" s="415">
        <v>0</v>
      </c>
      <c r="P190" s="68">
        <v>14250</v>
      </c>
      <c r="Q190" s="68">
        <v>422</v>
      </c>
      <c r="R190" s="415">
        <v>2070</v>
      </c>
      <c r="S190" s="416">
        <v>0.16</v>
      </c>
      <c r="T190" s="417">
        <v>0</v>
      </c>
      <c r="U190" s="423">
        <v>0.16</v>
      </c>
      <c r="V190" s="424">
        <f t="shared" si="286"/>
        <v>0</v>
      </c>
      <c r="W190" s="418">
        <f t="shared" si="286"/>
        <v>0</v>
      </c>
      <c r="X190" s="418">
        <v>0</v>
      </c>
      <c r="Y190" s="418">
        <v>0</v>
      </c>
      <c r="Z190" s="418">
        <v>0</v>
      </c>
      <c r="AA190" s="605">
        <v>21089</v>
      </c>
      <c r="AB190" s="418">
        <v>0</v>
      </c>
      <c r="AC190" s="418">
        <v>0</v>
      </c>
      <c r="AD190" s="418">
        <f t="shared" si="287"/>
        <v>0</v>
      </c>
      <c r="AE190" s="418">
        <f t="shared" si="288"/>
        <v>21089</v>
      </c>
      <c r="AF190" s="418">
        <f t="shared" si="289"/>
        <v>21089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290"/>
        <v>0</v>
      </c>
      <c r="AM190" s="418">
        <f t="shared" si="291"/>
        <v>0</v>
      </c>
      <c r="AN190" s="418">
        <f t="shared" si="292"/>
        <v>0</v>
      </c>
      <c r="AO190" s="418">
        <f t="shared" si="293"/>
        <v>0</v>
      </c>
      <c r="AP190" s="418">
        <f t="shared" si="293"/>
        <v>21089</v>
      </c>
      <c r="AQ190" s="418">
        <f t="shared" si="294"/>
        <v>21089</v>
      </c>
      <c r="AR190" s="68">
        <f t="shared" si="295"/>
        <v>7128</v>
      </c>
      <c r="AS190" s="68">
        <f t="shared" si="296"/>
        <v>211</v>
      </c>
      <c r="AT190" s="418">
        <v>0</v>
      </c>
      <c r="AU190" s="606">
        <v>1035</v>
      </c>
      <c r="AV190" s="418">
        <f t="shared" si="297"/>
        <v>1035</v>
      </c>
      <c r="AW190" s="418">
        <f t="shared" si="298"/>
        <v>29463</v>
      </c>
      <c r="AX190" s="419">
        <v>0</v>
      </c>
      <c r="AY190" s="419">
        <v>0</v>
      </c>
      <c r="AZ190" s="419">
        <v>0</v>
      </c>
      <c r="BA190" s="419">
        <v>0</v>
      </c>
      <c r="BB190" s="607">
        <v>0.08</v>
      </c>
      <c r="BC190" s="939">
        <v>0</v>
      </c>
      <c r="BD190" s="419">
        <v>0</v>
      </c>
      <c r="BE190" s="419">
        <v>0</v>
      </c>
      <c r="BF190" s="419">
        <f t="shared" si="299"/>
        <v>0</v>
      </c>
      <c r="BG190" s="419">
        <f t="shared" si="300"/>
        <v>0.08</v>
      </c>
      <c r="BH190" s="421">
        <f t="shared" si="301"/>
        <v>0.08</v>
      </c>
      <c r="BI190" s="780">
        <f t="shared" si="302"/>
        <v>88366</v>
      </c>
      <c r="BJ190" s="418">
        <f t="shared" si="303"/>
        <v>63250</v>
      </c>
      <c r="BK190" s="418">
        <f t="shared" si="304"/>
        <v>0</v>
      </c>
      <c r="BL190" s="418">
        <f t="shared" si="304"/>
        <v>63250</v>
      </c>
      <c r="BM190" s="418">
        <f t="shared" si="305"/>
        <v>0</v>
      </c>
      <c r="BN190" s="418">
        <f t="shared" si="306"/>
        <v>0</v>
      </c>
      <c r="BO190" s="418">
        <f t="shared" si="306"/>
        <v>0</v>
      </c>
      <c r="BP190" s="418">
        <f t="shared" si="307"/>
        <v>21378</v>
      </c>
      <c r="BQ190" s="418">
        <f t="shared" si="307"/>
        <v>633</v>
      </c>
      <c r="BR190" s="418">
        <f t="shared" si="308"/>
        <v>3105</v>
      </c>
      <c r="BS190" s="419">
        <f t="shared" si="309"/>
        <v>0.24</v>
      </c>
      <c r="BT190" s="419">
        <f t="shared" si="310"/>
        <v>0</v>
      </c>
      <c r="BU190" s="421">
        <f t="shared" si="310"/>
        <v>0.24</v>
      </c>
      <c r="BV190" s="420"/>
      <c r="BW190" s="415"/>
      <c r="BX190" s="415"/>
      <c r="BY190" s="415"/>
      <c r="BZ190" s="415"/>
      <c r="CA190" s="510"/>
    </row>
    <row r="191" spans="1:79" s="221" customFormat="1" ht="12.75" customHeight="1" thickBot="1" x14ac:dyDescent="0.25">
      <c r="A191" s="156">
        <v>38</v>
      </c>
      <c r="B191" s="157">
        <v>3435</v>
      </c>
      <c r="C191" s="158">
        <v>650022131</v>
      </c>
      <c r="D191" s="158">
        <v>70981531</v>
      </c>
      <c r="E191" s="227" t="s">
        <v>85</v>
      </c>
      <c r="F191" s="157"/>
      <c r="G191" s="227"/>
      <c r="H191" s="561"/>
      <c r="I191" s="574">
        <v>44295129</v>
      </c>
      <c r="J191" s="575">
        <v>32366066</v>
      </c>
      <c r="K191" s="575">
        <v>28974547</v>
      </c>
      <c r="L191" s="575">
        <v>3391519</v>
      </c>
      <c r="M191" s="575">
        <v>194200</v>
      </c>
      <c r="N191" s="575">
        <v>184200</v>
      </c>
      <c r="O191" s="575">
        <v>10000</v>
      </c>
      <c r="P191" s="575">
        <v>11005370</v>
      </c>
      <c r="Q191" s="575">
        <v>323661</v>
      </c>
      <c r="R191" s="575">
        <v>405832</v>
      </c>
      <c r="S191" s="576">
        <v>61.316299999999998</v>
      </c>
      <c r="T191" s="576">
        <v>50.823399999999992</v>
      </c>
      <c r="U191" s="551">
        <v>10.492900000000001</v>
      </c>
      <c r="V191" s="574">
        <f t="shared" ref="V191:CA191" si="311">SUM(V185:V190)</f>
        <v>0</v>
      </c>
      <c r="W191" s="575">
        <f t="shared" si="311"/>
        <v>0</v>
      </c>
      <c r="X191" s="575">
        <f t="shared" si="311"/>
        <v>-12379</v>
      </c>
      <c r="Y191" s="575">
        <f t="shared" si="311"/>
        <v>0</v>
      </c>
      <c r="Z191" s="575">
        <f t="shared" si="311"/>
        <v>0</v>
      </c>
      <c r="AA191" s="575">
        <f t="shared" si="311"/>
        <v>765187</v>
      </c>
      <c r="AB191" s="575">
        <f t="shared" si="311"/>
        <v>0</v>
      </c>
      <c r="AC191" s="575">
        <f t="shared" si="311"/>
        <v>0</v>
      </c>
      <c r="AD191" s="575">
        <f t="shared" si="311"/>
        <v>-12379</v>
      </c>
      <c r="AE191" s="575">
        <f t="shared" si="311"/>
        <v>765187</v>
      </c>
      <c r="AF191" s="575">
        <f t="shared" si="311"/>
        <v>752808</v>
      </c>
      <c r="AG191" s="575">
        <f t="shared" si="311"/>
        <v>0</v>
      </c>
      <c r="AH191" s="575">
        <f t="shared" si="311"/>
        <v>0</v>
      </c>
      <c r="AI191" s="575">
        <f t="shared" si="311"/>
        <v>0</v>
      </c>
      <c r="AJ191" s="575">
        <f t="shared" si="311"/>
        <v>0</v>
      </c>
      <c r="AK191" s="575">
        <f t="shared" si="311"/>
        <v>0</v>
      </c>
      <c r="AL191" s="575">
        <f t="shared" si="311"/>
        <v>0</v>
      </c>
      <c r="AM191" s="575">
        <f t="shared" si="311"/>
        <v>0</v>
      </c>
      <c r="AN191" s="575">
        <f t="shared" si="311"/>
        <v>0</v>
      </c>
      <c r="AO191" s="575">
        <f t="shared" si="311"/>
        <v>-12379</v>
      </c>
      <c r="AP191" s="575">
        <f t="shared" si="311"/>
        <v>765187</v>
      </c>
      <c r="AQ191" s="575">
        <f t="shared" si="311"/>
        <v>752808</v>
      </c>
      <c r="AR191" s="575">
        <f t="shared" si="311"/>
        <v>254449</v>
      </c>
      <c r="AS191" s="575">
        <f t="shared" si="311"/>
        <v>7528</v>
      </c>
      <c r="AT191" s="575">
        <f t="shared" si="311"/>
        <v>0</v>
      </c>
      <c r="AU191" s="575">
        <f t="shared" si="311"/>
        <v>7223</v>
      </c>
      <c r="AV191" s="575">
        <f t="shared" si="311"/>
        <v>7223</v>
      </c>
      <c r="AW191" s="575">
        <f t="shared" si="311"/>
        <v>1022008</v>
      </c>
      <c r="AX191" s="576">
        <f t="shared" si="311"/>
        <v>0</v>
      </c>
      <c r="AY191" s="576">
        <f t="shared" si="311"/>
        <v>0</v>
      </c>
      <c r="AZ191" s="576">
        <f t="shared" si="311"/>
        <v>-0.03</v>
      </c>
      <c r="BA191" s="576">
        <f t="shared" si="311"/>
        <v>0</v>
      </c>
      <c r="BB191" s="576">
        <f t="shared" si="311"/>
        <v>2.3000000000000003</v>
      </c>
      <c r="BC191" s="940">
        <f t="shared" si="311"/>
        <v>0</v>
      </c>
      <c r="BD191" s="576">
        <f t="shared" si="311"/>
        <v>0</v>
      </c>
      <c r="BE191" s="576">
        <f t="shared" si="311"/>
        <v>0</v>
      </c>
      <c r="BF191" s="576">
        <f t="shared" si="311"/>
        <v>-0.03</v>
      </c>
      <c r="BG191" s="576">
        <f t="shared" si="311"/>
        <v>2.3000000000000003</v>
      </c>
      <c r="BH191" s="941">
        <f t="shared" si="311"/>
        <v>2.2700000000000005</v>
      </c>
      <c r="BI191" s="942">
        <f t="shared" si="311"/>
        <v>45317137</v>
      </c>
      <c r="BJ191" s="575">
        <f t="shared" si="311"/>
        <v>33118874</v>
      </c>
      <c r="BK191" s="575">
        <f t="shared" si="311"/>
        <v>28962168</v>
      </c>
      <c r="BL191" s="575">
        <f t="shared" si="311"/>
        <v>4156706</v>
      </c>
      <c r="BM191" s="575">
        <f t="shared" si="311"/>
        <v>194200</v>
      </c>
      <c r="BN191" s="575">
        <f t="shared" si="311"/>
        <v>184200</v>
      </c>
      <c r="BO191" s="575">
        <f t="shared" si="311"/>
        <v>10000</v>
      </c>
      <c r="BP191" s="575">
        <f t="shared" si="311"/>
        <v>11259819</v>
      </c>
      <c r="BQ191" s="575">
        <f t="shared" si="311"/>
        <v>331189</v>
      </c>
      <c r="BR191" s="575">
        <f t="shared" si="311"/>
        <v>413055</v>
      </c>
      <c r="BS191" s="576">
        <f t="shared" si="311"/>
        <v>63.586300000000001</v>
      </c>
      <c r="BT191" s="576">
        <f t="shared" si="311"/>
        <v>50.793399999999991</v>
      </c>
      <c r="BU191" s="941">
        <f t="shared" si="311"/>
        <v>12.792900000000001</v>
      </c>
      <c r="BV191" s="828">
        <f t="shared" si="311"/>
        <v>606526</v>
      </c>
      <c r="BW191" s="711">
        <f t="shared" si="311"/>
        <v>282000</v>
      </c>
      <c r="BX191" s="711">
        <f t="shared" si="311"/>
        <v>169200</v>
      </c>
      <c r="BY191" s="711">
        <f t="shared" si="311"/>
        <v>152506</v>
      </c>
      <c r="BZ191" s="711">
        <f t="shared" si="311"/>
        <v>2820</v>
      </c>
      <c r="CA191" s="829">
        <f t="shared" si="311"/>
        <v>0.5</v>
      </c>
    </row>
    <row r="192" spans="1:79" s="221" customFormat="1" ht="12.75" customHeight="1" thickBot="1" x14ac:dyDescent="0.25">
      <c r="A192" s="228"/>
      <c r="B192" s="229"/>
      <c r="C192" s="229"/>
      <c r="D192" s="229"/>
      <c r="E192" s="85" t="s">
        <v>750</v>
      </c>
      <c r="F192" s="229"/>
      <c r="G192" s="229"/>
      <c r="H192" s="554"/>
      <c r="I192" s="555">
        <f t="shared" ref="I192:BT192" si="312">I13+I17+I21+I25+I29+I32+I36+I40+I44+I48+I52+I56+I59+I63+I67+I71+I75+I79+I84+I90+I96+I102+I108+I114+I120+I126+I132+I138+I140+I148+I155+I159+I164+I168+I175+I178+I184+I191</f>
        <v>676628685</v>
      </c>
      <c r="J192" s="556">
        <f t="shared" si="312"/>
        <v>496020581</v>
      </c>
      <c r="K192" s="556">
        <f t="shared" si="312"/>
        <v>438083126</v>
      </c>
      <c r="L192" s="556">
        <f t="shared" si="312"/>
        <v>57937455</v>
      </c>
      <c r="M192" s="556">
        <f t="shared" si="312"/>
        <v>1657046</v>
      </c>
      <c r="N192" s="556">
        <f t="shared" si="312"/>
        <v>1276746</v>
      </c>
      <c r="O192" s="556">
        <f t="shared" si="312"/>
        <v>380300</v>
      </c>
      <c r="P192" s="556">
        <f t="shared" si="312"/>
        <v>168140431</v>
      </c>
      <c r="Q192" s="556">
        <f t="shared" si="312"/>
        <v>4960207</v>
      </c>
      <c r="R192" s="556">
        <f t="shared" si="312"/>
        <v>5850420</v>
      </c>
      <c r="S192" s="552">
        <f t="shared" si="312"/>
        <v>904.70709999999985</v>
      </c>
      <c r="T192" s="552">
        <f t="shared" si="312"/>
        <v>726.37649999999996</v>
      </c>
      <c r="U192" s="553">
        <f t="shared" si="312"/>
        <v>178.33059999999998</v>
      </c>
      <c r="V192" s="943">
        <f t="shared" si="312"/>
        <v>0</v>
      </c>
      <c r="W192" s="556">
        <f t="shared" si="312"/>
        <v>0</v>
      </c>
      <c r="X192" s="556">
        <f t="shared" si="312"/>
        <v>-375817</v>
      </c>
      <c r="Y192" s="556">
        <f t="shared" si="312"/>
        <v>0</v>
      </c>
      <c r="Z192" s="556">
        <f t="shared" si="312"/>
        <v>0</v>
      </c>
      <c r="AA192" s="556">
        <f t="shared" si="312"/>
        <v>14032892</v>
      </c>
      <c r="AB192" s="556">
        <f t="shared" si="312"/>
        <v>-432216</v>
      </c>
      <c r="AC192" s="556">
        <f t="shared" si="312"/>
        <v>-41253</v>
      </c>
      <c r="AD192" s="556">
        <f t="shared" si="312"/>
        <v>-808033</v>
      </c>
      <c r="AE192" s="556">
        <f t="shared" si="312"/>
        <v>13991639</v>
      </c>
      <c r="AF192" s="556">
        <f t="shared" si="312"/>
        <v>13183606</v>
      </c>
      <c r="AG192" s="556">
        <f t="shared" si="312"/>
        <v>0</v>
      </c>
      <c r="AH192" s="556">
        <f t="shared" si="312"/>
        <v>0</v>
      </c>
      <c r="AI192" s="556">
        <f t="shared" si="312"/>
        <v>0</v>
      </c>
      <c r="AJ192" s="556">
        <f t="shared" si="312"/>
        <v>127198</v>
      </c>
      <c r="AK192" s="556">
        <f t="shared" si="312"/>
        <v>0</v>
      </c>
      <c r="AL192" s="556">
        <f t="shared" si="312"/>
        <v>127198</v>
      </c>
      <c r="AM192" s="556">
        <f t="shared" si="312"/>
        <v>0</v>
      </c>
      <c r="AN192" s="556">
        <f t="shared" si="312"/>
        <v>127198</v>
      </c>
      <c r="AO192" s="556">
        <f t="shared" si="312"/>
        <v>-680835</v>
      </c>
      <c r="AP192" s="556">
        <f t="shared" si="312"/>
        <v>13991639</v>
      </c>
      <c r="AQ192" s="556">
        <f t="shared" si="312"/>
        <v>13310804</v>
      </c>
      <c r="AR192" s="556">
        <f t="shared" si="312"/>
        <v>4456060</v>
      </c>
      <c r="AS192" s="556">
        <f t="shared" si="312"/>
        <v>131832</v>
      </c>
      <c r="AT192" s="556">
        <f t="shared" si="312"/>
        <v>0</v>
      </c>
      <c r="AU192" s="556">
        <f t="shared" si="312"/>
        <v>123788</v>
      </c>
      <c r="AV192" s="556">
        <f t="shared" si="312"/>
        <v>123788</v>
      </c>
      <c r="AW192" s="556">
        <f t="shared" si="312"/>
        <v>18022484</v>
      </c>
      <c r="AX192" s="552">
        <f t="shared" si="312"/>
        <v>0</v>
      </c>
      <c r="AY192" s="552">
        <f t="shared" si="312"/>
        <v>0</v>
      </c>
      <c r="AZ192" s="552">
        <f t="shared" si="312"/>
        <v>-0.84000000000000008</v>
      </c>
      <c r="BA192" s="552">
        <f t="shared" si="312"/>
        <v>0</v>
      </c>
      <c r="BB192" s="552">
        <f t="shared" si="312"/>
        <v>42.370000000000005</v>
      </c>
      <c r="BC192" s="552">
        <f t="shared" si="312"/>
        <v>0</v>
      </c>
      <c r="BD192" s="552">
        <f t="shared" si="312"/>
        <v>-0.75</v>
      </c>
      <c r="BE192" s="552">
        <f t="shared" si="312"/>
        <v>-0.14000000000000001</v>
      </c>
      <c r="BF192" s="552">
        <f t="shared" si="312"/>
        <v>-1.59</v>
      </c>
      <c r="BG192" s="552">
        <f t="shared" si="312"/>
        <v>42.230000000000004</v>
      </c>
      <c r="BH192" s="944">
        <f t="shared" si="312"/>
        <v>40.640000000000008</v>
      </c>
      <c r="BI192" s="555">
        <f t="shared" si="312"/>
        <v>694651169</v>
      </c>
      <c r="BJ192" s="556">
        <f t="shared" si="312"/>
        <v>509204187</v>
      </c>
      <c r="BK192" s="556">
        <f t="shared" si="312"/>
        <v>437275093</v>
      </c>
      <c r="BL192" s="556">
        <f t="shared" si="312"/>
        <v>71929094</v>
      </c>
      <c r="BM192" s="556">
        <f t="shared" si="312"/>
        <v>1784244</v>
      </c>
      <c r="BN192" s="556">
        <f t="shared" si="312"/>
        <v>1403944</v>
      </c>
      <c r="BO192" s="556">
        <f t="shared" si="312"/>
        <v>380300</v>
      </c>
      <c r="BP192" s="556">
        <f t="shared" si="312"/>
        <v>172596491</v>
      </c>
      <c r="BQ192" s="556">
        <f t="shared" si="312"/>
        <v>5092039</v>
      </c>
      <c r="BR192" s="556">
        <f t="shared" si="312"/>
        <v>5974208</v>
      </c>
      <c r="BS192" s="552">
        <f t="shared" si="312"/>
        <v>945.34710000000007</v>
      </c>
      <c r="BT192" s="552">
        <f t="shared" si="312"/>
        <v>724.78650000000005</v>
      </c>
      <c r="BU192" s="553">
        <f t="shared" ref="BU192:CA192" si="313">BU13+BU17+BU21+BU25+BU29+BU32+BU36+BU40+BU44+BU48+BU52+BU56+BU59+BU63+BU67+BU71+BU75+BU79+BU84+BU90+BU96+BU102+BU108+BU114+BU120+BU126+BU132+BU138+BU140+BU148+BU155+BU159+BU164+BU168+BU175+BU178+BU184+BU191</f>
        <v>220.56060000000002</v>
      </c>
      <c r="BV192" s="712">
        <f t="shared" si="313"/>
        <v>3327292</v>
      </c>
      <c r="BW192" s="673">
        <f t="shared" si="313"/>
        <v>1974000</v>
      </c>
      <c r="BX192" s="673">
        <f t="shared" si="313"/>
        <v>498012</v>
      </c>
      <c r="BY192" s="673">
        <f t="shared" si="313"/>
        <v>835540</v>
      </c>
      <c r="BZ192" s="673">
        <f t="shared" si="313"/>
        <v>19740</v>
      </c>
      <c r="CA192" s="830">
        <f t="shared" si="313"/>
        <v>3.5</v>
      </c>
    </row>
    <row r="193" spans="4:79" ht="12.75" customHeight="1" x14ac:dyDescent="0.2">
      <c r="D193" s="9"/>
      <c r="E193" s="5"/>
      <c r="F193" s="9"/>
      <c r="G193" s="5"/>
      <c r="H193" s="5"/>
      <c r="I193" s="428">
        <f>J192+M192+P192+Q192+R192</f>
        <v>676628685</v>
      </c>
      <c r="J193" s="428">
        <f>SUM(K192:L192)</f>
        <v>496020581</v>
      </c>
      <c r="K193" s="428"/>
      <c r="L193" s="428"/>
      <c r="M193" s="428">
        <f>SUM(N192:O192)</f>
        <v>1657046</v>
      </c>
      <c r="N193" s="428"/>
      <c r="O193" s="428"/>
      <c r="P193" s="428"/>
      <c r="Q193" s="428"/>
      <c r="R193" s="428"/>
      <c r="S193" s="429">
        <f>SUM(T192:U192)</f>
        <v>904.70709999999997</v>
      </c>
      <c r="T193" s="429"/>
      <c r="U193" s="429"/>
      <c r="V193" s="428">
        <f>AG192</f>
        <v>0</v>
      </c>
      <c r="W193" s="428">
        <f>AH192</f>
        <v>0</v>
      </c>
      <c r="X193" s="429"/>
      <c r="Y193" s="429"/>
      <c r="Z193" s="429"/>
      <c r="AA193" s="429"/>
      <c r="AB193" s="429"/>
      <c r="AC193" s="429"/>
      <c r="AD193" s="430"/>
      <c r="AE193" s="430"/>
      <c r="AF193" s="430">
        <f>SUM(AD192:AE192)</f>
        <v>13183606</v>
      </c>
      <c r="AG193" s="430">
        <f>V192</f>
        <v>0</v>
      </c>
      <c r="AH193" s="430">
        <f>W192</f>
        <v>0</v>
      </c>
      <c r="AI193" s="431"/>
      <c r="AJ193" s="431"/>
      <c r="AK193" s="431"/>
      <c r="AL193" s="430"/>
      <c r="AM193" s="430"/>
      <c r="AN193" s="430">
        <f>SUM(AL192:AM192)</f>
        <v>127198</v>
      </c>
      <c r="AO193" s="430"/>
      <c r="AP193" s="430"/>
      <c r="AQ193" s="430">
        <f>SUM(AO192:AP192)</f>
        <v>13310804</v>
      </c>
      <c r="AR193" s="432"/>
      <c r="AS193" s="432"/>
      <c r="AT193" s="431"/>
      <c r="AU193" s="431"/>
      <c r="AV193" s="430">
        <f>SUM(AT192:AU192)</f>
        <v>123788</v>
      </c>
      <c r="AW193" s="430">
        <f>AF192+AN192+AR192+AS192+AV192</f>
        <v>18022484</v>
      </c>
      <c r="AX193" s="433"/>
      <c r="AY193" s="433"/>
      <c r="AZ193" s="433"/>
      <c r="BA193" s="433"/>
      <c r="BB193" s="433"/>
      <c r="BC193" s="433"/>
      <c r="BD193" s="433"/>
      <c r="BE193" s="433"/>
      <c r="BF193" s="508">
        <f>AX192+AZ192+BA192+BC192+BD192</f>
        <v>-1.59</v>
      </c>
      <c r="BG193" s="508">
        <f>AY192+BB192+BE192</f>
        <v>42.230000000000004</v>
      </c>
      <c r="BH193" s="508">
        <f>SUM(BF192:BG192)</f>
        <v>40.64</v>
      </c>
      <c r="BI193" s="428">
        <f>BJ192+BM192+BP192+BQ192+BR192</f>
        <v>694651169</v>
      </c>
      <c r="BJ193" s="428">
        <f>SUM(BK192:BL192)</f>
        <v>509204187</v>
      </c>
      <c r="BK193" s="430">
        <f>K192+AD192</f>
        <v>437275093</v>
      </c>
      <c r="BL193" s="430">
        <f>L192+AE192</f>
        <v>71929094</v>
      </c>
      <c r="BM193" s="86">
        <f>SUM(BN192:BO192)</f>
        <v>1784244</v>
      </c>
      <c r="BN193" s="430">
        <f>N192+AL192</f>
        <v>1403944</v>
      </c>
      <c r="BO193" s="430">
        <f>O192+AM192</f>
        <v>380300</v>
      </c>
      <c r="BP193" s="430">
        <f>P192+AR192</f>
        <v>172596491</v>
      </c>
      <c r="BQ193" s="430">
        <f>Q192+AS192</f>
        <v>5092039</v>
      </c>
      <c r="BR193" s="430">
        <f>R192+AV192</f>
        <v>5974208</v>
      </c>
      <c r="BS193" s="429">
        <f>SUM(BT192:BU192)</f>
        <v>945.34710000000007</v>
      </c>
      <c r="BT193" s="508">
        <f>T192+BF192</f>
        <v>724.78649999999993</v>
      </c>
      <c r="BU193" s="508">
        <f>U192+BG192</f>
        <v>220.56059999999997</v>
      </c>
      <c r="BV193" s="235">
        <f>SUM(BW192:BZ192)</f>
        <v>3327292</v>
      </c>
    </row>
    <row r="194" spans="4:79" ht="12.75" customHeight="1" thickBot="1" x14ac:dyDescent="0.25">
      <c r="D194" s="9"/>
      <c r="E194" s="5"/>
      <c r="F194" s="9"/>
      <c r="G194" s="5"/>
      <c r="H194" s="5"/>
      <c r="I194" s="428">
        <f>J195+M195+P195+Q195+R195</f>
        <v>676628685</v>
      </c>
      <c r="J194" s="428">
        <f>SUM(K195:L195)</f>
        <v>496020581</v>
      </c>
      <c r="K194" s="428"/>
      <c r="L194" s="428"/>
      <c r="M194" s="428">
        <f>SUM(N195:O195)</f>
        <v>1657046</v>
      </c>
      <c r="N194" s="428"/>
      <c r="O194" s="428"/>
      <c r="P194" s="428"/>
      <c r="Q194" s="428"/>
      <c r="R194" s="428"/>
      <c r="S194" s="429">
        <f>SUM(T195:U195)</f>
        <v>904.70709999999974</v>
      </c>
      <c r="T194" s="429"/>
      <c r="U194" s="429"/>
      <c r="V194" s="428">
        <f>AG195</f>
        <v>0</v>
      </c>
      <c r="W194" s="428">
        <f>AH195</f>
        <v>0</v>
      </c>
      <c r="X194" s="429"/>
      <c r="Y194" s="429"/>
      <c r="Z194" s="429"/>
      <c r="AA194" s="429"/>
      <c r="AB194" s="429"/>
      <c r="AC194" s="429"/>
      <c r="AD194" s="430"/>
      <c r="AE194" s="430"/>
      <c r="AF194" s="430">
        <f>SUM(AD195:AE195)</f>
        <v>13183606</v>
      </c>
      <c r="AG194" s="430"/>
      <c r="AH194" s="430"/>
      <c r="AI194" s="431"/>
      <c r="AJ194" s="431"/>
      <c r="AK194" s="431"/>
      <c r="AL194" s="430"/>
      <c r="AM194" s="430"/>
      <c r="AN194" s="430">
        <f>SUM(AL195:AM195)</f>
        <v>127198</v>
      </c>
      <c r="AO194" s="430"/>
      <c r="AP194" s="430"/>
      <c r="AQ194" s="430">
        <f>SUM(AO195:AP195)</f>
        <v>13310804</v>
      </c>
      <c r="AR194" s="432"/>
      <c r="AS194" s="432"/>
      <c r="AT194" s="431"/>
      <c r="AU194" s="431"/>
      <c r="AV194" s="430">
        <f>SUM(AT195:AU195)</f>
        <v>123788</v>
      </c>
      <c r="AW194" s="430">
        <f>AF195+AN195+AR195+AS195+AV195</f>
        <v>18022484</v>
      </c>
      <c r="AX194" s="433"/>
      <c r="AY194" s="433"/>
      <c r="AZ194" s="433"/>
      <c r="BA194" s="433"/>
      <c r="BB194" s="433"/>
      <c r="BC194" s="433"/>
      <c r="BD194" s="433"/>
      <c r="BE194" s="433"/>
      <c r="BF194" s="508">
        <f>AX195+AZ195+BA195+BC195+BD195</f>
        <v>-1.59</v>
      </c>
      <c r="BG194" s="508">
        <f>AY195+BB195+BE195</f>
        <v>42.230000000000004</v>
      </c>
      <c r="BH194" s="508">
        <f>SUM(BF195:BG195)</f>
        <v>40.64</v>
      </c>
      <c r="BI194" s="428">
        <f>BJ195+BM195+BP195+BQ195+BR195</f>
        <v>694651169</v>
      </c>
      <c r="BJ194" s="428">
        <f>SUM(BK195:BL195)</f>
        <v>509204187</v>
      </c>
      <c r="BK194" s="53"/>
      <c r="BL194" s="53"/>
      <c r="BM194" s="86">
        <f>SUM(BN195:BO195)</f>
        <v>1784244</v>
      </c>
      <c r="BN194" s="53"/>
      <c r="BO194" s="53"/>
      <c r="BP194" s="53"/>
      <c r="BQ194" s="53"/>
      <c r="BR194" s="53"/>
      <c r="BS194" s="429">
        <f>SUM(BT195:BU195)</f>
        <v>945.34709999999984</v>
      </c>
      <c r="BT194" s="87"/>
      <c r="BU194" s="87"/>
      <c r="BV194" s="235">
        <f>SUM(BW195:BZ195)</f>
        <v>3327292</v>
      </c>
    </row>
    <row r="195" spans="4:79" ht="12.75" customHeight="1" thickBot="1" x14ac:dyDescent="0.25">
      <c r="D195" s="9"/>
      <c r="E195" s="5"/>
      <c r="F195" s="9"/>
      <c r="G195" s="5"/>
      <c r="H195" s="440" t="s">
        <v>0</v>
      </c>
      <c r="I195" s="139">
        <f t="shared" ref="I195:BT195" si="314">SUM(I196:I205)</f>
        <v>676628685</v>
      </c>
      <c r="J195" s="34">
        <f t="shared" si="314"/>
        <v>496020581</v>
      </c>
      <c r="K195" s="34">
        <f t="shared" si="314"/>
        <v>438083126</v>
      </c>
      <c r="L195" s="34">
        <f t="shared" si="314"/>
        <v>57937455</v>
      </c>
      <c r="M195" s="34">
        <f t="shared" si="314"/>
        <v>1657046</v>
      </c>
      <c r="N195" s="34">
        <f t="shared" si="314"/>
        <v>1276746</v>
      </c>
      <c r="O195" s="34">
        <f t="shared" si="314"/>
        <v>380300</v>
      </c>
      <c r="P195" s="34">
        <f t="shared" si="314"/>
        <v>168140431</v>
      </c>
      <c r="Q195" s="34">
        <f t="shared" si="314"/>
        <v>4960207</v>
      </c>
      <c r="R195" s="34">
        <f t="shared" si="314"/>
        <v>5850420</v>
      </c>
      <c r="S195" s="35">
        <f t="shared" si="314"/>
        <v>904.7071000000002</v>
      </c>
      <c r="T195" s="35">
        <f t="shared" si="314"/>
        <v>726.37649999999974</v>
      </c>
      <c r="U195" s="36">
        <f t="shared" si="314"/>
        <v>178.33060000000003</v>
      </c>
      <c r="V195" s="149">
        <f t="shared" si="314"/>
        <v>0</v>
      </c>
      <c r="W195" s="34">
        <f t="shared" si="314"/>
        <v>0</v>
      </c>
      <c r="X195" s="34">
        <f t="shared" si="314"/>
        <v>-375817</v>
      </c>
      <c r="Y195" s="34">
        <f t="shared" si="314"/>
        <v>0</v>
      </c>
      <c r="Z195" s="34">
        <f t="shared" si="314"/>
        <v>0</v>
      </c>
      <c r="AA195" s="34">
        <f t="shared" si="314"/>
        <v>14032892</v>
      </c>
      <c r="AB195" s="34">
        <f t="shared" si="314"/>
        <v>-432216</v>
      </c>
      <c r="AC195" s="34">
        <f t="shared" si="314"/>
        <v>-41253</v>
      </c>
      <c r="AD195" s="34">
        <f t="shared" si="314"/>
        <v>-808033</v>
      </c>
      <c r="AE195" s="34">
        <f t="shared" si="314"/>
        <v>13991639</v>
      </c>
      <c r="AF195" s="34">
        <f t="shared" si="314"/>
        <v>13183606</v>
      </c>
      <c r="AG195" s="34">
        <f t="shared" si="314"/>
        <v>0</v>
      </c>
      <c r="AH195" s="34">
        <f t="shared" si="314"/>
        <v>0</v>
      </c>
      <c r="AI195" s="34">
        <f t="shared" si="314"/>
        <v>0</v>
      </c>
      <c r="AJ195" s="34">
        <f t="shared" si="314"/>
        <v>127198</v>
      </c>
      <c r="AK195" s="34">
        <f t="shared" si="314"/>
        <v>0</v>
      </c>
      <c r="AL195" s="34">
        <f t="shared" si="314"/>
        <v>127198</v>
      </c>
      <c r="AM195" s="34">
        <f t="shared" si="314"/>
        <v>0</v>
      </c>
      <c r="AN195" s="34">
        <f t="shared" si="314"/>
        <v>127198</v>
      </c>
      <c r="AO195" s="34">
        <f t="shared" si="314"/>
        <v>-680835</v>
      </c>
      <c r="AP195" s="34">
        <f t="shared" si="314"/>
        <v>13991639</v>
      </c>
      <c r="AQ195" s="34">
        <f t="shared" si="314"/>
        <v>13310804</v>
      </c>
      <c r="AR195" s="34">
        <f t="shared" si="314"/>
        <v>4456060</v>
      </c>
      <c r="AS195" s="34">
        <f t="shared" si="314"/>
        <v>131832</v>
      </c>
      <c r="AT195" s="34">
        <f t="shared" si="314"/>
        <v>0</v>
      </c>
      <c r="AU195" s="34">
        <f t="shared" si="314"/>
        <v>123788</v>
      </c>
      <c r="AV195" s="34">
        <f t="shared" si="314"/>
        <v>123788</v>
      </c>
      <c r="AW195" s="34">
        <f t="shared" si="314"/>
        <v>18022484</v>
      </c>
      <c r="AX195" s="35">
        <f t="shared" si="314"/>
        <v>0</v>
      </c>
      <c r="AY195" s="35">
        <f t="shared" si="314"/>
        <v>0</v>
      </c>
      <c r="AZ195" s="35">
        <f t="shared" si="314"/>
        <v>-0.84000000000000008</v>
      </c>
      <c r="BA195" s="35">
        <f t="shared" si="314"/>
        <v>0</v>
      </c>
      <c r="BB195" s="35">
        <f t="shared" si="314"/>
        <v>42.370000000000005</v>
      </c>
      <c r="BC195" s="35">
        <f t="shared" si="314"/>
        <v>0</v>
      </c>
      <c r="BD195" s="35">
        <f t="shared" si="314"/>
        <v>-0.75</v>
      </c>
      <c r="BE195" s="35">
        <f t="shared" si="314"/>
        <v>-0.14000000000000001</v>
      </c>
      <c r="BF195" s="35">
        <f t="shared" si="314"/>
        <v>-1.59</v>
      </c>
      <c r="BG195" s="35">
        <f t="shared" si="314"/>
        <v>42.230000000000004</v>
      </c>
      <c r="BH195" s="148">
        <f t="shared" si="314"/>
        <v>40.640000000000008</v>
      </c>
      <c r="BI195" s="139">
        <f t="shared" si="314"/>
        <v>694651169</v>
      </c>
      <c r="BJ195" s="34">
        <f t="shared" si="314"/>
        <v>509204187</v>
      </c>
      <c r="BK195" s="34">
        <f t="shared" si="314"/>
        <v>437275093</v>
      </c>
      <c r="BL195" s="34">
        <f t="shared" si="314"/>
        <v>71929094</v>
      </c>
      <c r="BM195" s="34">
        <f t="shared" si="314"/>
        <v>1784244</v>
      </c>
      <c r="BN195" s="34">
        <f t="shared" si="314"/>
        <v>1403944</v>
      </c>
      <c r="BO195" s="34">
        <f t="shared" si="314"/>
        <v>380300</v>
      </c>
      <c r="BP195" s="34">
        <f t="shared" si="314"/>
        <v>172596491</v>
      </c>
      <c r="BQ195" s="34">
        <f t="shared" si="314"/>
        <v>5092039</v>
      </c>
      <c r="BR195" s="34">
        <f t="shared" si="314"/>
        <v>5974208</v>
      </c>
      <c r="BS195" s="35">
        <f t="shared" si="314"/>
        <v>945.34710000000007</v>
      </c>
      <c r="BT195" s="35">
        <f t="shared" si="314"/>
        <v>724.78649999999982</v>
      </c>
      <c r="BU195" s="148">
        <f t="shared" ref="BU195:CA195" si="315">SUM(BU196:BU205)</f>
        <v>220.56059999999999</v>
      </c>
      <c r="BV195" s="676">
        <f t="shared" si="315"/>
        <v>3327292</v>
      </c>
      <c r="BW195" s="672">
        <f t="shared" si="315"/>
        <v>1974000</v>
      </c>
      <c r="BX195" s="672">
        <f t="shared" si="315"/>
        <v>498012</v>
      </c>
      <c r="BY195" s="672">
        <f t="shared" si="315"/>
        <v>835540</v>
      </c>
      <c r="BZ195" s="672">
        <f t="shared" si="315"/>
        <v>19740</v>
      </c>
      <c r="CA195" s="677">
        <f t="shared" si="315"/>
        <v>3.5</v>
      </c>
    </row>
    <row r="196" spans="4:79" ht="12.75" customHeight="1" x14ac:dyDescent="0.2">
      <c r="D196" s="9"/>
      <c r="E196" s="5"/>
      <c r="F196" s="9"/>
      <c r="G196" s="5"/>
      <c r="H196" s="441">
        <v>3111</v>
      </c>
      <c r="I196" s="489">
        <f t="shared" ref="I196:BV196" si="316">SUMIF($F$12:$F$468,"=3111",I$12:I$468)</f>
        <v>169734761</v>
      </c>
      <c r="J196" s="490">
        <f t="shared" si="316"/>
        <v>125056158</v>
      </c>
      <c r="K196" s="490">
        <f t="shared" si="316"/>
        <v>114941075</v>
      </c>
      <c r="L196" s="490">
        <f t="shared" si="316"/>
        <v>10115083</v>
      </c>
      <c r="M196" s="490">
        <f t="shared" si="316"/>
        <v>494800</v>
      </c>
      <c r="N196" s="490">
        <f t="shared" si="316"/>
        <v>309000</v>
      </c>
      <c r="O196" s="490">
        <f t="shared" si="316"/>
        <v>185800</v>
      </c>
      <c r="P196" s="490">
        <f t="shared" si="316"/>
        <v>42378766</v>
      </c>
      <c r="Q196" s="490">
        <f t="shared" si="316"/>
        <v>1250562</v>
      </c>
      <c r="R196" s="490">
        <f t="shared" si="316"/>
        <v>554475</v>
      </c>
      <c r="S196" s="493">
        <f t="shared" si="316"/>
        <v>242.91370000000006</v>
      </c>
      <c r="T196" s="493">
        <f t="shared" si="316"/>
        <v>208.18249999999998</v>
      </c>
      <c r="U196" s="496">
        <f t="shared" si="316"/>
        <v>34.731200000000001</v>
      </c>
      <c r="V196" s="491">
        <f t="shared" si="316"/>
        <v>0</v>
      </c>
      <c r="W196" s="490">
        <f t="shared" si="316"/>
        <v>0</v>
      </c>
      <c r="X196" s="490">
        <f t="shared" si="316"/>
        <v>-115875</v>
      </c>
      <c r="Y196" s="490">
        <f t="shared" si="316"/>
        <v>0</v>
      </c>
      <c r="Z196" s="490">
        <f t="shared" si="316"/>
        <v>0</v>
      </c>
      <c r="AA196" s="490">
        <f t="shared" si="316"/>
        <v>0</v>
      </c>
      <c r="AB196" s="490">
        <f t="shared" si="316"/>
        <v>-432216</v>
      </c>
      <c r="AC196" s="490">
        <f t="shared" si="316"/>
        <v>-41253</v>
      </c>
      <c r="AD196" s="490">
        <f t="shared" si="316"/>
        <v>-548091</v>
      </c>
      <c r="AE196" s="490">
        <f t="shared" si="316"/>
        <v>-41253</v>
      </c>
      <c r="AF196" s="490">
        <f t="shared" si="316"/>
        <v>-589344</v>
      </c>
      <c r="AG196" s="490">
        <f t="shared" si="316"/>
        <v>0</v>
      </c>
      <c r="AH196" s="490">
        <f t="shared" si="316"/>
        <v>0</v>
      </c>
      <c r="AI196" s="490">
        <f t="shared" si="316"/>
        <v>0</v>
      </c>
      <c r="AJ196" s="490">
        <f t="shared" si="316"/>
        <v>127198</v>
      </c>
      <c r="AK196" s="490">
        <f t="shared" si="316"/>
        <v>0</v>
      </c>
      <c r="AL196" s="490">
        <f t="shared" si="316"/>
        <v>127198</v>
      </c>
      <c r="AM196" s="490">
        <f t="shared" si="316"/>
        <v>0</v>
      </c>
      <c r="AN196" s="490">
        <f t="shared" si="316"/>
        <v>127198</v>
      </c>
      <c r="AO196" s="490">
        <f t="shared" si="316"/>
        <v>-420893</v>
      </c>
      <c r="AP196" s="490">
        <f t="shared" si="316"/>
        <v>-41253</v>
      </c>
      <c r="AQ196" s="490">
        <f t="shared" si="316"/>
        <v>-462146</v>
      </c>
      <c r="AR196" s="490">
        <f t="shared" si="316"/>
        <v>-199199</v>
      </c>
      <c r="AS196" s="490">
        <f t="shared" si="316"/>
        <v>-5894</v>
      </c>
      <c r="AT196" s="490">
        <f t="shared" si="316"/>
        <v>0</v>
      </c>
      <c r="AU196" s="490">
        <f t="shared" si="316"/>
        <v>0</v>
      </c>
      <c r="AV196" s="490">
        <f t="shared" si="316"/>
        <v>0</v>
      </c>
      <c r="AW196" s="490">
        <f t="shared" si="316"/>
        <v>-667239</v>
      </c>
      <c r="AX196" s="493">
        <f t="shared" si="316"/>
        <v>0</v>
      </c>
      <c r="AY196" s="493">
        <f t="shared" si="316"/>
        <v>0</v>
      </c>
      <c r="AZ196" s="493">
        <f t="shared" si="316"/>
        <v>-0.31</v>
      </c>
      <c r="BA196" s="493">
        <f t="shared" si="316"/>
        <v>0</v>
      </c>
      <c r="BB196" s="493">
        <f t="shared" si="316"/>
        <v>0</v>
      </c>
      <c r="BC196" s="493">
        <f t="shared" si="316"/>
        <v>0</v>
      </c>
      <c r="BD196" s="493">
        <f t="shared" si="316"/>
        <v>-0.75</v>
      </c>
      <c r="BE196" s="493">
        <f t="shared" si="316"/>
        <v>-0.14000000000000001</v>
      </c>
      <c r="BF196" s="493">
        <f t="shared" si="316"/>
        <v>-1.06</v>
      </c>
      <c r="BG196" s="493">
        <f t="shared" si="316"/>
        <v>-0.14000000000000001</v>
      </c>
      <c r="BH196" s="494">
        <f t="shared" si="316"/>
        <v>-1.2</v>
      </c>
      <c r="BI196" s="489">
        <f t="shared" si="316"/>
        <v>169067522</v>
      </c>
      <c r="BJ196" s="490">
        <f t="shared" si="316"/>
        <v>124466814</v>
      </c>
      <c r="BK196" s="490">
        <f t="shared" si="316"/>
        <v>114392984</v>
      </c>
      <c r="BL196" s="490">
        <f t="shared" si="316"/>
        <v>10073830</v>
      </c>
      <c r="BM196" s="490">
        <f t="shared" si="316"/>
        <v>621998</v>
      </c>
      <c r="BN196" s="490">
        <f t="shared" si="316"/>
        <v>436198</v>
      </c>
      <c r="BO196" s="490">
        <f t="shared" si="316"/>
        <v>185800</v>
      </c>
      <c r="BP196" s="490">
        <f t="shared" si="316"/>
        <v>42179567</v>
      </c>
      <c r="BQ196" s="490">
        <f t="shared" si="316"/>
        <v>1244668</v>
      </c>
      <c r="BR196" s="490">
        <f t="shared" si="316"/>
        <v>554475</v>
      </c>
      <c r="BS196" s="493">
        <f t="shared" si="316"/>
        <v>241.71370000000007</v>
      </c>
      <c r="BT196" s="493">
        <f t="shared" si="316"/>
        <v>207.12249999999997</v>
      </c>
      <c r="BU196" s="494">
        <f t="shared" si="316"/>
        <v>34.591200000000001</v>
      </c>
      <c r="BV196" s="489">
        <f t="shared" si="316"/>
        <v>0</v>
      </c>
      <c r="BW196" s="490">
        <f t="shared" ref="BW196:CA196" si="317">SUMIF($F$12:$F$468,"=3111",BW$12:BW$468)</f>
        <v>0</v>
      </c>
      <c r="BX196" s="490">
        <f t="shared" si="317"/>
        <v>0</v>
      </c>
      <c r="BY196" s="490">
        <f t="shared" si="317"/>
        <v>0</v>
      </c>
      <c r="BZ196" s="490">
        <f t="shared" si="317"/>
        <v>0</v>
      </c>
      <c r="CA196" s="496">
        <f t="shared" si="317"/>
        <v>0</v>
      </c>
    </row>
    <row r="197" spans="4:79" ht="13.5" customHeight="1" x14ac:dyDescent="0.2">
      <c r="D197" s="9"/>
      <c r="E197" s="5"/>
      <c r="F197" s="9"/>
      <c r="G197" s="5"/>
      <c r="H197" s="2">
        <v>3113</v>
      </c>
      <c r="I197" s="167">
        <f t="shared" ref="I197:BV197" si="318">SUMIF($F$12:$F$468,"=3113",I$12:I$468)</f>
        <v>384691678</v>
      </c>
      <c r="J197" s="16">
        <f t="shared" si="318"/>
        <v>280862855</v>
      </c>
      <c r="K197" s="16">
        <f t="shared" si="318"/>
        <v>262700231</v>
      </c>
      <c r="L197" s="16">
        <f t="shared" si="318"/>
        <v>18162624</v>
      </c>
      <c r="M197" s="16">
        <f t="shared" si="318"/>
        <v>928246</v>
      </c>
      <c r="N197" s="16">
        <f t="shared" si="318"/>
        <v>807746</v>
      </c>
      <c r="O197" s="16">
        <f t="shared" si="318"/>
        <v>120500</v>
      </c>
      <c r="P197" s="16">
        <f t="shared" si="318"/>
        <v>95228247</v>
      </c>
      <c r="Q197" s="16">
        <f t="shared" si="318"/>
        <v>2808628</v>
      </c>
      <c r="R197" s="16">
        <f t="shared" si="318"/>
        <v>4863702</v>
      </c>
      <c r="S197" s="13">
        <f t="shared" si="318"/>
        <v>464.20919999999995</v>
      </c>
      <c r="T197" s="13">
        <f t="shared" si="318"/>
        <v>409.94739999999985</v>
      </c>
      <c r="U197" s="17">
        <f t="shared" si="318"/>
        <v>54.261800000000008</v>
      </c>
      <c r="V197" s="168">
        <f t="shared" si="318"/>
        <v>0</v>
      </c>
      <c r="W197" s="16">
        <f t="shared" si="318"/>
        <v>0</v>
      </c>
      <c r="X197" s="16">
        <f t="shared" si="318"/>
        <v>-259942</v>
      </c>
      <c r="Y197" s="16">
        <f t="shared" si="318"/>
        <v>0</v>
      </c>
      <c r="Z197" s="16">
        <f t="shared" si="318"/>
        <v>0</v>
      </c>
      <c r="AA197" s="16">
        <f t="shared" si="318"/>
        <v>0</v>
      </c>
      <c r="AB197" s="16">
        <f t="shared" si="318"/>
        <v>0</v>
      </c>
      <c r="AC197" s="16">
        <f t="shared" si="318"/>
        <v>0</v>
      </c>
      <c r="AD197" s="16">
        <f t="shared" si="318"/>
        <v>-259942</v>
      </c>
      <c r="AE197" s="16">
        <f t="shared" si="318"/>
        <v>0</v>
      </c>
      <c r="AF197" s="16">
        <f t="shared" si="318"/>
        <v>-259942</v>
      </c>
      <c r="AG197" s="16">
        <f t="shared" si="318"/>
        <v>0</v>
      </c>
      <c r="AH197" s="16">
        <f t="shared" si="318"/>
        <v>0</v>
      </c>
      <c r="AI197" s="16">
        <f t="shared" si="318"/>
        <v>0</v>
      </c>
      <c r="AJ197" s="16">
        <f t="shared" si="318"/>
        <v>0</v>
      </c>
      <c r="AK197" s="16">
        <f t="shared" si="318"/>
        <v>0</v>
      </c>
      <c r="AL197" s="16">
        <f t="shared" si="318"/>
        <v>0</v>
      </c>
      <c r="AM197" s="16">
        <f t="shared" si="318"/>
        <v>0</v>
      </c>
      <c r="AN197" s="16">
        <f t="shared" si="318"/>
        <v>0</v>
      </c>
      <c r="AO197" s="16">
        <f t="shared" si="318"/>
        <v>-259942</v>
      </c>
      <c r="AP197" s="16">
        <f t="shared" si="318"/>
        <v>0</v>
      </c>
      <c r="AQ197" s="16">
        <f t="shared" si="318"/>
        <v>-259942</v>
      </c>
      <c r="AR197" s="16">
        <f t="shared" si="318"/>
        <v>-87860</v>
      </c>
      <c r="AS197" s="16">
        <f t="shared" si="318"/>
        <v>-2600</v>
      </c>
      <c r="AT197" s="16">
        <f t="shared" si="318"/>
        <v>0</v>
      </c>
      <c r="AU197" s="16">
        <f t="shared" si="318"/>
        <v>0</v>
      </c>
      <c r="AV197" s="16">
        <f t="shared" si="318"/>
        <v>0</v>
      </c>
      <c r="AW197" s="16">
        <f t="shared" si="318"/>
        <v>-350402</v>
      </c>
      <c r="AX197" s="13">
        <f t="shared" si="318"/>
        <v>0</v>
      </c>
      <c r="AY197" s="13">
        <f t="shared" si="318"/>
        <v>0</v>
      </c>
      <c r="AZ197" s="13">
        <f t="shared" si="318"/>
        <v>-0.53</v>
      </c>
      <c r="BA197" s="13">
        <f t="shared" si="318"/>
        <v>0</v>
      </c>
      <c r="BB197" s="13">
        <f t="shared" si="318"/>
        <v>0</v>
      </c>
      <c r="BC197" s="13">
        <f t="shared" si="318"/>
        <v>0</v>
      </c>
      <c r="BD197" s="13">
        <f t="shared" si="318"/>
        <v>0</v>
      </c>
      <c r="BE197" s="13">
        <f t="shared" si="318"/>
        <v>0</v>
      </c>
      <c r="BF197" s="13">
        <f t="shared" si="318"/>
        <v>-0.53</v>
      </c>
      <c r="BG197" s="13">
        <f t="shared" si="318"/>
        <v>0</v>
      </c>
      <c r="BH197" s="169">
        <f t="shared" si="318"/>
        <v>-0.53</v>
      </c>
      <c r="BI197" s="167">
        <f t="shared" si="318"/>
        <v>384341276</v>
      </c>
      <c r="BJ197" s="16">
        <f t="shared" si="318"/>
        <v>280602913</v>
      </c>
      <c r="BK197" s="16">
        <f t="shared" si="318"/>
        <v>262440289</v>
      </c>
      <c r="BL197" s="16">
        <f t="shared" si="318"/>
        <v>18162624</v>
      </c>
      <c r="BM197" s="16">
        <f t="shared" si="318"/>
        <v>928246</v>
      </c>
      <c r="BN197" s="16">
        <f t="shared" si="318"/>
        <v>807746</v>
      </c>
      <c r="BO197" s="16">
        <f t="shared" si="318"/>
        <v>120500</v>
      </c>
      <c r="BP197" s="16">
        <f t="shared" si="318"/>
        <v>95140387</v>
      </c>
      <c r="BQ197" s="16">
        <f t="shared" si="318"/>
        <v>2806028</v>
      </c>
      <c r="BR197" s="16">
        <f t="shared" si="318"/>
        <v>4863702</v>
      </c>
      <c r="BS197" s="13">
        <f t="shared" si="318"/>
        <v>463.67919999999998</v>
      </c>
      <c r="BT197" s="13">
        <f t="shared" si="318"/>
        <v>409.41739999999987</v>
      </c>
      <c r="BU197" s="169">
        <f t="shared" si="318"/>
        <v>54.261800000000008</v>
      </c>
      <c r="BV197" s="167">
        <f t="shared" si="318"/>
        <v>3327292</v>
      </c>
      <c r="BW197" s="16">
        <f t="shared" ref="BW197:CA197" si="319">SUMIF($F$12:$F$468,"=3113",BW$12:BW$468)</f>
        <v>1974000</v>
      </c>
      <c r="BX197" s="16">
        <f t="shared" si="319"/>
        <v>498012</v>
      </c>
      <c r="BY197" s="16">
        <f t="shared" si="319"/>
        <v>835540</v>
      </c>
      <c r="BZ197" s="16">
        <f t="shared" si="319"/>
        <v>19740</v>
      </c>
      <c r="CA197" s="17">
        <f t="shared" si="319"/>
        <v>3.5</v>
      </c>
    </row>
    <row r="198" spans="4:79" ht="12.75" customHeight="1" x14ac:dyDescent="0.2">
      <c r="D198" s="9"/>
      <c r="E198" s="5"/>
      <c r="F198" s="9"/>
      <c r="G198" s="5"/>
      <c r="H198" s="2">
        <v>3114</v>
      </c>
      <c r="I198" s="167">
        <f t="shared" ref="I198:BV198" si="320">SUMIF($F$12:$F$468,"=3114",I$12:I$468)</f>
        <v>0</v>
      </c>
      <c r="J198" s="16">
        <f t="shared" si="320"/>
        <v>0</v>
      </c>
      <c r="K198" s="16">
        <f t="shared" si="320"/>
        <v>0</v>
      </c>
      <c r="L198" s="16">
        <f t="shared" si="320"/>
        <v>0</v>
      </c>
      <c r="M198" s="16">
        <f t="shared" si="320"/>
        <v>0</v>
      </c>
      <c r="N198" s="16">
        <f t="shared" si="320"/>
        <v>0</v>
      </c>
      <c r="O198" s="16">
        <f t="shared" si="320"/>
        <v>0</v>
      </c>
      <c r="P198" s="16">
        <f t="shared" si="320"/>
        <v>0</v>
      </c>
      <c r="Q198" s="16">
        <f t="shared" si="320"/>
        <v>0</v>
      </c>
      <c r="R198" s="16">
        <f t="shared" si="320"/>
        <v>0</v>
      </c>
      <c r="S198" s="13">
        <f t="shared" si="320"/>
        <v>0</v>
      </c>
      <c r="T198" s="13">
        <f t="shared" si="320"/>
        <v>0</v>
      </c>
      <c r="U198" s="17">
        <f t="shared" si="320"/>
        <v>0</v>
      </c>
      <c r="V198" s="168">
        <f t="shared" si="320"/>
        <v>0</v>
      </c>
      <c r="W198" s="16">
        <f t="shared" si="320"/>
        <v>0</v>
      </c>
      <c r="X198" s="16">
        <f t="shared" si="320"/>
        <v>0</v>
      </c>
      <c r="Y198" s="16">
        <f t="shared" si="320"/>
        <v>0</v>
      </c>
      <c r="Z198" s="16">
        <f t="shared" si="320"/>
        <v>0</v>
      </c>
      <c r="AA198" s="16">
        <f t="shared" si="320"/>
        <v>0</v>
      </c>
      <c r="AB198" s="16">
        <f t="shared" si="320"/>
        <v>0</v>
      </c>
      <c r="AC198" s="16">
        <f t="shared" si="320"/>
        <v>0</v>
      </c>
      <c r="AD198" s="16">
        <f t="shared" si="320"/>
        <v>0</v>
      </c>
      <c r="AE198" s="16">
        <f t="shared" si="320"/>
        <v>0</v>
      </c>
      <c r="AF198" s="16">
        <f t="shared" si="320"/>
        <v>0</v>
      </c>
      <c r="AG198" s="16">
        <f t="shared" si="320"/>
        <v>0</v>
      </c>
      <c r="AH198" s="16">
        <f t="shared" si="320"/>
        <v>0</v>
      </c>
      <c r="AI198" s="16">
        <f t="shared" si="320"/>
        <v>0</v>
      </c>
      <c r="AJ198" s="16">
        <f t="shared" si="320"/>
        <v>0</v>
      </c>
      <c r="AK198" s="16">
        <f t="shared" si="320"/>
        <v>0</v>
      </c>
      <c r="AL198" s="16">
        <f t="shared" si="320"/>
        <v>0</v>
      </c>
      <c r="AM198" s="16">
        <f t="shared" si="320"/>
        <v>0</v>
      </c>
      <c r="AN198" s="16">
        <f t="shared" si="320"/>
        <v>0</v>
      </c>
      <c r="AO198" s="16">
        <f t="shared" si="320"/>
        <v>0</v>
      </c>
      <c r="AP198" s="16">
        <f t="shared" si="320"/>
        <v>0</v>
      </c>
      <c r="AQ198" s="16">
        <f t="shared" si="320"/>
        <v>0</v>
      </c>
      <c r="AR198" s="16">
        <f t="shared" si="320"/>
        <v>0</v>
      </c>
      <c r="AS198" s="16">
        <f t="shared" si="320"/>
        <v>0</v>
      </c>
      <c r="AT198" s="16">
        <f t="shared" si="320"/>
        <v>0</v>
      </c>
      <c r="AU198" s="16">
        <f t="shared" si="320"/>
        <v>0</v>
      </c>
      <c r="AV198" s="16">
        <f t="shared" si="320"/>
        <v>0</v>
      </c>
      <c r="AW198" s="16">
        <f t="shared" si="320"/>
        <v>0</v>
      </c>
      <c r="AX198" s="13">
        <f t="shared" si="320"/>
        <v>0</v>
      </c>
      <c r="AY198" s="13">
        <f t="shared" si="320"/>
        <v>0</v>
      </c>
      <c r="AZ198" s="13">
        <f t="shared" si="320"/>
        <v>0</v>
      </c>
      <c r="BA198" s="13">
        <f t="shared" si="320"/>
        <v>0</v>
      </c>
      <c r="BB198" s="13">
        <f t="shared" si="320"/>
        <v>0</v>
      </c>
      <c r="BC198" s="13">
        <f t="shared" si="320"/>
        <v>0</v>
      </c>
      <c r="BD198" s="13">
        <f t="shared" si="320"/>
        <v>0</v>
      </c>
      <c r="BE198" s="13">
        <f t="shared" si="320"/>
        <v>0</v>
      </c>
      <c r="BF198" s="13">
        <f t="shared" si="320"/>
        <v>0</v>
      </c>
      <c r="BG198" s="13">
        <f t="shared" si="320"/>
        <v>0</v>
      </c>
      <c r="BH198" s="169">
        <f t="shared" si="320"/>
        <v>0</v>
      </c>
      <c r="BI198" s="167">
        <f t="shared" si="320"/>
        <v>0</v>
      </c>
      <c r="BJ198" s="16">
        <f t="shared" si="320"/>
        <v>0</v>
      </c>
      <c r="BK198" s="16">
        <f t="shared" si="320"/>
        <v>0</v>
      </c>
      <c r="BL198" s="16">
        <f t="shared" si="320"/>
        <v>0</v>
      </c>
      <c r="BM198" s="16">
        <f t="shared" si="320"/>
        <v>0</v>
      </c>
      <c r="BN198" s="16">
        <f t="shared" si="320"/>
        <v>0</v>
      </c>
      <c r="BO198" s="16">
        <f t="shared" si="320"/>
        <v>0</v>
      </c>
      <c r="BP198" s="16">
        <f t="shared" si="320"/>
        <v>0</v>
      </c>
      <c r="BQ198" s="16">
        <f t="shared" si="320"/>
        <v>0</v>
      </c>
      <c r="BR198" s="16">
        <f t="shared" si="320"/>
        <v>0</v>
      </c>
      <c r="BS198" s="13">
        <f t="shared" si="320"/>
        <v>0</v>
      </c>
      <c r="BT198" s="13">
        <f t="shared" si="320"/>
        <v>0</v>
      </c>
      <c r="BU198" s="169">
        <f t="shared" si="320"/>
        <v>0</v>
      </c>
      <c r="BV198" s="167">
        <f t="shared" si="320"/>
        <v>0</v>
      </c>
      <c r="BW198" s="16">
        <f t="shared" ref="BW198:CA198" si="321">SUMIF($F$12:$F$468,"=3114",BW$12:BW$468)</f>
        <v>0</v>
      </c>
      <c r="BX198" s="16">
        <f t="shared" si="321"/>
        <v>0</v>
      </c>
      <c r="BY198" s="16">
        <f t="shared" si="321"/>
        <v>0</v>
      </c>
      <c r="BZ198" s="16">
        <f t="shared" si="321"/>
        <v>0</v>
      </c>
      <c r="CA198" s="17">
        <f t="shared" si="321"/>
        <v>0</v>
      </c>
    </row>
    <row r="199" spans="4:79" ht="12.75" customHeight="1" x14ac:dyDescent="0.2">
      <c r="D199" s="9"/>
      <c r="E199" s="5"/>
      <c r="F199" s="9"/>
      <c r="G199" s="5"/>
      <c r="H199" s="2">
        <v>3117</v>
      </c>
      <c r="I199" s="167">
        <f t="shared" ref="I199:BV199" si="322">SUMIF($F$12:$F$468,"=3117",I$12:I$468)</f>
        <v>11733538</v>
      </c>
      <c r="J199" s="16">
        <f t="shared" si="322"/>
        <v>8602386</v>
      </c>
      <c r="K199" s="16">
        <f t="shared" si="322"/>
        <v>7829382</v>
      </c>
      <c r="L199" s="16">
        <f t="shared" si="322"/>
        <v>773004</v>
      </c>
      <c r="M199" s="16">
        <f t="shared" si="322"/>
        <v>0</v>
      </c>
      <c r="N199" s="16">
        <f t="shared" si="322"/>
        <v>0</v>
      </c>
      <c r="O199" s="16">
        <f t="shared" si="322"/>
        <v>0</v>
      </c>
      <c r="P199" s="16">
        <f t="shared" si="322"/>
        <v>2907607</v>
      </c>
      <c r="Q199" s="16">
        <f t="shared" si="322"/>
        <v>86024</v>
      </c>
      <c r="R199" s="16">
        <f t="shared" si="322"/>
        <v>137521</v>
      </c>
      <c r="S199" s="13">
        <f t="shared" si="322"/>
        <v>16.5715</v>
      </c>
      <c r="T199" s="13">
        <f t="shared" si="322"/>
        <v>14.4984</v>
      </c>
      <c r="U199" s="17">
        <f t="shared" si="322"/>
        <v>2.0731000000000002</v>
      </c>
      <c r="V199" s="168">
        <f t="shared" si="322"/>
        <v>0</v>
      </c>
      <c r="W199" s="16">
        <f t="shared" si="322"/>
        <v>0</v>
      </c>
      <c r="X199" s="16">
        <f t="shared" si="322"/>
        <v>0</v>
      </c>
      <c r="Y199" s="16">
        <f t="shared" si="322"/>
        <v>0</v>
      </c>
      <c r="Z199" s="16">
        <f t="shared" si="322"/>
        <v>0</v>
      </c>
      <c r="AA199" s="16">
        <f t="shared" si="322"/>
        <v>0</v>
      </c>
      <c r="AB199" s="16">
        <f t="shared" si="322"/>
        <v>0</v>
      </c>
      <c r="AC199" s="16">
        <f t="shared" si="322"/>
        <v>0</v>
      </c>
      <c r="AD199" s="16">
        <f t="shared" si="322"/>
        <v>0</v>
      </c>
      <c r="AE199" s="16">
        <f t="shared" si="322"/>
        <v>0</v>
      </c>
      <c r="AF199" s="16">
        <f t="shared" si="322"/>
        <v>0</v>
      </c>
      <c r="AG199" s="16">
        <f t="shared" si="322"/>
        <v>0</v>
      </c>
      <c r="AH199" s="16">
        <f t="shared" si="322"/>
        <v>0</v>
      </c>
      <c r="AI199" s="16">
        <f t="shared" si="322"/>
        <v>0</v>
      </c>
      <c r="AJ199" s="16">
        <f t="shared" si="322"/>
        <v>0</v>
      </c>
      <c r="AK199" s="16">
        <f t="shared" si="322"/>
        <v>0</v>
      </c>
      <c r="AL199" s="16">
        <f t="shared" si="322"/>
        <v>0</v>
      </c>
      <c r="AM199" s="16">
        <f t="shared" si="322"/>
        <v>0</v>
      </c>
      <c r="AN199" s="16">
        <f t="shared" si="322"/>
        <v>0</v>
      </c>
      <c r="AO199" s="16">
        <f t="shared" si="322"/>
        <v>0</v>
      </c>
      <c r="AP199" s="16">
        <f t="shared" si="322"/>
        <v>0</v>
      </c>
      <c r="AQ199" s="16">
        <f t="shared" si="322"/>
        <v>0</v>
      </c>
      <c r="AR199" s="16">
        <f t="shared" si="322"/>
        <v>0</v>
      </c>
      <c r="AS199" s="16">
        <f t="shared" si="322"/>
        <v>0</v>
      </c>
      <c r="AT199" s="16">
        <f t="shared" si="322"/>
        <v>0</v>
      </c>
      <c r="AU199" s="16">
        <f t="shared" si="322"/>
        <v>0</v>
      </c>
      <c r="AV199" s="16">
        <f t="shared" si="322"/>
        <v>0</v>
      </c>
      <c r="AW199" s="16">
        <f t="shared" si="322"/>
        <v>0</v>
      </c>
      <c r="AX199" s="13">
        <f t="shared" si="322"/>
        <v>0</v>
      </c>
      <c r="AY199" s="13">
        <f t="shared" si="322"/>
        <v>0</v>
      </c>
      <c r="AZ199" s="13">
        <f t="shared" si="322"/>
        <v>0</v>
      </c>
      <c r="BA199" s="13">
        <f t="shared" si="322"/>
        <v>0</v>
      </c>
      <c r="BB199" s="13">
        <f t="shared" si="322"/>
        <v>0</v>
      </c>
      <c r="BC199" s="13">
        <f t="shared" si="322"/>
        <v>0</v>
      </c>
      <c r="BD199" s="13">
        <f t="shared" si="322"/>
        <v>0</v>
      </c>
      <c r="BE199" s="13">
        <f t="shared" si="322"/>
        <v>0</v>
      </c>
      <c r="BF199" s="13">
        <f t="shared" si="322"/>
        <v>0</v>
      </c>
      <c r="BG199" s="13">
        <f t="shared" si="322"/>
        <v>0</v>
      </c>
      <c r="BH199" s="169">
        <f t="shared" si="322"/>
        <v>0</v>
      </c>
      <c r="BI199" s="167">
        <f t="shared" si="322"/>
        <v>11733538</v>
      </c>
      <c r="BJ199" s="16">
        <f t="shared" si="322"/>
        <v>8602386</v>
      </c>
      <c r="BK199" s="16">
        <f t="shared" si="322"/>
        <v>7829382</v>
      </c>
      <c r="BL199" s="16">
        <f t="shared" si="322"/>
        <v>773004</v>
      </c>
      <c r="BM199" s="16">
        <f t="shared" si="322"/>
        <v>0</v>
      </c>
      <c r="BN199" s="16">
        <f t="shared" si="322"/>
        <v>0</v>
      </c>
      <c r="BO199" s="16">
        <f t="shared" si="322"/>
        <v>0</v>
      </c>
      <c r="BP199" s="16">
        <f t="shared" si="322"/>
        <v>2907607</v>
      </c>
      <c r="BQ199" s="16">
        <f t="shared" si="322"/>
        <v>86024</v>
      </c>
      <c r="BR199" s="16">
        <f t="shared" si="322"/>
        <v>137521</v>
      </c>
      <c r="BS199" s="13">
        <f t="shared" si="322"/>
        <v>16.5715</v>
      </c>
      <c r="BT199" s="13">
        <f t="shared" si="322"/>
        <v>14.4984</v>
      </c>
      <c r="BU199" s="169">
        <f t="shared" si="322"/>
        <v>2.0731000000000002</v>
      </c>
      <c r="BV199" s="167">
        <f t="shared" si="322"/>
        <v>0</v>
      </c>
      <c r="BW199" s="16">
        <f t="shared" ref="BW199:CA199" si="323">SUMIF($F$12:$F$468,"=3117",BW$12:BW$468)</f>
        <v>0</v>
      </c>
      <c r="BX199" s="16">
        <f t="shared" si="323"/>
        <v>0</v>
      </c>
      <c r="BY199" s="16">
        <f t="shared" si="323"/>
        <v>0</v>
      </c>
      <c r="BZ199" s="16">
        <f t="shared" si="323"/>
        <v>0</v>
      </c>
      <c r="CA199" s="17">
        <f t="shared" si="323"/>
        <v>0</v>
      </c>
    </row>
    <row r="200" spans="4:79" ht="12.75" customHeight="1" x14ac:dyDescent="0.2">
      <c r="D200" s="9"/>
      <c r="E200" s="5"/>
      <c r="F200" s="9"/>
      <c r="G200" s="5"/>
      <c r="H200" s="2">
        <v>3122</v>
      </c>
      <c r="I200" s="167">
        <f t="shared" ref="I200:BV200" si="324">SUMIF($F$12:$F$468,"=3122",I$12:I$468)</f>
        <v>0</v>
      </c>
      <c r="J200" s="16">
        <f t="shared" si="324"/>
        <v>0</v>
      </c>
      <c r="K200" s="16">
        <f t="shared" si="324"/>
        <v>0</v>
      </c>
      <c r="L200" s="16">
        <f t="shared" si="324"/>
        <v>0</v>
      </c>
      <c r="M200" s="16">
        <f t="shared" si="324"/>
        <v>0</v>
      </c>
      <c r="N200" s="16">
        <f t="shared" si="324"/>
        <v>0</v>
      </c>
      <c r="O200" s="16">
        <f t="shared" si="324"/>
        <v>0</v>
      </c>
      <c r="P200" s="16">
        <f t="shared" si="324"/>
        <v>0</v>
      </c>
      <c r="Q200" s="16">
        <f t="shared" si="324"/>
        <v>0</v>
      </c>
      <c r="R200" s="16">
        <f t="shared" si="324"/>
        <v>0</v>
      </c>
      <c r="S200" s="13">
        <f t="shared" si="324"/>
        <v>0</v>
      </c>
      <c r="T200" s="13">
        <f t="shared" si="324"/>
        <v>0</v>
      </c>
      <c r="U200" s="17">
        <f t="shared" si="324"/>
        <v>0</v>
      </c>
      <c r="V200" s="168">
        <f t="shared" si="324"/>
        <v>0</v>
      </c>
      <c r="W200" s="16">
        <f t="shared" si="324"/>
        <v>0</v>
      </c>
      <c r="X200" s="16">
        <f t="shared" si="324"/>
        <v>0</v>
      </c>
      <c r="Y200" s="16">
        <f t="shared" si="324"/>
        <v>0</v>
      </c>
      <c r="Z200" s="16">
        <f t="shared" si="324"/>
        <v>0</v>
      </c>
      <c r="AA200" s="16">
        <f t="shared" si="324"/>
        <v>0</v>
      </c>
      <c r="AB200" s="16">
        <f t="shared" si="324"/>
        <v>0</v>
      </c>
      <c r="AC200" s="16">
        <f t="shared" si="324"/>
        <v>0</v>
      </c>
      <c r="AD200" s="16">
        <f t="shared" si="324"/>
        <v>0</v>
      </c>
      <c r="AE200" s="16">
        <f t="shared" si="324"/>
        <v>0</v>
      </c>
      <c r="AF200" s="16">
        <f t="shared" si="324"/>
        <v>0</v>
      </c>
      <c r="AG200" s="16">
        <f t="shared" si="324"/>
        <v>0</v>
      </c>
      <c r="AH200" s="16">
        <f t="shared" si="324"/>
        <v>0</v>
      </c>
      <c r="AI200" s="16">
        <f t="shared" si="324"/>
        <v>0</v>
      </c>
      <c r="AJ200" s="16">
        <f t="shared" si="324"/>
        <v>0</v>
      </c>
      <c r="AK200" s="16">
        <f t="shared" si="324"/>
        <v>0</v>
      </c>
      <c r="AL200" s="16">
        <f t="shared" si="324"/>
        <v>0</v>
      </c>
      <c r="AM200" s="16">
        <f t="shared" si="324"/>
        <v>0</v>
      </c>
      <c r="AN200" s="16">
        <f t="shared" si="324"/>
        <v>0</v>
      </c>
      <c r="AO200" s="16">
        <f t="shared" si="324"/>
        <v>0</v>
      </c>
      <c r="AP200" s="16">
        <f t="shared" si="324"/>
        <v>0</v>
      </c>
      <c r="AQ200" s="16">
        <f t="shared" si="324"/>
        <v>0</v>
      </c>
      <c r="AR200" s="16">
        <f t="shared" si="324"/>
        <v>0</v>
      </c>
      <c r="AS200" s="16">
        <f t="shared" si="324"/>
        <v>0</v>
      </c>
      <c r="AT200" s="16">
        <f t="shared" si="324"/>
        <v>0</v>
      </c>
      <c r="AU200" s="16">
        <f t="shared" si="324"/>
        <v>0</v>
      </c>
      <c r="AV200" s="16">
        <f t="shared" si="324"/>
        <v>0</v>
      </c>
      <c r="AW200" s="16">
        <f t="shared" si="324"/>
        <v>0</v>
      </c>
      <c r="AX200" s="13">
        <f t="shared" si="324"/>
        <v>0</v>
      </c>
      <c r="AY200" s="13">
        <f t="shared" si="324"/>
        <v>0</v>
      </c>
      <c r="AZ200" s="13">
        <f t="shared" si="324"/>
        <v>0</v>
      </c>
      <c r="BA200" s="13">
        <f t="shared" si="324"/>
        <v>0</v>
      </c>
      <c r="BB200" s="13">
        <f t="shared" si="324"/>
        <v>0</v>
      </c>
      <c r="BC200" s="13">
        <f t="shared" si="324"/>
        <v>0</v>
      </c>
      <c r="BD200" s="13">
        <f t="shared" si="324"/>
        <v>0</v>
      </c>
      <c r="BE200" s="13">
        <f t="shared" si="324"/>
        <v>0</v>
      </c>
      <c r="BF200" s="13">
        <f t="shared" si="324"/>
        <v>0</v>
      </c>
      <c r="BG200" s="13">
        <f t="shared" si="324"/>
        <v>0</v>
      </c>
      <c r="BH200" s="169">
        <f t="shared" si="324"/>
        <v>0</v>
      </c>
      <c r="BI200" s="167">
        <f t="shared" si="324"/>
        <v>0</v>
      </c>
      <c r="BJ200" s="16">
        <f t="shared" si="324"/>
        <v>0</v>
      </c>
      <c r="BK200" s="16">
        <f t="shared" si="324"/>
        <v>0</v>
      </c>
      <c r="BL200" s="16">
        <f t="shared" si="324"/>
        <v>0</v>
      </c>
      <c r="BM200" s="16">
        <f t="shared" si="324"/>
        <v>0</v>
      </c>
      <c r="BN200" s="16">
        <f t="shared" si="324"/>
        <v>0</v>
      </c>
      <c r="BO200" s="16">
        <f t="shared" si="324"/>
        <v>0</v>
      </c>
      <c r="BP200" s="16">
        <f t="shared" si="324"/>
        <v>0</v>
      </c>
      <c r="BQ200" s="16">
        <f t="shared" si="324"/>
        <v>0</v>
      </c>
      <c r="BR200" s="16">
        <f t="shared" si="324"/>
        <v>0</v>
      </c>
      <c r="BS200" s="13">
        <f t="shared" si="324"/>
        <v>0</v>
      </c>
      <c r="BT200" s="13">
        <f t="shared" si="324"/>
        <v>0</v>
      </c>
      <c r="BU200" s="169">
        <f t="shared" si="324"/>
        <v>0</v>
      </c>
      <c r="BV200" s="167">
        <f t="shared" si="324"/>
        <v>0</v>
      </c>
      <c r="BW200" s="16">
        <f t="shared" ref="BW200:CA200" si="325">SUMIF($F$12:$F$468,"=3122",BW$12:BW$468)</f>
        <v>0</v>
      </c>
      <c r="BX200" s="16">
        <f t="shared" si="325"/>
        <v>0</v>
      </c>
      <c r="BY200" s="16">
        <f t="shared" si="325"/>
        <v>0</v>
      </c>
      <c r="BZ200" s="16">
        <f t="shared" si="325"/>
        <v>0</v>
      </c>
      <c r="CA200" s="17">
        <f t="shared" si="325"/>
        <v>0</v>
      </c>
    </row>
    <row r="201" spans="4:79" ht="12.75" customHeight="1" x14ac:dyDescent="0.2">
      <c r="D201" s="9"/>
      <c r="E201" s="5"/>
      <c r="F201" s="9"/>
      <c r="G201" s="5"/>
      <c r="H201" s="2">
        <v>3124</v>
      </c>
      <c r="I201" s="167">
        <f t="shared" ref="I201:BV201" si="326">SUMIF($F$12:$F$468,"=3124",I$12:I$468)</f>
        <v>0</v>
      </c>
      <c r="J201" s="16">
        <f t="shared" si="326"/>
        <v>0</v>
      </c>
      <c r="K201" s="16">
        <f t="shared" si="326"/>
        <v>0</v>
      </c>
      <c r="L201" s="16">
        <f t="shared" si="326"/>
        <v>0</v>
      </c>
      <c r="M201" s="16">
        <f t="shared" si="326"/>
        <v>0</v>
      </c>
      <c r="N201" s="16">
        <f t="shared" si="326"/>
        <v>0</v>
      </c>
      <c r="O201" s="16">
        <f t="shared" si="326"/>
        <v>0</v>
      </c>
      <c r="P201" s="16">
        <f t="shared" si="326"/>
        <v>0</v>
      </c>
      <c r="Q201" s="16">
        <f t="shared" si="326"/>
        <v>0</v>
      </c>
      <c r="R201" s="16">
        <f t="shared" si="326"/>
        <v>0</v>
      </c>
      <c r="S201" s="13">
        <f t="shared" si="326"/>
        <v>0</v>
      </c>
      <c r="T201" s="13">
        <f t="shared" si="326"/>
        <v>0</v>
      </c>
      <c r="U201" s="17">
        <f t="shared" si="326"/>
        <v>0</v>
      </c>
      <c r="V201" s="168">
        <f t="shared" si="326"/>
        <v>0</v>
      </c>
      <c r="W201" s="16">
        <f t="shared" si="326"/>
        <v>0</v>
      </c>
      <c r="X201" s="16">
        <f t="shared" si="326"/>
        <v>0</v>
      </c>
      <c r="Y201" s="16">
        <f t="shared" si="326"/>
        <v>0</v>
      </c>
      <c r="Z201" s="16">
        <f t="shared" si="326"/>
        <v>0</v>
      </c>
      <c r="AA201" s="16">
        <f t="shared" si="326"/>
        <v>0</v>
      </c>
      <c r="AB201" s="16">
        <f t="shared" si="326"/>
        <v>0</v>
      </c>
      <c r="AC201" s="16">
        <f t="shared" si="326"/>
        <v>0</v>
      </c>
      <c r="AD201" s="16">
        <f t="shared" si="326"/>
        <v>0</v>
      </c>
      <c r="AE201" s="16">
        <f t="shared" si="326"/>
        <v>0</v>
      </c>
      <c r="AF201" s="16">
        <f t="shared" si="326"/>
        <v>0</v>
      </c>
      <c r="AG201" s="16">
        <f t="shared" si="326"/>
        <v>0</v>
      </c>
      <c r="AH201" s="16">
        <f t="shared" si="326"/>
        <v>0</v>
      </c>
      <c r="AI201" s="16">
        <f t="shared" si="326"/>
        <v>0</v>
      </c>
      <c r="AJ201" s="16">
        <f t="shared" si="326"/>
        <v>0</v>
      </c>
      <c r="AK201" s="16">
        <f t="shared" si="326"/>
        <v>0</v>
      </c>
      <c r="AL201" s="16">
        <f t="shared" si="326"/>
        <v>0</v>
      </c>
      <c r="AM201" s="16">
        <f t="shared" si="326"/>
        <v>0</v>
      </c>
      <c r="AN201" s="16">
        <f t="shared" si="326"/>
        <v>0</v>
      </c>
      <c r="AO201" s="16">
        <f t="shared" si="326"/>
        <v>0</v>
      </c>
      <c r="AP201" s="16">
        <f t="shared" si="326"/>
        <v>0</v>
      </c>
      <c r="AQ201" s="16">
        <f t="shared" si="326"/>
        <v>0</v>
      </c>
      <c r="AR201" s="16">
        <f t="shared" si="326"/>
        <v>0</v>
      </c>
      <c r="AS201" s="16">
        <f t="shared" si="326"/>
        <v>0</v>
      </c>
      <c r="AT201" s="16">
        <f t="shared" si="326"/>
        <v>0</v>
      </c>
      <c r="AU201" s="16">
        <f t="shared" si="326"/>
        <v>0</v>
      </c>
      <c r="AV201" s="16">
        <f t="shared" si="326"/>
        <v>0</v>
      </c>
      <c r="AW201" s="16">
        <f t="shared" si="326"/>
        <v>0</v>
      </c>
      <c r="AX201" s="13">
        <f t="shared" si="326"/>
        <v>0</v>
      </c>
      <c r="AY201" s="13">
        <f t="shared" si="326"/>
        <v>0</v>
      </c>
      <c r="AZ201" s="13">
        <f t="shared" si="326"/>
        <v>0</v>
      </c>
      <c r="BA201" s="13">
        <f t="shared" si="326"/>
        <v>0</v>
      </c>
      <c r="BB201" s="13">
        <f t="shared" si="326"/>
        <v>0</v>
      </c>
      <c r="BC201" s="13">
        <f t="shared" si="326"/>
        <v>0</v>
      </c>
      <c r="BD201" s="13">
        <f t="shared" si="326"/>
        <v>0</v>
      </c>
      <c r="BE201" s="13">
        <f t="shared" si="326"/>
        <v>0</v>
      </c>
      <c r="BF201" s="13">
        <f t="shared" si="326"/>
        <v>0</v>
      </c>
      <c r="BG201" s="13">
        <f t="shared" si="326"/>
        <v>0</v>
      </c>
      <c r="BH201" s="169">
        <f t="shared" si="326"/>
        <v>0</v>
      </c>
      <c r="BI201" s="167">
        <f t="shared" si="326"/>
        <v>0</v>
      </c>
      <c r="BJ201" s="16">
        <f t="shared" si="326"/>
        <v>0</v>
      </c>
      <c r="BK201" s="16">
        <f t="shared" si="326"/>
        <v>0</v>
      </c>
      <c r="BL201" s="16">
        <f t="shared" si="326"/>
        <v>0</v>
      </c>
      <c r="BM201" s="16">
        <f t="shared" si="326"/>
        <v>0</v>
      </c>
      <c r="BN201" s="16">
        <f t="shared" si="326"/>
        <v>0</v>
      </c>
      <c r="BO201" s="16">
        <f t="shared" si="326"/>
        <v>0</v>
      </c>
      <c r="BP201" s="16">
        <f t="shared" si="326"/>
        <v>0</v>
      </c>
      <c r="BQ201" s="16">
        <f t="shared" si="326"/>
        <v>0</v>
      </c>
      <c r="BR201" s="16">
        <f t="shared" si="326"/>
        <v>0</v>
      </c>
      <c r="BS201" s="13">
        <f t="shared" si="326"/>
        <v>0</v>
      </c>
      <c r="BT201" s="13">
        <f t="shared" si="326"/>
        <v>0</v>
      </c>
      <c r="BU201" s="169">
        <f t="shared" si="326"/>
        <v>0</v>
      </c>
      <c r="BV201" s="167">
        <f t="shared" si="326"/>
        <v>0</v>
      </c>
      <c r="BW201" s="16">
        <f t="shared" ref="BW201:CA201" si="327">SUMIF($F$12:$F$468,"=3124",BW$12:BW$468)</f>
        <v>0</v>
      </c>
      <c r="BX201" s="16">
        <f t="shared" si="327"/>
        <v>0</v>
      </c>
      <c r="BY201" s="16">
        <f t="shared" si="327"/>
        <v>0</v>
      </c>
      <c r="BZ201" s="16">
        <f t="shared" si="327"/>
        <v>0</v>
      </c>
      <c r="CA201" s="17">
        <f t="shared" si="327"/>
        <v>0</v>
      </c>
    </row>
    <row r="202" spans="4:79" ht="12.75" customHeight="1" x14ac:dyDescent="0.2">
      <c r="D202" s="9"/>
      <c r="E202" s="5"/>
      <c r="F202" s="9"/>
      <c r="G202" s="5"/>
      <c r="H202" s="2">
        <v>3141</v>
      </c>
      <c r="I202" s="167">
        <f t="shared" ref="I202:BV202" si="328">SUMIF($F$12:$F$468,"=3141",I$12:I$468)</f>
        <v>36051731</v>
      </c>
      <c r="J202" s="16">
        <f t="shared" si="328"/>
        <v>26508756</v>
      </c>
      <c r="K202" s="16">
        <f t="shared" si="328"/>
        <v>0</v>
      </c>
      <c r="L202" s="16">
        <f t="shared" si="328"/>
        <v>26508756</v>
      </c>
      <c r="M202" s="16">
        <f t="shared" si="328"/>
        <v>74000</v>
      </c>
      <c r="N202" s="16">
        <f t="shared" si="328"/>
        <v>0</v>
      </c>
      <c r="O202" s="16">
        <f t="shared" si="328"/>
        <v>74000</v>
      </c>
      <c r="P202" s="16">
        <f t="shared" si="328"/>
        <v>8984970</v>
      </c>
      <c r="Q202" s="16">
        <f t="shared" si="328"/>
        <v>265089</v>
      </c>
      <c r="R202" s="16">
        <f t="shared" si="328"/>
        <v>218916</v>
      </c>
      <c r="S202" s="13">
        <f t="shared" si="328"/>
        <v>79.670000000000016</v>
      </c>
      <c r="T202" s="13">
        <f t="shared" si="328"/>
        <v>0</v>
      </c>
      <c r="U202" s="17">
        <f t="shared" si="328"/>
        <v>79.670000000000016</v>
      </c>
      <c r="V202" s="168">
        <f t="shared" si="328"/>
        <v>0</v>
      </c>
      <c r="W202" s="16">
        <f t="shared" si="328"/>
        <v>0</v>
      </c>
      <c r="X202" s="16">
        <f t="shared" si="328"/>
        <v>0</v>
      </c>
      <c r="Y202" s="16">
        <f t="shared" si="328"/>
        <v>0</v>
      </c>
      <c r="Z202" s="16">
        <f t="shared" si="328"/>
        <v>0</v>
      </c>
      <c r="AA202" s="16">
        <f t="shared" si="328"/>
        <v>13302625</v>
      </c>
      <c r="AB202" s="16">
        <f t="shared" si="328"/>
        <v>0</v>
      </c>
      <c r="AC202" s="16">
        <f t="shared" si="328"/>
        <v>0</v>
      </c>
      <c r="AD202" s="16">
        <f t="shared" si="328"/>
        <v>0</v>
      </c>
      <c r="AE202" s="16">
        <f t="shared" si="328"/>
        <v>13302625</v>
      </c>
      <c r="AF202" s="16">
        <f t="shared" si="328"/>
        <v>13302625</v>
      </c>
      <c r="AG202" s="16">
        <f t="shared" si="328"/>
        <v>0</v>
      </c>
      <c r="AH202" s="16">
        <f t="shared" si="328"/>
        <v>0</v>
      </c>
      <c r="AI202" s="16">
        <f t="shared" si="328"/>
        <v>0</v>
      </c>
      <c r="AJ202" s="16">
        <f t="shared" si="328"/>
        <v>0</v>
      </c>
      <c r="AK202" s="16">
        <f t="shared" si="328"/>
        <v>0</v>
      </c>
      <c r="AL202" s="16">
        <f t="shared" si="328"/>
        <v>0</v>
      </c>
      <c r="AM202" s="16">
        <f t="shared" si="328"/>
        <v>0</v>
      </c>
      <c r="AN202" s="16">
        <f t="shared" si="328"/>
        <v>0</v>
      </c>
      <c r="AO202" s="16">
        <f t="shared" si="328"/>
        <v>0</v>
      </c>
      <c r="AP202" s="16">
        <f t="shared" si="328"/>
        <v>13302625</v>
      </c>
      <c r="AQ202" s="16">
        <f t="shared" si="328"/>
        <v>13302625</v>
      </c>
      <c r="AR202" s="16">
        <f t="shared" si="328"/>
        <v>4496290</v>
      </c>
      <c r="AS202" s="16">
        <f t="shared" si="328"/>
        <v>133025</v>
      </c>
      <c r="AT202" s="16">
        <f t="shared" si="328"/>
        <v>0</v>
      </c>
      <c r="AU202" s="16">
        <f t="shared" si="328"/>
        <v>106308</v>
      </c>
      <c r="AV202" s="16">
        <f t="shared" si="328"/>
        <v>106308</v>
      </c>
      <c r="AW202" s="16">
        <f t="shared" si="328"/>
        <v>18038248</v>
      </c>
      <c r="AX202" s="13">
        <f t="shared" si="328"/>
        <v>0</v>
      </c>
      <c r="AY202" s="13">
        <f t="shared" si="328"/>
        <v>0</v>
      </c>
      <c r="AZ202" s="13">
        <f t="shared" si="328"/>
        <v>0</v>
      </c>
      <c r="BA202" s="13">
        <f t="shared" si="328"/>
        <v>0</v>
      </c>
      <c r="BB202" s="13">
        <f t="shared" si="328"/>
        <v>39.86</v>
      </c>
      <c r="BC202" s="13">
        <f t="shared" si="328"/>
        <v>0</v>
      </c>
      <c r="BD202" s="13">
        <f t="shared" si="328"/>
        <v>0</v>
      </c>
      <c r="BE202" s="13">
        <f t="shared" si="328"/>
        <v>0</v>
      </c>
      <c r="BF202" s="13">
        <f t="shared" si="328"/>
        <v>0</v>
      </c>
      <c r="BG202" s="13">
        <f t="shared" si="328"/>
        <v>39.86</v>
      </c>
      <c r="BH202" s="169">
        <f t="shared" si="328"/>
        <v>39.86</v>
      </c>
      <c r="BI202" s="167">
        <f t="shared" si="328"/>
        <v>54089979</v>
      </c>
      <c r="BJ202" s="16">
        <f t="shared" si="328"/>
        <v>39811381</v>
      </c>
      <c r="BK202" s="16">
        <f t="shared" si="328"/>
        <v>0</v>
      </c>
      <c r="BL202" s="16">
        <f t="shared" si="328"/>
        <v>39811381</v>
      </c>
      <c r="BM202" s="16">
        <f t="shared" si="328"/>
        <v>74000</v>
      </c>
      <c r="BN202" s="16">
        <f t="shared" si="328"/>
        <v>0</v>
      </c>
      <c r="BO202" s="16">
        <f t="shared" si="328"/>
        <v>74000</v>
      </c>
      <c r="BP202" s="16">
        <f t="shared" si="328"/>
        <v>13481260</v>
      </c>
      <c r="BQ202" s="16">
        <f t="shared" si="328"/>
        <v>398114</v>
      </c>
      <c r="BR202" s="16">
        <f t="shared" si="328"/>
        <v>325224</v>
      </c>
      <c r="BS202" s="13">
        <f t="shared" si="328"/>
        <v>119.52999999999999</v>
      </c>
      <c r="BT202" s="13">
        <f t="shared" si="328"/>
        <v>0</v>
      </c>
      <c r="BU202" s="169">
        <f t="shared" si="328"/>
        <v>119.52999999999999</v>
      </c>
      <c r="BV202" s="167">
        <f t="shared" si="328"/>
        <v>0</v>
      </c>
      <c r="BW202" s="16">
        <f t="shared" ref="BW202:CA202" si="329">SUMIF($F$12:$F$468,"=3141",BW$12:BW$468)</f>
        <v>0</v>
      </c>
      <c r="BX202" s="16">
        <f t="shared" si="329"/>
        <v>0</v>
      </c>
      <c r="BY202" s="16">
        <f t="shared" si="329"/>
        <v>0</v>
      </c>
      <c r="BZ202" s="16">
        <f t="shared" si="329"/>
        <v>0</v>
      </c>
      <c r="CA202" s="17">
        <f t="shared" si="329"/>
        <v>0</v>
      </c>
    </row>
    <row r="203" spans="4:79" ht="12.75" customHeight="1" x14ac:dyDescent="0.2">
      <c r="D203" s="9"/>
      <c r="E203" s="5"/>
      <c r="F203" s="9"/>
      <c r="G203" s="5"/>
      <c r="H203" s="2">
        <v>3143</v>
      </c>
      <c r="I203" s="167">
        <f t="shared" ref="I203:BV203" si="330">SUMIF($F$12:$F$468,"=3143",I$12:I$468)</f>
        <v>35800011</v>
      </c>
      <c r="J203" s="16">
        <f t="shared" si="330"/>
        <v>26457530</v>
      </c>
      <c r="K203" s="16">
        <f t="shared" si="330"/>
        <v>25879687</v>
      </c>
      <c r="L203" s="16">
        <f t="shared" si="330"/>
        <v>577843</v>
      </c>
      <c r="M203" s="16">
        <f t="shared" si="330"/>
        <v>80000</v>
      </c>
      <c r="N203" s="16">
        <f t="shared" si="330"/>
        <v>80000</v>
      </c>
      <c r="O203" s="16">
        <f t="shared" si="330"/>
        <v>0</v>
      </c>
      <c r="P203" s="16">
        <f t="shared" si="330"/>
        <v>8969682</v>
      </c>
      <c r="Q203" s="16">
        <f t="shared" si="330"/>
        <v>264575</v>
      </c>
      <c r="R203" s="16">
        <f t="shared" si="330"/>
        <v>28224</v>
      </c>
      <c r="S203" s="13">
        <f t="shared" si="330"/>
        <v>52.834200000000003</v>
      </c>
      <c r="T203" s="13">
        <f t="shared" si="330"/>
        <v>50.654199999999996</v>
      </c>
      <c r="U203" s="17">
        <f t="shared" si="330"/>
        <v>2.1800000000000002</v>
      </c>
      <c r="V203" s="168">
        <f t="shared" si="330"/>
        <v>0</v>
      </c>
      <c r="W203" s="16">
        <f t="shared" si="330"/>
        <v>0</v>
      </c>
      <c r="X203" s="16">
        <f t="shared" si="330"/>
        <v>0</v>
      </c>
      <c r="Y203" s="16">
        <f t="shared" si="330"/>
        <v>0</v>
      </c>
      <c r="Z203" s="16">
        <f t="shared" si="330"/>
        <v>0</v>
      </c>
      <c r="AA203" s="16">
        <f t="shared" si="330"/>
        <v>288957</v>
      </c>
      <c r="AB203" s="16">
        <f t="shared" si="330"/>
        <v>0</v>
      </c>
      <c r="AC203" s="16">
        <f t="shared" si="330"/>
        <v>0</v>
      </c>
      <c r="AD203" s="16">
        <f t="shared" si="330"/>
        <v>0</v>
      </c>
      <c r="AE203" s="16">
        <f t="shared" si="330"/>
        <v>288957</v>
      </c>
      <c r="AF203" s="16">
        <f t="shared" si="330"/>
        <v>288957</v>
      </c>
      <c r="AG203" s="16">
        <f t="shared" si="330"/>
        <v>0</v>
      </c>
      <c r="AH203" s="16">
        <f t="shared" si="330"/>
        <v>0</v>
      </c>
      <c r="AI203" s="16">
        <f t="shared" si="330"/>
        <v>0</v>
      </c>
      <c r="AJ203" s="16">
        <f t="shared" si="330"/>
        <v>0</v>
      </c>
      <c r="AK203" s="16">
        <f t="shared" si="330"/>
        <v>0</v>
      </c>
      <c r="AL203" s="16">
        <f t="shared" si="330"/>
        <v>0</v>
      </c>
      <c r="AM203" s="16">
        <f t="shared" si="330"/>
        <v>0</v>
      </c>
      <c r="AN203" s="16">
        <f t="shared" si="330"/>
        <v>0</v>
      </c>
      <c r="AO203" s="16">
        <f t="shared" si="330"/>
        <v>0</v>
      </c>
      <c r="AP203" s="16">
        <f t="shared" si="330"/>
        <v>288957</v>
      </c>
      <c r="AQ203" s="16">
        <f t="shared" si="330"/>
        <v>288957</v>
      </c>
      <c r="AR203" s="16">
        <f t="shared" si="330"/>
        <v>97666</v>
      </c>
      <c r="AS203" s="16">
        <f t="shared" si="330"/>
        <v>2888</v>
      </c>
      <c r="AT203" s="16">
        <f t="shared" si="330"/>
        <v>0</v>
      </c>
      <c r="AU203" s="16">
        <f t="shared" si="330"/>
        <v>14112</v>
      </c>
      <c r="AV203" s="16">
        <f t="shared" si="330"/>
        <v>14112</v>
      </c>
      <c r="AW203" s="16">
        <f t="shared" si="330"/>
        <v>403623</v>
      </c>
      <c r="AX203" s="13">
        <f t="shared" si="330"/>
        <v>0</v>
      </c>
      <c r="AY203" s="13">
        <f t="shared" si="330"/>
        <v>0</v>
      </c>
      <c r="AZ203" s="13">
        <f t="shared" si="330"/>
        <v>0</v>
      </c>
      <c r="BA203" s="13">
        <f t="shared" si="330"/>
        <v>0</v>
      </c>
      <c r="BB203" s="13">
        <f t="shared" si="330"/>
        <v>1.0900000000000001</v>
      </c>
      <c r="BC203" s="13">
        <f t="shared" si="330"/>
        <v>0</v>
      </c>
      <c r="BD203" s="13">
        <f t="shared" si="330"/>
        <v>0</v>
      </c>
      <c r="BE203" s="13">
        <f t="shared" si="330"/>
        <v>0</v>
      </c>
      <c r="BF203" s="13">
        <f t="shared" si="330"/>
        <v>0</v>
      </c>
      <c r="BG203" s="13">
        <f t="shared" si="330"/>
        <v>1.0900000000000001</v>
      </c>
      <c r="BH203" s="169">
        <f t="shared" si="330"/>
        <v>1.0900000000000001</v>
      </c>
      <c r="BI203" s="167">
        <f t="shared" si="330"/>
        <v>36203634</v>
      </c>
      <c r="BJ203" s="16">
        <f t="shared" si="330"/>
        <v>26746487</v>
      </c>
      <c r="BK203" s="16">
        <f t="shared" si="330"/>
        <v>25879687</v>
      </c>
      <c r="BL203" s="16">
        <f t="shared" si="330"/>
        <v>866800</v>
      </c>
      <c r="BM203" s="16">
        <f t="shared" si="330"/>
        <v>80000</v>
      </c>
      <c r="BN203" s="16">
        <f t="shared" si="330"/>
        <v>80000</v>
      </c>
      <c r="BO203" s="16">
        <f t="shared" si="330"/>
        <v>0</v>
      </c>
      <c r="BP203" s="16">
        <f t="shared" si="330"/>
        <v>9067348</v>
      </c>
      <c r="BQ203" s="16">
        <f t="shared" si="330"/>
        <v>267463</v>
      </c>
      <c r="BR203" s="16">
        <f t="shared" si="330"/>
        <v>42336</v>
      </c>
      <c r="BS203" s="13">
        <f t="shared" si="330"/>
        <v>53.924200000000006</v>
      </c>
      <c r="BT203" s="13">
        <f t="shared" si="330"/>
        <v>50.654199999999996</v>
      </c>
      <c r="BU203" s="169">
        <f t="shared" si="330"/>
        <v>3.2699999999999996</v>
      </c>
      <c r="BV203" s="167">
        <f t="shared" si="330"/>
        <v>0</v>
      </c>
      <c r="BW203" s="16">
        <f t="shared" ref="BW203:CA203" si="331">SUMIF($F$12:$F$468,"=3143",BW$12:BW$468)</f>
        <v>0</v>
      </c>
      <c r="BX203" s="16">
        <f t="shared" si="331"/>
        <v>0</v>
      </c>
      <c r="BY203" s="16">
        <f t="shared" si="331"/>
        <v>0</v>
      </c>
      <c r="BZ203" s="16">
        <f t="shared" si="331"/>
        <v>0</v>
      </c>
      <c r="CA203" s="17">
        <f t="shared" si="331"/>
        <v>0</v>
      </c>
    </row>
    <row r="204" spans="4:79" ht="12.75" customHeight="1" x14ac:dyDescent="0.2">
      <c r="D204" s="9"/>
      <c r="E204" s="5"/>
      <c r="F204" s="9"/>
      <c r="G204" s="5"/>
      <c r="H204" s="2">
        <v>3231</v>
      </c>
      <c r="I204" s="167">
        <f t="shared" ref="I204:BV204" si="332">SUMIF($F$12:$F$468,"=3231",I$12:I$468)</f>
        <v>33144640</v>
      </c>
      <c r="J204" s="16">
        <f t="shared" si="332"/>
        <v>24479553</v>
      </c>
      <c r="K204" s="16">
        <f t="shared" si="332"/>
        <v>23562050</v>
      </c>
      <c r="L204" s="16">
        <f t="shared" si="332"/>
        <v>917503</v>
      </c>
      <c r="M204" s="16">
        <f t="shared" si="332"/>
        <v>80000</v>
      </c>
      <c r="N204" s="16">
        <f t="shared" si="332"/>
        <v>80000</v>
      </c>
      <c r="O204" s="16">
        <f t="shared" si="332"/>
        <v>0</v>
      </c>
      <c r="P204" s="16">
        <f t="shared" si="332"/>
        <v>8301129</v>
      </c>
      <c r="Q204" s="16">
        <f t="shared" si="332"/>
        <v>244796</v>
      </c>
      <c r="R204" s="16">
        <f t="shared" si="332"/>
        <v>39162</v>
      </c>
      <c r="S204" s="13">
        <f t="shared" si="332"/>
        <v>39.9285</v>
      </c>
      <c r="T204" s="13">
        <f t="shared" si="332"/>
        <v>37.353999999999999</v>
      </c>
      <c r="U204" s="17">
        <f t="shared" si="332"/>
        <v>2.5745</v>
      </c>
      <c r="V204" s="168">
        <f t="shared" si="332"/>
        <v>0</v>
      </c>
      <c r="W204" s="16">
        <f t="shared" si="332"/>
        <v>0</v>
      </c>
      <c r="X204" s="16">
        <f t="shared" si="332"/>
        <v>0</v>
      </c>
      <c r="Y204" s="16">
        <f t="shared" si="332"/>
        <v>0</v>
      </c>
      <c r="Z204" s="16">
        <f t="shared" si="332"/>
        <v>0</v>
      </c>
      <c r="AA204" s="16">
        <f t="shared" si="332"/>
        <v>0</v>
      </c>
      <c r="AB204" s="16">
        <f t="shared" si="332"/>
        <v>0</v>
      </c>
      <c r="AC204" s="16">
        <f t="shared" si="332"/>
        <v>0</v>
      </c>
      <c r="AD204" s="16">
        <f t="shared" si="332"/>
        <v>0</v>
      </c>
      <c r="AE204" s="16">
        <f t="shared" si="332"/>
        <v>0</v>
      </c>
      <c r="AF204" s="16">
        <f t="shared" si="332"/>
        <v>0</v>
      </c>
      <c r="AG204" s="16">
        <f t="shared" si="332"/>
        <v>0</v>
      </c>
      <c r="AH204" s="16">
        <f t="shared" si="332"/>
        <v>0</v>
      </c>
      <c r="AI204" s="16">
        <f t="shared" si="332"/>
        <v>0</v>
      </c>
      <c r="AJ204" s="16">
        <f t="shared" si="332"/>
        <v>0</v>
      </c>
      <c r="AK204" s="16">
        <f t="shared" si="332"/>
        <v>0</v>
      </c>
      <c r="AL204" s="16">
        <f t="shared" si="332"/>
        <v>0</v>
      </c>
      <c r="AM204" s="16">
        <f t="shared" si="332"/>
        <v>0</v>
      </c>
      <c r="AN204" s="16">
        <f t="shared" si="332"/>
        <v>0</v>
      </c>
      <c r="AO204" s="16">
        <f t="shared" si="332"/>
        <v>0</v>
      </c>
      <c r="AP204" s="16">
        <f t="shared" si="332"/>
        <v>0</v>
      </c>
      <c r="AQ204" s="16">
        <f t="shared" si="332"/>
        <v>0</v>
      </c>
      <c r="AR204" s="16">
        <f t="shared" si="332"/>
        <v>0</v>
      </c>
      <c r="AS204" s="16">
        <f t="shared" si="332"/>
        <v>0</v>
      </c>
      <c r="AT204" s="16">
        <f t="shared" si="332"/>
        <v>0</v>
      </c>
      <c r="AU204" s="16">
        <f t="shared" si="332"/>
        <v>0</v>
      </c>
      <c r="AV204" s="16">
        <f t="shared" si="332"/>
        <v>0</v>
      </c>
      <c r="AW204" s="16">
        <f t="shared" si="332"/>
        <v>0</v>
      </c>
      <c r="AX204" s="13">
        <f t="shared" si="332"/>
        <v>0</v>
      </c>
      <c r="AY204" s="13">
        <f t="shared" si="332"/>
        <v>0</v>
      </c>
      <c r="AZ204" s="13">
        <f t="shared" si="332"/>
        <v>0</v>
      </c>
      <c r="BA204" s="13">
        <f t="shared" si="332"/>
        <v>0</v>
      </c>
      <c r="BB204" s="13">
        <f t="shared" si="332"/>
        <v>0</v>
      </c>
      <c r="BC204" s="13">
        <f t="shared" si="332"/>
        <v>0</v>
      </c>
      <c r="BD204" s="13">
        <f t="shared" si="332"/>
        <v>0</v>
      </c>
      <c r="BE204" s="13">
        <f t="shared" si="332"/>
        <v>0</v>
      </c>
      <c r="BF204" s="13">
        <f t="shared" si="332"/>
        <v>0</v>
      </c>
      <c r="BG204" s="13">
        <f t="shared" si="332"/>
        <v>0</v>
      </c>
      <c r="BH204" s="169">
        <f t="shared" si="332"/>
        <v>0</v>
      </c>
      <c r="BI204" s="167">
        <f t="shared" si="332"/>
        <v>33144640</v>
      </c>
      <c r="BJ204" s="16">
        <f t="shared" si="332"/>
        <v>24479553</v>
      </c>
      <c r="BK204" s="16">
        <f t="shared" si="332"/>
        <v>23562050</v>
      </c>
      <c r="BL204" s="16">
        <f t="shared" si="332"/>
        <v>917503</v>
      </c>
      <c r="BM204" s="16">
        <f t="shared" si="332"/>
        <v>80000</v>
      </c>
      <c r="BN204" s="16">
        <f t="shared" si="332"/>
        <v>80000</v>
      </c>
      <c r="BO204" s="16">
        <f t="shared" si="332"/>
        <v>0</v>
      </c>
      <c r="BP204" s="16">
        <f t="shared" si="332"/>
        <v>8301129</v>
      </c>
      <c r="BQ204" s="16">
        <f t="shared" si="332"/>
        <v>244796</v>
      </c>
      <c r="BR204" s="16">
        <f t="shared" si="332"/>
        <v>39162</v>
      </c>
      <c r="BS204" s="13">
        <f t="shared" si="332"/>
        <v>39.9285</v>
      </c>
      <c r="BT204" s="13">
        <f t="shared" si="332"/>
        <v>37.353999999999999</v>
      </c>
      <c r="BU204" s="169">
        <f t="shared" si="332"/>
        <v>2.5745</v>
      </c>
      <c r="BV204" s="167">
        <f t="shared" si="332"/>
        <v>0</v>
      </c>
      <c r="BW204" s="16">
        <f t="shared" ref="BW204:CA204" si="333">SUMIF($F$12:$F$468,"=3231",BW$12:BW$468)</f>
        <v>0</v>
      </c>
      <c r="BX204" s="16">
        <f t="shared" si="333"/>
        <v>0</v>
      </c>
      <c r="BY204" s="16">
        <f t="shared" si="333"/>
        <v>0</v>
      </c>
      <c r="BZ204" s="16">
        <f t="shared" si="333"/>
        <v>0</v>
      </c>
      <c r="CA204" s="17">
        <f t="shared" si="333"/>
        <v>0</v>
      </c>
    </row>
    <row r="205" spans="4:79" ht="13.5" thickBot="1" x14ac:dyDescent="0.25">
      <c r="D205" s="9"/>
      <c r="E205" s="5"/>
      <c r="F205" s="9"/>
      <c r="G205" s="5"/>
      <c r="H205" s="151">
        <v>3233</v>
      </c>
      <c r="I205" s="170">
        <f t="shared" ref="I205:BV205" si="334">SUMIF($F$12:$F$468,"=3233",I$12:I$468)</f>
        <v>5472326</v>
      </c>
      <c r="J205" s="171">
        <f t="shared" si="334"/>
        <v>4053343</v>
      </c>
      <c r="K205" s="171">
        <f t="shared" si="334"/>
        <v>3170701</v>
      </c>
      <c r="L205" s="171">
        <f t="shared" si="334"/>
        <v>882642</v>
      </c>
      <c r="M205" s="171">
        <f t="shared" si="334"/>
        <v>0</v>
      </c>
      <c r="N205" s="171">
        <f t="shared" si="334"/>
        <v>0</v>
      </c>
      <c r="O205" s="171">
        <f t="shared" si="334"/>
        <v>0</v>
      </c>
      <c r="P205" s="171">
        <f t="shared" si="334"/>
        <v>1370030</v>
      </c>
      <c r="Q205" s="171">
        <f t="shared" si="334"/>
        <v>40533</v>
      </c>
      <c r="R205" s="171">
        <f t="shared" si="334"/>
        <v>8420</v>
      </c>
      <c r="S205" s="172">
        <f t="shared" si="334"/>
        <v>8.58</v>
      </c>
      <c r="T205" s="172">
        <f t="shared" si="334"/>
        <v>5.74</v>
      </c>
      <c r="U205" s="173">
        <f t="shared" si="334"/>
        <v>2.84</v>
      </c>
      <c r="V205" s="174">
        <f t="shared" si="334"/>
        <v>0</v>
      </c>
      <c r="W205" s="171">
        <f t="shared" si="334"/>
        <v>0</v>
      </c>
      <c r="X205" s="171">
        <f t="shared" si="334"/>
        <v>0</v>
      </c>
      <c r="Y205" s="171">
        <f t="shared" si="334"/>
        <v>0</v>
      </c>
      <c r="Z205" s="171">
        <f t="shared" si="334"/>
        <v>0</v>
      </c>
      <c r="AA205" s="171">
        <f t="shared" si="334"/>
        <v>441310</v>
      </c>
      <c r="AB205" s="171">
        <f t="shared" si="334"/>
        <v>0</v>
      </c>
      <c r="AC205" s="171">
        <f t="shared" si="334"/>
        <v>0</v>
      </c>
      <c r="AD205" s="171">
        <f t="shared" si="334"/>
        <v>0</v>
      </c>
      <c r="AE205" s="171">
        <f t="shared" si="334"/>
        <v>441310</v>
      </c>
      <c r="AF205" s="171">
        <f t="shared" si="334"/>
        <v>441310</v>
      </c>
      <c r="AG205" s="171">
        <f t="shared" si="334"/>
        <v>0</v>
      </c>
      <c r="AH205" s="171">
        <f t="shared" si="334"/>
        <v>0</v>
      </c>
      <c r="AI205" s="171">
        <f t="shared" si="334"/>
        <v>0</v>
      </c>
      <c r="AJ205" s="171">
        <f t="shared" si="334"/>
        <v>0</v>
      </c>
      <c r="AK205" s="171">
        <f t="shared" si="334"/>
        <v>0</v>
      </c>
      <c r="AL205" s="171">
        <f t="shared" si="334"/>
        <v>0</v>
      </c>
      <c r="AM205" s="171">
        <f t="shared" si="334"/>
        <v>0</v>
      </c>
      <c r="AN205" s="171">
        <f t="shared" si="334"/>
        <v>0</v>
      </c>
      <c r="AO205" s="171">
        <f t="shared" si="334"/>
        <v>0</v>
      </c>
      <c r="AP205" s="171">
        <f t="shared" si="334"/>
        <v>441310</v>
      </c>
      <c r="AQ205" s="171">
        <f t="shared" si="334"/>
        <v>441310</v>
      </c>
      <c r="AR205" s="171">
        <f t="shared" si="334"/>
        <v>149163</v>
      </c>
      <c r="AS205" s="171">
        <f t="shared" si="334"/>
        <v>4413</v>
      </c>
      <c r="AT205" s="171">
        <f t="shared" si="334"/>
        <v>0</v>
      </c>
      <c r="AU205" s="171">
        <f t="shared" si="334"/>
        <v>3368</v>
      </c>
      <c r="AV205" s="171">
        <f t="shared" si="334"/>
        <v>3368</v>
      </c>
      <c r="AW205" s="171">
        <f t="shared" si="334"/>
        <v>598254</v>
      </c>
      <c r="AX205" s="172">
        <f t="shared" si="334"/>
        <v>0</v>
      </c>
      <c r="AY205" s="172">
        <f t="shared" si="334"/>
        <v>0</v>
      </c>
      <c r="AZ205" s="172">
        <f t="shared" si="334"/>
        <v>0</v>
      </c>
      <c r="BA205" s="172">
        <f t="shared" si="334"/>
        <v>0</v>
      </c>
      <c r="BB205" s="172">
        <f t="shared" si="334"/>
        <v>1.42</v>
      </c>
      <c r="BC205" s="172">
        <f t="shared" si="334"/>
        <v>0</v>
      </c>
      <c r="BD205" s="172">
        <f t="shared" si="334"/>
        <v>0</v>
      </c>
      <c r="BE205" s="172">
        <f t="shared" si="334"/>
        <v>0</v>
      </c>
      <c r="BF205" s="172">
        <f t="shared" si="334"/>
        <v>0</v>
      </c>
      <c r="BG205" s="172">
        <f t="shared" si="334"/>
        <v>1.42</v>
      </c>
      <c r="BH205" s="175">
        <f t="shared" si="334"/>
        <v>1.42</v>
      </c>
      <c r="BI205" s="170">
        <f t="shared" si="334"/>
        <v>6070580</v>
      </c>
      <c r="BJ205" s="171">
        <f t="shared" si="334"/>
        <v>4494653</v>
      </c>
      <c r="BK205" s="171">
        <f t="shared" si="334"/>
        <v>3170701</v>
      </c>
      <c r="BL205" s="171">
        <f t="shared" si="334"/>
        <v>1323952</v>
      </c>
      <c r="BM205" s="171">
        <f t="shared" si="334"/>
        <v>0</v>
      </c>
      <c r="BN205" s="171">
        <f t="shared" si="334"/>
        <v>0</v>
      </c>
      <c r="BO205" s="171">
        <f t="shared" si="334"/>
        <v>0</v>
      </c>
      <c r="BP205" s="171">
        <f t="shared" si="334"/>
        <v>1519193</v>
      </c>
      <c r="BQ205" s="171">
        <f t="shared" si="334"/>
        <v>44946</v>
      </c>
      <c r="BR205" s="171">
        <f t="shared" si="334"/>
        <v>11788</v>
      </c>
      <c r="BS205" s="172">
        <f t="shared" si="334"/>
        <v>10</v>
      </c>
      <c r="BT205" s="172">
        <f t="shared" si="334"/>
        <v>5.74</v>
      </c>
      <c r="BU205" s="175">
        <f t="shared" si="334"/>
        <v>4.26</v>
      </c>
      <c r="BV205" s="170">
        <f t="shared" si="334"/>
        <v>0</v>
      </c>
      <c r="BW205" s="171">
        <f t="shared" ref="BW205:CA205" si="335">SUMIF($F$12:$F$468,"=3233",BW$12:BW$468)</f>
        <v>0</v>
      </c>
      <c r="BX205" s="171">
        <f t="shared" si="335"/>
        <v>0</v>
      </c>
      <c r="BY205" s="171">
        <f t="shared" si="335"/>
        <v>0</v>
      </c>
      <c r="BZ205" s="171">
        <f t="shared" si="335"/>
        <v>0</v>
      </c>
      <c r="CA205" s="173">
        <f t="shared" si="335"/>
        <v>0</v>
      </c>
    </row>
    <row r="206" spans="4:79" ht="12.75" customHeight="1" x14ac:dyDescent="0.2">
      <c r="D206" s="5"/>
      <c r="E206" s="5"/>
      <c r="F206" s="5"/>
      <c r="G206" s="5"/>
      <c r="H206" s="5"/>
    </row>
    <row r="207" spans="4:79" x14ac:dyDescent="0.2">
      <c r="AG207" s="15"/>
      <c r="AH207" s="15"/>
      <c r="AI207" s="15"/>
      <c r="AJ207" s="15"/>
      <c r="AK207" s="15"/>
      <c r="AL207" s="15"/>
      <c r="AM207" s="15"/>
      <c r="AN207" s="15"/>
      <c r="AO207" s="15"/>
      <c r="AP207" s="4"/>
    </row>
  </sheetData>
  <mergeCells count="54"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T8:BU9"/>
    <mergeCell ref="BQ9:BQ10"/>
    <mergeCell ref="BI8:BI10"/>
    <mergeCell ref="AD9:AE9"/>
    <mergeCell ref="BJ9:BJ10"/>
    <mergeCell ref="BK9:BL9"/>
    <mergeCell ref="AW7:AW10"/>
    <mergeCell ref="AJ9:AK9"/>
    <mergeCell ref="AO7:AQ9"/>
    <mergeCell ref="AR7:AR10"/>
    <mergeCell ref="AS7:AS10"/>
    <mergeCell ref="AT7:AV9"/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Z9:AA9"/>
    <mergeCell ref="AG7:AN8"/>
  </mergeCells>
  <pageMargins left="0.7" right="0.7" top="0.78740157499999996" bottom="0.78740157499999996" header="0.3" footer="0.3"/>
  <pageSetup paperSize="8" scale="16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A114"/>
  <sheetViews>
    <sheetView zoomScaleNormal="100" workbookViewId="0">
      <pane xSplit="8" ySplit="11" topLeftCell="AU94" activePane="bottomRight" state="frozen"/>
      <selection activeCell="E477" sqref="E477"/>
      <selection pane="topRight" activeCell="E477" sqref="E477"/>
      <selection pane="bottomLeft" activeCell="E477" sqref="E477"/>
      <selection pane="bottomRight" activeCell="BD8" sqref="BD8:BE9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1.85546875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88" max="188" width="7" customWidth="1"/>
    <col min="189" max="189" width="30.140625" customWidth="1"/>
    <col min="190" max="190" width="6.28515625" customWidth="1"/>
    <col min="191" max="191" width="31.42578125" customWidth="1"/>
    <col min="192" max="192" width="10.5703125" customWidth="1"/>
    <col min="193" max="193" width="10.42578125" customWidth="1"/>
    <col min="194" max="194" width="9.5703125" customWidth="1"/>
    <col min="195" max="195" width="8.42578125" customWidth="1"/>
    <col min="196" max="196" width="9" customWidth="1"/>
    <col min="197" max="197" width="10.42578125" customWidth="1"/>
    <col min="200" max="200" width="10.28515625" customWidth="1"/>
    <col min="444" max="444" width="7" customWidth="1"/>
    <col min="445" max="445" width="30.140625" customWidth="1"/>
    <col min="446" max="446" width="6.28515625" customWidth="1"/>
    <col min="447" max="447" width="31.42578125" customWidth="1"/>
    <col min="448" max="448" width="10.5703125" customWidth="1"/>
    <col min="449" max="449" width="10.42578125" customWidth="1"/>
    <col min="450" max="450" width="9.5703125" customWidth="1"/>
    <col min="451" max="451" width="8.42578125" customWidth="1"/>
    <col min="452" max="452" width="9" customWidth="1"/>
    <col min="453" max="453" width="10.42578125" customWidth="1"/>
    <col min="456" max="456" width="10.28515625" customWidth="1"/>
    <col min="700" max="700" width="7" customWidth="1"/>
    <col min="701" max="701" width="30.140625" customWidth="1"/>
    <col min="702" max="702" width="6.28515625" customWidth="1"/>
    <col min="703" max="703" width="31.42578125" customWidth="1"/>
    <col min="704" max="704" width="10.5703125" customWidth="1"/>
    <col min="705" max="705" width="10.42578125" customWidth="1"/>
    <col min="706" max="706" width="9.5703125" customWidth="1"/>
    <col min="707" max="707" width="8.42578125" customWidth="1"/>
    <col min="708" max="708" width="9" customWidth="1"/>
    <col min="709" max="709" width="10.42578125" customWidth="1"/>
    <col min="712" max="712" width="10.28515625" customWidth="1"/>
    <col min="956" max="956" width="7" customWidth="1"/>
    <col min="957" max="957" width="30.140625" customWidth="1"/>
    <col min="958" max="958" width="6.28515625" customWidth="1"/>
    <col min="959" max="959" width="31.42578125" customWidth="1"/>
    <col min="960" max="960" width="10.5703125" customWidth="1"/>
    <col min="961" max="961" width="10.42578125" customWidth="1"/>
    <col min="962" max="962" width="9.5703125" customWidth="1"/>
    <col min="963" max="963" width="8.42578125" customWidth="1"/>
    <col min="964" max="964" width="9" customWidth="1"/>
    <col min="965" max="965" width="10.42578125" customWidth="1"/>
    <col min="968" max="968" width="10.28515625" customWidth="1"/>
    <col min="1212" max="1212" width="7" customWidth="1"/>
    <col min="1213" max="1213" width="30.140625" customWidth="1"/>
    <col min="1214" max="1214" width="6.28515625" customWidth="1"/>
    <col min="1215" max="1215" width="31.42578125" customWidth="1"/>
    <col min="1216" max="1216" width="10.5703125" customWidth="1"/>
    <col min="1217" max="1217" width="10.42578125" customWidth="1"/>
    <col min="1218" max="1218" width="9.5703125" customWidth="1"/>
    <col min="1219" max="1219" width="8.42578125" customWidth="1"/>
    <col min="1220" max="1220" width="9" customWidth="1"/>
    <col min="1221" max="1221" width="10.42578125" customWidth="1"/>
    <col min="1224" max="1224" width="10.28515625" customWidth="1"/>
    <col min="1468" max="1468" width="7" customWidth="1"/>
    <col min="1469" max="1469" width="30.140625" customWidth="1"/>
    <col min="1470" max="1470" width="6.28515625" customWidth="1"/>
    <col min="1471" max="1471" width="31.42578125" customWidth="1"/>
    <col min="1472" max="1472" width="10.5703125" customWidth="1"/>
    <col min="1473" max="1473" width="10.42578125" customWidth="1"/>
    <col min="1474" max="1474" width="9.5703125" customWidth="1"/>
    <col min="1475" max="1475" width="8.42578125" customWidth="1"/>
    <col min="1476" max="1476" width="9" customWidth="1"/>
    <col min="1477" max="1477" width="10.42578125" customWidth="1"/>
    <col min="1480" max="1480" width="10.28515625" customWidth="1"/>
    <col min="1724" max="1724" width="7" customWidth="1"/>
    <col min="1725" max="1725" width="30.140625" customWidth="1"/>
    <col min="1726" max="1726" width="6.28515625" customWidth="1"/>
    <col min="1727" max="1727" width="31.42578125" customWidth="1"/>
    <col min="1728" max="1728" width="10.5703125" customWidth="1"/>
    <col min="1729" max="1729" width="10.42578125" customWidth="1"/>
    <col min="1730" max="1730" width="9.5703125" customWidth="1"/>
    <col min="1731" max="1731" width="8.42578125" customWidth="1"/>
    <col min="1732" max="1732" width="9" customWidth="1"/>
    <col min="1733" max="1733" width="10.42578125" customWidth="1"/>
    <col min="1736" max="1736" width="10.28515625" customWidth="1"/>
    <col min="1980" max="1980" width="7" customWidth="1"/>
    <col min="1981" max="1981" width="30.140625" customWidth="1"/>
    <col min="1982" max="1982" width="6.28515625" customWidth="1"/>
    <col min="1983" max="1983" width="31.42578125" customWidth="1"/>
    <col min="1984" max="1984" width="10.5703125" customWidth="1"/>
    <col min="1985" max="1985" width="10.42578125" customWidth="1"/>
    <col min="1986" max="1986" width="9.5703125" customWidth="1"/>
    <col min="1987" max="1987" width="8.42578125" customWidth="1"/>
    <col min="1988" max="1988" width="9" customWidth="1"/>
    <col min="1989" max="1989" width="10.42578125" customWidth="1"/>
    <col min="1992" max="1992" width="10.28515625" customWidth="1"/>
    <col min="2236" max="2236" width="7" customWidth="1"/>
    <col min="2237" max="2237" width="30.140625" customWidth="1"/>
    <col min="2238" max="2238" width="6.28515625" customWidth="1"/>
    <col min="2239" max="2239" width="31.42578125" customWidth="1"/>
    <col min="2240" max="2240" width="10.5703125" customWidth="1"/>
    <col min="2241" max="2241" width="10.42578125" customWidth="1"/>
    <col min="2242" max="2242" width="9.5703125" customWidth="1"/>
    <col min="2243" max="2243" width="8.42578125" customWidth="1"/>
    <col min="2244" max="2244" width="9" customWidth="1"/>
    <col min="2245" max="2245" width="10.42578125" customWidth="1"/>
    <col min="2248" max="2248" width="10.28515625" customWidth="1"/>
    <col min="2492" max="2492" width="7" customWidth="1"/>
    <col min="2493" max="2493" width="30.140625" customWidth="1"/>
    <col min="2494" max="2494" width="6.28515625" customWidth="1"/>
    <col min="2495" max="2495" width="31.42578125" customWidth="1"/>
    <col min="2496" max="2496" width="10.5703125" customWidth="1"/>
    <col min="2497" max="2497" width="10.42578125" customWidth="1"/>
    <col min="2498" max="2498" width="9.5703125" customWidth="1"/>
    <col min="2499" max="2499" width="8.42578125" customWidth="1"/>
    <col min="2500" max="2500" width="9" customWidth="1"/>
    <col min="2501" max="2501" width="10.42578125" customWidth="1"/>
    <col min="2504" max="2504" width="10.28515625" customWidth="1"/>
    <col min="2748" max="2748" width="7" customWidth="1"/>
    <col min="2749" max="2749" width="30.140625" customWidth="1"/>
    <col min="2750" max="2750" width="6.28515625" customWidth="1"/>
    <col min="2751" max="2751" width="31.42578125" customWidth="1"/>
    <col min="2752" max="2752" width="10.5703125" customWidth="1"/>
    <col min="2753" max="2753" width="10.42578125" customWidth="1"/>
    <col min="2754" max="2754" width="9.5703125" customWidth="1"/>
    <col min="2755" max="2755" width="8.42578125" customWidth="1"/>
    <col min="2756" max="2756" width="9" customWidth="1"/>
    <col min="2757" max="2757" width="10.42578125" customWidth="1"/>
    <col min="2760" max="2760" width="10.28515625" customWidth="1"/>
    <col min="3004" max="3004" width="7" customWidth="1"/>
    <col min="3005" max="3005" width="30.140625" customWidth="1"/>
    <col min="3006" max="3006" width="6.28515625" customWidth="1"/>
    <col min="3007" max="3007" width="31.42578125" customWidth="1"/>
    <col min="3008" max="3008" width="10.5703125" customWidth="1"/>
    <col min="3009" max="3009" width="10.42578125" customWidth="1"/>
    <col min="3010" max="3010" width="9.5703125" customWidth="1"/>
    <col min="3011" max="3011" width="8.42578125" customWidth="1"/>
    <col min="3012" max="3012" width="9" customWidth="1"/>
    <col min="3013" max="3013" width="10.42578125" customWidth="1"/>
    <col min="3016" max="3016" width="10.28515625" customWidth="1"/>
    <col min="3260" max="3260" width="7" customWidth="1"/>
    <col min="3261" max="3261" width="30.140625" customWidth="1"/>
    <col min="3262" max="3262" width="6.28515625" customWidth="1"/>
    <col min="3263" max="3263" width="31.42578125" customWidth="1"/>
    <col min="3264" max="3264" width="10.5703125" customWidth="1"/>
    <col min="3265" max="3265" width="10.42578125" customWidth="1"/>
    <col min="3266" max="3266" width="9.5703125" customWidth="1"/>
    <col min="3267" max="3267" width="8.42578125" customWidth="1"/>
    <col min="3268" max="3268" width="9" customWidth="1"/>
    <col min="3269" max="3269" width="10.42578125" customWidth="1"/>
    <col min="3272" max="3272" width="10.28515625" customWidth="1"/>
    <col min="3516" max="3516" width="7" customWidth="1"/>
    <col min="3517" max="3517" width="30.140625" customWidth="1"/>
    <col min="3518" max="3518" width="6.28515625" customWidth="1"/>
    <col min="3519" max="3519" width="31.42578125" customWidth="1"/>
    <col min="3520" max="3520" width="10.5703125" customWidth="1"/>
    <col min="3521" max="3521" width="10.42578125" customWidth="1"/>
    <col min="3522" max="3522" width="9.5703125" customWidth="1"/>
    <col min="3523" max="3523" width="8.42578125" customWidth="1"/>
    <col min="3524" max="3524" width="9" customWidth="1"/>
    <col min="3525" max="3525" width="10.42578125" customWidth="1"/>
    <col min="3528" max="3528" width="10.28515625" customWidth="1"/>
    <col min="3772" max="3772" width="7" customWidth="1"/>
    <col min="3773" max="3773" width="30.140625" customWidth="1"/>
    <col min="3774" max="3774" width="6.28515625" customWidth="1"/>
    <col min="3775" max="3775" width="31.42578125" customWidth="1"/>
    <col min="3776" max="3776" width="10.5703125" customWidth="1"/>
    <col min="3777" max="3777" width="10.42578125" customWidth="1"/>
    <col min="3778" max="3778" width="9.5703125" customWidth="1"/>
    <col min="3779" max="3779" width="8.42578125" customWidth="1"/>
    <col min="3780" max="3780" width="9" customWidth="1"/>
    <col min="3781" max="3781" width="10.42578125" customWidth="1"/>
    <col min="3784" max="3784" width="10.28515625" customWidth="1"/>
    <col min="4028" max="4028" width="7" customWidth="1"/>
    <col min="4029" max="4029" width="30.140625" customWidth="1"/>
    <col min="4030" max="4030" width="6.28515625" customWidth="1"/>
    <col min="4031" max="4031" width="31.42578125" customWidth="1"/>
    <col min="4032" max="4032" width="10.5703125" customWidth="1"/>
    <col min="4033" max="4033" width="10.42578125" customWidth="1"/>
    <col min="4034" max="4034" width="9.5703125" customWidth="1"/>
    <col min="4035" max="4035" width="8.42578125" customWidth="1"/>
    <col min="4036" max="4036" width="9" customWidth="1"/>
    <col min="4037" max="4037" width="10.42578125" customWidth="1"/>
    <col min="4040" max="4040" width="10.28515625" customWidth="1"/>
    <col min="4284" max="4284" width="7" customWidth="1"/>
    <col min="4285" max="4285" width="30.140625" customWidth="1"/>
    <col min="4286" max="4286" width="6.28515625" customWidth="1"/>
    <col min="4287" max="4287" width="31.42578125" customWidth="1"/>
    <col min="4288" max="4288" width="10.5703125" customWidth="1"/>
    <col min="4289" max="4289" width="10.42578125" customWidth="1"/>
    <col min="4290" max="4290" width="9.5703125" customWidth="1"/>
    <col min="4291" max="4291" width="8.42578125" customWidth="1"/>
    <col min="4292" max="4292" width="9" customWidth="1"/>
    <col min="4293" max="4293" width="10.42578125" customWidth="1"/>
    <col min="4296" max="4296" width="10.28515625" customWidth="1"/>
    <col min="4540" max="4540" width="7" customWidth="1"/>
    <col min="4541" max="4541" width="30.140625" customWidth="1"/>
    <col min="4542" max="4542" width="6.28515625" customWidth="1"/>
    <col min="4543" max="4543" width="31.42578125" customWidth="1"/>
    <col min="4544" max="4544" width="10.5703125" customWidth="1"/>
    <col min="4545" max="4545" width="10.42578125" customWidth="1"/>
    <col min="4546" max="4546" width="9.5703125" customWidth="1"/>
    <col min="4547" max="4547" width="8.42578125" customWidth="1"/>
    <col min="4548" max="4548" width="9" customWidth="1"/>
    <col min="4549" max="4549" width="10.42578125" customWidth="1"/>
    <col min="4552" max="4552" width="10.28515625" customWidth="1"/>
    <col min="4796" max="4796" width="7" customWidth="1"/>
    <col min="4797" max="4797" width="30.140625" customWidth="1"/>
    <col min="4798" max="4798" width="6.28515625" customWidth="1"/>
    <col min="4799" max="4799" width="31.42578125" customWidth="1"/>
    <col min="4800" max="4800" width="10.5703125" customWidth="1"/>
    <col min="4801" max="4801" width="10.42578125" customWidth="1"/>
    <col min="4802" max="4802" width="9.5703125" customWidth="1"/>
    <col min="4803" max="4803" width="8.42578125" customWidth="1"/>
    <col min="4804" max="4804" width="9" customWidth="1"/>
    <col min="4805" max="4805" width="10.42578125" customWidth="1"/>
    <col min="4808" max="4808" width="10.28515625" customWidth="1"/>
    <col min="5052" max="5052" width="7" customWidth="1"/>
    <col min="5053" max="5053" width="30.140625" customWidth="1"/>
    <col min="5054" max="5054" width="6.28515625" customWidth="1"/>
    <col min="5055" max="5055" width="31.42578125" customWidth="1"/>
    <col min="5056" max="5056" width="10.5703125" customWidth="1"/>
    <col min="5057" max="5057" width="10.42578125" customWidth="1"/>
    <col min="5058" max="5058" width="9.5703125" customWidth="1"/>
    <col min="5059" max="5059" width="8.42578125" customWidth="1"/>
    <col min="5060" max="5060" width="9" customWidth="1"/>
    <col min="5061" max="5061" width="10.42578125" customWidth="1"/>
    <col min="5064" max="5064" width="10.28515625" customWidth="1"/>
    <col min="5308" max="5308" width="7" customWidth="1"/>
    <col min="5309" max="5309" width="30.140625" customWidth="1"/>
    <col min="5310" max="5310" width="6.28515625" customWidth="1"/>
    <col min="5311" max="5311" width="31.42578125" customWidth="1"/>
    <col min="5312" max="5312" width="10.5703125" customWidth="1"/>
    <col min="5313" max="5313" width="10.42578125" customWidth="1"/>
    <col min="5314" max="5314" width="9.5703125" customWidth="1"/>
    <col min="5315" max="5315" width="8.42578125" customWidth="1"/>
    <col min="5316" max="5316" width="9" customWidth="1"/>
    <col min="5317" max="5317" width="10.42578125" customWidth="1"/>
    <col min="5320" max="5320" width="10.28515625" customWidth="1"/>
    <col min="5564" max="5564" width="7" customWidth="1"/>
    <col min="5565" max="5565" width="30.140625" customWidth="1"/>
    <col min="5566" max="5566" width="6.28515625" customWidth="1"/>
    <col min="5567" max="5567" width="31.42578125" customWidth="1"/>
    <col min="5568" max="5568" width="10.5703125" customWidth="1"/>
    <col min="5569" max="5569" width="10.42578125" customWidth="1"/>
    <col min="5570" max="5570" width="9.5703125" customWidth="1"/>
    <col min="5571" max="5571" width="8.42578125" customWidth="1"/>
    <col min="5572" max="5572" width="9" customWidth="1"/>
    <col min="5573" max="5573" width="10.42578125" customWidth="1"/>
    <col min="5576" max="5576" width="10.28515625" customWidth="1"/>
    <col min="5820" max="5820" width="7" customWidth="1"/>
    <col min="5821" max="5821" width="30.140625" customWidth="1"/>
    <col min="5822" max="5822" width="6.28515625" customWidth="1"/>
    <col min="5823" max="5823" width="31.42578125" customWidth="1"/>
    <col min="5824" max="5824" width="10.5703125" customWidth="1"/>
    <col min="5825" max="5825" width="10.42578125" customWidth="1"/>
    <col min="5826" max="5826" width="9.5703125" customWidth="1"/>
    <col min="5827" max="5827" width="8.42578125" customWidth="1"/>
    <col min="5828" max="5828" width="9" customWidth="1"/>
    <col min="5829" max="5829" width="10.42578125" customWidth="1"/>
    <col min="5832" max="5832" width="10.28515625" customWidth="1"/>
    <col min="6076" max="6076" width="7" customWidth="1"/>
    <col min="6077" max="6077" width="30.140625" customWidth="1"/>
    <col min="6078" max="6078" width="6.28515625" customWidth="1"/>
    <col min="6079" max="6079" width="31.42578125" customWidth="1"/>
    <col min="6080" max="6080" width="10.5703125" customWidth="1"/>
    <col min="6081" max="6081" width="10.42578125" customWidth="1"/>
    <col min="6082" max="6082" width="9.5703125" customWidth="1"/>
    <col min="6083" max="6083" width="8.42578125" customWidth="1"/>
    <col min="6084" max="6084" width="9" customWidth="1"/>
    <col min="6085" max="6085" width="10.42578125" customWidth="1"/>
    <col min="6088" max="6088" width="10.28515625" customWidth="1"/>
    <col min="6332" max="6332" width="7" customWidth="1"/>
    <col min="6333" max="6333" width="30.140625" customWidth="1"/>
    <col min="6334" max="6334" width="6.28515625" customWidth="1"/>
    <col min="6335" max="6335" width="31.42578125" customWidth="1"/>
    <col min="6336" max="6336" width="10.5703125" customWidth="1"/>
    <col min="6337" max="6337" width="10.42578125" customWidth="1"/>
    <col min="6338" max="6338" width="9.5703125" customWidth="1"/>
    <col min="6339" max="6339" width="8.42578125" customWidth="1"/>
    <col min="6340" max="6340" width="9" customWidth="1"/>
    <col min="6341" max="6341" width="10.42578125" customWidth="1"/>
    <col min="6344" max="6344" width="10.28515625" customWidth="1"/>
    <col min="6588" max="6588" width="7" customWidth="1"/>
    <col min="6589" max="6589" width="30.140625" customWidth="1"/>
    <col min="6590" max="6590" width="6.28515625" customWidth="1"/>
    <col min="6591" max="6591" width="31.42578125" customWidth="1"/>
    <col min="6592" max="6592" width="10.5703125" customWidth="1"/>
    <col min="6593" max="6593" width="10.42578125" customWidth="1"/>
    <col min="6594" max="6594" width="9.5703125" customWidth="1"/>
    <col min="6595" max="6595" width="8.42578125" customWidth="1"/>
    <col min="6596" max="6596" width="9" customWidth="1"/>
    <col min="6597" max="6597" width="10.42578125" customWidth="1"/>
    <col min="6600" max="6600" width="10.28515625" customWidth="1"/>
    <col min="6844" max="6844" width="7" customWidth="1"/>
    <col min="6845" max="6845" width="30.140625" customWidth="1"/>
    <col min="6846" max="6846" width="6.28515625" customWidth="1"/>
    <col min="6847" max="6847" width="31.42578125" customWidth="1"/>
    <col min="6848" max="6848" width="10.5703125" customWidth="1"/>
    <col min="6849" max="6849" width="10.42578125" customWidth="1"/>
    <col min="6850" max="6850" width="9.5703125" customWidth="1"/>
    <col min="6851" max="6851" width="8.42578125" customWidth="1"/>
    <col min="6852" max="6852" width="9" customWidth="1"/>
    <col min="6853" max="6853" width="10.42578125" customWidth="1"/>
    <col min="6856" max="6856" width="10.28515625" customWidth="1"/>
    <col min="7100" max="7100" width="7" customWidth="1"/>
    <col min="7101" max="7101" width="30.140625" customWidth="1"/>
    <col min="7102" max="7102" width="6.28515625" customWidth="1"/>
    <col min="7103" max="7103" width="31.42578125" customWidth="1"/>
    <col min="7104" max="7104" width="10.5703125" customWidth="1"/>
    <col min="7105" max="7105" width="10.42578125" customWidth="1"/>
    <col min="7106" max="7106" width="9.5703125" customWidth="1"/>
    <col min="7107" max="7107" width="8.42578125" customWidth="1"/>
    <col min="7108" max="7108" width="9" customWidth="1"/>
    <col min="7109" max="7109" width="10.42578125" customWidth="1"/>
    <col min="7112" max="7112" width="10.28515625" customWidth="1"/>
    <col min="7356" max="7356" width="7" customWidth="1"/>
    <col min="7357" max="7357" width="30.140625" customWidth="1"/>
    <col min="7358" max="7358" width="6.28515625" customWidth="1"/>
    <col min="7359" max="7359" width="31.42578125" customWidth="1"/>
    <col min="7360" max="7360" width="10.5703125" customWidth="1"/>
    <col min="7361" max="7361" width="10.42578125" customWidth="1"/>
    <col min="7362" max="7362" width="9.5703125" customWidth="1"/>
    <col min="7363" max="7363" width="8.42578125" customWidth="1"/>
    <col min="7364" max="7364" width="9" customWidth="1"/>
    <col min="7365" max="7365" width="10.42578125" customWidth="1"/>
    <col min="7368" max="7368" width="10.28515625" customWidth="1"/>
    <col min="7612" max="7612" width="7" customWidth="1"/>
    <col min="7613" max="7613" width="30.140625" customWidth="1"/>
    <col min="7614" max="7614" width="6.28515625" customWidth="1"/>
    <col min="7615" max="7615" width="31.42578125" customWidth="1"/>
    <col min="7616" max="7616" width="10.5703125" customWidth="1"/>
    <col min="7617" max="7617" width="10.42578125" customWidth="1"/>
    <col min="7618" max="7618" width="9.5703125" customWidth="1"/>
    <col min="7619" max="7619" width="8.42578125" customWidth="1"/>
    <col min="7620" max="7620" width="9" customWidth="1"/>
    <col min="7621" max="7621" width="10.42578125" customWidth="1"/>
    <col min="7624" max="7624" width="10.28515625" customWidth="1"/>
    <col min="7868" max="7868" width="7" customWidth="1"/>
    <col min="7869" max="7869" width="30.140625" customWidth="1"/>
    <col min="7870" max="7870" width="6.28515625" customWidth="1"/>
    <col min="7871" max="7871" width="31.42578125" customWidth="1"/>
    <col min="7872" max="7872" width="10.5703125" customWidth="1"/>
    <col min="7873" max="7873" width="10.42578125" customWidth="1"/>
    <col min="7874" max="7874" width="9.5703125" customWidth="1"/>
    <col min="7875" max="7875" width="8.42578125" customWidth="1"/>
    <col min="7876" max="7876" width="9" customWidth="1"/>
    <col min="7877" max="7877" width="10.42578125" customWidth="1"/>
    <col min="7880" max="7880" width="10.28515625" customWidth="1"/>
    <col min="8124" max="8124" width="7" customWidth="1"/>
    <col min="8125" max="8125" width="30.140625" customWidth="1"/>
    <col min="8126" max="8126" width="6.28515625" customWidth="1"/>
    <col min="8127" max="8127" width="31.42578125" customWidth="1"/>
    <col min="8128" max="8128" width="10.5703125" customWidth="1"/>
    <col min="8129" max="8129" width="10.42578125" customWidth="1"/>
    <col min="8130" max="8130" width="9.5703125" customWidth="1"/>
    <col min="8131" max="8131" width="8.42578125" customWidth="1"/>
    <col min="8132" max="8132" width="9" customWidth="1"/>
    <col min="8133" max="8133" width="10.42578125" customWidth="1"/>
    <col min="8136" max="8136" width="10.28515625" customWidth="1"/>
    <col min="8380" max="8380" width="7" customWidth="1"/>
    <col min="8381" max="8381" width="30.140625" customWidth="1"/>
    <col min="8382" max="8382" width="6.28515625" customWidth="1"/>
    <col min="8383" max="8383" width="31.42578125" customWidth="1"/>
    <col min="8384" max="8384" width="10.5703125" customWidth="1"/>
    <col min="8385" max="8385" width="10.42578125" customWidth="1"/>
    <col min="8386" max="8386" width="9.5703125" customWidth="1"/>
    <col min="8387" max="8387" width="8.42578125" customWidth="1"/>
    <col min="8388" max="8388" width="9" customWidth="1"/>
    <col min="8389" max="8389" width="10.42578125" customWidth="1"/>
    <col min="8392" max="8392" width="10.28515625" customWidth="1"/>
    <col min="8636" max="8636" width="7" customWidth="1"/>
    <col min="8637" max="8637" width="30.140625" customWidth="1"/>
    <col min="8638" max="8638" width="6.28515625" customWidth="1"/>
    <col min="8639" max="8639" width="31.42578125" customWidth="1"/>
    <col min="8640" max="8640" width="10.5703125" customWidth="1"/>
    <col min="8641" max="8641" width="10.42578125" customWidth="1"/>
    <col min="8642" max="8642" width="9.5703125" customWidth="1"/>
    <col min="8643" max="8643" width="8.42578125" customWidth="1"/>
    <col min="8644" max="8644" width="9" customWidth="1"/>
    <col min="8645" max="8645" width="10.42578125" customWidth="1"/>
    <col min="8648" max="8648" width="10.28515625" customWidth="1"/>
    <col min="8892" max="8892" width="7" customWidth="1"/>
    <col min="8893" max="8893" width="30.140625" customWidth="1"/>
    <col min="8894" max="8894" width="6.28515625" customWidth="1"/>
    <col min="8895" max="8895" width="31.42578125" customWidth="1"/>
    <col min="8896" max="8896" width="10.5703125" customWidth="1"/>
    <col min="8897" max="8897" width="10.42578125" customWidth="1"/>
    <col min="8898" max="8898" width="9.5703125" customWidth="1"/>
    <col min="8899" max="8899" width="8.42578125" customWidth="1"/>
    <col min="8900" max="8900" width="9" customWidth="1"/>
    <col min="8901" max="8901" width="10.42578125" customWidth="1"/>
    <col min="8904" max="8904" width="10.28515625" customWidth="1"/>
    <col min="9148" max="9148" width="7" customWidth="1"/>
    <col min="9149" max="9149" width="30.140625" customWidth="1"/>
    <col min="9150" max="9150" width="6.28515625" customWidth="1"/>
    <col min="9151" max="9151" width="31.42578125" customWidth="1"/>
    <col min="9152" max="9152" width="10.5703125" customWidth="1"/>
    <col min="9153" max="9153" width="10.42578125" customWidth="1"/>
    <col min="9154" max="9154" width="9.5703125" customWidth="1"/>
    <col min="9155" max="9155" width="8.42578125" customWidth="1"/>
    <col min="9156" max="9156" width="9" customWidth="1"/>
    <col min="9157" max="9157" width="10.42578125" customWidth="1"/>
    <col min="9160" max="9160" width="10.28515625" customWidth="1"/>
    <col min="9404" max="9404" width="7" customWidth="1"/>
    <col min="9405" max="9405" width="30.140625" customWidth="1"/>
    <col min="9406" max="9406" width="6.28515625" customWidth="1"/>
    <col min="9407" max="9407" width="31.42578125" customWidth="1"/>
    <col min="9408" max="9408" width="10.5703125" customWidth="1"/>
    <col min="9409" max="9409" width="10.42578125" customWidth="1"/>
    <col min="9410" max="9410" width="9.5703125" customWidth="1"/>
    <col min="9411" max="9411" width="8.42578125" customWidth="1"/>
    <col min="9412" max="9412" width="9" customWidth="1"/>
    <col min="9413" max="9413" width="10.42578125" customWidth="1"/>
    <col min="9416" max="9416" width="10.28515625" customWidth="1"/>
    <col min="9660" max="9660" width="7" customWidth="1"/>
    <col min="9661" max="9661" width="30.140625" customWidth="1"/>
    <col min="9662" max="9662" width="6.28515625" customWidth="1"/>
    <col min="9663" max="9663" width="31.42578125" customWidth="1"/>
    <col min="9664" max="9664" width="10.5703125" customWidth="1"/>
    <col min="9665" max="9665" width="10.42578125" customWidth="1"/>
    <col min="9666" max="9666" width="9.5703125" customWidth="1"/>
    <col min="9667" max="9667" width="8.42578125" customWidth="1"/>
    <col min="9668" max="9668" width="9" customWidth="1"/>
    <col min="9669" max="9669" width="10.42578125" customWidth="1"/>
    <col min="9672" max="9672" width="10.28515625" customWidth="1"/>
    <col min="9916" max="9916" width="7" customWidth="1"/>
    <col min="9917" max="9917" width="30.140625" customWidth="1"/>
    <col min="9918" max="9918" width="6.28515625" customWidth="1"/>
    <col min="9919" max="9919" width="31.42578125" customWidth="1"/>
    <col min="9920" max="9920" width="10.5703125" customWidth="1"/>
    <col min="9921" max="9921" width="10.42578125" customWidth="1"/>
    <col min="9922" max="9922" width="9.5703125" customWidth="1"/>
    <col min="9923" max="9923" width="8.42578125" customWidth="1"/>
    <col min="9924" max="9924" width="9" customWidth="1"/>
    <col min="9925" max="9925" width="10.42578125" customWidth="1"/>
    <col min="9928" max="9928" width="10.28515625" customWidth="1"/>
    <col min="10172" max="10172" width="7" customWidth="1"/>
    <col min="10173" max="10173" width="30.140625" customWidth="1"/>
    <col min="10174" max="10174" width="6.28515625" customWidth="1"/>
    <col min="10175" max="10175" width="31.42578125" customWidth="1"/>
    <col min="10176" max="10176" width="10.5703125" customWidth="1"/>
    <col min="10177" max="10177" width="10.42578125" customWidth="1"/>
    <col min="10178" max="10178" width="9.5703125" customWidth="1"/>
    <col min="10179" max="10179" width="8.42578125" customWidth="1"/>
    <col min="10180" max="10180" width="9" customWidth="1"/>
    <col min="10181" max="10181" width="10.42578125" customWidth="1"/>
    <col min="10184" max="10184" width="10.28515625" customWidth="1"/>
    <col min="10428" max="10428" width="7" customWidth="1"/>
    <col min="10429" max="10429" width="30.140625" customWidth="1"/>
    <col min="10430" max="10430" width="6.28515625" customWidth="1"/>
    <col min="10431" max="10431" width="31.42578125" customWidth="1"/>
    <col min="10432" max="10432" width="10.5703125" customWidth="1"/>
    <col min="10433" max="10433" width="10.42578125" customWidth="1"/>
    <col min="10434" max="10434" width="9.5703125" customWidth="1"/>
    <col min="10435" max="10435" width="8.42578125" customWidth="1"/>
    <col min="10436" max="10436" width="9" customWidth="1"/>
    <col min="10437" max="10437" width="10.42578125" customWidth="1"/>
    <col min="10440" max="10440" width="10.28515625" customWidth="1"/>
    <col min="10684" max="10684" width="7" customWidth="1"/>
    <col min="10685" max="10685" width="30.140625" customWidth="1"/>
    <col min="10686" max="10686" width="6.28515625" customWidth="1"/>
    <col min="10687" max="10687" width="31.42578125" customWidth="1"/>
    <col min="10688" max="10688" width="10.5703125" customWidth="1"/>
    <col min="10689" max="10689" width="10.42578125" customWidth="1"/>
    <col min="10690" max="10690" width="9.5703125" customWidth="1"/>
    <col min="10691" max="10691" width="8.42578125" customWidth="1"/>
    <col min="10692" max="10692" width="9" customWidth="1"/>
    <col min="10693" max="10693" width="10.42578125" customWidth="1"/>
    <col min="10696" max="10696" width="10.28515625" customWidth="1"/>
    <col min="10940" max="10940" width="7" customWidth="1"/>
    <col min="10941" max="10941" width="30.140625" customWidth="1"/>
    <col min="10942" max="10942" width="6.28515625" customWidth="1"/>
    <col min="10943" max="10943" width="31.42578125" customWidth="1"/>
    <col min="10944" max="10944" width="10.5703125" customWidth="1"/>
    <col min="10945" max="10945" width="10.42578125" customWidth="1"/>
    <col min="10946" max="10946" width="9.5703125" customWidth="1"/>
    <col min="10947" max="10947" width="8.42578125" customWidth="1"/>
    <col min="10948" max="10948" width="9" customWidth="1"/>
    <col min="10949" max="10949" width="10.42578125" customWidth="1"/>
    <col min="10952" max="10952" width="10.28515625" customWidth="1"/>
    <col min="11196" max="11196" width="7" customWidth="1"/>
    <col min="11197" max="11197" width="30.140625" customWidth="1"/>
    <col min="11198" max="11198" width="6.28515625" customWidth="1"/>
    <col min="11199" max="11199" width="31.42578125" customWidth="1"/>
    <col min="11200" max="11200" width="10.5703125" customWidth="1"/>
    <col min="11201" max="11201" width="10.42578125" customWidth="1"/>
    <col min="11202" max="11202" width="9.5703125" customWidth="1"/>
    <col min="11203" max="11203" width="8.42578125" customWidth="1"/>
    <col min="11204" max="11204" width="9" customWidth="1"/>
    <col min="11205" max="11205" width="10.42578125" customWidth="1"/>
    <col min="11208" max="11208" width="10.28515625" customWidth="1"/>
    <col min="11452" max="11452" width="7" customWidth="1"/>
    <col min="11453" max="11453" width="30.140625" customWidth="1"/>
    <col min="11454" max="11454" width="6.28515625" customWidth="1"/>
    <col min="11455" max="11455" width="31.42578125" customWidth="1"/>
    <col min="11456" max="11456" width="10.5703125" customWidth="1"/>
    <col min="11457" max="11457" width="10.42578125" customWidth="1"/>
    <col min="11458" max="11458" width="9.5703125" customWidth="1"/>
    <col min="11459" max="11459" width="8.42578125" customWidth="1"/>
    <col min="11460" max="11460" width="9" customWidth="1"/>
    <col min="11461" max="11461" width="10.42578125" customWidth="1"/>
    <col min="11464" max="11464" width="10.28515625" customWidth="1"/>
    <col min="11708" max="11708" width="7" customWidth="1"/>
    <col min="11709" max="11709" width="30.140625" customWidth="1"/>
    <col min="11710" max="11710" width="6.28515625" customWidth="1"/>
    <col min="11711" max="11711" width="31.42578125" customWidth="1"/>
    <col min="11712" max="11712" width="10.5703125" customWidth="1"/>
    <col min="11713" max="11713" width="10.42578125" customWidth="1"/>
    <col min="11714" max="11714" width="9.5703125" customWidth="1"/>
    <col min="11715" max="11715" width="8.42578125" customWidth="1"/>
    <col min="11716" max="11716" width="9" customWidth="1"/>
    <col min="11717" max="11717" width="10.42578125" customWidth="1"/>
    <col min="11720" max="11720" width="10.28515625" customWidth="1"/>
    <col min="11964" max="11964" width="7" customWidth="1"/>
    <col min="11965" max="11965" width="30.140625" customWidth="1"/>
    <col min="11966" max="11966" width="6.28515625" customWidth="1"/>
    <col min="11967" max="11967" width="31.42578125" customWidth="1"/>
    <col min="11968" max="11968" width="10.5703125" customWidth="1"/>
    <col min="11969" max="11969" width="10.42578125" customWidth="1"/>
    <col min="11970" max="11970" width="9.5703125" customWidth="1"/>
    <col min="11971" max="11971" width="8.42578125" customWidth="1"/>
    <col min="11972" max="11972" width="9" customWidth="1"/>
    <col min="11973" max="11973" width="10.42578125" customWidth="1"/>
    <col min="11976" max="11976" width="10.28515625" customWidth="1"/>
    <col min="12220" max="12220" width="7" customWidth="1"/>
    <col min="12221" max="12221" width="30.140625" customWidth="1"/>
    <col min="12222" max="12222" width="6.28515625" customWidth="1"/>
    <col min="12223" max="12223" width="31.42578125" customWidth="1"/>
    <col min="12224" max="12224" width="10.5703125" customWidth="1"/>
    <col min="12225" max="12225" width="10.42578125" customWidth="1"/>
    <col min="12226" max="12226" width="9.5703125" customWidth="1"/>
    <col min="12227" max="12227" width="8.42578125" customWidth="1"/>
    <col min="12228" max="12228" width="9" customWidth="1"/>
    <col min="12229" max="12229" width="10.42578125" customWidth="1"/>
    <col min="12232" max="12232" width="10.28515625" customWidth="1"/>
    <col min="12476" max="12476" width="7" customWidth="1"/>
    <col min="12477" max="12477" width="30.140625" customWidth="1"/>
    <col min="12478" max="12478" width="6.28515625" customWidth="1"/>
    <col min="12479" max="12479" width="31.42578125" customWidth="1"/>
    <col min="12480" max="12480" width="10.5703125" customWidth="1"/>
    <col min="12481" max="12481" width="10.42578125" customWidth="1"/>
    <col min="12482" max="12482" width="9.5703125" customWidth="1"/>
    <col min="12483" max="12483" width="8.42578125" customWidth="1"/>
    <col min="12484" max="12484" width="9" customWidth="1"/>
    <col min="12485" max="12485" width="10.42578125" customWidth="1"/>
    <col min="12488" max="12488" width="10.28515625" customWidth="1"/>
    <col min="12732" max="12732" width="7" customWidth="1"/>
    <col min="12733" max="12733" width="30.140625" customWidth="1"/>
    <col min="12734" max="12734" width="6.28515625" customWidth="1"/>
    <col min="12735" max="12735" width="31.42578125" customWidth="1"/>
    <col min="12736" max="12736" width="10.5703125" customWidth="1"/>
    <col min="12737" max="12737" width="10.42578125" customWidth="1"/>
    <col min="12738" max="12738" width="9.5703125" customWidth="1"/>
    <col min="12739" max="12739" width="8.42578125" customWidth="1"/>
    <col min="12740" max="12740" width="9" customWidth="1"/>
    <col min="12741" max="12741" width="10.42578125" customWidth="1"/>
    <col min="12744" max="12744" width="10.28515625" customWidth="1"/>
    <col min="12988" max="12988" width="7" customWidth="1"/>
    <col min="12989" max="12989" width="30.140625" customWidth="1"/>
    <col min="12990" max="12990" width="6.28515625" customWidth="1"/>
    <col min="12991" max="12991" width="31.42578125" customWidth="1"/>
    <col min="12992" max="12992" width="10.5703125" customWidth="1"/>
    <col min="12993" max="12993" width="10.42578125" customWidth="1"/>
    <col min="12994" max="12994" width="9.5703125" customWidth="1"/>
    <col min="12995" max="12995" width="8.42578125" customWidth="1"/>
    <col min="12996" max="12996" width="9" customWidth="1"/>
    <col min="12997" max="12997" width="10.42578125" customWidth="1"/>
    <col min="13000" max="13000" width="10.28515625" customWidth="1"/>
    <col min="13244" max="13244" width="7" customWidth="1"/>
    <col min="13245" max="13245" width="30.140625" customWidth="1"/>
    <col min="13246" max="13246" width="6.28515625" customWidth="1"/>
    <col min="13247" max="13247" width="31.42578125" customWidth="1"/>
    <col min="13248" max="13248" width="10.5703125" customWidth="1"/>
    <col min="13249" max="13249" width="10.42578125" customWidth="1"/>
    <col min="13250" max="13250" width="9.5703125" customWidth="1"/>
    <col min="13251" max="13251" width="8.42578125" customWidth="1"/>
    <col min="13252" max="13252" width="9" customWidth="1"/>
    <col min="13253" max="13253" width="10.42578125" customWidth="1"/>
    <col min="13256" max="13256" width="10.28515625" customWidth="1"/>
    <col min="13500" max="13500" width="7" customWidth="1"/>
    <col min="13501" max="13501" width="30.140625" customWidth="1"/>
    <col min="13502" max="13502" width="6.28515625" customWidth="1"/>
    <col min="13503" max="13503" width="31.42578125" customWidth="1"/>
    <col min="13504" max="13504" width="10.5703125" customWidth="1"/>
    <col min="13505" max="13505" width="10.42578125" customWidth="1"/>
    <col min="13506" max="13506" width="9.5703125" customWidth="1"/>
    <col min="13507" max="13507" width="8.42578125" customWidth="1"/>
    <col min="13508" max="13508" width="9" customWidth="1"/>
    <col min="13509" max="13509" width="10.42578125" customWidth="1"/>
    <col min="13512" max="13512" width="10.28515625" customWidth="1"/>
    <col min="13756" max="13756" width="7" customWidth="1"/>
    <col min="13757" max="13757" width="30.140625" customWidth="1"/>
    <col min="13758" max="13758" width="6.28515625" customWidth="1"/>
    <col min="13759" max="13759" width="31.42578125" customWidth="1"/>
    <col min="13760" max="13760" width="10.5703125" customWidth="1"/>
    <col min="13761" max="13761" width="10.42578125" customWidth="1"/>
    <col min="13762" max="13762" width="9.5703125" customWidth="1"/>
    <col min="13763" max="13763" width="8.42578125" customWidth="1"/>
    <col min="13764" max="13764" width="9" customWidth="1"/>
    <col min="13765" max="13765" width="10.42578125" customWidth="1"/>
    <col min="13768" max="13768" width="10.28515625" customWidth="1"/>
    <col min="14012" max="14012" width="7" customWidth="1"/>
    <col min="14013" max="14013" width="30.140625" customWidth="1"/>
    <col min="14014" max="14014" width="6.28515625" customWidth="1"/>
    <col min="14015" max="14015" width="31.42578125" customWidth="1"/>
    <col min="14016" max="14016" width="10.5703125" customWidth="1"/>
    <col min="14017" max="14017" width="10.42578125" customWidth="1"/>
    <col min="14018" max="14018" width="9.5703125" customWidth="1"/>
    <col min="14019" max="14019" width="8.42578125" customWidth="1"/>
    <col min="14020" max="14020" width="9" customWidth="1"/>
    <col min="14021" max="14021" width="10.42578125" customWidth="1"/>
    <col min="14024" max="14024" width="10.28515625" customWidth="1"/>
    <col min="14268" max="14268" width="7" customWidth="1"/>
    <col min="14269" max="14269" width="30.140625" customWidth="1"/>
    <col min="14270" max="14270" width="6.28515625" customWidth="1"/>
    <col min="14271" max="14271" width="31.42578125" customWidth="1"/>
    <col min="14272" max="14272" width="10.5703125" customWidth="1"/>
    <col min="14273" max="14273" width="10.42578125" customWidth="1"/>
    <col min="14274" max="14274" width="9.5703125" customWidth="1"/>
    <col min="14275" max="14275" width="8.42578125" customWidth="1"/>
    <col min="14276" max="14276" width="9" customWidth="1"/>
    <col min="14277" max="14277" width="10.42578125" customWidth="1"/>
    <col min="14280" max="14280" width="10.28515625" customWidth="1"/>
    <col min="14524" max="14524" width="7" customWidth="1"/>
    <col min="14525" max="14525" width="30.140625" customWidth="1"/>
    <col min="14526" max="14526" width="6.28515625" customWidth="1"/>
    <col min="14527" max="14527" width="31.42578125" customWidth="1"/>
    <col min="14528" max="14528" width="10.5703125" customWidth="1"/>
    <col min="14529" max="14529" width="10.42578125" customWidth="1"/>
    <col min="14530" max="14530" width="9.5703125" customWidth="1"/>
    <col min="14531" max="14531" width="8.42578125" customWidth="1"/>
    <col min="14532" max="14532" width="9" customWidth="1"/>
    <col min="14533" max="14533" width="10.42578125" customWidth="1"/>
    <col min="14536" max="14536" width="10.28515625" customWidth="1"/>
    <col min="14780" max="14780" width="7" customWidth="1"/>
    <col min="14781" max="14781" width="30.140625" customWidth="1"/>
    <col min="14782" max="14782" width="6.28515625" customWidth="1"/>
    <col min="14783" max="14783" width="31.42578125" customWidth="1"/>
    <col min="14784" max="14784" width="10.5703125" customWidth="1"/>
    <col min="14785" max="14785" width="10.42578125" customWidth="1"/>
    <col min="14786" max="14786" width="9.5703125" customWidth="1"/>
    <col min="14787" max="14787" width="8.42578125" customWidth="1"/>
    <col min="14788" max="14788" width="9" customWidth="1"/>
    <col min="14789" max="14789" width="10.42578125" customWidth="1"/>
    <col min="14792" max="14792" width="10.28515625" customWidth="1"/>
    <col min="15036" max="15036" width="7" customWidth="1"/>
    <col min="15037" max="15037" width="30.140625" customWidth="1"/>
    <col min="15038" max="15038" width="6.28515625" customWidth="1"/>
    <col min="15039" max="15039" width="31.42578125" customWidth="1"/>
    <col min="15040" max="15040" width="10.5703125" customWidth="1"/>
    <col min="15041" max="15041" width="10.42578125" customWidth="1"/>
    <col min="15042" max="15042" width="9.5703125" customWidth="1"/>
    <col min="15043" max="15043" width="8.42578125" customWidth="1"/>
    <col min="15044" max="15044" width="9" customWidth="1"/>
    <col min="15045" max="15045" width="10.42578125" customWidth="1"/>
    <col min="15048" max="15048" width="10.28515625" customWidth="1"/>
    <col min="15292" max="15292" width="7" customWidth="1"/>
    <col min="15293" max="15293" width="30.140625" customWidth="1"/>
    <col min="15294" max="15294" width="6.28515625" customWidth="1"/>
    <col min="15295" max="15295" width="31.42578125" customWidth="1"/>
    <col min="15296" max="15296" width="10.5703125" customWidth="1"/>
    <col min="15297" max="15297" width="10.42578125" customWidth="1"/>
    <col min="15298" max="15298" width="9.5703125" customWidth="1"/>
    <col min="15299" max="15299" width="8.42578125" customWidth="1"/>
    <col min="15300" max="15300" width="9" customWidth="1"/>
    <col min="15301" max="15301" width="10.42578125" customWidth="1"/>
    <col min="15304" max="15304" width="10.28515625" customWidth="1"/>
    <col min="15548" max="15548" width="7" customWidth="1"/>
    <col min="15549" max="15549" width="30.140625" customWidth="1"/>
    <col min="15550" max="15550" width="6.28515625" customWidth="1"/>
    <col min="15551" max="15551" width="31.42578125" customWidth="1"/>
    <col min="15552" max="15552" width="10.5703125" customWidth="1"/>
    <col min="15553" max="15553" width="10.42578125" customWidth="1"/>
    <col min="15554" max="15554" width="9.5703125" customWidth="1"/>
    <col min="15555" max="15555" width="8.42578125" customWidth="1"/>
    <col min="15556" max="15556" width="9" customWidth="1"/>
    <col min="15557" max="15557" width="10.42578125" customWidth="1"/>
    <col min="15560" max="15560" width="10.28515625" customWidth="1"/>
    <col min="15804" max="15804" width="7" customWidth="1"/>
    <col min="15805" max="15805" width="30.140625" customWidth="1"/>
    <col min="15806" max="15806" width="6.28515625" customWidth="1"/>
    <col min="15807" max="15807" width="31.42578125" customWidth="1"/>
    <col min="15808" max="15808" width="10.5703125" customWidth="1"/>
    <col min="15809" max="15809" width="10.42578125" customWidth="1"/>
    <col min="15810" max="15810" width="9.5703125" customWidth="1"/>
    <col min="15811" max="15811" width="8.42578125" customWidth="1"/>
    <col min="15812" max="15812" width="9" customWidth="1"/>
    <col min="15813" max="15813" width="10.42578125" customWidth="1"/>
    <col min="15816" max="15816" width="10.28515625" customWidth="1"/>
    <col min="16060" max="16060" width="7" customWidth="1"/>
    <col min="16061" max="16061" width="30.140625" customWidth="1"/>
    <col min="16062" max="16062" width="6.28515625" customWidth="1"/>
    <col min="16063" max="16063" width="31.42578125" customWidth="1"/>
    <col min="16064" max="16064" width="10.5703125" customWidth="1"/>
    <col min="16065" max="16065" width="10.42578125" customWidth="1"/>
    <col min="16066" max="16066" width="9.5703125" customWidth="1"/>
    <col min="16067" max="16067" width="8.42578125" customWidth="1"/>
    <col min="16068" max="16068" width="9" customWidth="1"/>
    <col min="16069" max="16069" width="10.42578125" customWidth="1"/>
    <col min="16072" max="16072" width="10.2851562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45" t="s">
        <v>791</v>
      </c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45" t="s">
        <v>4</v>
      </c>
      <c r="B3" s="1045"/>
      <c r="C3" s="1045"/>
      <c r="D3" s="1045"/>
      <c r="E3" s="1045"/>
      <c r="F3" s="90"/>
      <c r="G3" s="90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X4" s="903" t="s">
        <v>855</v>
      </c>
      <c r="AU4" s="506"/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52"/>
      <c r="X5" s="903" t="s">
        <v>856</v>
      </c>
      <c r="AU5" s="506"/>
      <c r="AV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90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9.5" customHeight="1" thickBot="1" x14ac:dyDescent="0.3">
      <c r="A7" s="89"/>
      <c r="B7" s="6"/>
      <c r="D7" s="10"/>
      <c r="E7" s="6"/>
      <c r="F7" s="90"/>
      <c r="G7" s="90"/>
      <c r="H7" s="90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37.5" customHeight="1" x14ac:dyDescent="0.25">
      <c r="A8" s="117"/>
      <c r="B8" s="91"/>
      <c r="C8" s="91"/>
      <c r="D8" s="91"/>
      <c r="E8" s="91"/>
      <c r="F8" s="91"/>
      <c r="G8" s="91"/>
      <c r="H8" s="91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2" t="s">
        <v>851</v>
      </c>
      <c r="BB8" s="1083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4.75" customHeight="1" thickBot="1" x14ac:dyDescent="0.25">
      <c r="A9" s="12" t="s">
        <v>770</v>
      </c>
      <c r="D9" s="12"/>
      <c r="F9" s="59"/>
      <c r="G9" s="60"/>
      <c r="H9" s="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763" t="s">
        <v>805</v>
      </c>
      <c r="BB9" s="763" t="s">
        <v>806</v>
      </c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25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122" customFormat="1" ht="11.25" customHeight="1" thickBot="1" x14ac:dyDescent="0.25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247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604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37" t="s">
        <v>815</v>
      </c>
      <c r="AC11" s="137" t="s">
        <v>816</v>
      </c>
      <c r="AD11" s="137" t="s">
        <v>815</v>
      </c>
      <c r="AE11" s="137" t="s">
        <v>816</v>
      </c>
      <c r="AF11" s="137" t="s">
        <v>824</v>
      </c>
      <c r="AG11" s="137" t="s">
        <v>817</v>
      </c>
      <c r="AH11" s="137" t="s">
        <v>818</v>
      </c>
      <c r="AI11" s="137" t="s">
        <v>817</v>
      </c>
      <c r="AJ11" s="137" t="s">
        <v>817</v>
      </c>
      <c r="AK11" s="137" t="s">
        <v>818</v>
      </c>
      <c r="AL11" s="137" t="s">
        <v>817</v>
      </c>
      <c r="AM11" s="137" t="s">
        <v>818</v>
      </c>
      <c r="AN11" s="137" t="s">
        <v>825</v>
      </c>
      <c r="AO11" s="604" t="s">
        <v>819</v>
      </c>
      <c r="AP11" s="604" t="s">
        <v>820</v>
      </c>
      <c r="AQ11" s="137" t="s">
        <v>821</v>
      </c>
      <c r="AR11" s="137" t="s">
        <v>282</v>
      </c>
      <c r="AS11" s="137" t="s">
        <v>283</v>
      </c>
      <c r="AT11" s="137" t="s">
        <v>284</v>
      </c>
      <c r="AU11" s="137" t="s">
        <v>284</v>
      </c>
      <c r="AV11" s="137" t="s">
        <v>284</v>
      </c>
      <c r="AW11" s="137" t="s">
        <v>289</v>
      </c>
      <c r="AX11" s="503" t="s">
        <v>285</v>
      </c>
      <c r="AY11" s="187" t="s">
        <v>286</v>
      </c>
      <c r="AZ11" s="187" t="s">
        <v>285</v>
      </c>
      <c r="BA11" s="187" t="s">
        <v>285</v>
      </c>
      <c r="BB11" s="187" t="s">
        <v>286</v>
      </c>
      <c r="BC11" s="187" t="s">
        <v>285</v>
      </c>
      <c r="BD11" s="187" t="s">
        <v>285</v>
      </c>
      <c r="BE11" s="187" t="s">
        <v>286</v>
      </c>
      <c r="BF11" s="187" t="s">
        <v>285</v>
      </c>
      <c r="BG11" s="187" t="s">
        <v>286</v>
      </c>
      <c r="BH11" s="934" t="s">
        <v>287</v>
      </c>
      <c r="BI11" s="136" t="s">
        <v>262</v>
      </c>
      <c r="BJ11" s="137" t="s">
        <v>263</v>
      </c>
      <c r="BK11" s="137" t="s">
        <v>801</v>
      </c>
      <c r="BL11" s="137" t="s">
        <v>802</v>
      </c>
      <c r="BM11" s="137" t="s">
        <v>269</v>
      </c>
      <c r="BN11" s="137" t="s">
        <v>803</v>
      </c>
      <c r="BO11" s="137" t="s">
        <v>804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532</v>
      </c>
      <c r="BU11" s="188" t="s">
        <v>533</v>
      </c>
      <c r="BV11" s="705" t="s">
        <v>843</v>
      </c>
      <c r="BW11" s="663" t="s">
        <v>837</v>
      </c>
      <c r="BX11" s="663" t="s">
        <v>838</v>
      </c>
      <c r="BY11" s="663" t="s">
        <v>844</v>
      </c>
      <c r="BZ11" s="663" t="s">
        <v>845</v>
      </c>
      <c r="CA11" s="709" t="s">
        <v>839</v>
      </c>
    </row>
    <row r="12" spans="1:79" ht="14.1" customHeight="1" x14ac:dyDescent="0.2">
      <c r="A12" s="230">
        <v>1</v>
      </c>
      <c r="B12" s="231">
        <v>3440</v>
      </c>
      <c r="C12" s="231">
        <v>600078078</v>
      </c>
      <c r="D12" s="231">
        <v>72743441</v>
      </c>
      <c r="E12" s="232" t="s">
        <v>86</v>
      </c>
      <c r="F12" s="231">
        <v>3111</v>
      </c>
      <c r="G12" s="233" t="s">
        <v>290</v>
      </c>
      <c r="H12" s="611" t="s">
        <v>271</v>
      </c>
      <c r="I12" s="946">
        <v>11108796</v>
      </c>
      <c r="J12" s="566">
        <v>8034307</v>
      </c>
      <c r="K12" s="566">
        <v>7228587</v>
      </c>
      <c r="L12" s="566">
        <v>805720</v>
      </c>
      <c r="M12" s="566">
        <v>180000</v>
      </c>
      <c r="N12" s="566">
        <v>150000</v>
      </c>
      <c r="O12" s="566">
        <v>30000</v>
      </c>
      <c r="P12" s="627">
        <v>2776436</v>
      </c>
      <c r="Q12" s="627">
        <v>80343</v>
      </c>
      <c r="R12" s="566">
        <v>37710</v>
      </c>
      <c r="S12" s="542">
        <v>15.226900000000001</v>
      </c>
      <c r="T12" s="545">
        <v>12.4</v>
      </c>
      <c r="U12" s="765">
        <v>2.8268999999999997</v>
      </c>
      <c r="V12" s="879">
        <f t="shared" ref="V12:W14" si="0">AG12*-1</f>
        <v>0</v>
      </c>
      <c r="W12" s="880">
        <f t="shared" si="0"/>
        <v>0</v>
      </c>
      <c r="X12" s="880">
        <v>0</v>
      </c>
      <c r="Y12" s="880">
        <v>0</v>
      </c>
      <c r="Z12" s="880">
        <v>0</v>
      </c>
      <c r="AA12" s="566">
        <v>0</v>
      </c>
      <c r="AB12" s="880">
        <v>0</v>
      </c>
      <c r="AC12" s="880">
        <v>0</v>
      </c>
      <c r="AD12" s="880">
        <f>V12+X12+Y12+Z12+AB12</f>
        <v>0</v>
      </c>
      <c r="AE12" s="880">
        <f>W12+AA12+AC12</f>
        <v>0</v>
      </c>
      <c r="AF12" s="880">
        <f>SUM(AD12:AE12)</f>
        <v>0</v>
      </c>
      <c r="AG12" s="880">
        <v>0</v>
      </c>
      <c r="AH12" s="880">
        <v>0</v>
      </c>
      <c r="AI12" s="880">
        <v>0</v>
      </c>
      <c r="AJ12" s="880">
        <v>0</v>
      </c>
      <c r="AK12" s="880">
        <v>0</v>
      </c>
      <c r="AL12" s="880">
        <f>AG12+AI12+AJ12</f>
        <v>0</v>
      </c>
      <c r="AM12" s="880">
        <f>AH12+AK12</f>
        <v>0</v>
      </c>
      <c r="AN12" s="880">
        <f>SUM(AL12:AM12)</f>
        <v>0</v>
      </c>
      <c r="AO12" s="880">
        <f t="shared" ref="AO12:AP14" si="1">AD12+AL12</f>
        <v>0</v>
      </c>
      <c r="AP12" s="880">
        <f t="shared" si="1"/>
        <v>0</v>
      </c>
      <c r="AQ12" s="880">
        <f>SUM(AO12:AP12)</f>
        <v>0</v>
      </c>
      <c r="AR12" s="627">
        <f>ROUND((AF12+AG12+AH12+AI12)*33.8%,0)</f>
        <v>0</v>
      </c>
      <c r="AS12" s="627">
        <f>ROUND(AF12*1%,0)</f>
        <v>0</v>
      </c>
      <c r="AT12" s="880">
        <v>0</v>
      </c>
      <c r="AU12" s="566">
        <v>0</v>
      </c>
      <c r="AV12" s="880">
        <f>AT12+AU12</f>
        <v>0</v>
      </c>
      <c r="AW12" s="880">
        <f>AQ12+AR12+AS12+AV12</f>
        <v>0</v>
      </c>
      <c r="AX12" s="883">
        <v>0</v>
      </c>
      <c r="AY12" s="883">
        <v>0</v>
      </c>
      <c r="AZ12" s="883">
        <v>0</v>
      </c>
      <c r="BA12" s="883">
        <v>0</v>
      </c>
      <c r="BB12" s="542">
        <v>0</v>
      </c>
      <c r="BC12" s="936">
        <v>0</v>
      </c>
      <c r="BD12" s="883">
        <v>0</v>
      </c>
      <c r="BE12" s="883">
        <v>0</v>
      </c>
      <c r="BF12" s="883">
        <f>AX12+AZ12+BA12+BC12+BD12</f>
        <v>0</v>
      </c>
      <c r="BG12" s="883">
        <f>AY12+BB12+BE12</f>
        <v>0</v>
      </c>
      <c r="BH12" s="937">
        <f>SUM(BF12:BG12)</f>
        <v>0</v>
      </c>
      <c r="BI12" s="882">
        <f>I12+AW12</f>
        <v>11108796</v>
      </c>
      <c r="BJ12" s="880">
        <f>J12+AF12</f>
        <v>8034307</v>
      </c>
      <c r="BK12" s="880">
        <f t="shared" ref="BK12:BL14" si="2">K12+AD12</f>
        <v>7228587</v>
      </c>
      <c r="BL12" s="880">
        <f t="shared" si="2"/>
        <v>805720</v>
      </c>
      <c r="BM12" s="880">
        <f>M12+AN12</f>
        <v>180000</v>
      </c>
      <c r="BN12" s="880">
        <f t="shared" ref="BN12:BO14" si="3">N12+AL12</f>
        <v>150000</v>
      </c>
      <c r="BO12" s="880">
        <f t="shared" si="3"/>
        <v>30000</v>
      </c>
      <c r="BP12" s="880">
        <f t="shared" ref="BP12:BQ14" si="4">P12+AR12</f>
        <v>2776436</v>
      </c>
      <c r="BQ12" s="880">
        <f t="shared" si="4"/>
        <v>80343</v>
      </c>
      <c r="BR12" s="880">
        <f>R12+AV12</f>
        <v>37710</v>
      </c>
      <c r="BS12" s="883">
        <f>S12+BH12</f>
        <v>15.226900000000001</v>
      </c>
      <c r="BT12" s="883">
        <f t="shared" ref="BT12:BU14" si="5">T12+BF12</f>
        <v>12.4</v>
      </c>
      <c r="BU12" s="937">
        <f t="shared" si="5"/>
        <v>2.8268999999999997</v>
      </c>
      <c r="BV12" s="406"/>
      <c r="BW12" s="407"/>
      <c r="BX12" s="407"/>
      <c r="BY12" s="407"/>
      <c r="BZ12" s="407"/>
      <c r="CA12" s="495"/>
    </row>
    <row r="13" spans="1:79" x14ac:dyDescent="0.2">
      <c r="A13" s="205">
        <v>1</v>
      </c>
      <c r="B13" s="206">
        <v>3440</v>
      </c>
      <c r="C13" s="206">
        <v>600078078</v>
      </c>
      <c r="D13" s="206">
        <v>72743441</v>
      </c>
      <c r="E13" s="204" t="s">
        <v>86</v>
      </c>
      <c r="F13" s="206">
        <v>3111</v>
      </c>
      <c r="G13" s="207" t="s">
        <v>291</v>
      </c>
      <c r="H13" s="612" t="s">
        <v>272</v>
      </c>
      <c r="I13" s="420">
        <v>1188282</v>
      </c>
      <c r="J13" s="566">
        <v>881515</v>
      </c>
      <c r="K13" s="566">
        <v>881515</v>
      </c>
      <c r="L13" s="566">
        <v>0</v>
      </c>
      <c r="M13" s="566">
        <v>0</v>
      </c>
      <c r="N13" s="566">
        <v>0</v>
      </c>
      <c r="O13" s="566">
        <v>0</v>
      </c>
      <c r="P13" s="68">
        <v>297952</v>
      </c>
      <c r="Q13" s="68">
        <v>8815</v>
      </c>
      <c r="R13" s="566">
        <v>0</v>
      </c>
      <c r="S13" s="542">
        <v>2.38</v>
      </c>
      <c r="T13" s="545">
        <v>2.38</v>
      </c>
      <c r="U13" s="765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5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418">
        <f>SUM(AD13:AE13)</f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5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6">
        <v>0</v>
      </c>
      <c r="BC13" s="93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421">
        <f>SUM(BF13:BG13)</f>
        <v>0</v>
      </c>
      <c r="BI13" s="780">
        <f>I13+AW13</f>
        <v>1188282</v>
      </c>
      <c r="BJ13" s="418">
        <f>J13+AF13</f>
        <v>881515</v>
      </c>
      <c r="BK13" s="418">
        <f t="shared" si="2"/>
        <v>881515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297952</v>
      </c>
      <c r="BQ13" s="418">
        <f t="shared" si="4"/>
        <v>8815</v>
      </c>
      <c r="BR13" s="418">
        <f>R13+AV13</f>
        <v>0</v>
      </c>
      <c r="BS13" s="419">
        <f>S13+BH13</f>
        <v>2.38</v>
      </c>
      <c r="BT13" s="419">
        <f t="shared" si="5"/>
        <v>2.38</v>
      </c>
      <c r="BU13" s="421">
        <f t="shared" si="5"/>
        <v>0</v>
      </c>
      <c r="BV13" s="420"/>
      <c r="BW13" s="415"/>
      <c r="BX13" s="415"/>
      <c r="BY13" s="415"/>
      <c r="BZ13" s="415"/>
      <c r="CA13" s="510"/>
    </row>
    <row r="14" spans="1:79" x14ac:dyDescent="0.2">
      <c r="A14" s="205">
        <v>1</v>
      </c>
      <c r="B14" s="206">
        <v>3440</v>
      </c>
      <c r="C14" s="206">
        <v>600078078</v>
      </c>
      <c r="D14" s="206">
        <v>72743441</v>
      </c>
      <c r="E14" s="204" t="s">
        <v>86</v>
      </c>
      <c r="F14" s="206">
        <v>3141</v>
      </c>
      <c r="G14" s="207" t="s">
        <v>294</v>
      </c>
      <c r="H14" s="612" t="s">
        <v>272</v>
      </c>
      <c r="I14" s="420">
        <v>1238930</v>
      </c>
      <c r="J14" s="415">
        <v>855936</v>
      </c>
      <c r="K14" s="415">
        <v>0</v>
      </c>
      <c r="L14" s="415">
        <v>855936</v>
      </c>
      <c r="M14" s="415">
        <v>60000</v>
      </c>
      <c r="N14" s="415">
        <v>0</v>
      </c>
      <c r="O14" s="415">
        <v>60000</v>
      </c>
      <c r="P14" s="68">
        <v>309586</v>
      </c>
      <c r="Q14" s="68">
        <v>8559</v>
      </c>
      <c r="R14" s="415">
        <v>4849</v>
      </c>
      <c r="S14" s="416">
        <v>2.62</v>
      </c>
      <c r="T14" s="417">
        <v>0</v>
      </c>
      <c r="U14" s="423">
        <v>2.62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5">
        <v>458699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458699</v>
      </c>
      <c r="AF14" s="418">
        <f>SUM(AD14:AE14)</f>
        <v>458699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458699</v>
      </c>
      <c r="AQ14" s="418">
        <f>SUM(AO14:AP14)</f>
        <v>458699</v>
      </c>
      <c r="AR14" s="68">
        <f>ROUND((AF14+AG14+AH14+AI14)*33.8%,0)</f>
        <v>155040</v>
      </c>
      <c r="AS14" s="68">
        <f>ROUND(AF14*1%,0)</f>
        <v>4587</v>
      </c>
      <c r="AT14" s="418">
        <v>0</v>
      </c>
      <c r="AU14" s="415">
        <v>2347</v>
      </c>
      <c r="AV14" s="418">
        <f>AT14+AU14</f>
        <v>2347</v>
      </c>
      <c r="AW14" s="418">
        <f>AQ14+AR14+AS14+AV14</f>
        <v>620673</v>
      </c>
      <c r="AX14" s="419">
        <v>0</v>
      </c>
      <c r="AY14" s="419">
        <v>0</v>
      </c>
      <c r="AZ14" s="419">
        <v>0</v>
      </c>
      <c r="BA14" s="419">
        <v>0</v>
      </c>
      <c r="BB14" s="416">
        <v>1.37</v>
      </c>
      <c r="BC14" s="93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1.37</v>
      </c>
      <c r="BH14" s="421">
        <f>SUM(BF14:BG14)</f>
        <v>1.37</v>
      </c>
      <c r="BI14" s="780">
        <f>I14+AW14</f>
        <v>1859603</v>
      </c>
      <c r="BJ14" s="418">
        <f>J14+AF14</f>
        <v>1314635</v>
      </c>
      <c r="BK14" s="418">
        <f t="shared" si="2"/>
        <v>0</v>
      </c>
      <c r="BL14" s="418">
        <f t="shared" si="2"/>
        <v>1314635</v>
      </c>
      <c r="BM14" s="418">
        <f>M14+AN14</f>
        <v>60000</v>
      </c>
      <c r="BN14" s="418">
        <f t="shared" si="3"/>
        <v>0</v>
      </c>
      <c r="BO14" s="418">
        <f t="shared" si="3"/>
        <v>60000</v>
      </c>
      <c r="BP14" s="418">
        <f t="shared" si="4"/>
        <v>464626</v>
      </c>
      <c r="BQ14" s="418">
        <f t="shared" si="4"/>
        <v>13146</v>
      </c>
      <c r="BR14" s="418">
        <f>R14+AV14</f>
        <v>7196</v>
      </c>
      <c r="BS14" s="419">
        <f>S14+BH14</f>
        <v>3.99</v>
      </c>
      <c r="BT14" s="419">
        <f t="shared" si="5"/>
        <v>0</v>
      </c>
      <c r="BU14" s="421">
        <f t="shared" si="5"/>
        <v>3.99</v>
      </c>
      <c r="BV14" s="420"/>
      <c r="BW14" s="415"/>
      <c r="BX14" s="415"/>
      <c r="BY14" s="415"/>
      <c r="BZ14" s="415"/>
      <c r="CA14" s="510"/>
    </row>
    <row r="15" spans="1:79" x14ac:dyDescent="0.2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13"/>
      <c r="I15" s="447">
        <v>13536008</v>
      </c>
      <c r="J15" s="443">
        <v>9771758</v>
      </c>
      <c r="K15" s="443">
        <v>8110102</v>
      </c>
      <c r="L15" s="443">
        <v>1661656</v>
      </c>
      <c r="M15" s="443">
        <v>240000</v>
      </c>
      <c r="N15" s="443">
        <v>150000</v>
      </c>
      <c r="O15" s="443">
        <v>90000</v>
      </c>
      <c r="P15" s="443">
        <v>3383974</v>
      </c>
      <c r="Q15" s="443">
        <v>97717</v>
      </c>
      <c r="R15" s="443">
        <v>42559</v>
      </c>
      <c r="S15" s="444">
        <v>20.226900000000001</v>
      </c>
      <c r="T15" s="444">
        <v>14.780000000000001</v>
      </c>
      <c r="U15" s="449">
        <v>5.4468999999999994</v>
      </c>
      <c r="V15" s="447">
        <f t="shared" ref="V15:CA15" si="6">SUM(V12:V14)</f>
        <v>0</v>
      </c>
      <c r="W15" s="443">
        <f t="shared" si="6"/>
        <v>0</v>
      </c>
      <c r="X15" s="443">
        <f t="shared" si="6"/>
        <v>0</v>
      </c>
      <c r="Y15" s="443">
        <f t="shared" si="6"/>
        <v>0</v>
      </c>
      <c r="Z15" s="443">
        <f t="shared" si="6"/>
        <v>0</v>
      </c>
      <c r="AA15" s="443">
        <f t="shared" si="6"/>
        <v>458699</v>
      </c>
      <c r="AB15" s="443">
        <f t="shared" si="6"/>
        <v>0</v>
      </c>
      <c r="AC15" s="443">
        <f t="shared" si="6"/>
        <v>0</v>
      </c>
      <c r="AD15" s="443">
        <f t="shared" si="6"/>
        <v>0</v>
      </c>
      <c r="AE15" s="443">
        <f t="shared" si="6"/>
        <v>458699</v>
      </c>
      <c r="AF15" s="443">
        <f t="shared" si="6"/>
        <v>458699</v>
      </c>
      <c r="AG15" s="443">
        <f t="shared" si="6"/>
        <v>0</v>
      </c>
      <c r="AH15" s="443">
        <f t="shared" si="6"/>
        <v>0</v>
      </c>
      <c r="AI15" s="443">
        <f t="shared" si="6"/>
        <v>0</v>
      </c>
      <c r="AJ15" s="443">
        <f t="shared" si="6"/>
        <v>0</v>
      </c>
      <c r="AK15" s="443">
        <f t="shared" si="6"/>
        <v>0</v>
      </c>
      <c r="AL15" s="443">
        <f t="shared" si="6"/>
        <v>0</v>
      </c>
      <c r="AM15" s="443">
        <f t="shared" si="6"/>
        <v>0</v>
      </c>
      <c r="AN15" s="443">
        <f t="shared" si="6"/>
        <v>0</v>
      </c>
      <c r="AO15" s="443">
        <f t="shared" si="6"/>
        <v>0</v>
      </c>
      <c r="AP15" s="443">
        <f t="shared" si="6"/>
        <v>458699</v>
      </c>
      <c r="AQ15" s="443">
        <f t="shared" si="6"/>
        <v>458699</v>
      </c>
      <c r="AR15" s="443">
        <f t="shared" si="6"/>
        <v>155040</v>
      </c>
      <c r="AS15" s="443">
        <f t="shared" si="6"/>
        <v>4587</v>
      </c>
      <c r="AT15" s="443">
        <f t="shared" si="6"/>
        <v>0</v>
      </c>
      <c r="AU15" s="443">
        <f t="shared" si="6"/>
        <v>2347</v>
      </c>
      <c r="AV15" s="443">
        <f t="shared" si="6"/>
        <v>2347</v>
      </c>
      <c r="AW15" s="443">
        <f t="shared" si="6"/>
        <v>620673</v>
      </c>
      <c r="AX15" s="444">
        <f t="shared" si="6"/>
        <v>0</v>
      </c>
      <c r="AY15" s="444">
        <f t="shared" si="6"/>
        <v>0</v>
      </c>
      <c r="AZ15" s="444">
        <f t="shared" si="6"/>
        <v>0</v>
      </c>
      <c r="BA15" s="444">
        <f t="shared" si="6"/>
        <v>0</v>
      </c>
      <c r="BB15" s="444">
        <f t="shared" si="6"/>
        <v>1.37</v>
      </c>
      <c r="BC15" s="947">
        <f t="shared" si="6"/>
        <v>0</v>
      </c>
      <c r="BD15" s="444">
        <f t="shared" si="6"/>
        <v>0</v>
      </c>
      <c r="BE15" s="444">
        <f t="shared" si="6"/>
        <v>0</v>
      </c>
      <c r="BF15" s="444">
        <f t="shared" si="6"/>
        <v>0</v>
      </c>
      <c r="BG15" s="444">
        <f t="shared" si="6"/>
        <v>1.37</v>
      </c>
      <c r="BH15" s="40">
        <f t="shared" si="6"/>
        <v>1.37</v>
      </c>
      <c r="BI15" s="451">
        <f t="shared" si="6"/>
        <v>14156681</v>
      </c>
      <c r="BJ15" s="443">
        <f t="shared" si="6"/>
        <v>10230457</v>
      </c>
      <c r="BK15" s="443">
        <f t="shared" si="6"/>
        <v>8110102</v>
      </c>
      <c r="BL15" s="443">
        <f t="shared" si="6"/>
        <v>2120355</v>
      </c>
      <c r="BM15" s="443">
        <f t="shared" si="6"/>
        <v>240000</v>
      </c>
      <c r="BN15" s="443">
        <f t="shared" si="6"/>
        <v>150000</v>
      </c>
      <c r="BO15" s="443">
        <f t="shared" si="6"/>
        <v>90000</v>
      </c>
      <c r="BP15" s="443">
        <f t="shared" si="6"/>
        <v>3539014</v>
      </c>
      <c r="BQ15" s="443">
        <f t="shared" si="6"/>
        <v>102304</v>
      </c>
      <c r="BR15" s="443">
        <f t="shared" si="6"/>
        <v>44906</v>
      </c>
      <c r="BS15" s="444">
        <f t="shared" si="6"/>
        <v>21.596899999999998</v>
      </c>
      <c r="BT15" s="444">
        <f t="shared" si="6"/>
        <v>14.780000000000001</v>
      </c>
      <c r="BU15" s="40">
        <f t="shared" si="6"/>
        <v>6.8169000000000004</v>
      </c>
      <c r="BV15" s="831">
        <f t="shared" si="6"/>
        <v>0</v>
      </c>
      <c r="BW15" s="714">
        <f t="shared" si="6"/>
        <v>0</v>
      </c>
      <c r="BX15" s="714">
        <f t="shared" si="6"/>
        <v>0</v>
      </c>
      <c r="BY15" s="714">
        <f t="shared" si="6"/>
        <v>0</v>
      </c>
      <c r="BZ15" s="714">
        <f t="shared" si="6"/>
        <v>0</v>
      </c>
      <c r="CA15" s="832">
        <f t="shared" si="6"/>
        <v>0</v>
      </c>
    </row>
    <row r="16" spans="1:79" x14ac:dyDescent="0.2">
      <c r="A16" s="205">
        <v>2</v>
      </c>
      <c r="B16" s="206">
        <v>3458</v>
      </c>
      <c r="C16" s="206">
        <v>600029069</v>
      </c>
      <c r="D16" s="206">
        <v>75121557</v>
      </c>
      <c r="E16" s="204" t="s">
        <v>88</v>
      </c>
      <c r="F16" s="206">
        <v>3233</v>
      </c>
      <c r="G16" s="207" t="s">
        <v>297</v>
      </c>
      <c r="H16" s="612" t="s">
        <v>272</v>
      </c>
      <c r="I16" s="420">
        <v>2726633</v>
      </c>
      <c r="J16" s="415">
        <v>2021200</v>
      </c>
      <c r="K16" s="415">
        <v>1701044</v>
      </c>
      <c r="L16" s="415">
        <v>320156</v>
      </c>
      <c r="M16" s="415">
        <v>0</v>
      </c>
      <c r="N16" s="415">
        <v>0</v>
      </c>
      <c r="O16" s="415">
        <v>0</v>
      </c>
      <c r="P16" s="68">
        <v>683166</v>
      </c>
      <c r="Q16" s="68">
        <v>20212</v>
      </c>
      <c r="R16" s="415">
        <v>2055</v>
      </c>
      <c r="S16" s="416">
        <v>4.1100000000000003</v>
      </c>
      <c r="T16" s="417">
        <v>3.08</v>
      </c>
      <c r="U16" s="423">
        <v>1.03</v>
      </c>
      <c r="V16" s="424">
        <f>AG16*-1</f>
        <v>0</v>
      </c>
      <c r="W16" s="418">
        <f>AH16*-1</f>
        <v>0</v>
      </c>
      <c r="X16" s="418">
        <v>0</v>
      </c>
      <c r="Y16" s="418">
        <v>0</v>
      </c>
      <c r="Z16" s="418">
        <v>0</v>
      </c>
      <c r="AA16" s="606">
        <v>160058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160058</v>
      </c>
      <c r="AF16" s="418">
        <f>SUM(AD16:AE16)</f>
        <v>160058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>AD16+AL16</f>
        <v>0</v>
      </c>
      <c r="AP16" s="418">
        <f>AE16+AM16</f>
        <v>160058</v>
      </c>
      <c r="AQ16" s="418">
        <f>SUM(AO16:AP16)</f>
        <v>160058</v>
      </c>
      <c r="AR16" s="68">
        <f>ROUND((AF16+AG16+AH16+AI16)*33.8%,0)</f>
        <v>54100</v>
      </c>
      <c r="AS16" s="68">
        <f>ROUND(AF16*1%,0)</f>
        <v>1601</v>
      </c>
      <c r="AT16" s="418">
        <v>0</v>
      </c>
      <c r="AU16" s="898">
        <v>822</v>
      </c>
      <c r="AV16" s="418">
        <f>AT16+AU16</f>
        <v>822</v>
      </c>
      <c r="AW16" s="418">
        <f>AQ16+AR16+AS16+AV16</f>
        <v>216581</v>
      </c>
      <c r="AX16" s="419">
        <v>0</v>
      </c>
      <c r="AY16" s="419">
        <v>0</v>
      </c>
      <c r="AZ16" s="419">
        <v>0</v>
      </c>
      <c r="BA16" s="419">
        <v>0</v>
      </c>
      <c r="BB16" s="609">
        <v>0.52</v>
      </c>
      <c r="BC16" s="93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0.52</v>
      </c>
      <c r="BH16" s="421">
        <f>SUM(BF16:BG16)</f>
        <v>0.52</v>
      </c>
      <c r="BI16" s="780">
        <f>I16+AW16</f>
        <v>2943214</v>
      </c>
      <c r="BJ16" s="418">
        <f>J16+AF16</f>
        <v>2181258</v>
      </c>
      <c r="BK16" s="418">
        <f>K16+AD16</f>
        <v>1701044</v>
      </c>
      <c r="BL16" s="418">
        <f>L16+AE16</f>
        <v>480214</v>
      </c>
      <c r="BM16" s="418">
        <f>M16+AN16</f>
        <v>0</v>
      </c>
      <c r="BN16" s="418">
        <f>N16+AL16</f>
        <v>0</v>
      </c>
      <c r="BO16" s="418">
        <f>O16+AM16</f>
        <v>0</v>
      </c>
      <c r="BP16" s="418">
        <f>P16+AR16</f>
        <v>737266</v>
      </c>
      <c r="BQ16" s="418">
        <f>Q16+AS16</f>
        <v>21813</v>
      </c>
      <c r="BR16" s="418">
        <f>R16+AV16</f>
        <v>2877</v>
      </c>
      <c r="BS16" s="419">
        <f>S16+BH16</f>
        <v>4.6300000000000008</v>
      </c>
      <c r="BT16" s="419">
        <f>T16+BF16</f>
        <v>3.08</v>
      </c>
      <c r="BU16" s="421">
        <f>U16+BG16</f>
        <v>1.55</v>
      </c>
      <c r="BV16" s="420"/>
      <c r="BW16" s="415"/>
      <c r="BX16" s="415"/>
      <c r="BY16" s="415"/>
      <c r="BZ16" s="415"/>
      <c r="CA16" s="510"/>
    </row>
    <row r="17" spans="1:79" x14ac:dyDescent="0.2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13"/>
      <c r="I17" s="447">
        <v>2726633</v>
      </c>
      <c r="J17" s="443">
        <v>2021200</v>
      </c>
      <c r="K17" s="443">
        <v>1701044</v>
      </c>
      <c r="L17" s="443">
        <v>320156</v>
      </c>
      <c r="M17" s="443">
        <v>0</v>
      </c>
      <c r="N17" s="443">
        <v>0</v>
      </c>
      <c r="O17" s="443">
        <v>0</v>
      </c>
      <c r="P17" s="443">
        <v>683166</v>
      </c>
      <c r="Q17" s="443">
        <v>20212</v>
      </c>
      <c r="R17" s="443">
        <v>2055</v>
      </c>
      <c r="S17" s="444">
        <v>4.1100000000000003</v>
      </c>
      <c r="T17" s="444">
        <v>3.08</v>
      </c>
      <c r="U17" s="449">
        <v>1.03</v>
      </c>
      <c r="V17" s="447">
        <f t="shared" ref="V17:CA17" si="7">SUM(V16)</f>
        <v>0</v>
      </c>
      <c r="W17" s="443">
        <f t="shared" si="7"/>
        <v>0</v>
      </c>
      <c r="X17" s="443">
        <f t="shared" si="7"/>
        <v>0</v>
      </c>
      <c r="Y17" s="443">
        <f t="shared" si="7"/>
        <v>0</v>
      </c>
      <c r="Z17" s="443">
        <f t="shared" si="7"/>
        <v>0</v>
      </c>
      <c r="AA17" s="443">
        <f t="shared" si="7"/>
        <v>160058</v>
      </c>
      <c r="AB17" s="443">
        <f t="shared" si="7"/>
        <v>0</v>
      </c>
      <c r="AC17" s="443">
        <f t="shared" si="7"/>
        <v>0</v>
      </c>
      <c r="AD17" s="443">
        <f t="shared" si="7"/>
        <v>0</v>
      </c>
      <c r="AE17" s="443">
        <f t="shared" si="7"/>
        <v>160058</v>
      </c>
      <c r="AF17" s="443">
        <f t="shared" si="7"/>
        <v>160058</v>
      </c>
      <c r="AG17" s="443">
        <f t="shared" si="7"/>
        <v>0</v>
      </c>
      <c r="AH17" s="443">
        <f t="shared" si="7"/>
        <v>0</v>
      </c>
      <c r="AI17" s="443">
        <f t="shared" si="7"/>
        <v>0</v>
      </c>
      <c r="AJ17" s="443">
        <f t="shared" si="7"/>
        <v>0</v>
      </c>
      <c r="AK17" s="443">
        <f t="shared" si="7"/>
        <v>0</v>
      </c>
      <c r="AL17" s="443">
        <f t="shared" si="7"/>
        <v>0</v>
      </c>
      <c r="AM17" s="443">
        <f t="shared" si="7"/>
        <v>0</v>
      </c>
      <c r="AN17" s="443">
        <f t="shared" si="7"/>
        <v>0</v>
      </c>
      <c r="AO17" s="443">
        <f t="shared" si="7"/>
        <v>0</v>
      </c>
      <c r="AP17" s="443">
        <f t="shared" si="7"/>
        <v>160058</v>
      </c>
      <c r="AQ17" s="443">
        <f t="shared" si="7"/>
        <v>160058</v>
      </c>
      <c r="AR17" s="443">
        <f t="shared" si="7"/>
        <v>54100</v>
      </c>
      <c r="AS17" s="443">
        <f t="shared" si="7"/>
        <v>1601</v>
      </c>
      <c r="AT17" s="443">
        <f t="shared" si="7"/>
        <v>0</v>
      </c>
      <c r="AU17" s="443">
        <f t="shared" si="7"/>
        <v>822</v>
      </c>
      <c r="AV17" s="443">
        <f t="shared" si="7"/>
        <v>822</v>
      </c>
      <c r="AW17" s="443">
        <f t="shared" si="7"/>
        <v>216581</v>
      </c>
      <c r="AX17" s="444">
        <f t="shared" si="7"/>
        <v>0</v>
      </c>
      <c r="AY17" s="444">
        <f t="shared" si="7"/>
        <v>0</v>
      </c>
      <c r="AZ17" s="444">
        <f t="shared" si="7"/>
        <v>0</v>
      </c>
      <c r="BA17" s="444">
        <f t="shared" si="7"/>
        <v>0</v>
      </c>
      <c r="BB17" s="444">
        <f t="shared" si="7"/>
        <v>0.52</v>
      </c>
      <c r="BC17" s="947">
        <f t="shared" si="7"/>
        <v>0</v>
      </c>
      <c r="BD17" s="444">
        <f t="shared" si="7"/>
        <v>0</v>
      </c>
      <c r="BE17" s="444">
        <f t="shared" si="7"/>
        <v>0</v>
      </c>
      <c r="BF17" s="444">
        <f t="shared" si="7"/>
        <v>0</v>
      </c>
      <c r="BG17" s="444">
        <f t="shared" si="7"/>
        <v>0.52</v>
      </c>
      <c r="BH17" s="40">
        <f t="shared" si="7"/>
        <v>0.52</v>
      </c>
      <c r="BI17" s="451">
        <f t="shared" si="7"/>
        <v>2943214</v>
      </c>
      <c r="BJ17" s="443">
        <f t="shared" si="7"/>
        <v>2181258</v>
      </c>
      <c r="BK17" s="443">
        <f t="shared" si="7"/>
        <v>1701044</v>
      </c>
      <c r="BL17" s="443">
        <f t="shared" si="7"/>
        <v>480214</v>
      </c>
      <c r="BM17" s="443">
        <f t="shared" si="7"/>
        <v>0</v>
      </c>
      <c r="BN17" s="443">
        <f t="shared" si="7"/>
        <v>0</v>
      </c>
      <c r="BO17" s="443">
        <f t="shared" si="7"/>
        <v>0</v>
      </c>
      <c r="BP17" s="443">
        <f t="shared" si="7"/>
        <v>737266</v>
      </c>
      <c r="BQ17" s="443">
        <f t="shared" si="7"/>
        <v>21813</v>
      </c>
      <c r="BR17" s="443">
        <f t="shared" si="7"/>
        <v>2877</v>
      </c>
      <c r="BS17" s="444">
        <f t="shared" si="7"/>
        <v>4.6300000000000008</v>
      </c>
      <c r="BT17" s="444">
        <f t="shared" si="7"/>
        <v>3.08</v>
      </c>
      <c r="BU17" s="40">
        <f t="shared" si="7"/>
        <v>1.55</v>
      </c>
      <c r="BV17" s="831">
        <f t="shared" si="7"/>
        <v>0</v>
      </c>
      <c r="BW17" s="714">
        <f t="shared" si="7"/>
        <v>0</v>
      </c>
      <c r="BX17" s="714">
        <f t="shared" si="7"/>
        <v>0</v>
      </c>
      <c r="BY17" s="714">
        <f t="shared" si="7"/>
        <v>0</v>
      </c>
      <c r="BZ17" s="714">
        <f t="shared" si="7"/>
        <v>0</v>
      </c>
      <c r="CA17" s="832">
        <f t="shared" si="7"/>
        <v>0</v>
      </c>
    </row>
    <row r="18" spans="1:79" x14ac:dyDescent="0.2">
      <c r="A18" s="205">
        <v>3</v>
      </c>
      <c r="B18" s="206">
        <v>3439</v>
      </c>
      <c r="C18" s="206">
        <v>600010473</v>
      </c>
      <c r="D18" s="206">
        <v>43256791</v>
      </c>
      <c r="E18" s="204" t="s">
        <v>764</v>
      </c>
      <c r="F18" s="206">
        <v>3113</v>
      </c>
      <c r="G18" s="207" t="s">
        <v>293</v>
      </c>
      <c r="H18" s="612" t="s">
        <v>271</v>
      </c>
      <c r="I18" s="420">
        <v>25665451</v>
      </c>
      <c r="J18" s="415">
        <v>18391590</v>
      </c>
      <c r="K18" s="415">
        <v>17172160</v>
      </c>
      <c r="L18" s="415">
        <v>1219430</v>
      </c>
      <c r="M18" s="415">
        <v>285000</v>
      </c>
      <c r="N18" s="415">
        <v>170000</v>
      </c>
      <c r="O18" s="415">
        <v>115000</v>
      </c>
      <c r="P18" s="68">
        <v>6312688</v>
      </c>
      <c r="Q18" s="68">
        <v>183916</v>
      </c>
      <c r="R18" s="415">
        <v>492257</v>
      </c>
      <c r="S18" s="416">
        <v>30.699299999999997</v>
      </c>
      <c r="T18" s="417">
        <v>27.212</v>
      </c>
      <c r="U18" s="423">
        <v>3.4872999999999994</v>
      </c>
      <c r="V18" s="424">
        <f t="shared" ref="V18:W22" si="8">AG18*-1</f>
        <v>0</v>
      </c>
      <c r="W18" s="418">
        <f t="shared" si="8"/>
        <v>0</v>
      </c>
      <c r="X18" s="418">
        <v>0</v>
      </c>
      <c r="Y18" s="418">
        <v>0</v>
      </c>
      <c r="Z18" s="418">
        <v>0</v>
      </c>
      <c r="AA18" s="415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ref="AO18:AP22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5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6">
        <v>0</v>
      </c>
      <c r="BC18" s="93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780">
        <f>I18+AW18</f>
        <v>25665451</v>
      </c>
      <c r="BJ18" s="418">
        <f>J18+AF18</f>
        <v>18391590</v>
      </c>
      <c r="BK18" s="418">
        <f t="shared" ref="BK18:BL22" si="10">K18+AD18</f>
        <v>17172160</v>
      </c>
      <c r="BL18" s="418">
        <f t="shared" si="10"/>
        <v>1219430</v>
      </c>
      <c r="BM18" s="418">
        <f>M18+AN18</f>
        <v>285000</v>
      </c>
      <c r="BN18" s="418">
        <f t="shared" ref="BN18:BO22" si="11">N18+AL18</f>
        <v>170000</v>
      </c>
      <c r="BO18" s="418">
        <f t="shared" si="11"/>
        <v>115000</v>
      </c>
      <c r="BP18" s="418">
        <f t="shared" ref="BP18:BQ22" si="12">P18+AR18</f>
        <v>6312688</v>
      </c>
      <c r="BQ18" s="418">
        <f t="shared" si="12"/>
        <v>183916</v>
      </c>
      <c r="BR18" s="418">
        <f>R18+AV18</f>
        <v>492257</v>
      </c>
      <c r="BS18" s="419">
        <f>S18+BH18</f>
        <v>30.699299999999997</v>
      </c>
      <c r="BT18" s="419">
        <f t="shared" ref="BT18:BU22" si="13">T18+BF18</f>
        <v>27.212</v>
      </c>
      <c r="BU18" s="421">
        <f t="shared" si="13"/>
        <v>3.4872999999999994</v>
      </c>
      <c r="BV18" s="420">
        <v>380136</v>
      </c>
      <c r="BW18" s="415">
        <v>282000</v>
      </c>
      <c r="BX18" s="415">
        <v>0</v>
      </c>
      <c r="BY18" s="415">
        <v>95316</v>
      </c>
      <c r="BZ18" s="415">
        <v>2820</v>
      </c>
      <c r="CA18" s="510">
        <v>0.5</v>
      </c>
    </row>
    <row r="19" spans="1:79" x14ac:dyDescent="0.2">
      <c r="A19" s="205">
        <v>3</v>
      </c>
      <c r="B19" s="206">
        <v>3439</v>
      </c>
      <c r="C19" s="206">
        <v>600010473</v>
      </c>
      <c r="D19" s="206">
        <v>43256791</v>
      </c>
      <c r="E19" s="204" t="s">
        <v>764</v>
      </c>
      <c r="F19" s="206">
        <v>3113</v>
      </c>
      <c r="G19" s="207" t="s">
        <v>291</v>
      </c>
      <c r="H19" s="612" t="s">
        <v>272</v>
      </c>
      <c r="I19" s="420">
        <v>7466777</v>
      </c>
      <c r="J19" s="415">
        <v>5539152</v>
      </c>
      <c r="K19" s="415">
        <v>5539152</v>
      </c>
      <c r="L19" s="415">
        <v>0</v>
      </c>
      <c r="M19" s="415">
        <v>0</v>
      </c>
      <c r="N19" s="415">
        <v>0</v>
      </c>
      <c r="O19" s="415">
        <v>0</v>
      </c>
      <c r="P19" s="68">
        <v>1872233</v>
      </c>
      <c r="Q19" s="68">
        <v>55392</v>
      </c>
      <c r="R19" s="415">
        <v>0</v>
      </c>
      <c r="S19" s="416">
        <v>14.48</v>
      </c>
      <c r="T19" s="417">
        <v>14.48</v>
      </c>
      <c r="U19" s="423">
        <v>0</v>
      </c>
      <c r="V19" s="424">
        <f t="shared" si="8"/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5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5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6">
        <v>0</v>
      </c>
      <c r="BC19" s="93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780">
        <f>I19+AW19</f>
        <v>7466777</v>
      </c>
      <c r="BJ19" s="418">
        <f>J19+AF19</f>
        <v>5539152</v>
      </c>
      <c r="BK19" s="418">
        <f t="shared" si="10"/>
        <v>5539152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1872233</v>
      </c>
      <c r="BQ19" s="418">
        <f t="shared" si="12"/>
        <v>55392</v>
      </c>
      <c r="BR19" s="418">
        <f>R19+AV19</f>
        <v>0</v>
      </c>
      <c r="BS19" s="419">
        <f>S19+BH19</f>
        <v>14.48</v>
      </c>
      <c r="BT19" s="419">
        <f t="shared" si="13"/>
        <v>14.48</v>
      </c>
      <c r="BU19" s="421">
        <f t="shared" si="13"/>
        <v>0</v>
      </c>
      <c r="BV19" s="420"/>
      <c r="BW19" s="415"/>
      <c r="BX19" s="415"/>
      <c r="BY19" s="415"/>
      <c r="BZ19" s="415"/>
      <c r="CA19" s="510"/>
    </row>
    <row r="20" spans="1:79" x14ac:dyDescent="0.2">
      <c r="A20" s="205">
        <v>3</v>
      </c>
      <c r="B20" s="206">
        <v>3439</v>
      </c>
      <c r="C20" s="206">
        <v>600010473</v>
      </c>
      <c r="D20" s="206">
        <v>43256791</v>
      </c>
      <c r="E20" s="204" t="s">
        <v>764</v>
      </c>
      <c r="F20" s="206">
        <v>3143</v>
      </c>
      <c r="G20" s="207" t="s">
        <v>595</v>
      </c>
      <c r="H20" s="614" t="s">
        <v>271</v>
      </c>
      <c r="I20" s="420">
        <v>2223786</v>
      </c>
      <c r="J20" s="415">
        <v>1612134</v>
      </c>
      <c r="K20" s="415">
        <v>1612134</v>
      </c>
      <c r="L20" s="415">
        <v>0</v>
      </c>
      <c r="M20" s="415">
        <v>37840</v>
      </c>
      <c r="N20" s="415">
        <v>37840</v>
      </c>
      <c r="O20" s="415">
        <v>0</v>
      </c>
      <c r="P20" s="68">
        <v>557691</v>
      </c>
      <c r="Q20" s="68">
        <v>16121</v>
      </c>
      <c r="R20" s="415">
        <v>0</v>
      </c>
      <c r="S20" s="416">
        <v>3.36</v>
      </c>
      <c r="T20" s="417">
        <v>3.36</v>
      </c>
      <c r="U20" s="423">
        <v>0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5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5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6">
        <v>0</v>
      </c>
      <c r="BC20" s="93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780">
        <f>I20+AW20</f>
        <v>2223786</v>
      </c>
      <c r="BJ20" s="418">
        <f>J20+AF20</f>
        <v>1612134</v>
      </c>
      <c r="BK20" s="418">
        <f t="shared" si="10"/>
        <v>1612134</v>
      </c>
      <c r="BL20" s="418">
        <f t="shared" si="10"/>
        <v>0</v>
      </c>
      <c r="BM20" s="418">
        <f>M20+AN20</f>
        <v>37840</v>
      </c>
      <c r="BN20" s="418">
        <f t="shared" si="11"/>
        <v>37840</v>
      </c>
      <c r="BO20" s="418">
        <f t="shared" si="11"/>
        <v>0</v>
      </c>
      <c r="BP20" s="418">
        <f t="shared" si="12"/>
        <v>557691</v>
      </c>
      <c r="BQ20" s="418">
        <f t="shared" si="12"/>
        <v>16121</v>
      </c>
      <c r="BR20" s="418">
        <f>R20+AV20</f>
        <v>0</v>
      </c>
      <c r="BS20" s="419">
        <f>S20+BH20</f>
        <v>3.36</v>
      </c>
      <c r="BT20" s="419">
        <f t="shared" si="13"/>
        <v>3.36</v>
      </c>
      <c r="BU20" s="421">
        <f t="shared" si="13"/>
        <v>0</v>
      </c>
      <c r="BV20" s="420"/>
      <c r="BW20" s="415"/>
      <c r="BX20" s="415"/>
      <c r="BY20" s="415"/>
      <c r="BZ20" s="415"/>
      <c r="CA20" s="510"/>
    </row>
    <row r="21" spans="1:79" x14ac:dyDescent="0.2">
      <c r="A21" s="205">
        <v>3</v>
      </c>
      <c r="B21" s="206">
        <v>3439</v>
      </c>
      <c r="C21" s="206">
        <v>600010473</v>
      </c>
      <c r="D21" s="206">
        <v>43256791</v>
      </c>
      <c r="E21" s="204" t="s">
        <v>764</v>
      </c>
      <c r="F21" s="206">
        <v>3143</v>
      </c>
      <c r="G21" s="207" t="s">
        <v>596</v>
      </c>
      <c r="H21" s="614" t="s">
        <v>272</v>
      </c>
      <c r="I21" s="420">
        <v>43523</v>
      </c>
      <c r="J21" s="415">
        <v>31152</v>
      </c>
      <c r="K21" s="415">
        <v>0</v>
      </c>
      <c r="L21" s="415">
        <v>31152</v>
      </c>
      <c r="M21" s="415">
        <v>0</v>
      </c>
      <c r="N21" s="415">
        <v>0</v>
      </c>
      <c r="O21" s="415">
        <v>0</v>
      </c>
      <c r="P21" s="68">
        <v>10529</v>
      </c>
      <c r="Q21" s="68">
        <v>312</v>
      </c>
      <c r="R21" s="415">
        <v>1530</v>
      </c>
      <c r="S21" s="416">
        <v>0.12</v>
      </c>
      <c r="T21" s="417">
        <v>0</v>
      </c>
      <c r="U21" s="423">
        <v>0.12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5">
        <v>15598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15598</v>
      </c>
      <c r="AF21" s="418">
        <f>SUM(AD21:AE21)</f>
        <v>15598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15598</v>
      </c>
      <c r="AQ21" s="418">
        <f>SUM(AO21:AP21)</f>
        <v>15598</v>
      </c>
      <c r="AR21" s="68">
        <f>ROUND((AF21+AG21+AH21+AI21)*33.8%,0)</f>
        <v>5272</v>
      </c>
      <c r="AS21" s="68">
        <f>ROUND(AF21*1%,0)</f>
        <v>156</v>
      </c>
      <c r="AT21" s="418">
        <v>0</v>
      </c>
      <c r="AU21" s="415">
        <v>765</v>
      </c>
      <c r="AV21" s="418">
        <f>AT21+AU21</f>
        <v>765</v>
      </c>
      <c r="AW21" s="418">
        <f>AQ21+AR21+AS21+AV21</f>
        <v>21791</v>
      </c>
      <c r="AX21" s="419">
        <v>0</v>
      </c>
      <c r="AY21" s="419">
        <v>0</v>
      </c>
      <c r="AZ21" s="419">
        <v>0</v>
      </c>
      <c r="BA21" s="419">
        <v>0</v>
      </c>
      <c r="BB21" s="416">
        <v>0.06</v>
      </c>
      <c r="BC21" s="93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0.06</v>
      </c>
      <c r="BH21" s="421">
        <f>SUM(BF21:BG21)</f>
        <v>0.06</v>
      </c>
      <c r="BI21" s="780">
        <f>I21+AW21</f>
        <v>65314</v>
      </c>
      <c r="BJ21" s="418">
        <f>J21+AF21</f>
        <v>46750</v>
      </c>
      <c r="BK21" s="418">
        <f t="shared" si="10"/>
        <v>0</v>
      </c>
      <c r="BL21" s="418">
        <f t="shared" si="10"/>
        <v>46750</v>
      </c>
      <c r="BM21" s="418">
        <f>M21+AN21</f>
        <v>0</v>
      </c>
      <c r="BN21" s="418">
        <f t="shared" si="11"/>
        <v>0</v>
      </c>
      <c r="BO21" s="418">
        <f t="shared" si="11"/>
        <v>0</v>
      </c>
      <c r="BP21" s="418">
        <f t="shared" si="12"/>
        <v>15801</v>
      </c>
      <c r="BQ21" s="418">
        <f t="shared" si="12"/>
        <v>468</v>
      </c>
      <c r="BR21" s="418">
        <f>R21+AV21</f>
        <v>2295</v>
      </c>
      <c r="BS21" s="419">
        <f>S21+BH21</f>
        <v>0.18</v>
      </c>
      <c r="BT21" s="419">
        <f t="shared" si="13"/>
        <v>0</v>
      </c>
      <c r="BU21" s="421">
        <f t="shared" si="13"/>
        <v>0.18</v>
      </c>
      <c r="BV21" s="420"/>
      <c r="BW21" s="415"/>
      <c r="BX21" s="415"/>
      <c r="BY21" s="415"/>
      <c r="BZ21" s="415"/>
      <c r="CA21" s="510"/>
    </row>
    <row r="22" spans="1:79" x14ac:dyDescent="0.2">
      <c r="A22" s="205">
        <v>3</v>
      </c>
      <c r="B22" s="206">
        <v>3439</v>
      </c>
      <c r="C22" s="206">
        <v>600010473</v>
      </c>
      <c r="D22" s="206">
        <v>43256791</v>
      </c>
      <c r="E22" s="204" t="s">
        <v>764</v>
      </c>
      <c r="F22" s="206">
        <v>3143</v>
      </c>
      <c r="G22" s="207" t="s">
        <v>296</v>
      </c>
      <c r="H22" s="612" t="s">
        <v>272</v>
      </c>
      <c r="I22" s="420">
        <v>243048</v>
      </c>
      <c r="J22" s="415">
        <v>160140</v>
      </c>
      <c r="K22" s="415">
        <v>147310</v>
      </c>
      <c r="L22" s="415">
        <v>12830</v>
      </c>
      <c r="M22" s="415">
        <v>20000</v>
      </c>
      <c r="N22" s="415">
        <v>20000</v>
      </c>
      <c r="O22" s="415">
        <v>0</v>
      </c>
      <c r="P22" s="68">
        <v>60887</v>
      </c>
      <c r="Q22" s="68">
        <v>1601</v>
      </c>
      <c r="R22" s="415">
        <v>420</v>
      </c>
      <c r="S22" s="416">
        <v>0.32999999999999996</v>
      </c>
      <c r="T22" s="417">
        <v>0.28000000000000003</v>
      </c>
      <c r="U22" s="423">
        <v>0.05</v>
      </c>
      <c r="V22" s="424">
        <f t="shared" si="8"/>
        <v>0</v>
      </c>
      <c r="W22" s="418">
        <f t="shared" si="8"/>
        <v>0</v>
      </c>
      <c r="X22" s="418">
        <v>0</v>
      </c>
      <c r="Y22" s="418">
        <v>0</v>
      </c>
      <c r="Z22" s="418">
        <v>0</v>
      </c>
      <c r="AA22" s="605">
        <v>6420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6420</v>
      </c>
      <c r="AF22" s="418">
        <f>SUM(AD22:AE22)</f>
        <v>6420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si="9"/>
        <v>0</v>
      </c>
      <c r="AP22" s="418">
        <f t="shared" si="9"/>
        <v>6420</v>
      </c>
      <c r="AQ22" s="418">
        <f>SUM(AO22:AP22)</f>
        <v>6420</v>
      </c>
      <c r="AR22" s="68">
        <f>ROUND((AF22+AG22+AH22+AI22)*33.8%,0)</f>
        <v>2170</v>
      </c>
      <c r="AS22" s="68">
        <f>ROUND(AF22*1%,0)</f>
        <v>64</v>
      </c>
      <c r="AT22" s="418">
        <v>0</v>
      </c>
      <c r="AU22" s="606">
        <v>210</v>
      </c>
      <c r="AV22" s="418">
        <f>AT22+AU22</f>
        <v>210</v>
      </c>
      <c r="AW22" s="418">
        <f>AQ22+AR22+AS22+AV22</f>
        <v>8864</v>
      </c>
      <c r="AX22" s="419">
        <v>0</v>
      </c>
      <c r="AY22" s="419">
        <v>0</v>
      </c>
      <c r="AZ22" s="419">
        <v>0</v>
      </c>
      <c r="BA22" s="419">
        <v>0</v>
      </c>
      <c r="BB22" s="607">
        <v>0.02</v>
      </c>
      <c r="BC22" s="93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0.02</v>
      </c>
      <c r="BH22" s="421">
        <f>SUM(BF22:BG22)</f>
        <v>0.02</v>
      </c>
      <c r="BI22" s="780">
        <f>I22+AW22</f>
        <v>251912</v>
      </c>
      <c r="BJ22" s="418">
        <f>J22+AF22</f>
        <v>166560</v>
      </c>
      <c r="BK22" s="418">
        <f t="shared" si="10"/>
        <v>147310</v>
      </c>
      <c r="BL22" s="418">
        <f t="shared" si="10"/>
        <v>19250</v>
      </c>
      <c r="BM22" s="418">
        <f>M22+AN22</f>
        <v>20000</v>
      </c>
      <c r="BN22" s="418">
        <f t="shared" si="11"/>
        <v>20000</v>
      </c>
      <c r="BO22" s="418">
        <f t="shared" si="11"/>
        <v>0</v>
      </c>
      <c r="BP22" s="418">
        <f t="shared" si="12"/>
        <v>63057</v>
      </c>
      <c r="BQ22" s="418">
        <f t="shared" si="12"/>
        <v>1665</v>
      </c>
      <c r="BR22" s="418">
        <f>R22+AV22</f>
        <v>630</v>
      </c>
      <c r="BS22" s="419">
        <f>S22+BH22</f>
        <v>0.35</v>
      </c>
      <c r="BT22" s="419">
        <f t="shared" si="13"/>
        <v>0.28000000000000003</v>
      </c>
      <c r="BU22" s="421">
        <f t="shared" si="13"/>
        <v>7.0000000000000007E-2</v>
      </c>
      <c r="BV22" s="420"/>
      <c r="BW22" s="415"/>
      <c r="BX22" s="415"/>
      <c r="BY22" s="415"/>
      <c r="BZ22" s="415"/>
      <c r="CA22" s="510"/>
    </row>
    <row r="23" spans="1:79" x14ac:dyDescent="0.2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13"/>
      <c r="I23" s="448">
        <v>35642585</v>
      </c>
      <c r="J23" s="445">
        <v>25734168</v>
      </c>
      <c r="K23" s="445">
        <v>24470756</v>
      </c>
      <c r="L23" s="445">
        <v>1263412</v>
      </c>
      <c r="M23" s="445">
        <v>342840</v>
      </c>
      <c r="N23" s="445">
        <v>227840</v>
      </c>
      <c r="O23" s="445">
        <v>115000</v>
      </c>
      <c r="P23" s="445">
        <v>8814028</v>
      </c>
      <c r="Q23" s="445">
        <v>257342</v>
      </c>
      <c r="R23" s="445">
        <v>494207</v>
      </c>
      <c r="S23" s="446">
        <v>48.989299999999993</v>
      </c>
      <c r="T23" s="446">
        <v>45.332000000000001</v>
      </c>
      <c r="U23" s="450">
        <v>3.6572999999999993</v>
      </c>
      <c r="V23" s="448">
        <f t="shared" ref="V23:CA23" si="14">SUM(V18:V22)</f>
        <v>0</v>
      </c>
      <c r="W23" s="445">
        <f t="shared" si="14"/>
        <v>0</v>
      </c>
      <c r="X23" s="445">
        <f t="shared" si="14"/>
        <v>0</v>
      </c>
      <c r="Y23" s="445">
        <f t="shared" si="14"/>
        <v>0</v>
      </c>
      <c r="Z23" s="445">
        <f t="shared" si="14"/>
        <v>0</v>
      </c>
      <c r="AA23" s="445">
        <f t="shared" si="14"/>
        <v>22018</v>
      </c>
      <c r="AB23" s="445">
        <f t="shared" si="14"/>
        <v>0</v>
      </c>
      <c r="AC23" s="445">
        <f t="shared" si="14"/>
        <v>0</v>
      </c>
      <c r="AD23" s="445">
        <f t="shared" si="14"/>
        <v>0</v>
      </c>
      <c r="AE23" s="445">
        <f t="shared" si="14"/>
        <v>22018</v>
      </c>
      <c r="AF23" s="445">
        <f t="shared" si="14"/>
        <v>22018</v>
      </c>
      <c r="AG23" s="445">
        <f t="shared" si="14"/>
        <v>0</v>
      </c>
      <c r="AH23" s="445">
        <f t="shared" si="14"/>
        <v>0</v>
      </c>
      <c r="AI23" s="445">
        <f t="shared" si="14"/>
        <v>0</v>
      </c>
      <c r="AJ23" s="445">
        <f t="shared" si="14"/>
        <v>0</v>
      </c>
      <c r="AK23" s="445">
        <f t="shared" si="14"/>
        <v>0</v>
      </c>
      <c r="AL23" s="445">
        <f t="shared" si="14"/>
        <v>0</v>
      </c>
      <c r="AM23" s="445">
        <f t="shared" si="14"/>
        <v>0</v>
      </c>
      <c r="AN23" s="445">
        <f t="shared" si="14"/>
        <v>0</v>
      </c>
      <c r="AO23" s="445">
        <f t="shared" si="14"/>
        <v>0</v>
      </c>
      <c r="AP23" s="445">
        <f t="shared" si="14"/>
        <v>22018</v>
      </c>
      <c r="AQ23" s="445">
        <f t="shared" si="14"/>
        <v>22018</v>
      </c>
      <c r="AR23" s="445">
        <f t="shared" si="14"/>
        <v>7442</v>
      </c>
      <c r="AS23" s="445">
        <f t="shared" si="14"/>
        <v>220</v>
      </c>
      <c r="AT23" s="445">
        <f t="shared" si="14"/>
        <v>0</v>
      </c>
      <c r="AU23" s="445">
        <f t="shared" si="14"/>
        <v>975</v>
      </c>
      <c r="AV23" s="445">
        <f t="shared" si="14"/>
        <v>975</v>
      </c>
      <c r="AW23" s="445">
        <f t="shared" si="14"/>
        <v>30655</v>
      </c>
      <c r="AX23" s="446">
        <f t="shared" si="14"/>
        <v>0</v>
      </c>
      <c r="AY23" s="446">
        <f t="shared" si="14"/>
        <v>0</v>
      </c>
      <c r="AZ23" s="446">
        <f t="shared" si="14"/>
        <v>0</v>
      </c>
      <c r="BA23" s="446">
        <f t="shared" si="14"/>
        <v>0</v>
      </c>
      <c r="BB23" s="446">
        <f t="shared" si="14"/>
        <v>0.08</v>
      </c>
      <c r="BC23" s="948">
        <f t="shared" si="14"/>
        <v>0</v>
      </c>
      <c r="BD23" s="446">
        <f t="shared" si="14"/>
        <v>0</v>
      </c>
      <c r="BE23" s="446">
        <f t="shared" si="14"/>
        <v>0</v>
      </c>
      <c r="BF23" s="446">
        <f t="shared" si="14"/>
        <v>0</v>
      </c>
      <c r="BG23" s="446">
        <f t="shared" si="14"/>
        <v>0.08</v>
      </c>
      <c r="BH23" s="39">
        <f t="shared" si="14"/>
        <v>0.08</v>
      </c>
      <c r="BI23" s="452">
        <f t="shared" si="14"/>
        <v>35673240</v>
      </c>
      <c r="BJ23" s="445">
        <f t="shared" si="14"/>
        <v>25756186</v>
      </c>
      <c r="BK23" s="445">
        <f t="shared" si="14"/>
        <v>24470756</v>
      </c>
      <c r="BL23" s="445">
        <f t="shared" si="14"/>
        <v>1285430</v>
      </c>
      <c r="BM23" s="445">
        <f t="shared" si="14"/>
        <v>342840</v>
      </c>
      <c r="BN23" s="445">
        <f t="shared" si="14"/>
        <v>227840</v>
      </c>
      <c r="BO23" s="445">
        <f t="shared" si="14"/>
        <v>115000</v>
      </c>
      <c r="BP23" s="445">
        <f t="shared" si="14"/>
        <v>8821470</v>
      </c>
      <c r="BQ23" s="445">
        <f t="shared" si="14"/>
        <v>257562</v>
      </c>
      <c r="BR23" s="445">
        <f t="shared" si="14"/>
        <v>495182</v>
      </c>
      <c r="BS23" s="446">
        <f t="shared" si="14"/>
        <v>49.069299999999998</v>
      </c>
      <c r="BT23" s="446">
        <f t="shared" si="14"/>
        <v>45.332000000000001</v>
      </c>
      <c r="BU23" s="39">
        <f t="shared" si="14"/>
        <v>3.7372999999999994</v>
      </c>
      <c r="BV23" s="833">
        <f t="shared" si="14"/>
        <v>380136</v>
      </c>
      <c r="BW23" s="715">
        <f t="shared" si="14"/>
        <v>282000</v>
      </c>
      <c r="BX23" s="715">
        <f t="shared" si="14"/>
        <v>0</v>
      </c>
      <c r="BY23" s="715">
        <f t="shared" si="14"/>
        <v>95316</v>
      </c>
      <c r="BZ23" s="715">
        <f t="shared" si="14"/>
        <v>2820</v>
      </c>
      <c r="CA23" s="834">
        <f t="shared" si="14"/>
        <v>0.5</v>
      </c>
    </row>
    <row r="24" spans="1:79" x14ac:dyDescent="0.2">
      <c r="A24" s="205">
        <v>4</v>
      </c>
      <c r="B24" s="206">
        <v>3438</v>
      </c>
      <c r="C24" s="206">
        <v>600078493</v>
      </c>
      <c r="D24" s="206">
        <v>43257089</v>
      </c>
      <c r="E24" s="204" t="s">
        <v>91</v>
      </c>
      <c r="F24" s="206">
        <v>3113</v>
      </c>
      <c r="G24" s="207" t="s">
        <v>293</v>
      </c>
      <c r="H24" s="612" t="s">
        <v>271</v>
      </c>
      <c r="I24" s="420">
        <v>30274490</v>
      </c>
      <c r="J24" s="415">
        <v>22140205</v>
      </c>
      <c r="K24" s="415">
        <v>20604011</v>
      </c>
      <c r="L24" s="415">
        <v>1536194</v>
      </c>
      <c r="M24" s="415">
        <v>45000</v>
      </c>
      <c r="N24" s="415">
        <v>40000</v>
      </c>
      <c r="O24" s="415">
        <v>5000</v>
      </c>
      <c r="P24" s="68">
        <v>7498600</v>
      </c>
      <c r="Q24" s="68">
        <v>221403</v>
      </c>
      <c r="R24" s="415">
        <v>369282</v>
      </c>
      <c r="S24" s="416">
        <v>35.275099999999995</v>
      </c>
      <c r="T24" s="417">
        <v>30.709099999999999</v>
      </c>
      <c r="U24" s="423">
        <v>4.5659999999999998</v>
      </c>
      <c r="V24" s="424">
        <f t="shared" ref="V24:W27" si="15">AG24*-1</f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5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ref="AO24:AP27" si="16">AD24+AL24</f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5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6">
        <v>0</v>
      </c>
      <c r="BC24" s="93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780">
        <f>I24+AW24</f>
        <v>30274490</v>
      </c>
      <c r="BJ24" s="418">
        <f>J24+AF24</f>
        <v>22140205</v>
      </c>
      <c r="BK24" s="418">
        <f t="shared" ref="BK24:BL27" si="17">K24+AD24</f>
        <v>20604011</v>
      </c>
      <c r="BL24" s="418">
        <f t="shared" si="17"/>
        <v>1536194</v>
      </c>
      <c r="BM24" s="418">
        <f>M24+AN24</f>
        <v>45000</v>
      </c>
      <c r="BN24" s="418">
        <f t="shared" ref="BN24:BO27" si="18">N24+AL24</f>
        <v>40000</v>
      </c>
      <c r="BO24" s="418">
        <f t="shared" si="18"/>
        <v>5000</v>
      </c>
      <c r="BP24" s="418">
        <f t="shared" ref="BP24:BQ27" si="19">P24+AR24</f>
        <v>7498600</v>
      </c>
      <c r="BQ24" s="418">
        <f t="shared" si="19"/>
        <v>221403</v>
      </c>
      <c r="BR24" s="418">
        <f>R24+AV24</f>
        <v>369282</v>
      </c>
      <c r="BS24" s="419">
        <f>S24+BH24</f>
        <v>35.275099999999995</v>
      </c>
      <c r="BT24" s="419">
        <f t="shared" ref="BT24:BU27" si="20">T24+BF24</f>
        <v>30.709099999999999</v>
      </c>
      <c r="BU24" s="421">
        <f t="shared" si="20"/>
        <v>4.5659999999999998</v>
      </c>
      <c r="BV24" s="420">
        <v>608218</v>
      </c>
      <c r="BW24" s="415">
        <v>451200</v>
      </c>
      <c r="BX24" s="415">
        <v>0</v>
      </c>
      <c r="BY24" s="415">
        <v>152506</v>
      </c>
      <c r="BZ24" s="415">
        <v>4512</v>
      </c>
      <c r="CA24" s="510">
        <v>0.8</v>
      </c>
    </row>
    <row r="25" spans="1:79" x14ac:dyDescent="0.2">
      <c r="A25" s="205">
        <v>4</v>
      </c>
      <c r="B25" s="206">
        <v>3438</v>
      </c>
      <c r="C25" s="206">
        <v>600078493</v>
      </c>
      <c r="D25" s="206">
        <v>43257089</v>
      </c>
      <c r="E25" s="204" t="s">
        <v>91</v>
      </c>
      <c r="F25" s="206">
        <v>3113</v>
      </c>
      <c r="G25" s="207" t="s">
        <v>291</v>
      </c>
      <c r="H25" s="612" t="s">
        <v>272</v>
      </c>
      <c r="I25" s="420">
        <v>4116675</v>
      </c>
      <c r="J25" s="415">
        <v>3053913</v>
      </c>
      <c r="K25" s="415">
        <v>3053913</v>
      </c>
      <c r="L25" s="415">
        <v>0</v>
      </c>
      <c r="M25" s="415">
        <v>0</v>
      </c>
      <c r="N25" s="415">
        <v>0</v>
      </c>
      <c r="O25" s="415">
        <v>0</v>
      </c>
      <c r="P25" s="68">
        <v>1032223</v>
      </c>
      <c r="Q25" s="68">
        <v>30539</v>
      </c>
      <c r="R25" s="415">
        <v>0</v>
      </c>
      <c r="S25" s="416">
        <v>8.02</v>
      </c>
      <c r="T25" s="417">
        <v>8.02</v>
      </c>
      <c r="U25" s="423">
        <v>0</v>
      </c>
      <c r="V25" s="424">
        <f t="shared" si="15"/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5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6"/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5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6">
        <v>0</v>
      </c>
      <c r="BC25" s="93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780">
        <f>I25+AW25</f>
        <v>4116675</v>
      </c>
      <c r="BJ25" s="418">
        <f>J25+AF25</f>
        <v>3053913</v>
      </c>
      <c r="BK25" s="418">
        <f t="shared" si="17"/>
        <v>3053913</v>
      </c>
      <c r="BL25" s="418">
        <f t="shared" si="17"/>
        <v>0</v>
      </c>
      <c r="BM25" s="418">
        <f>M25+AN25</f>
        <v>0</v>
      </c>
      <c r="BN25" s="418">
        <f t="shared" si="18"/>
        <v>0</v>
      </c>
      <c r="BO25" s="418">
        <f t="shared" si="18"/>
        <v>0</v>
      </c>
      <c r="BP25" s="418">
        <f t="shared" si="19"/>
        <v>1032223</v>
      </c>
      <c r="BQ25" s="418">
        <f t="shared" si="19"/>
        <v>30539</v>
      </c>
      <c r="BR25" s="418">
        <f>R25+AV25</f>
        <v>0</v>
      </c>
      <c r="BS25" s="419">
        <f>S25+BH25</f>
        <v>8.02</v>
      </c>
      <c r="BT25" s="419">
        <f t="shared" si="20"/>
        <v>8.02</v>
      </c>
      <c r="BU25" s="421">
        <f t="shared" si="20"/>
        <v>0</v>
      </c>
      <c r="BV25" s="420"/>
      <c r="BW25" s="415"/>
      <c r="BX25" s="415"/>
      <c r="BY25" s="415"/>
      <c r="BZ25" s="415"/>
      <c r="CA25" s="510"/>
    </row>
    <row r="26" spans="1:79" x14ac:dyDescent="0.2">
      <c r="A26" s="205">
        <v>4</v>
      </c>
      <c r="B26" s="206">
        <v>3438</v>
      </c>
      <c r="C26" s="206">
        <v>600078493</v>
      </c>
      <c r="D26" s="206">
        <v>43257089</v>
      </c>
      <c r="E26" s="204" t="s">
        <v>91</v>
      </c>
      <c r="F26" s="206">
        <v>3143</v>
      </c>
      <c r="G26" s="207" t="s">
        <v>595</v>
      </c>
      <c r="H26" s="614" t="s">
        <v>271</v>
      </c>
      <c r="I26" s="420">
        <v>1917997</v>
      </c>
      <c r="J26" s="415">
        <v>1422847</v>
      </c>
      <c r="K26" s="415">
        <v>1422847</v>
      </c>
      <c r="L26" s="415">
        <v>0</v>
      </c>
      <c r="M26" s="415">
        <v>0</v>
      </c>
      <c r="N26" s="415">
        <v>0</v>
      </c>
      <c r="O26" s="415">
        <v>0</v>
      </c>
      <c r="P26" s="68">
        <v>480922</v>
      </c>
      <c r="Q26" s="68">
        <v>14228</v>
      </c>
      <c r="R26" s="415">
        <v>0</v>
      </c>
      <c r="S26" s="416">
        <v>2.6606999999999998</v>
      </c>
      <c r="T26" s="417">
        <v>2.6606999999999998</v>
      </c>
      <c r="U26" s="423">
        <v>0</v>
      </c>
      <c r="V26" s="424">
        <f t="shared" si="15"/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415">
        <v>0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0</v>
      </c>
      <c r="AF26" s="418">
        <f>SUM(AD26:AE26)</f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0</v>
      </c>
      <c r="AQ26" s="418">
        <f>SUM(AO26:AP26)</f>
        <v>0</v>
      </c>
      <c r="AR26" s="68">
        <f>ROUND((AF26+AG26+AH26+AI26)*33.8%,0)</f>
        <v>0</v>
      </c>
      <c r="AS26" s="68">
        <f>ROUND(AF26*1%,0)</f>
        <v>0</v>
      </c>
      <c r="AT26" s="418">
        <v>0</v>
      </c>
      <c r="AU26" s="415">
        <v>0</v>
      </c>
      <c r="AV26" s="418">
        <f>AT26+AU26</f>
        <v>0</v>
      </c>
      <c r="AW26" s="418">
        <f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6">
        <v>0</v>
      </c>
      <c r="BC26" s="93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</v>
      </c>
      <c r="BH26" s="421">
        <f>SUM(BF26:BG26)</f>
        <v>0</v>
      </c>
      <c r="BI26" s="780">
        <f>I26+AW26</f>
        <v>1917997</v>
      </c>
      <c r="BJ26" s="418">
        <f>J26+AF26</f>
        <v>1422847</v>
      </c>
      <c r="BK26" s="418">
        <f t="shared" si="17"/>
        <v>1422847</v>
      </c>
      <c r="BL26" s="418">
        <f t="shared" si="17"/>
        <v>0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480922</v>
      </c>
      <c r="BQ26" s="418">
        <f t="shared" si="19"/>
        <v>14228</v>
      </c>
      <c r="BR26" s="418">
        <f>R26+AV26</f>
        <v>0</v>
      </c>
      <c r="BS26" s="419">
        <f>S26+BH26</f>
        <v>2.6606999999999998</v>
      </c>
      <c r="BT26" s="419">
        <f t="shared" si="20"/>
        <v>2.6606999999999998</v>
      </c>
      <c r="BU26" s="421">
        <f t="shared" si="20"/>
        <v>0</v>
      </c>
      <c r="BV26" s="420"/>
      <c r="BW26" s="415"/>
      <c r="BX26" s="415"/>
      <c r="BY26" s="415"/>
      <c r="BZ26" s="415"/>
      <c r="CA26" s="510"/>
    </row>
    <row r="27" spans="1:79" x14ac:dyDescent="0.2">
      <c r="A27" s="205">
        <v>4</v>
      </c>
      <c r="B27" s="206">
        <v>3438</v>
      </c>
      <c r="C27" s="206">
        <v>600078493</v>
      </c>
      <c r="D27" s="206">
        <v>43257089</v>
      </c>
      <c r="E27" s="204" t="s">
        <v>91</v>
      </c>
      <c r="F27" s="206">
        <v>3143</v>
      </c>
      <c r="G27" s="207" t="s">
        <v>596</v>
      </c>
      <c r="H27" s="614" t="s">
        <v>272</v>
      </c>
      <c r="I27" s="420">
        <v>42011</v>
      </c>
      <c r="J27" s="415">
        <v>30070</v>
      </c>
      <c r="K27" s="415">
        <v>0</v>
      </c>
      <c r="L27" s="415">
        <v>30070</v>
      </c>
      <c r="M27" s="415">
        <v>0</v>
      </c>
      <c r="N27" s="415">
        <v>0</v>
      </c>
      <c r="O27" s="415">
        <v>0</v>
      </c>
      <c r="P27" s="68">
        <v>10164</v>
      </c>
      <c r="Q27" s="68">
        <v>301</v>
      </c>
      <c r="R27" s="415">
        <v>1476</v>
      </c>
      <c r="S27" s="416">
        <v>0.11</v>
      </c>
      <c r="T27" s="417">
        <v>0</v>
      </c>
      <c r="U27" s="423">
        <v>0.11</v>
      </c>
      <c r="V27" s="424">
        <f t="shared" si="15"/>
        <v>0</v>
      </c>
      <c r="W27" s="418">
        <f t="shared" si="15"/>
        <v>0</v>
      </c>
      <c r="X27" s="418">
        <v>0</v>
      </c>
      <c r="Y27" s="418">
        <v>0</v>
      </c>
      <c r="Z27" s="418">
        <v>0</v>
      </c>
      <c r="AA27" s="605">
        <v>15030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15030</v>
      </c>
      <c r="AF27" s="418">
        <f>SUM(AD27:AE27)</f>
        <v>15030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16"/>
        <v>0</v>
      </c>
      <c r="AP27" s="418">
        <f t="shared" si="16"/>
        <v>15030</v>
      </c>
      <c r="AQ27" s="418">
        <f>SUM(AO27:AP27)</f>
        <v>15030</v>
      </c>
      <c r="AR27" s="68">
        <f>ROUND((AF27+AG27+AH27+AI27)*33.8%,0)</f>
        <v>5080</v>
      </c>
      <c r="AS27" s="68">
        <f>ROUND(AF27*1%,0)</f>
        <v>150</v>
      </c>
      <c r="AT27" s="418">
        <v>0</v>
      </c>
      <c r="AU27" s="606">
        <v>738</v>
      </c>
      <c r="AV27" s="418">
        <f>AT27+AU27</f>
        <v>738</v>
      </c>
      <c r="AW27" s="418">
        <f>AQ27+AR27+AS27+AV27</f>
        <v>20998</v>
      </c>
      <c r="AX27" s="419">
        <v>0</v>
      </c>
      <c r="AY27" s="419">
        <v>0</v>
      </c>
      <c r="AZ27" s="419">
        <v>0</v>
      </c>
      <c r="BA27" s="419">
        <v>0</v>
      </c>
      <c r="BB27" s="607">
        <v>0.06</v>
      </c>
      <c r="BC27" s="93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0.06</v>
      </c>
      <c r="BH27" s="421">
        <f>SUM(BF27:BG27)</f>
        <v>0.06</v>
      </c>
      <c r="BI27" s="780">
        <f>I27+AW27</f>
        <v>63009</v>
      </c>
      <c r="BJ27" s="418">
        <f>J27+AF27</f>
        <v>45100</v>
      </c>
      <c r="BK27" s="418">
        <f t="shared" si="17"/>
        <v>0</v>
      </c>
      <c r="BL27" s="418">
        <f t="shared" si="17"/>
        <v>45100</v>
      </c>
      <c r="BM27" s="418">
        <f>M27+AN27</f>
        <v>0</v>
      </c>
      <c r="BN27" s="418">
        <f t="shared" si="18"/>
        <v>0</v>
      </c>
      <c r="BO27" s="418">
        <f t="shared" si="18"/>
        <v>0</v>
      </c>
      <c r="BP27" s="418">
        <f t="shared" si="19"/>
        <v>15244</v>
      </c>
      <c r="BQ27" s="418">
        <f t="shared" si="19"/>
        <v>451</v>
      </c>
      <c r="BR27" s="418">
        <f>R27+AV27</f>
        <v>2214</v>
      </c>
      <c r="BS27" s="419">
        <f>S27+BH27</f>
        <v>0.16999999999999998</v>
      </c>
      <c r="BT27" s="419">
        <f t="shared" si="20"/>
        <v>0</v>
      </c>
      <c r="BU27" s="421">
        <f t="shared" si="20"/>
        <v>0.16999999999999998</v>
      </c>
      <c r="BV27" s="420"/>
      <c r="BW27" s="415"/>
      <c r="BX27" s="415"/>
      <c r="BY27" s="415"/>
      <c r="BZ27" s="415"/>
      <c r="CA27" s="510"/>
    </row>
    <row r="28" spans="1:79" x14ac:dyDescent="0.2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13"/>
      <c r="I28" s="448">
        <v>36351173</v>
      </c>
      <c r="J28" s="445">
        <v>26647035</v>
      </c>
      <c r="K28" s="445">
        <v>25080771</v>
      </c>
      <c r="L28" s="445">
        <v>1566264</v>
      </c>
      <c r="M28" s="445">
        <v>45000</v>
      </c>
      <c r="N28" s="445">
        <v>40000</v>
      </c>
      <c r="O28" s="445">
        <v>5000</v>
      </c>
      <c r="P28" s="445">
        <v>9021909</v>
      </c>
      <c r="Q28" s="445">
        <v>266471</v>
      </c>
      <c r="R28" s="445">
        <v>370758</v>
      </c>
      <c r="S28" s="446">
        <v>46.065799999999989</v>
      </c>
      <c r="T28" s="446">
        <v>41.389800000000001</v>
      </c>
      <c r="U28" s="450">
        <v>4.6760000000000002</v>
      </c>
      <c r="V28" s="448">
        <f t="shared" ref="V28:CA28" si="21">SUM(V24:V27)</f>
        <v>0</v>
      </c>
      <c r="W28" s="445">
        <f t="shared" si="21"/>
        <v>0</v>
      </c>
      <c r="X28" s="445">
        <f t="shared" si="21"/>
        <v>0</v>
      </c>
      <c r="Y28" s="445">
        <f t="shared" si="21"/>
        <v>0</v>
      </c>
      <c r="Z28" s="445">
        <f t="shared" si="21"/>
        <v>0</v>
      </c>
      <c r="AA28" s="445">
        <f t="shared" si="21"/>
        <v>15030</v>
      </c>
      <c r="AB28" s="445">
        <f t="shared" si="21"/>
        <v>0</v>
      </c>
      <c r="AC28" s="445">
        <f t="shared" si="21"/>
        <v>0</v>
      </c>
      <c r="AD28" s="445">
        <f t="shared" si="21"/>
        <v>0</v>
      </c>
      <c r="AE28" s="445">
        <f t="shared" si="21"/>
        <v>15030</v>
      </c>
      <c r="AF28" s="445">
        <f t="shared" si="21"/>
        <v>15030</v>
      </c>
      <c r="AG28" s="445">
        <f t="shared" si="21"/>
        <v>0</v>
      </c>
      <c r="AH28" s="445">
        <f t="shared" si="21"/>
        <v>0</v>
      </c>
      <c r="AI28" s="445">
        <f t="shared" si="21"/>
        <v>0</v>
      </c>
      <c r="AJ28" s="445">
        <f t="shared" si="21"/>
        <v>0</v>
      </c>
      <c r="AK28" s="445">
        <f t="shared" si="21"/>
        <v>0</v>
      </c>
      <c r="AL28" s="445">
        <f t="shared" si="21"/>
        <v>0</v>
      </c>
      <c r="AM28" s="445">
        <f t="shared" si="21"/>
        <v>0</v>
      </c>
      <c r="AN28" s="445">
        <f t="shared" si="21"/>
        <v>0</v>
      </c>
      <c r="AO28" s="445">
        <f t="shared" si="21"/>
        <v>0</v>
      </c>
      <c r="AP28" s="445">
        <f t="shared" si="21"/>
        <v>15030</v>
      </c>
      <c r="AQ28" s="445">
        <f t="shared" si="21"/>
        <v>15030</v>
      </c>
      <c r="AR28" s="445">
        <f t="shared" si="21"/>
        <v>5080</v>
      </c>
      <c r="AS28" s="445">
        <f t="shared" si="21"/>
        <v>150</v>
      </c>
      <c r="AT28" s="445">
        <f t="shared" si="21"/>
        <v>0</v>
      </c>
      <c r="AU28" s="445">
        <f t="shared" si="21"/>
        <v>738</v>
      </c>
      <c r="AV28" s="445">
        <f t="shared" si="21"/>
        <v>738</v>
      </c>
      <c r="AW28" s="445">
        <f t="shared" si="21"/>
        <v>20998</v>
      </c>
      <c r="AX28" s="446">
        <f t="shared" si="21"/>
        <v>0</v>
      </c>
      <c r="AY28" s="446">
        <f t="shared" si="21"/>
        <v>0</v>
      </c>
      <c r="AZ28" s="446">
        <f t="shared" si="21"/>
        <v>0</v>
      </c>
      <c r="BA28" s="446">
        <f t="shared" si="21"/>
        <v>0</v>
      </c>
      <c r="BB28" s="446">
        <f t="shared" si="21"/>
        <v>0.06</v>
      </c>
      <c r="BC28" s="948">
        <f t="shared" si="21"/>
        <v>0</v>
      </c>
      <c r="BD28" s="446">
        <f t="shared" si="21"/>
        <v>0</v>
      </c>
      <c r="BE28" s="446">
        <f t="shared" si="21"/>
        <v>0</v>
      </c>
      <c r="BF28" s="446">
        <f t="shared" si="21"/>
        <v>0</v>
      </c>
      <c r="BG28" s="446">
        <f t="shared" si="21"/>
        <v>0.06</v>
      </c>
      <c r="BH28" s="39">
        <f t="shared" si="21"/>
        <v>0.06</v>
      </c>
      <c r="BI28" s="452">
        <f t="shared" si="21"/>
        <v>36372171</v>
      </c>
      <c r="BJ28" s="445">
        <f t="shared" si="21"/>
        <v>26662065</v>
      </c>
      <c r="BK28" s="445">
        <f t="shared" si="21"/>
        <v>25080771</v>
      </c>
      <c r="BL28" s="445">
        <f t="shared" si="21"/>
        <v>1581294</v>
      </c>
      <c r="BM28" s="445">
        <f t="shared" si="21"/>
        <v>45000</v>
      </c>
      <c r="BN28" s="445">
        <f t="shared" si="21"/>
        <v>40000</v>
      </c>
      <c r="BO28" s="445">
        <f t="shared" si="21"/>
        <v>5000</v>
      </c>
      <c r="BP28" s="445">
        <f t="shared" si="21"/>
        <v>9026989</v>
      </c>
      <c r="BQ28" s="445">
        <f t="shared" si="21"/>
        <v>266621</v>
      </c>
      <c r="BR28" s="445">
        <f t="shared" si="21"/>
        <v>371496</v>
      </c>
      <c r="BS28" s="446">
        <f t="shared" si="21"/>
        <v>46.125799999999991</v>
      </c>
      <c r="BT28" s="446">
        <f t="shared" si="21"/>
        <v>41.389800000000001</v>
      </c>
      <c r="BU28" s="39">
        <f t="shared" si="21"/>
        <v>4.7359999999999998</v>
      </c>
      <c r="BV28" s="833">
        <f t="shared" si="21"/>
        <v>608218</v>
      </c>
      <c r="BW28" s="715">
        <f t="shared" si="21"/>
        <v>451200</v>
      </c>
      <c r="BX28" s="715">
        <f t="shared" si="21"/>
        <v>0</v>
      </c>
      <c r="BY28" s="715">
        <f t="shared" si="21"/>
        <v>152506</v>
      </c>
      <c r="BZ28" s="715">
        <f t="shared" si="21"/>
        <v>4512</v>
      </c>
      <c r="CA28" s="834">
        <f t="shared" si="21"/>
        <v>0.8</v>
      </c>
    </row>
    <row r="29" spans="1:79" s="3" customFormat="1" x14ac:dyDescent="0.2">
      <c r="A29" s="205">
        <v>5</v>
      </c>
      <c r="B29" s="206">
        <v>3459</v>
      </c>
      <c r="C29" s="206">
        <v>651040264</v>
      </c>
      <c r="D29" s="206">
        <v>75121531</v>
      </c>
      <c r="E29" s="204" t="s">
        <v>93</v>
      </c>
      <c r="F29" s="206">
        <v>3231</v>
      </c>
      <c r="G29" s="207" t="s">
        <v>295</v>
      </c>
      <c r="H29" s="614" t="s">
        <v>271</v>
      </c>
      <c r="I29" s="420">
        <v>17361486</v>
      </c>
      <c r="J29" s="415">
        <v>12793190</v>
      </c>
      <c r="K29" s="415">
        <v>12375019</v>
      </c>
      <c r="L29" s="415">
        <v>418171</v>
      </c>
      <c r="M29" s="415">
        <v>70000</v>
      </c>
      <c r="N29" s="415">
        <v>20000</v>
      </c>
      <c r="O29" s="415">
        <v>50000</v>
      </c>
      <c r="P29" s="68">
        <v>4347758</v>
      </c>
      <c r="Q29" s="68">
        <v>127932</v>
      </c>
      <c r="R29" s="415">
        <v>22606</v>
      </c>
      <c r="S29" s="416">
        <v>20.732400000000002</v>
      </c>
      <c r="T29" s="417">
        <v>19.588699999999999</v>
      </c>
      <c r="U29" s="423">
        <v>1.1436999999999999</v>
      </c>
      <c r="V29" s="424">
        <f>AG29*-1</f>
        <v>0</v>
      </c>
      <c r="W29" s="418">
        <f>AH29*-1</f>
        <v>0</v>
      </c>
      <c r="X29" s="418">
        <v>0</v>
      </c>
      <c r="Y29" s="418">
        <v>0</v>
      </c>
      <c r="Z29" s="418">
        <v>0</v>
      </c>
      <c r="AA29" s="415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>AD29+AL29</f>
        <v>0</v>
      </c>
      <c r="AP29" s="418">
        <f>AE29+AM29</f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5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6">
        <v>0</v>
      </c>
      <c r="BC29" s="93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421">
        <f>SUM(BF29:BG29)</f>
        <v>0</v>
      </c>
      <c r="BI29" s="780">
        <f>I29+AW29</f>
        <v>17361486</v>
      </c>
      <c r="BJ29" s="418">
        <f>J29+AF29</f>
        <v>12793190</v>
      </c>
      <c r="BK29" s="418">
        <f>K29+AD29</f>
        <v>12375019</v>
      </c>
      <c r="BL29" s="418">
        <f>L29+AE29</f>
        <v>418171</v>
      </c>
      <c r="BM29" s="418">
        <f>M29+AN29</f>
        <v>70000</v>
      </c>
      <c r="BN29" s="418">
        <f>N29+AL29</f>
        <v>20000</v>
      </c>
      <c r="BO29" s="418">
        <f>O29+AM29</f>
        <v>50000</v>
      </c>
      <c r="BP29" s="418">
        <f>P29+AR29</f>
        <v>4347758</v>
      </c>
      <c r="BQ29" s="418">
        <f>Q29+AS29</f>
        <v>127932</v>
      </c>
      <c r="BR29" s="418">
        <f>R29+AV29</f>
        <v>22606</v>
      </c>
      <c r="BS29" s="419">
        <f>S29+BH29</f>
        <v>20.732400000000002</v>
      </c>
      <c r="BT29" s="419">
        <f>T29+BF29</f>
        <v>19.588699999999999</v>
      </c>
      <c r="BU29" s="421">
        <f>U29+BG29</f>
        <v>1.1436999999999999</v>
      </c>
      <c r="BV29" s="420"/>
      <c r="BW29" s="415"/>
      <c r="BX29" s="415"/>
      <c r="BY29" s="415"/>
      <c r="BZ29" s="415"/>
      <c r="CA29" s="510"/>
    </row>
    <row r="30" spans="1:79" s="3" customFormat="1" x14ac:dyDescent="0.2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13"/>
      <c r="I30" s="447">
        <v>17361486</v>
      </c>
      <c r="J30" s="443">
        <v>12793190</v>
      </c>
      <c r="K30" s="443">
        <v>12375019</v>
      </c>
      <c r="L30" s="443">
        <v>418171</v>
      </c>
      <c r="M30" s="443">
        <v>70000</v>
      </c>
      <c r="N30" s="443">
        <v>20000</v>
      </c>
      <c r="O30" s="443">
        <v>50000</v>
      </c>
      <c r="P30" s="443">
        <v>4347758</v>
      </c>
      <c r="Q30" s="443">
        <v>127932</v>
      </c>
      <c r="R30" s="443">
        <v>22606</v>
      </c>
      <c r="S30" s="444">
        <v>20.732400000000002</v>
      </c>
      <c r="T30" s="444">
        <v>19.588699999999999</v>
      </c>
      <c r="U30" s="449">
        <v>1.1436999999999999</v>
      </c>
      <c r="V30" s="447">
        <f t="shared" ref="V30:CA30" si="22">SUM(V29)</f>
        <v>0</v>
      </c>
      <c r="W30" s="443">
        <f t="shared" si="22"/>
        <v>0</v>
      </c>
      <c r="X30" s="443">
        <f t="shared" si="22"/>
        <v>0</v>
      </c>
      <c r="Y30" s="443">
        <f t="shared" si="22"/>
        <v>0</v>
      </c>
      <c r="Z30" s="443">
        <f t="shared" si="22"/>
        <v>0</v>
      </c>
      <c r="AA30" s="443">
        <f t="shared" si="22"/>
        <v>0</v>
      </c>
      <c r="AB30" s="443">
        <f t="shared" si="22"/>
        <v>0</v>
      </c>
      <c r="AC30" s="443">
        <f t="shared" si="22"/>
        <v>0</v>
      </c>
      <c r="AD30" s="443">
        <f t="shared" si="22"/>
        <v>0</v>
      </c>
      <c r="AE30" s="443">
        <f t="shared" si="22"/>
        <v>0</v>
      </c>
      <c r="AF30" s="443">
        <f t="shared" si="22"/>
        <v>0</v>
      </c>
      <c r="AG30" s="443">
        <f t="shared" si="22"/>
        <v>0</v>
      </c>
      <c r="AH30" s="443">
        <f t="shared" si="22"/>
        <v>0</v>
      </c>
      <c r="AI30" s="443">
        <f t="shared" si="22"/>
        <v>0</v>
      </c>
      <c r="AJ30" s="443">
        <f t="shared" si="22"/>
        <v>0</v>
      </c>
      <c r="AK30" s="443">
        <f t="shared" si="22"/>
        <v>0</v>
      </c>
      <c r="AL30" s="443">
        <f t="shared" si="22"/>
        <v>0</v>
      </c>
      <c r="AM30" s="443">
        <f t="shared" si="22"/>
        <v>0</v>
      </c>
      <c r="AN30" s="443">
        <f t="shared" si="22"/>
        <v>0</v>
      </c>
      <c r="AO30" s="443">
        <f t="shared" si="22"/>
        <v>0</v>
      </c>
      <c r="AP30" s="443">
        <f t="shared" si="22"/>
        <v>0</v>
      </c>
      <c r="AQ30" s="443">
        <f t="shared" si="22"/>
        <v>0</v>
      </c>
      <c r="AR30" s="443">
        <f t="shared" si="22"/>
        <v>0</v>
      </c>
      <c r="AS30" s="443">
        <f t="shared" si="22"/>
        <v>0</v>
      </c>
      <c r="AT30" s="443">
        <f t="shared" si="22"/>
        <v>0</v>
      </c>
      <c r="AU30" s="443">
        <f t="shared" si="22"/>
        <v>0</v>
      </c>
      <c r="AV30" s="443">
        <f t="shared" si="22"/>
        <v>0</v>
      </c>
      <c r="AW30" s="443">
        <f t="shared" si="22"/>
        <v>0</v>
      </c>
      <c r="AX30" s="444">
        <f t="shared" si="22"/>
        <v>0</v>
      </c>
      <c r="AY30" s="444">
        <f t="shared" si="22"/>
        <v>0</v>
      </c>
      <c r="AZ30" s="444">
        <f t="shared" si="22"/>
        <v>0</v>
      </c>
      <c r="BA30" s="444">
        <f t="shared" si="22"/>
        <v>0</v>
      </c>
      <c r="BB30" s="444">
        <f t="shared" si="22"/>
        <v>0</v>
      </c>
      <c r="BC30" s="947">
        <f t="shared" si="22"/>
        <v>0</v>
      </c>
      <c r="BD30" s="444">
        <f t="shared" si="22"/>
        <v>0</v>
      </c>
      <c r="BE30" s="444">
        <f t="shared" si="22"/>
        <v>0</v>
      </c>
      <c r="BF30" s="444">
        <f t="shared" si="22"/>
        <v>0</v>
      </c>
      <c r="BG30" s="444">
        <f t="shared" si="22"/>
        <v>0</v>
      </c>
      <c r="BH30" s="40">
        <f t="shared" si="22"/>
        <v>0</v>
      </c>
      <c r="BI30" s="451">
        <f t="shared" si="22"/>
        <v>17361486</v>
      </c>
      <c r="BJ30" s="443">
        <f t="shared" si="22"/>
        <v>12793190</v>
      </c>
      <c r="BK30" s="443">
        <f t="shared" si="22"/>
        <v>12375019</v>
      </c>
      <c r="BL30" s="443">
        <f t="shared" si="22"/>
        <v>418171</v>
      </c>
      <c r="BM30" s="443">
        <f t="shared" si="22"/>
        <v>70000</v>
      </c>
      <c r="BN30" s="443">
        <f t="shared" si="22"/>
        <v>20000</v>
      </c>
      <c r="BO30" s="443">
        <f t="shared" si="22"/>
        <v>50000</v>
      </c>
      <c r="BP30" s="443">
        <f t="shared" si="22"/>
        <v>4347758</v>
      </c>
      <c r="BQ30" s="443">
        <f t="shared" si="22"/>
        <v>127932</v>
      </c>
      <c r="BR30" s="443">
        <f t="shared" si="22"/>
        <v>22606</v>
      </c>
      <c r="BS30" s="444">
        <f t="shared" si="22"/>
        <v>20.732400000000002</v>
      </c>
      <c r="BT30" s="444">
        <f t="shared" si="22"/>
        <v>19.588699999999999</v>
      </c>
      <c r="BU30" s="40">
        <f t="shared" si="22"/>
        <v>1.1436999999999999</v>
      </c>
      <c r="BV30" s="831">
        <f t="shared" si="22"/>
        <v>0</v>
      </c>
      <c r="BW30" s="714">
        <f t="shared" si="22"/>
        <v>0</v>
      </c>
      <c r="BX30" s="714">
        <f t="shared" si="22"/>
        <v>0</v>
      </c>
      <c r="BY30" s="714">
        <f t="shared" si="22"/>
        <v>0</v>
      </c>
      <c r="BZ30" s="714">
        <f t="shared" si="22"/>
        <v>0</v>
      </c>
      <c r="CA30" s="832">
        <f t="shared" si="22"/>
        <v>0</v>
      </c>
    </row>
    <row r="31" spans="1:79" s="3" customFormat="1" x14ac:dyDescent="0.2">
      <c r="A31" s="205">
        <v>6</v>
      </c>
      <c r="B31" s="206">
        <v>3401</v>
      </c>
      <c r="C31" s="206">
        <v>650023404</v>
      </c>
      <c r="D31" s="206">
        <v>70981477</v>
      </c>
      <c r="E31" s="204" t="s">
        <v>95</v>
      </c>
      <c r="F31" s="206">
        <v>3111</v>
      </c>
      <c r="G31" s="207" t="s">
        <v>290</v>
      </c>
      <c r="H31" s="612" t="s">
        <v>271</v>
      </c>
      <c r="I31" s="420">
        <v>1686578</v>
      </c>
      <c r="J31" s="415">
        <v>1226961</v>
      </c>
      <c r="K31" s="415">
        <v>1170393</v>
      </c>
      <c r="L31" s="415">
        <v>56568</v>
      </c>
      <c r="M31" s="415">
        <v>20000</v>
      </c>
      <c r="N31" s="415">
        <v>10000</v>
      </c>
      <c r="O31" s="415">
        <v>10000</v>
      </c>
      <c r="P31" s="68">
        <v>421473</v>
      </c>
      <c r="Q31" s="68">
        <v>12270</v>
      </c>
      <c r="R31" s="415">
        <v>5874</v>
      </c>
      <c r="S31" s="416">
        <v>2.2667000000000002</v>
      </c>
      <c r="T31" s="417">
        <v>2</v>
      </c>
      <c r="U31" s="423">
        <v>0.26669999999999999</v>
      </c>
      <c r="V31" s="424">
        <f t="shared" ref="V31:W36" si="23">AG31*-1</f>
        <v>0</v>
      </c>
      <c r="W31" s="418">
        <f t="shared" si="23"/>
        <v>0</v>
      </c>
      <c r="X31" s="418">
        <v>0</v>
      </c>
      <c r="Y31" s="418">
        <v>0</v>
      </c>
      <c r="Z31" s="418">
        <v>0</v>
      </c>
      <c r="AA31" s="415">
        <v>0</v>
      </c>
      <c r="AB31" s="418">
        <v>0</v>
      </c>
      <c r="AC31" s="418">
        <v>0</v>
      </c>
      <c r="AD31" s="418">
        <f t="shared" ref="AD31:AD36" si="24">V31+X31+Y31+Z31+AB31</f>
        <v>0</v>
      </c>
      <c r="AE31" s="418">
        <f t="shared" ref="AE31:AE36" si="25">W31+AA31+AC31</f>
        <v>0</v>
      </c>
      <c r="AF31" s="418">
        <f t="shared" ref="AF31:AF36" si="26"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ref="AL31:AL36" si="27">AG31+AI31+AJ31</f>
        <v>0</v>
      </c>
      <c r="AM31" s="418">
        <f t="shared" ref="AM31:AM36" si="28">AH31+AK31</f>
        <v>0</v>
      </c>
      <c r="AN31" s="418">
        <f t="shared" ref="AN31:AN36" si="29">SUM(AL31:AM31)</f>
        <v>0</v>
      </c>
      <c r="AO31" s="418">
        <f t="shared" ref="AO31:AP36" si="30">AD31+AL31</f>
        <v>0</v>
      </c>
      <c r="AP31" s="418">
        <f t="shared" si="30"/>
        <v>0</v>
      </c>
      <c r="AQ31" s="418">
        <f t="shared" ref="AQ31:AQ36" si="31">SUM(AO31:AP31)</f>
        <v>0</v>
      </c>
      <c r="AR31" s="68">
        <f t="shared" ref="AR31:AR36" si="32">ROUND((AF31+AG31+AH31+AI31)*33.8%,0)</f>
        <v>0</v>
      </c>
      <c r="AS31" s="68">
        <f t="shared" ref="AS31:AS36" si="33">ROUND(AF31*1%,0)</f>
        <v>0</v>
      </c>
      <c r="AT31" s="418">
        <v>0</v>
      </c>
      <c r="AU31" s="415">
        <v>0</v>
      </c>
      <c r="AV31" s="418">
        <f t="shared" ref="AV31:AV36" si="34">AT31+AU31</f>
        <v>0</v>
      </c>
      <c r="AW31" s="418">
        <f t="shared" ref="AW31:AW36" si="35"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6">
        <v>0</v>
      </c>
      <c r="BC31" s="939">
        <v>0</v>
      </c>
      <c r="BD31" s="419">
        <v>0</v>
      </c>
      <c r="BE31" s="419">
        <v>0</v>
      </c>
      <c r="BF31" s="419">
        <f t="shared" ref="BF31:BF36" si="36">AX31+AZ31+BA31+BC31+BD31</f>
        <v>0</v>
      </c>
      <c r="BG31" s="419">
        <f t="shared" ref="BG31:BG36" si="37">AY31+BB31+BE31</f>
        <v>0</v>
      </c>
      <c r="BH31" s="421">
        <f t="shared" ref="BH31:BH36" si="38">SUM(BF31:BG31)</f>
        <v>0</v>
      </c>
      <c r="BI31" s="780">
        <f t="shared" ref="BI31:BI36" si="39">I31+AW31</f>
        <v>1686578</v>
      </c>
      <c r="BJ31" s="418">
        <f t="shared" ref="BJ31:BJ36" si="40">J31+AF31</f>
        <v>1226961</v>
      </c>
      <c r="BK31" s="418">
        <f t="shared" ref="BK31:BL36" si="41">K31+AD31</f>
        <v>1170393</v>
      </c>
      <c r="BL31" s="418">
        <f t="shared" si="41"/>
        <v>56568</v>
      </c>
      <c r="BM31" s="418">
        <f t="shared" ref="BM31:BM36" si="42">M31+AN31</f>
        <v>20000</v>
      </c>
      <c r="BN31" s="418">
        <f t="shared" ref="BN31:BO36" si="43">N31+AL31</f>
        <v>10000</v>
      </c>
      <c r="BO31" s="418">
        <f t="shared" si="43"/>
        <v>10000</v>
      </c>
      <c r="BP31" s="418">
        <f t="shared" ref="BP31:BQ36" si="44">P31+AR31</f>
        <v>421473</v>
      </c>
      <c r="BQ31" s="418">
        <f t="shared" si="44"/>
        <v>12270</v>
      </c>
      <c r="BR31" s="418">
        <f t="shared" ref="BR31:BR36" si="45">R31+AV31</f>
        <v>5874</v>
      </c>
      <c r="BS31" s="419">
        <f t="shared" ref="BS31:BS36" si="46">S31+BH31</f>
        <v>2.2667000000000002</v>
      </c>
      <c r="BT31" s="419">
        <f t="shared" ref="BT31:BU36" si="47">T31+BF31</f>
        <v>2</v>
      </c>
      <c r="BU31" s="421">
        <f t="shared" si="47"/>
        <v>0.26669999999999999</v>
      </c>
      <c r="BV31" s="420"/>
      <c r="BW31" s="415"/>
      <c r="BX31" s="415"/>
      <c r="BY31" s="415"/>
      <c r="BZ31" s="415"/>
      <c r="CA31" s="510"/>
    </row>
    <row r="32" spans="1:79" x14ac:dyDescent="0.2">
      <c r="A32" s="205">
        <v>6</v>
      </c>
      <c r="B32" s="206">
        <v>3401</v>
      </c>
      <c r="C32" s="206">
        <v>650023404</v>
      </c>
      <c r="D32" s="206">
        <v>70981477</v>
      </c>
      <c r="E32" s="204" t="s">
        <v>95</v>
      </c>
      <c r="F32" s="206">
        <v>3117</v>
      </c>
      <c r="G32" s="207" t="s">
        <v>293</v>
      </c>
      <c r="H32" s="612" t="s">
        <v>271</v>
      </c>
      <c r="I32" s="420">
        <v>3322292</v>
      </c>
      <c r="J32" s="415">
        <v>2412256</v>
      </c>
      <c r="K32" s="415">
        <v>2069414</v>
      </c>
      <c r="L32" s="415">
        <v>342842</v>
      </c>
      <c r="M32" s="415">
        <v>20000</v>
      </c>
      <c r="N32" s="415">
        <v>10000</v>
      </c>
      <c r="O32" s="415">
        <v>10000</v>
      </c>
      <c r="P32" s="68">
        <v>822102</v>
      </c>
      <c r="Q32" s="68">
        <v>24122</v>
      </c>
      <c r="R32" s="415">
        <v>43812</v>
      </c>
      <c r="S32" s="416">
        <v>4.4355000000000002</v>
      </c>
      <c r="T32" s="417">
        <v>3.4799000000000002</v>
      </c>
      <c r="U32" s="423">
        <v>0.95559999999999989</v>
      </c>
      <c r="V32" s="424">
        <f t="shared" si="23"/>
        <v>0</v>
      </c>
      <c r="W32" s="418">
        <f t="shared" si="23"/>
        <v>0</v>
      </c>
      <c r="X32" s="418">
        <v>0</v>
      </c>
      <c r="Y32" s="418">
        <v>0</v>
      </c>
      <c r="Z32" s="418">
        <v>0</v>
      </c>
      <c r="AA32" s="415">
        <v>0</v>
      </c>
      <c r="AB32" s="418">
        <v>0</v>
      </c>
      <c r="AC32" s="418">
        <v>0</v>
      </c>
      <c r="AD32" s="418">
        <f t="shared" si="24"/>
        <v>0</v>
      </c>
      <c r="AE32" s="418">
        <f t="shared" si="25"/>
        <v>0</v>
      </c>
      <c r="AF32" s="418">
        <f t="shared" si="26"/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 t="shared" si="27"/>
        <v>0</v>
      </c>
      <c r="AM32" s="418">
        <f t="shared" si="28"/>
        <v>0</v>
      </c>
      <c r="AN32" s="418">
        <f t="shared" si="29"/>
        <v>0</v>
      </c>
      <c r="AO32" s="418">
        <f t="shared" si="30"/>
        <v>0</v>
      </c>
      <c r="AP32" s="418">
        <f t="shared" si="30"/>
        <v>0</v>
      </c>
      <c r="AQ32" s="418">
        <f t="shared" si="31"/>
        <v>0</v>
      </c>
      <c r="AR32" s="68">
        <f t="shared" si="32"/>
        <v>0</v>
      </c>
      <c r="AS32" s="68">
        <f t="shared" si="33"/>
        <v>0</v>
      </c>
      <c r="AT32" s="418">
        <v>0</v>
      </c>
      <c r="AU32" s="415">
        <v>0</v>
      </c>
      <c r="AV32" s="418">
        <f t="shared" si="34"/>
        <v>0</v>
      </c>
      <c r="AW32" s="418">
        <f t="shared" si="35"/>
        <v>0</v>
      </c>
      <c r="AX32" s="419">
        <v>0</v>
      </c>
      <c r="AY32" s="419">
        <v>0</v>
      </c>
      <c r="AZ32" s="419">
        <v>0</v>
      </c>
      <c r="BA32" s="419">
        <v>0</v>
      </c>
      <c r="BB32" s="416">
        <v>0</v>
      </c>
      <c r="BC32" s="939">
        <v>0</v>
      </c>
      <c r="BD32" s="419">
        <v>0</v>
      </c>
      <c r="BE32" s="419">
        <v>0</v>
      </c>
      <c r="BF32" s="419">
        <f t="shared" si="36"/>
        <v>0</v>
      </c>
      <c r="BG32" s="419">
        <f t="shared" si="37"/>
        <v>0</v>
      </c>
      <c r="BH32" s="421">
        <f t="shared" si="38"/>
        <v>0</v>
      </c>
      <c r="BI32" s="780">
        <f t="shared" si="39"/>
        <v>3322292</v>
      </c>
      <c r="BJ32" s="418">
        <f t="shared" si="40"/>
        <v>2412256</v>
      </c>
      <c r="BK32" s="418">
        <f t="shared" si="41"/>
        <v>2069414</v>
      </c>
      <c r="BL32" s="418">
        <f t="shared" si="41"/>
        <v>342842</v>
      </c>
      <c r="BM32" s="418">
        <f t="shared" si="42"/>
        <v>20000</v>
      </c>
      <c r="BN32" s="418">
        <f t="shared" si="43"/>
        <v>10000</v>
      </c>
      <c r="BO32" s="418">
        <f t="shared" si="43"/>
        <v>10000</v>
      </c>
      <c r="BP32" s="418">
        <f t="shared" si="44"/>
        <v>822102</v>
      </c>
      <c r="BQ32" s="418">
        <f t="shared" si="44"/>
        <v>24122</v>
      </c>
      <c r="BR32" s="418">
        <f t="shared" si="45"/>
        <v>43812</v>
      </c>
      <c r="BS32" s="419">
        <f t="shared" si="46"/>
        <v>4.4355000000000002</v>
      </c>
      <c r="BT32" s="419">
        <f t="shared" si="47"/>
        <v>3.4799000000000002</v>
      </c>
      <c r="BU32" s="421">
        <f t="shared" si="47"/>
        <v>0.95559999999999989</v>
      </c>
      <c r="BV32" s="420"/>
      <c r="BW32" s="415"/>
      <c r="BX32" s="415"/>
      <c r="BY32" s="415"/>
      <c r="BZ32" s="415"/>
      <c r="CA32" s="510"/>
    </row>
    <row r="33" spans="1:79" x14ac:dyDescent="0.2">
      <c r="A33" s="205">
        <v>6</v>
      </c>
      <c r="B33" s="206">
        <v>3401</v>
      </c>
      <c r="C33" s="206">
        <v>650023404</v>
      </c>
      <c r="D33" s="206">
        <v>70981477</v>
      </c>
      <c r="E33" s="204" t="s">
        <v>95</v>
      </c>
      <c r="F33" s="206">
        <v>3117</v>
      </c>
      <c r="G33" s="207" t="s">
        <v>298</v>
      </c>
      <c r="H33" s="612" t="s">
        <v>272</v>
      </c>
      <c r="I33" s="420">
        <v>441625</v>
      </c>
      <c r="J33" s="415">
        <v>327615</v>
      </c>
      <c r="K33" s="415">
        <v>327615</v>
      </c>
      <c r="L33" s="415">
        <v>0</v>
      </c>
      <c r="M33" s="415">
        <v>0</v>
      </c>
      <c r="N33" s="415">
        <v>0</v>
      </c>
      <c r="O33" s="415">
        <v>0</v>
      </c>
      <c r="P33" s="68">
        <v>110734</v>
      </c>
      <c r="Q33" s="68">
        <v>3276</v>
      </c>
      <c r="R33" s="415">
        <v>0</v>
      </c>
      <c r="S33" s="416">
        <v>0.85</v>
      </c>
      <c r="T33" s="417">
        <v>0.85</v>
      </c>
      <c r="U33" s="423">
        <v>0</v>
      </c>
      <c r="V33" s="424">
        <f t="shared" si="23"/>
        <v>0</v>
      </c>
      <c r="W33" s="418">
        <f t="shared" si="23"/>
        <v>0</v>
      </c>
      <c r="X33" s="418">
        <v>0</v>
      </c>
      <c r="Y33" s="418">
        <v>0</v>
      </c>
      <c r="Z33" s="418">
        <v>0</v>
      </c>
      <c r="AA33" s="415">
        <v>0</v>
      </c>
      <c r="AB33" s="418">
        <v>0</v>
      </c>
      <c r="AC33" s="418">
        <v>0</v>
      </c>
      <c r="AD33" s="418">
        <f t="shared" si="24"/>
        <v>0</v>
      </c>
      <c r="AE33" s="418">
        <f t="shared" si="25"/>
        <v>0</v>
      </c>
      <c r="AF33" s="418">
        <f t="shared" si="26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27"/>
        <v>0</v>
      </c>
      <c r="AM33" s="418">
        <f t="shared" si="28"/>
        <v>0</v>
      </c>
      <c r="AN33" s="418">
        <f t="shared" si="29"/>
        <v>0</v>
      </c>
      <c r="AO33" s="418">
        <f t="shared" si="30"/>
        <v>0</v>
      </c>
      <c r="AP33" s="418">
        <f t="shared" si="30"/>
        <v>0</v>
      </c>
      <c r="AQ33" s="418">
        <f t="shared" si="31"/>
        <v>0</v>
      </c>
      <c r="AR33" s="68">
        <f t="shared" si="32"/>
        <v>0</v>
      </c>
      <c r="AS33" s="68">
        <f t="shared" si="33"/>
        <v>0</v>
      </c>
      <c r="AT33" s="418">
        <v>0</v>
      </c>
      <c r="AU33" s="415">
        <v>0</v>
      </c>
      <c r="AV33" s="418">
        <f t="shared" si="34"/>
        <v>0</v>
      </c>
      <c r="AW33" s="418">
        <f t="shared" si="35"/>
        <v>0</v>
      </c>
      <c r="AX33" s="419">
        <v>0</v>
      </c>
      <c r="AY33" s="419">
        <v>0</v>
      </c>
      <c r="AZ33" s="419">
        <v>0</v>
      </c>
      <c r="BA33" s="419">
        <v>0</v>
      </c>
      <c r="BB33" s="416">
        <v>0</v>
      </c>
      <c r="BC33" s="939">
        <v>0</v>
      </c>
      <c r="BD33" s="419">
        <v>0</v>
      </c>
      <c r="BE33" s="419">
        <v>0</v>
      </c>
      <c r="BF33" s="419">
        <f t="shared" si="36"/>
        <v>0</v>
      </c>
      <c r="BG33" s="419">
        <f t="shared" si="37"/>
        <v>0</v>
      </c>
      <c r="BH33" s="421">
        <f t="shared" si="38"/>
        <v>0</v>
      </c>
      <c r="BI33" s="780">
        <f t="shared" si="39"/>
        <v>441625</v>
      </c>
      <c r="BJ33" s="418">
        <f t="shared" si="40"/>
        <v>327615</v>
      </c>
      <c r="BK33" s="418">
        <f t="shared" si="41"/>
        <v>327615</v>
      </c>
      <c r="BL33" s="418">
        <f t="shared" si="41"/>
        <v>0</v>
      </c>
      <c r="BM33" s="418">
        <f t="shared" si="42"/>
        <v>0</v>
      </c>
      <c r="BN33" s="418">
        <f t="shared" si="43"/>
        <v>0</v>
      </c>
      <c r="BO33" s="418">
        <f t="shared" si="43"/>
        <v>0</v>
      </c>
      <c r="BP33" s="418">
        <f t="shared" si="44"/>
        <v>110734</v>
      </c>
      <c r="BQ33" s="418">
        <f t="shared" si="44"/>
        <v>3276</v>
      </c>
      <c r="BR33" s="418">
        <f t="shared" si="45"/>
        <v>0</v>
      </c>
      <c r="BS33" s="419">
        <f t="shared" si="46"/>
        <v>0.85</v>
      </c>
      <c r="BT33" s="419">
        <f t="shared" si="47"/>
        <v>0.85</v>
      </c>
      <c r="BU33" s="421">
        <f t="shared" si="47"/>
        <v>0</v>
      </c>
      <c r="BV33" s="420"/>
      <c r="BW33" s="415"/>
      <c r="BX33" s="415"/>
      <c r="BY33" s="415"/>
      <c r="BZ33" s="415"/>
      <c r="CA33" s="510"/>
    </row>
    <row r="34" spans="1:79" x14ac:dyDescent="0.2">
      <c r="A34" s="205">
        <v>6</v>
      </c>
      <c r="B34" s="206">
        <v>3401</v>
      </c>
      <c r="C34" s="206">
        <v>650023404</v>
      </c>
      <c r="D34" s="206">
        <v>70981477</v>
      </c>
      <c r="E34" s="204" t="s">
        <v>95</v>
      </c>
      <c r="F34" s="206">
        <v>3141</v>
      </c>
      <c r="G34" s="207" t="s">
        <v>294</v>
      </c>
      <c r="H34" s="612" t="s">
        <v>272</v>
      </c>
      <c r="I34" s="420">
        <v>526463</v>
      </c>
      <c r="J34" s="415">
        <v>389071</v>
      </c>
      <c r="K34" s="415">
        <v>0</v>
      </c>
      <c r="L34" s="415">
        <v>389071</v>
      </c>
      <c r="M34" s="415">
        <v>0</v>
      </c>
      <c r="N34" s="415">
        <v>0</v>
      </c>
      <c r="O34" s="415">
        <v>0</v>
      </c>
      <c r="P34" s="68">
        <v>131506</v>
      </c>
      <c r="Q34" s="68">
        <v>3891</v>
      </c>
      <c r="R34" s="415">
        <v>1995</v>
      </c>
      <c r="S34" s="416">
        <v>1.17</v>
      </c>
      <c r="T34" s="417">
        <v>0</v>
      </c>
      <c r="U34" s="423">
        <v>1.17</v>
      </c>
      <c r="V34" s="424">
        <f t="shared" si="23"/>
        <v>0</v>
      </c>
      <c r="W34" s="418">
        <f t="shared" si="23"/>
        <v>0</v>
      </c>
      <c r="X34" s="418">
        <v>0</v>
      </c>
      <c r="Y34" s="418">
        <v>0</v>
      </c>
      <c r="Z34" s="418">
        <v>0</v>
      </c>
      <c r="AA34" s="605">
        <v>194997</v>
      </c>
      <c r="AB34" s="418">
        <v>0</v>
      </c>
      <c r="AC34" s="418">
        <v>0</v>
      </c>
      <c r="AD34" s="418">
        <f t="shared" si="24"/>
        <v>0</v>
      </c>
      <c r="AE34" s="418">
        <f t="shared" si="25"/>
        <v>194997</v>
      </c>
      <c r="AF34" s="418">
        <f t="shared" si="26"/>
        <v>194997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27"/>
        <v>0</v>
      </c>
      <c r="AM34" s="418">
        <f t="shared" si="28"/>
        <v>0</v>
      </c>
      <c r="AN34" s="418">
        <f t="shared" si="29"/>
        <v>0</v>
      </c>
      <c r="AO34" s="418">
        <f t="shared" si="30"/>
        <v>0</v>
      </c>
      <c r="AP34" s="418">
        <f t="shared" si="30"/>
        <v>194997</v>
      </c>
      <c r="AQ34" s="418">
        <f t="shared" si="31"/>
        <v>194997</v>
      </c>
      <c r="AR34" s="68">
        <f t="shared" si="32"/>
        <v>65909</v>
      </c>
      <c r="AS34" s="68">
        <f t="shared" si="33"/>
        <v>1950</v>
      </c>
      <c r="AT34" s="418">
        <v>0</v>
      </c>
      <c r="AU34" s="605">
        <v>969</v>
      </c>
      <c r="AV34" s="418">
        <f t="shared" si="34"/>
        <v>969</v>
      </c>
      <c r="AW34" s="418">
        <f t="shared" si="35"/>
        <v>263825</v>
      </c>
      <c r="AX34" s="419">
        <v>0</v>
      </c>
      <c r="AY34" s="419">
        <v>0</v>
      </c>
      <c r="AZ34" s="419">
        <v>0</v>
      </c>
      <c r="BA34" s="419">
        <v>0</v>
      </c>
      <c r="BB34" s="607">
        <v>0.57999999999999996</v>
      </c>
      <c r="BC34" s="939">
        <v>0</v>
      </c>
      <c r="BD34" s="419">
        <v>0</v>
      </c>
      <c r="BE34" s="419">
        <v>0</v>
      </c>
      <c r="BF34" s="419">
        <f t="shared" si="36"/>
        <v>0</v>
      </c>
      <c r="BG34" s="419">
        <f t="shared" si="37"/>
        <v>0.57999999999999996</v>
      </c>
      <c r="BH34" s="421">
        <f t="shared" si="38"/>
        <v>0.57999999999999996</v>
      </c>
      <c r="BI34" s="780">
        <f t="shared" si="39"/>
        <v>790288</v>
      </c>
      <c r="BJ34" s="418">
        <f t="shared" si="40"/>
        <v>584068</v>
      </c>
      <c r="BK34" s="418">
        <f t="shared" si="41"/>
        <v>0</v>
      </c>
      <c r="BL34" s="418">
        <f t="shared" si="41"/>
        <v>584068</v>
      </c>
      <c r="BM34" s="418">
        <f t="shared" si="42"/>
        <v>0</v>
      </c>
      <c r="BN34" s="418">
        <f t="shared" si="43"/>
        <v>0</v>
      </c>
      <c r="BO34" s="418">
        <f t="shared" si="43"/>
        <v>0</v>
      </c>
      <c r="BP34" s="418">
        <f t="shared" si="44"/>
        <v>197415</v>
      </c>
      <c r="BQ34" s="418">
        <f t="shared" si="44"/>
        <v>5841</v>
      </c>
      <c r="BR34" s="418">
        <f t="shared" si="45"/>
        <v>2964</v>
      </c>
      <c r="BS34" s="419">
        <f t="shared" si="46"/>
        <v>1.75</v>
      </c>
      <c r="BT34" s="419">
        <f t="shared" si="47"/>
        <v>0</v>
      </c>
      <c r="BU34" s="421">
        <f t="shared" si="47"/>
        <v>1.75</v>
      </c>
      <c r="BV34" s="420"/>
      <c r="BW34" s="415"/>
      <c r="BX34" s="415"/>
      <c r="BY34" s="415"/>
      <c r="BZ34" s="415"/>
      <c r="CA34" s="510"/>
    </row>
    <row r="35" spans="1:79" x14ac:dyDescent="0.2">
      <c r="A35" s="205">
        <v>6</v>
      </c>
      <c r="B35" s="206">
        <v>3401</v>
      </c>
      <c r="C35" s="206">
        <v>650023404</v>
      </c>
      <c r="D35" s="206">
        <v>70981477</v>
      </c>
      <c r="E35" s="204" t="s">
        <v>95</v>
      </c>
      <c r="F35" s="206">
        <v>3143</v>
      </c>
      <c r="G35" s="207" t="s">
        <v>595</v>
      </c>
      <c r="H35" s="614" t="s">
        <v>271</v>
      </c>
      <c r="I35" s="420">
        <v>741171</v>
      </c>
      <c r="J35" s="415">
        <v>549830</v>
      </c>
      <c r="K35" s="415">
        <v>549830</v>
      </c>
      <c r="L35" s="415">
        <v>0</v>
      </c>
      <c r="M35" s="415">
        <v>0</v>
      </c>
      <c r="N35" s="415">
        <v>0</v>
      </c>
      <c r="O35" s="415">
        <v>0</v>
      </c>
      <c r="P35" s="68">
        <v>185843</v>
      </c>
      <c r="Q35" s="68">
        <v>5498</v>
      </c>
      <c r="R35" s="415">
        <v>0</v>
      </c>
      <c r="S35" s="416">
        <v>1</v>
      </c>
      <c r="T35" s="417">
        <v>1</v>
      </c>
      <c r="U35" s="423">
        <v>0</v>
      </c>
      <c r="V35" s="424">
        <f t="shared" si="23"/>
        <v>0</v>
      </c>
      <c r="W35" s="418">
        <f t="shared" si="23"/>
        <v>0</v>
      </c>
      <c r="X35" s="418">
        <v>0</v>
      </c>
      <c r="Y35" s="418">
        <v>0</v>
      </c>
      <c r="Z35" s="418">
        <v>0</v>
      </c>
      <c r="AA35" s="415">
        <v>0</v>
      </c>
      <c r="AB35" s="418">
        <v>0</v>
      </c>
      <c r="AC35" s="418">
        <v>0</v>
      </c>
      <c r="AD35" s="418">
        <f t="shared" si="24"/>
        <v>0</v>
      </c>
      <c r="AE35" s="418">
        <f t="shared" si="25"/>
        <v>0</v>
      </c>
      <c r="AF35" s="418">
        <f t="shared" si="26"/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27"/>
        <v>0</v>
      </c>
      <c r="AM35" s="418">
        <f t="shared" si="28"/>
        <v>0</v>
      </c>
      <c r="AN35" s="418">
        <f t="shared" si="29"/>
        <v>0</v>
      </c>
      <c r="AO35" s="418">
        <f t="shared" si="30"/>
        <v>0</v>
      </c>
      <c r="AP35" s="418">
        <f t="shared" si="30"/>
        <v>0</v>
      </c>
      <c r="AQ35" s="418">
        <f t="shared" si="31"/>
        <v>0</v>
      </c>
      <c r="AR35" s="68">
        <f t="shared" si="32"/>
        <v>0</v>
      </c>
      <c r="AS35" s="68">
        <f t="shared" si="33"/>
        <v>0</v>
      </c>
      <c r="AT35" s="418">
        <v>0</v>
      </c>
      <c r="AU35" s="415">
        <v>0</v>
      </c>
      <c r="AV35" s="418">
        <f t="shared" si="34"/>
        <v>0</v>
      </c>
      <c r="AW35" s="418">
        <f t="shared" si="35"/>
        <v>0</v>
      </c>
      <c r="AX35" s="419">
        <v>0</v>
      </c>
      <c r="AY35" s="419">
        <v>0</v>
      </c>
      <c r="AZ35" s="419">
        <v>0</v>
      </c>
      <c r="BA35" s="419">
        <v>0</v>
      </c>
      <c r="BB35" s="416">
        <v>0</v>
      </c>
      <c r="BC35" s="939">
        <v>0</v>
      </c>
      <c r="BD35" s="419">
        <v>0</v>
      </c>
      <c r="BE35" s="419">
        <v>0</v>
      </c>
      <c r="BF35" s="419">
        <f t="shared" si="36"/>
        <v>0</v>
      </c>
      <c r="BG35" s="419">
        <f t="shared" si="37"/>
        <v>0</v>
      </c>
      <c r="BH35" s="421">
        <f t="shared" si="38"/>
        <v>0</v>
      </c>
      <c r="BI35" s="780">
        <f t="shared" si="39"/>
        <v>741171</v>
      </c>
      <c r="BJ35" s="418">
        <f t="shared" si="40"/>
        <v>549830</v>
      </c>
      <c r="BK35" s="418">
        <f t="shared" si="41"/>
        <v>549830</v>
      </c>
      <c r="BL35" s="418">
        <f t="shared" si="41"/>
        <v>0</v>
      </c>
      <c r="BM35" s="418">
        <f t="shared" si="42"/>
        <v>0</v>
      </c>
      <c r="BN35" s="418">
        <f t="shared" si="43"/>
        <v>0</v>
      </c>
      <c r="BO35" s="418">
        <f t="shared" si="43"/>
        <v>0</v>
      </c>
      <c r="BP35" s="418">
        <f t="shared" si="44"/>
        <v>185843</v>
      </c>
      <c r="BQ35" s="418">
        <f t="shared" si="44"/>
        <v>5498</v>
      </c>
      <c r="BR35" s="418">
        <f t="shared" si="45"/>
        <v>0</v>
      </c>
      <c r="BS35" s="419">
        <f t="shared" si="46"/>
        <v>1</v>
      </c>
      <c r="BT35" s="419">
        <f t="shared" si="47"/>
        <v>1</v>
      </c>
      <c r="BU35" s="421">
        <f t="shared" si="47"/>
        <v>0</v>
      </c>
      <c r="BV35" s="420"/>
      <c r="BW35" s="415"/>
      <c r="BX35" s="415"/>
      <c r="BY35" s="415"/>
      <c r="BZ35" s="415"/>
      <c r="CA35" s="510"/>
    </row>
    <row r="36" spans="1:79" x14ac:dyDescent="0.2">
      <c r="A36" s="205">
        <v>6</v>
      </c>
      <c r="B36" s="206">
        <v>3401</v>
      </c>
      <c r="C36" s="206">
        <v>650023404</v>
      </c>
      <c r="D36" s="206">
        <v>70981477</v>
      </c>
      <c r="E36" s="204" t="s">
        <v>95</v>
      </c>
      <c r="F36" s="206">
        <v>3143</v>
      </c>
      <c r="G36" s="207" t="s">
        <v>596</v>
      </c>
      <c r="H36" s="614" t="s">
        <v>272</v>
      </c>
      <c r="I36" s="420">
        <v>14863</v>
      </c>
      <c r="J36" s="415">
        <v>10639</v>
      </c>
      <c r="K36" s="415">
        <v>0</v>
      </c>
      <c r="L36" s="415">
        <v>10639</v>
      </c>
      <c r="M36" s="415">
        <v>0</v>
      </c>
      <c r="N36" s="415">
        <v>0</v>
      </c>
      <c r="O36" s="415">
        <v>0</v>
      </c>
      <c r="P36" s="68">
        <v>3596</v>
      </c>
      <c r="Q36" s="68">
        <v>106</v>
      </c>
      <c r="R36" s="415">
        <v>522</v>
      </c>
      <c r="S36" s="416">
        <v>0.04</v>
      </c>
      <c r="T36" s="417">
        <v>0</v>
      </c>
      <c r="U36" s="423">
        <v>0.04</v>
      </c>
      <c r="V36" s="424">
        <f t="shared" si="23"/>
        <v>0</v>
      </c>
      <c r="W36" s="418">
        <f t="shared" si="23"/>
        <v>0</v>
      </c>
      <c r="X36" s="418">
        <v>0</v>
      </c>
      <c r="Y36" s="418">
        <v>0</v>
      </c>
      <c r="Z36" s="418">
        <v>0</v>
      </c>
      <c r="AA36" s="605">
        <v>5311</v>
      </c>
      <c r="AB36" s="418">
        <v>0</v>
      </c>
      <c r="AC36" s="418">
        <v>0</v>
      </c>
      <c r="AD36" s="418">
        <f t="shared" si="24"/>
        <v>0</v>
      </c>
      <c r="AE36" s="418">
        <f t="shared" si="25"/>
        <v>5311</v>
      </c>
      <c r="AF36" s="418">
        <f t="shared" si="26"/>
        <v>5311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27"/>
        <v>0</v>
      </c>
      <c r="AM36" s="418">
        <f t="shared" si="28"/>
        <v>0</v>
      </c>
      <c r="AN36" s="418">
        <f t="shared" si="29"/>
        <v>0</v>
      </c>
      <c r="AO36" s="418">
        <f t="shared" si="30"/>
        <v>0</v>
      </c>
      <c r="AP36" s="418">
        <f t="shared" si="30"/>
        <v>5311</v>
      </c>
      <c r="AQ36" s="418">
        <f t="shared" si="31"/>
        <v>5311</v>
      </c>
      <c r="AR36" s="68">
        <f t="shared" si="32"/>
        <v>1795</v>
      </c>
      <c r="AS36" s="68">
        <f t="shared" si="33"/>
        <v>53</v>
      </c>
      <c r="AT36" s="418">
        <v>0</v>
      </c>
      <c r="AU36" s="606">
        <v>261</v>
      </c>
      <c r="AV36" s="418">
        <f t="shared" si="34"/>
        <v>261</v>
      </c>
      <c r="AW36" s="418">
        <f t="shared" si="35"/>
        <v>7420</v>
      </c>
      <c r="AX36" s="419">
        <v>0</v>
      </c>
      <c r="AY36" s="419">
        <v>0</v>
      </c>
      <c r="AZ36" s="419">
        <v>0</v>
      </c>
      <c r="BA36" s="419">
        <v>0</v>
      </c>
      <c r="BB36" s="607">
        <v>0.02</v>
      </c>
      <c r="BC36" s="939">
        <v>0</v>
      </c>
      <c r="BD36" s="419">
        <v>0</v>
      </c>
      <c r="BE36" s="419">
        <v>0</v>
      </c>
      <c r="BF36" s="419">
        <f t="shared" si="36"/>
        <v>0</v>
      </c>
      <c r="BG36" s="419">
        <f t="shared" si="37"/>
        <v>0.02</v>
      </c>
      <c r="BH36" s="421">
        <f t="shared" si="38"/>
        <v>0.02</v>
      </c>
      <c r="BI36" s="780">
        <f t="shared" si="39"/>
        <v>22283</v>
      </c>
      <c r="BJ36" s="418">
        <f t="shared" si="40"/>
        <v>15950</v>
      </c>
      <c r="BK36" s="418">
        <f t="shared" si="41"/>
        <v>0</v>
      </c>
      <c r="BL36" s="418">
        <f t="shared" si="41"/>
        <v>15950</v>
      </c>
      <c r="BM36" s="418">
        <f t="shared" si="42"/>
        <v>0</v>
      </c>
      <c r="BN36" s="418">
        <f t="shared" si="43"/>
        <v>0</v>
      </c>
      <c r="BO36" s="418">
        <f t="shared" si="43"/>
        <v>0</v>
      </c>
      <c r="BP36" s="418">
        <f t="shared" si="44"/>
        <v>5391</v>
      </c>
      <c r="BQ36" s="418">
        <f t="shared" si="44"/>
        <v>159</v>
      </c>
      <c r="BR36" s="418">
        <f t="shared" si="45"/>
        <v>783</v>
      </c>
      <c r="BS36" s="419">
        <f t="shared" si="46"/>
        <v>0.06</v>
      </c>
      <c r="BT36" s="419">
        <f t="shared" si="47"/>
        <v>0</v>
      </c>
      <c r="BU36" s="421">
        <f t="shared" si="47"/>
        <v>0.06</v>
      </c>
      <c r="BV36" s="420"/>
      <c r="BW36" s="415"/>
      <c r="BX36" s="415"/>
      <c r="BY36" s="415"/>
      <c r="BZ36" s="415"/>
      <c r="CA36" s="510"/>
    </row>
    <row r="37" spans="1:79" x14ac:dyDescent="0.2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13"/>
      <c r="I37" s="447">
        <v>6732992</v>
      </c>
      <c r="J37" s="443">
        <v>4916372</v>
      </c>
      <c r="K37" s="443">
        <v>4117252</v>
      </c>
      <c r="L37" s="443">
        <v>799120</v>
      </c>
      <c r="M37" s="443">
        <v>40000</v>
      </c>
      <c r="N37" s="443">
        <v>20000</v>
      </c>
      <c r="O37" s="443">
        <v>20000</v>
      </c>
      <c r="P37" s="443">
        <v>1675254</v>
      </c>
      <c r="Q37" s="443">
        <v>49163</v>
      </c>
      <c r="R37" s="443">
        <v>52203</v>
      </c>
      <c r="S37" s="444">
        <v>9.7622</v>
      </c>
      <c r="T37" s="444">
        <v>7.3299000000000003</v>
      </c>
      <c r="U37" s="449">
        <v>2.4322999999999997</v>
      </c>
      <c r="V37" s="447">
        <f t="shared" ref="V37:CA37" si="48">SUM(V31:V36)</f>
        <v>0</v>
      </c>
      <c r="W37" s="443">
        <f t="shared" si="48"/>
        <v>0</v>
      </c>
      <c r="X37" s="443">
        <f t="shared" si="48"/>
        <v>0</v>
      </c>
      <c r="Y37" s="443">
        <f t="shared" si="48"/>
        <v>0</v>
      </c>
      <c r="Z37" s="443">
        <f t="shared" si="48"/>
        <v>0</v>
      </c>
      <c r="AA37" s="443">
        <f t="shared" si="48"/>
        <v>200308</v>
      </c>
      <c r="AB37" s="443">
        <f t="shared" si="48"/>
        <v>0</v>
      </c>
      <c r="AC37" s="443">
        <f t="shared" si="48"/>
        <v>0</v>
      </c>
      <c r="AD37" s="443">
        <f t="shared" si="48"/>
        <v>0</v>
      </c>
      <c r="AE37" s="443">
        <f t="shared" si="48"/>
        <v>200308</v>
      </c>
      <c r="AF37" s="443">
        <f t="shared" si="48"/>
        <v>200308</v>
      </c>
      <c r="AG37" s="443">
        <f t="shared" si="48"/>
        <v>0</v>
      </c>
      <c r="AH37" s="443">
        <f t="shared" si="48"/>
        <v>0</v>
      </c>
      <c r="AI37" s="443">
        <f t="shared" si="48"/>
        <v>0</v>
      </c>
      <c r="AJ37" s="443">
        <f t="shared" si="48"/>
        <v>0</v>
      </c>
      <c r="AK37" s="443">
        <f t="shared" si="48"/>
        <v>0</v>
      </c>
      <c r="AL37" s="443">
        <f t="shared" si="48"/>
        <v>0</v>
      </c>
      <c r="AM37" s="443">
        <f t="shared" si="48"/>
        <v>0</v>
      </c>
      <c r="AN37" s="443">
        <f t="shared" si="48"/>
        <v>0</v>
      </c>
      <c r="AO37" s="443">
        <f t="shared" si="48"/>
        <v>0</v>
      </c>
      <c r="AP37" s="443">
        <f t="shared" si="48"/>
        <v>200308</v>
      </c>
      <c r="AQ37" s="443">
        <f t="shared" si="48"/>
        <v>200308</v>
      </c>
      <c r="AR37" s="443">
        <f t="shared" si="48"/>
        <v>67704</v>
      </c>
      <c r="AS37" s="443">
        <f t="shared" si="48"/>
        <v>2003</v>
      </c>
      <c r="AT37" s="443">
        <f t="shared" si="48"/>
        <v>0</v>
      </c>
      <c r="AU37" s="443">
        <f t="shared" si="48"/>
        <v>1230</v>
      </c>
      <c r="AV37" s="443">
        <f t="shared" si="48"/>
        <v>1230</v>
      </c>
      <c r="AW37" s="443">
        <f t="shared" si="48"/>
        <v>271245</v>
      </c>
      <c r="AX37" s="444">
        <f t="shared" si="48"/>
        <v>0</v>
      </c>
      <c r="AY37" s="444">
        <f t="shared" si="48"/>
        <v>0</v>
      </c>
      <c r="AZ37" s="444">
        <f t="shared" si="48"/>
        <v>0</v>
      </c>
      <c r="BA37" s="444">
        <f t="shared" si="48"/>
        <v>0</v>
      </c>
      <c r="BB37" s="444">
        <f t="shared" si="48"/>
        <v>0.6</v>
      </c>
      <c r="BC37" s="947">
        <f t="shared" si="48"/>
        <v>0</v>
      </c>
      <c r="BD37" s="444">
        <f t="shared" si="48"/>
        <v>0</v>
      </c>
      <c r="BE37" s="444">
        <f t="shared" si="48"/>
        <v>0</v>
      </c>
      <c r="BF37" s="444">
        <f t="shared" si="48"/>
        <v>0</v>
      </c>
      <c r="BG37" s="444">
        <f t="shared" si="48"/>
        <v>0.6</v>
      </c>
      <c r="BH37" s="40">
        <f t="shared" si="48"/>
        <v>0.6</v>
      </c>
      <c r="BI37" s="451">
        <f t="shared" si="48"/>
        <v>7004237</v>
      </c>
      <c r="BJ37" s="443">
        <f t="shared" si="48"/>
        <v>5116680</v>
      </c>
      <c r="BK37" s="443">
        <f t="shared" si="48"/>
        <v>4117252</v>
      </c>
      <c r="BL37" s="443">
        <f t="shared" si="48"/>
        <v>999428</v>
      </c>
      <c r="BM37" s="443">
        <f t="shared" si="48"/>
        <v>40000</v>
      </c>
      <c r="BN37" s="443">
        <f t="shared" si="48"/>
        <v>20000</v>
      </c>
      <c r="BO37" s="443">
        <f t="shared" si="48"/>
        <v>20000</v>
      </c>
      <c r="BP37" s="443">
        <f t="shared" si="48"/>
        <v>1742958</v>
      </c>
      <c r="BQ37" s="443">
        <f t="shared" si="48"/>
        <v>51166</v>
      </c>
      <c r="BR37" s="443">
        <f t="shared" si="48"/>
        <v>53433</v>
      </c>
      <c r="BS37" s="444">
        <f t="shared" si="48"/>
        <v>10.3622</v>
      </c>
      <c r="BT37" s="444">
        <f t="shared" si="48"/>
        <v>7.3299000000000003</v>
      </c>
      <c r="BU37" s="40">
        <f t="shared" si="48"/>
        <v>3.0322999999999998</v>
      </c>
      <c r="BV37" s="831">
        <f t="shared" si="48"/>
        <v>0</v>
      </c>
      <c r="BW37" s="714">
        <f t="shared" si="48"/>
        <v>0</v>
      </c>
      <c r="BX37" s="714">
        <f t="shared" si="48"/>
        <v>0</v>
      </c>
      <c r="BY37" s="714">
        <f t="shared" si="48"/>
        <v>0</v>
      </c>
      <c r="BZ37" s="714">
        <f t="shared" si="48"/>
        <v>0</v>
      </c>
      <c r="CA37" s="832">
        <f t="shared" si="48"/>
        <v>0</v>
      </c>
    </row>
    <row r="38" spans="1:79" x14ac:dyDescent="0.2">
      <c r="A38" s="205">
        <v>7</v>
      </c>
      <c r="B38" s="206">
        <v>3404</v>
      </c>
      <c r="C38" s="206">
        <v>650023021</v>
      </c>
      <c r="D38" s="206">
        <v>70982597</v>
      </c>
      <c r="E38" s="204" t="s">
        <v>97</v>
      </c>
      <c r="F38" s="206">
        <v>3111</v>
      </c>
      <c r="G38" s="207" t="s">
        <v>290</v>
      </c>
      <c r="H38" s="612" t="s">
        <v>271</v>
      </c>
      <c r="I38" s="420">
        <v>6169597</v>
      </c>
      <c r="J38" s="415">
        <v>4543334</v>
      </c>
      <c r="K38" s="415">
        <v>4303718</v>
      </c>
      <c r="L38" s="415">
        <v>239616</v>
      </c>
      <c r="M38" s="415">
        <v>20000</v>
      </c>
      <c r="N38" s="415">
        <v>20000</v>
      </c>
      <c r="O38" s="415">
        <v>0</v>
      </c>
      <c r="P38" s="68">
        <v>1542407</v>
      </c>
      <c r="Q38" s="68">
        <v>45433</v>
      </c>
      <c r="R38" s="415">
        <v>18423</v>
      </c>
      <c r="S38" s="416">
        <v>8.5405999999999995</v>
      </c>
      <c r="T38" s="417">
        <v>7.5805999999999996</v>
      </c>
      <c r="U38" s="423">
        <v>0.96</v>
      </c>
      <c r="V38" s="424">
        <f t="shared" ref="V38:W43" si="49">AG38*-1</f>
        <v>0</v>
      </c>
      <c r="W38" s="418">
        <f t="shared" si="49"/>
        <v>0</v>
      </c>
      <c r="X38" s="418">
        <v>0</v>
      </c>
      <c r="Y38" s="418">
        <v>0</v>
      </c>
      <c r="Z38" s="418">
        <v>0</v>
      </c>
      <c r="AA38" s="415">
        <v>0</v>
      </c>
      <c r="AB38" s="418">
        <v>0</v>
      </c>
      <c r="AC38" s="418">
        <v>0</v>
      </c>
      <c r="AD38" s="418">
        <f t="shared" ref="AD38:AD43" si="50">V38+X38+Y38+Z38+AB38</f>
        <v>0</v>
      </c>
      <c r="AE38" s="418">
        <f t="shared" ref="AE38:AE43" si="51">W38+AA38+AC38</f>
        <v>0</v>
      </c>
      <c r="AF38" s="418">
        <f t="shared" ref="AF38:AF43" si="52"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 t="shared" ref="AL38:AL43" si="53">AG38+AI38+AJ38</f>
        <v>0</v>
      </c>
      <c r="AM38" s="418">
        <f t="shared" ref="AM38:AM43" si="54">AH38+AK38</f>
        <v>0</v>
      </c>
      <c r="AN38" s="418">
        <f t="shared" ref="AN38:AN43" si="55">SUM(AL38:AM38)</f>
        <v>0</v>
      </c>
      <c r="AO38" s="418">
        <f t="shared" ref="AO38:AP43" si="56">AD38+AL38</f>
        <v>0</v>
      </c>
      <c r="AP38" s="418">
        <f t="shared" si="56"/>
        <v>0</v>
      </c>
      <c r="AQ38" s="418">
        <f t="shared" ref="AQ38:AQ43" si="57">SUM(AO38:AP38)</f>
        <v>0</v>
      </c>
      <c r="AR38" s="68">
        <f t="shared" ref="AR38:AR43" si="58">ROUND((AF38+AG38+AH38+AI38)*33.8%,0)</f>
        <v>0</v>
      </c>
      <c r="AS38" s="68">
        <f t="shared" ref="AS38:AS43" si="59">ROUND(AF38*1%,0)</f>
        <v>0</v>
      </c>
      <c r="AT38" s="418">
        <v>0</v>
      </c>
      <c r="AU38" s="415">
        <v>0</v>
      </c>
      <c r="AV38" s="418">
        <f t="shared" ref="AV38:AV43" si="60">AT38+AU38</f>
        <v>0</v>
      </c>
      <c r="AW38" s="418">
        <f t="shared" ref="AW38:AW43" si="61"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6">
        <v>0</v>
      </c>
      <c r="BC38" s="939">
        <v>0</v>
      </c>
      <c r="BD38" s="419">
        <v>0</v>
      </c>
      <c r="BE38" s="419">
        <v>0</v>
      </c>
      <c r="BF38" s="419">
        <f t="shared" ref="BF38:BF43" si="62">AX38+AZ38+BA38+BC38+BD38</f>
        <v>0</v>
      </c>
      <c r="BG38" s="419">
        <f t="shared" ref="BG38:BG43" si="63">AY38+BB38+BE38</f>
        <v>0</v>
      </c>
      <c r="BH38" s="421">
        <f t="shared" ref="BH38:BH43" si="64">SUM(BF38:BG38)</f>
        <v>0</v>
      </c>
      <c r="BI38" s="780">
        <f t="shared" ref="BI38:BI43" si="65">I38+AW38</f>
        <v>6169597</v>
      </c>
      <c r="BJ38" s="418">
        <f t="shared" ref="BJ38:BJ43" si="66">J38+AF38</f>
        <v>4543334</v>
      </c>
      <c r="BK38" s="418">
        <f t="shared" ref="BK38:BL43" si="67">K38+AD38</f>
        <v>4303718</v>
      </c>
      <c r="BL38" s="418">
        <f t="shared" si="67"/>
        <v>239616</v>
      </c>
      <c r="BM38" s="418">
        <f t="shared" ref="BM38:BM43" si="68">M38+AN38</f>
        <v>20000</v>
      </c>
      <c r="BN38" s="418">
        <f t="shared" ref="BN38:BO43" si="69">N38+AL38</f>
        <v>20000</v>
      </c>
      <c r="BO38" s="418">
        <f t="shared" si="69"/>
        <v>0</v>
      </c>
      <c r="BP38" s="418">
        <f t="shared" ref="BP38:BQ43" si="70">P38+AR38</f>
        <v>1542407</v>
      </c>
      <c r="BQ38" s="418">
        <f t="shared" si="70"/>
        <v>45433</v>
      </c>
      <c r="BR38" s="418">
        <f t="shared" ref="BR38:BR43" si="71">R38+AV38</f>
        <v>18423</v>
      </c>
      <c r="BS38" s="419">
        <f t="shared" ref="BS38:BS43" si="72">S38+BH38</f>
        <v>8.5405999999999995</v>
      </c>
      <c r="BT38" s="419">
        <f t="shared" ref="BT38:BU43" si="73">T38+BF38</f>
        <v>7.5805999999999996</v>
      </c>
      <c r="BU38" s="421">
        <f t="shared" si="73"/>
        <v>0.96</v>
      </c>
      <c r="BV38" s="420"/>
      <c r="BW38" s="415"/>
      <c r="BX38" s="415"/>
      <c r="BY38" s="415"/>
      <c r="BZ38" s="415"/>
      <c r="CA38" s="510"/>
    </row>
    <row r="39" spans="1:79" x14ac:dyDescent="0.2">
      <c r="A39" s="205">
        <v>7</v>
      </c>
      <c r="B39" s="206">
        <v>3404</v>
      </c>
      <c r="C39" s="206">
        <v>650023021</v>
      </c>
      <c r="D39" s="206">
        <v>70982597</v>
      </c>
      <c r="E39" s="204" t="s">
        <v>97</v>
      </c>
      <c r="F39" s="206">
        <v>3113</v>
      </c>
      <c r="G39" s="207" t="s">
        <v>293</v>
      </c>
      <c r="H39" s="612" t="s">
        <v>271</v>
      </c>
      <c r="I39" s="420">
        <v>20540793</v>
      </c>
      <c r="J39" s="415">
        <v>14974646</v>
      </c>
      <c r="K39" s="415">
        <v>13591578</v>
      </c>
      <c r="L39" s="415">
        <v>1383068</v>
      </c>
      <c r="M39" s="415">
        <v>80000</v>
      </c>
      <c r="N39" s="415">
        <v>80000</v>
      </c>
      <c r="O39" s="415">
        <v>0</v>
      </c>
      <c r="P39" s="68">
        <v>5088471</v>
      </c>
      <c r="Q39" s="68">
        <v>149747</v>
      </c>
      <c r="R39" s="415">
        <v>247929</v>
      </c>
      <c r="S39" s="416">
        <v>25.3201</v>
      </c>
      <c r="T39" s="417">
        <v>21.247299999999999</v>
      </c>
      <c r="U39" s="423">
        <v>4.0728</v>
      </c>
      <c r="V39" s="424">
        <f t="shared" si="49"/>
        <v>0</v>
      </c>
      <c r="W39" s="418">
        <f t="shared" si="49"/>
        <v>0</v>
      </c>
      <c r="X39" s="418">
        <v>0</v>
      </c>
      <c r="Y39" s="418">
        <v>0</v>
      </c>
      <c r="Z39" s="418">
        <v>0</v>
      </c>
      <c r="AA39" s="415">
        <v>0</v>
      </c>
      <c r="AB39" s="418">
        <v>0</v>
      </c>
      <c r="AC39" s="418">
        <v>0</v>
      </c>
      <c r="AD39" s="418">
        <f t="shared" si="50"/>
        <v>0</v>
      </c>
      <c r="AE39" s="418">
        <f t="shared" si="51"/>
        <v>0</v>
      </c>
      <c r="AF39" s="418">
        <f t="shared" si="52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53"/>
        <v>0</v>
      </c>
      <c r="AM39" s="418">
        <f t="shared" si="54"/>
        <v>0</v>
      </c>
      <c r="AN39" s="418">
        <f t="shared" si="55"/>
        <v>0</v>
      </c>
      <c r="AO39" s="418">
        <f t="shared" si="56"/>
        <v>0</v>
      </c>
      <c r="AP39" s="418">
        <f t="shared" si="56"/>
        <v>0</v>
      </c>
      <c r="AQ39" s="418">
        <f t="shared" si="57"/>
        <v>0</v>
      </c>
      <c r="AR39" s="68">
        <f t="shared" si="58"/>
        <v>0</v>
      </c>
      <c r="AS39" s="68">
        <f t="shared" si="59"/>
        <v>0</v>
      </c>
      <c r="AT39" s="418">
        <v>0</v>
      </c>
      <c r="AU39" s="415">
        <v>0</v>
      </c>
      <c r="AV39" s="418">
        <f t="shared" si="60"/>
        <v>0</v>
      </c>
      <c r="AW39" s="418">
        <f t="shared" si="61"/>
        <v>0</v>
      </c>
      <c r="AX39" s="419">
        <v>0</v>
      </c>
      <c r="AY39" s="419">
        <v>0</v>
      </c>
      <c r="AZ39" s="419">
        <v>0</v>
      </c>
      <c r="BA39" s="419">
        <v>0</v>
      </c>
      <c r="BB39" s="416">
        <v>0</v>
      </c>
      <c r="BC39" s="939">
        <v>0</v>
      </c>
      <c r="BD39" s="419">
        <v>0</v>
      </c>
      <c r="BE39" s="419">
        <v>0</v>
      </c>
      <c r="BF39" s="419">
        <f t="shared" si="62"/>
        <v>0</v>
      </c>
      <c r="BG39" s="419">
        <f t="shared" si="63"/>
        <v>0</v>
      </c>
      <c r="BH39" s="421">
        <f t="shared" si="64"/>
        <v>0</v>
      </c>
      <c r="BI39" s="780">
        <f t="shared" si="65"/>
        <v>20540793</v>
      </c>
      <c r="BJ39" s="418">
        <f t="shared" si="66"/>
        <v>14974646</v>
      </c>
      <c r="BK39" s="418">
        <f t="shared" si="67"/>
        <v>13591578</v>
      </c>
      <c r="BL39" s="418">
        <f t="shared" si="67"/>
        <v>1383068</v>
      </c>
      <c r="BM39" s="418">
        <f t="shared" si="68"/>
        <v>80000</v>
      </c>
      <c r="BN39" s="418">
        <f t="shared" si="69"/>
        <v>80000</v>
      </c>
      <c r="BO39" s="418">
        <f t="shared" si="69"/>
        <v>0</v>
      </c>
      <c r="BP39" s="418">
        <f t="shared" si="70"/>
        <v>5088471</v>
      </c>
      <c r="BQ39" s="418">
        <f t="shared" si="70"/>
        <v>149747</v>
      </c>
      <c r="BR39" s="418">
        <f t="shared" si="71"/>
        <v>247929</v>
      </c>
      <c r="BS39" s="419">
        <f t="shared" si="72"/>
        <v>25.3201</v>
      </c>
      <c r="BT39" s="419">
        <f t="shared" si="73"/>
        <v>21.247299999999999</v>
      </c>
      <c r="BU39" s="421">
        <f t="shared" si="73"/>
        <v>4.0728</v>
      </c>
      <c r="BV39" s="420">
        <v>380136</v>
      </c>
      <c r="BW39" s="415">
        <v>282000</v>
      </c>
      <c r="BX39" s="415">
        <v>0</v>
      </c>
      <c r="BY39" s="415">
        <v>95316</v>
      </c>
      <c r="BZ39" s="415">
        <v>2820</v>
      </c>
      <c r="CA39" s="510">
        <v>0.5</v>
      </c>
    </row>
    <row r="40" spans="1:79" x14ac:dyDescent="0.2">
      <c r="A40" s="205">
        <v>7</v>
      </c>
      <c r="B40" s="206">
        <v>3404</v>
      </c>
      <c r="C40" s="206">
        <v>650023021</v>
      </c>
      <c r="D40" s="206">
        <v>70982597</v>
      </c>
      <c r="E40" s="204" t="s">
        <v>97</v>
      </c>
      <c r="F40" s="206">
        <v>3113</v>
      </c>
      <c r="G40" s="207" t="s">
        <v>291</v>
      </c>
      <c r="H40" s="612" t="s">
        <v>272</v>
      </c>
      <c r="I40" s="420">
        <v>5110229</v>
      </c>
      <c r="J40" s="415">
        <v>3783552</v>
      </c>
      <c r="K40" s="415">
        <v>3783552</v>
      </c>
      <c r="L40" s="415">
        <v>0</v>
      </c>
      <c r="M40" s="415">
        <v>0</v>
      </c>
      <c r="N40" s="415">
        <v>0</v>
      </c>
      <c r="O40" s="415">
        <v>0</v>
      </c>
      <c r="P40" s="68">
        <v>1278841</v>
      </c>
      <c r="Q40" s="68">
        <v>37836</v>
      </c>
      <c r="R40" s="415">
        <v>10000</v>
      </c>
      <c r="S40" s="416">
        <v>10.219999999999999</v>
      </c>
      <c r="T40" s="417">
        <v>10.219999999999999</v>
      </c>
      <c r="U40" s="423">
        <v>0</v>
      </c>
      <c r="V40" s="424">
        <f t="shared" si="49"/>
        <v>0</v>
      </c>
      <c r="W40" s="418">
        <f t="shared" si="49"/>
        <v>0</v>
      </c>
      <c r="X40" s="418">
        <v>0</v>
      </c>
      <c r="Y40" s="418">
        <v>0</v>
      </c>
      <c r="Z40" s="418">
        <v>0</v>
      </c>
      <c r="AA40" s="415">
        <v>0</v>
      </c>
      <c r="AB40" s="418">
        <v>0</v>
      </c>
      <c r="AC40" s="418">
        <v>0</v>
      </c>
      <c r="AD40" s="418">
        <f t="shared" si="50"/>
        <v>0</v>
      </c>
      <c r="AE40" s="418">
        <f t="shared" si="51"/>
        <v>0</v>
      </c>
      <c r="AF40" s="418">
        <f t="shared" si="52"/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 t="shared" si="53"/>
        <v>0</v>
      </c>
      <c r="AM40" s="418">
        <f t="shared" si="54"/>
        <v>0</v>
      </c>
      <c r="AN40" s="418">
        <f t="shared" si="55"/>
        <v>0</v>
      </c>
      <c r="AO40" s="418">
        <f t="shared" si="56"/>
        <v>0</v>
      </c>
      <c r="AP40" s="418">
        <f t="shared" si="56"/>
        <v>0</v>
      </c>
      <c r="AQ40" s="418">
        <f t="shared" si="57"/>
        <v>0</v>
      </c>
      <c r="AR40" s="68">
        <f t="shared" si="58"/>
        <v>0</v>
      </c>
      <c r="AS40" s="68">
        <f t="shared" si="59"/>
        <v>0</v>
      </c>
      <c r="AT40" s="418">
        <v>0</v>
      </c>
      <c r="AU40" s="415">
        <v>0</v>
      </c>
      <c r="AV40" s="418">
        <f t="shared" si="60"/>
        <v>0</v>
      </c>
      <c r="AW40" s="418">
        <f t="shared" si="61"/>
        <v>0</v>
      </c>
      <c r="AX40" s="419">
        <v>0</v>
      </c>
      <c r="AY40" s="419">
        <v>0</v>
      </c>
      <c r="AZ40" s="419">
        <v>0</v>
      </c>
      <c r="BA40" s="419">
        <v>0</v>
      </c>
      <c r="BB40" s="416">
        <v>0</v>
      </c>
      <c r="BC40" s="939">
        <v>0</v>
      </c>
      <c r="BD40" s="419">
        <v>0</v>
      </c>
      <c r="BE40" s="419">
        <v>0</v>
      </c>
      <c r="BF40" s="419">
        <f t="shared" si="62"/>
        <v>0</v>
      </c>
      <c r="BG40" s="419">
        <f t="shared" si="63"/>
        <v>0</v>
      </c>
      <c r="BH40" s="421">
        <f t="shared" si="64"/>
        <v>0</v>
      </c>
      <c r="BI40" s="780">
        <f t="shared" si="65"/>
        <v>5110229</v>
      </c>
      <c r="BJ40" s="418">
        <f t="shared" si="66"/>
        <v>3783552</v>
      </c>
      <c r="BK40" s="418">
        <f t="shared" si="67"/>
        <v>3783552</v>
      </c>
      <c r="BL40" s="418">
        <f t="shared" si="67"/>
        <v>0</v>
      </c>
      <c r="BM40" s="418">
        <f t="shared" si="68"/>
        <v>0</v>
      </c>
      <c r="BN40" s="418">
        <f t="shared" si="69"/>
        <v>0</v>
      </c>
      <c r="BO40" s="418">
        <f t="shared" si="69"/>
        <v>0</v>
      </c>
      <c r="BP40" s="418">
        <f t="shared" si="70"/>
        <v>1278841</v>
      </c>
      <c r="BQ40" s="418">
        <f t="shared" si="70"/>
        <v>37836</v>
      </c>
      <c r="BR40" s="418">
        <f t="shared" si="71"/>
        <v>10000</v>
      </c>
      <c r="BS40" s="419">
        <f t="shared" si="72"/>
        <v>10.219999999999999</v>
      </c>
      <c r="BT40" s="419">
        <f t="shared" si="73"/>
        <v>10.219999999999999</v>
      </c>
      <c r="BU40" s="421">
        <f t="shared" si="73"/>
        <v>0</v>
      </c>
      <c r="BV40" s="420"/>
      <c r="BW40" s="415"/>
      <c r="BX40" s="415"/>
      <c r="BY40" s="415"/>
      <c r="BZ40" s="415"/>
      <c r="CA40" s="510"/>
    </row>
    <row r="41" spans="1:79" x14ac:dyDescent="0.2">
      <c r="A41" s="205">
        <v>7</v>
      </c>
      <c r="B41" s="206">
        <v>3404</v>
      </c>
      <c r="C41" s="206">
        <v>650023021</v>
      </c>
      <c r="D41" s="206">
        <v>70982597</v>
      </c>
      <c r="E41" s="204" t="s">
        <v>97</v>
      </c>
      <c r="F41" s="206">
        <v>3141</v>
      </c>
      <c r="G41" s="207" t="s">
        <v>294</v>
      </c>
      <c r="H41" s="612" t="s">
        <v>272</v>
      </c>
      <c r="I41" s="420">
        <v>1580415</v>
      </c>
      <c r="J41" s="415">
        <v>1164979</v>
      </c>
      <c r="K41" s="415">
        <v>0</v>
      </c>
      <c r="L41" s="415">
        <v>1164979</v>
      </c>
      <c r="M41" s="415">
        <v>0</v>
      </c>
      <c r="N41" s="415">
        <v>0</v>
      </c>
      <c r="O41" s="415">
        <v>0</v>
      </c>
      <c r="P41" s="68">
        <v>393763</v>
      </c>
      <c r="Q41" s="68">
        <v>11650</v>
      </c>
      <c r="R41" s="415">
        <v>10023</v>
      </c>
      <c r="S41" s="416">
        <v>3.49</v>
      </c>
      <c r="T41" s="417">
        <v>0</v>
      </c>
      <c r="U41" s="423">
        <v>3.49</v>
      </c>
      <c r="V41" s="424">
        <f t="shared" si="49"/>
        <v>0</v>
      </c>
      <c r="W41" s="418">
        <f t="shared" si="49"/>
        <v>0</v>
      </c>
      <c r="X41" s="418">
        <v>0</v>
      </c>
      <c r="Y41" s="418">
        <v>0</v>
      </c>
      <c r="Z41" s="418">
        <v>0</v>
      </c>
      <c r="AA41" s="415">
        <v>583176</v>
      </c>
      <c r="AB41" s="418">
        <v>0</v>
      </c>
      <c r="AC41" s="418">
        <v>0</v>
      </c>
      <c r="AD41" s="418">
        <f t="shared" si="50"/>
        <v>0</v>
      </c>
      <c r="AE41" s="418">
        <f t="shared" si="51"/>
        <v>583176</v>
      </c>
      <c r="AF41" s="418">
        <f t="shared" si="52"/>
        <v>583176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53"/>
        <v>0</v>
      </c>
      <c r="AM41" s="418">
        <f t="shared" si="54"/>
        <v>0</v>
      </c>
      <c r="AN41" s="418">
        <f t="shared" si="55"/>
        <v>0</v>
      </c>
      <c r="AO41" s="418">
        <f t="shared" si="56"/>
        <v>0</v>
      </c>
      <c r="AP41" s="418">
        <f t="shared" si="56"/>
        <v>583176</v>
      </c>
      <c r="AQ41" s="418">
        <f t="shared" si="57"/>
        <v>583176</v>
      </c>
      <c r="AR41" s="68">
        <f t="shared" si="58"/>
        <v>197113</v>
      </c>
      <c r="AS41" s="68">
        <f t="shared" si="59"/>
        <v>5832</v>
      </c>
      <c r="AT41" s="418">
        <v>0</v>
      </c>
      <c r="AU41" s="415">
        <v>4845</v>
      </c>
      <c r="AV41" s="418">
        <f t="shared" si="60"/>
        <v>4845</v>
      </c>
      <c r="AW41" s="418">
        <f t="shared" si="61"/>
        <v>790966</v>
      </c>
      <c r="AX41" s="419">
        <v>0</v>
      </c>
      <c r="AY41" s="419">
        <v>0</v>
      </c>
      <c r="AZ41" s="419">
        <v>0</v>
      </c>
      <c r="BA41" s="419">
        <v>0</v>
      </c>
      <c r="BB41" s="416">
        <v>1.75</v>
      </c>
      <c r="BC41" s="939">
        <v>0</v>
      </c>
      <c r="BD41" s="419">
        <v>0</v>
      </c>
      <c r="BE41" s="419">
        <v>0</v>
      </c>
      <c r="BF41" s="419">
        <f t="shared" si="62"/>
        <v>0</v>
      </c>
      <c r="BG41" s="419">
        <f t="shared" si="63"/>
        <v>1.75</v>
      </c>
      <c r="BH41" s="421">
        <f t="shared" si="64"/>
        <v>1.75</v>
      </c>
      <c r="BI41" s="780">
        <f t="shared" si="65"/>
        <v>2371381</v>
      </c>
      <c r="BJ41" s="418">
        <f t="shared" si="66"/>
        <v>1748155</v>
      </c>
      <c r="BK41" s="418">
        <f t="shared" si="67"/>
        <v>0</v>
      </c>
      <c r="BL41" s="418">
        <f t="shared" si="67"/>
        <v>1748155</v>
      </c>
      <c r="BM41" s="418">
        <f t="shared" si="68"/>
        <v>0</v>
      </c>
      <c r="BN41" s="418">
        <f t="shared" si="69"/>
        <v>0</v>
      </c>
      <c r="BO41" s="418">
        <f t="shared" si="69"/>
        <v>0</v>
      </c>
      <c r="BP41" s="418">
        <f t="shared" si="70"/>
        <v>590876</v>
      </c>
      <c r="BQ41" s="418">
        <f t="shared" si="70"/>
        <v>17482</v>
      </c>
      <c r="BR41" s="418">
        <f t="shared" si="71"/>
        <v>14868</v>
      </c>
      <c r="BS41" s="419">
        <f t="shared" si="72"/>
        <v>5.24</v>
      </c>
      <c r="BT41" s="419">
        <f t="shared" si="73"/>
        <v>0</v>
      </c>
      <c r="BU41" s="421">
        <f t="shared" si="73"/>
        <v>5.24</v>
      </c>
      <c r="BV41" s="420"/>
      <c r="BW41" s="415"/>
      <c r="BX41" s="415"/>
      <c r="BY41" s="415"/>
      <c r="BZ41" s="415"/>
      <c r="CA41" s="510"/>
    </row>
    <row r="42" spans="1:79" s="3" customFormat="1" x14ac:dyDescent="0.2">
      <c r="A42" s="205">
        <v>7</v>
      </c>
      <c r="B42" s="206">
        <v>3404</v>
      </c>
      <c r="C42" s="206">
        <v>650023021</v>
      </c>
      <c r="D42" s="206">
        <v>70982597</v>
      </c>
      <c r="E42" s="204" t="s">
        <v>97</v>
      </c>
      <c r="F42" s="206">
        <v>3143</v>
      </c>
      <c r="G42" s="207" t="s">
        <v>595</v>
      </c>
      <c r="H42" s="614" t="s">
        <v>271</v>
      </c>
      <c r="I42" s="420">
        <v>1945045</v>
      </c>
      <c r="J42" s="415">
        <v>1442912</v>
      </c>
      <c r="K42" s="415">
        <v>1442912</v>
      </c>
      <c r="L42" s="415">
        <v>0</v>
      </c>
      <c r="M42" s="415">
        <v>0</v>
      </c>
      <c r="N42" s="415">
        <v>0</v>
      </c>
      <c r="O42" s="415">
        <v>0</v>
      </c>
      <c r="P42" s="68">
        <v>487704</v>
      </c>
      <c r="Q42" s="68">
        <v>14429</v>
      </c>
      <c r="R42" s="415">
        <v>0</v>
      </c>
      <c r="S42" s="416">
        <v>2.9643000000000002</v>
      </c>
      <c r="T42" s="417">
        <v>2.9643000000000002</v>
      </c>
      <c r="U42" s="423">
        <v>0</v>
      </c>
      <c r="V42" s="424">
        <f t="shared" si="49"/>
        <v>0</v>
      </c>
      <c r="W42" s="418">
        <f t="shared" si="49"/>
        <v>0</v>
      </c>
      <c r="X42" s="418">
        <v>0</v>
      </c>
      <c r="Y42" s="418">
        <v>0</v>
      </c>
      <c r="Z42" s="418">
        <v>0</v>
      </c>
      <c r="AA42" s="415">
        <v>0</v>
      </c>
      <c r="AB42" s="418">
        <v>0</v>
      </c>
      <c r="AC42" s="418">
        <v>0</v>
      </c>
      <c r="AD42" s="418">
        <f t="shared" si="50"/>
        <v>0</v>
      </c>
      <c r="AE42" s="418">
        <f t="shared" si="51"/>
        <v>0</v>
      </c>
      <c r="AF42" s="418">
        <f t="shared" si="52"/>
        <v>0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53"/>
        <v>0</v>
      </c>
      <c r="AM42" s="418">
        <f t="shared" si="54"/>
        <v>0</v>
      </c>
      <c r="AN42" s="418">
        <f t="shared" si="55"/>
        <v>0</v>
      </c>
      <c r="AO42" s="418">
        <f t="shared" si="56"/>
        <v>0</v>
      </c>
      <c r="AP42" s="418">
        <f t="shared" si="56"/>
        <v>0</v>
      </c>
      <c r="AQ42" s="418">
        <f t="shared" si="57"/>
        <v>0</v>
      </c>
      <c r="AR42" s="68">
        <f t="shared" si="58"/>
        <v>0</v>
      </c>
      <c r="AS42" s="68">
        <f t="shared" si="59"/>
        <v>0</v>
      </c>
      <c r="AT42" s="418">
        <v>0</v>
      </c>
      <c r="AU42" s="415">
        <v>0</v>
      </c>
      <c r="AV42" s="418">
        <f t="shared" si="60"/>
        <v>0</v>
      </c>
      <c r="AW42" s="418">
        <f t="shared" si="61"/>
        <v>0</v>
      </c>
      <c r="AX42" s="419">
        <v>0</v>
      </c>
      <c r="AY42" s="419">
        <v>0</v>
      </c>
      <c r="AZ42" s="419">
        <v>0</v>
      </c>
      <c r="BA42" s="419">
        <v>0</v>
      </c>
      <c r="BB42" s="416">
        <v>0</v>
      </c>
      <c r="BC42" s="939">
        <v>0</v>
      </c>
      <c r="BD42" s="419">
        <v>0</v>
      </c>
      <c r="BE42" s="419">
        <v>0</v>
      </c>
      <c r="BF42" s="419">
        <f t="shared" si="62"/>
        <v>0</v>
      </c>
      <c r="BG42" s="419">
        <f t="shared" si="63"/>
        <v>0</v>
      </c>
      <c r="BH42" s="421">
        <f t="shared" si="64"/>
        <v>0</v>
      </c>
      <c r="BI42" s="780">
        <f t="shared" si="65"/>
        <v>1945045</v>
      </c>
      <c r="BJ42" s="418">
        <f t="shared" si="66"/>
        <v>1442912</v>
      </c>
      <c r="BK42" s="418">
        <f t="shared" si="67"/>
        <v>1442912</v>
      </c>
      <c r="BL42" s="418">
        <f t="shared" si="67"/>
        <v>0</v>
      </c>
      <c r="BM42" s="418">
        <f t="shared" si="68"/>
        <v>0</v>
      </c>
      <c r="BN42" s="418">
        <f t="shared" si="69"/>
        <v>0</v>
      </c>
      <c r="BO42" s="418">
        <f t="shared" si="69"/>
        <v>0</v>
      </c>
      <c r="BP42" s="418">
        <f t="shared" si="70"/>
        <v>487704</v>
      </c>
      <c r="BQ42" s="418">
        <f t="shared" si="70"/>
        <v>14429</v>
      </c>
      <c r="BR42" s="418">
        <f t="shared" si="71"/>
        <v>0</v>
      </c>
      <c r="BS42" s="419">
        <f t="shared" si="72"/>
        <v>2.9643000000000002</v>
      </c>
      <c r="BT42" s="419">
        <f t="shared" si="73"/>
        <v>2.9643000000000002</v>
      </c>
      <c r="BU42" s="421">
        <f t="shared" si="73"/>
        <v>0</v>
      </c>
      <c r="BV42" s="420"/>
      <c r="BW42" s="415"/>
      <c r="BX42" s="415"/>
      <c r="BY42" s="415"/>
      <c r="BZ42" s="415"/>
      <c r="CA42" s="510"/>
    </row>
    <row r="43" spans="1:79" s="3" customFormat="1" x14ac:dyDescent="0.2">
      <c r="A43" s="205">
        <v>7</v>
      </c>
      <c r="B43" s="206">
        <v>3404</v>
      </c>
      <c r="C43" s="206">
        <v>650023021</v>
      </c>
      <c r="D43" s="206">
        <v>70982597</v>
      </c>
      <c r="E43" s="204" t="s">
        <v>97</v>
      </c>
      <c r="F43" s="206">
        <v>3143</v>
      </c>
      <c r="G43" s="207" t="s">
        <v>596</v>
      </c>
      <c r="H43" s="614" t="s">
        <v>272</v>
      </c>
      <c r="I43" s="420">
        <v>36366</v>
      </c>
      <c r="J43" s="415">
        <v>26030</v>
      </c>
      <c r="K43" s="415">
        <v>0</v>
      </c>
      <c r="L43" s="415">
        <v>26030</v>
      </c>
      <c r="M43" s="415">
        <v>0</v>
      </c>
      <c r="N43" s="415">
        <v>0</v>
      </c>
      <c r="O43" s="415">
        <v>0</v>
      </c>
      <c r="P43" s="68">
        <v>8798</v>
      </c>
      <c r="Q43" s="68">
        <v>260</v>
      </c>
      <c r="R43" s="415">
        <v>1278</v>
      </c>
      <c r="S43" s="416">
        <v>0.1</v>
      </c>
      <c r="T43" s="417">
        <v>0</v>
      </c>
      <c r="U43" s="423">
        <v>0.1</v>
      </c>
      <c r="V43" s="424">
        <f t="shared" si="49"/>
        <v>0</v>
      </c>
      <c r="W43" s="418">
        <f t="shared" si="49"/>
        <v>0</v>
      </c>
      <c r="X43" s="418">
        <v>0</v>
      </c>
      <c r="Y43" s="418">
        <v>0</v>
      </c>
      <c r="Z43" s="418">
        <v>0</v>
      </c>
      <c r="AA43" s="605">
        <v>13020</v>
      </c>
      <c r="AB43" s="418">
        <v>0</v>
      </c>
      <c r="AC43" s="418">
        <v>0</v>
      </c>
      <c r="AD43" s="418">
        <f t="shared" si="50"/>
        <v>0</v>
      </c>
      <c r="AE43" s="418">
        <f t="shared" si="51"/>
        <v>13020</v>
      </c>
      <c r="AF43" s="418">
        <f t="shared" si="52"/>
        <v>13020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 t="shared" si="53"/>
        <v>0</v>
      </c>
      <c r="AM43" s="418">
        <f t="shared" si="54"/>
        <v>0</v>
      </c>
      <c r="AN43" s="418">
        <f t="shared" si="55"/>
        <v>0</v>
      </c>
      <c r="AO43" s="418">
        <f t="shared" si="56"/>
        <v>0</v>
      </c>
      <c r="AP43" s="418">
        <f t="shared" si="56"/>
        <v>13020</v>
      </c>
      <c r="AQ43" s="418">
        <f t="shared" si="57"/>
        <v>13020</v>
      </c>
      <c r="AR43" s="68">
        <f t="shared" si="58"/>
        <v>4401</v>
      </c>
      <c r="AS43" s="68">
        <f t="shared" si="59"/>
        <v>130</v>
      </c>
      <c r="AT43" s="418">
        <v>0</v>
      </c>
      <c r="AU43" s="606">
        <v>639</v>
      </c>
      <c r="AV43" s="418">
        <f t="shared" si="60"/>
        <v>639</v>
      </c>
      <c r="AW43" s="418">
        <f t="shared" si="61"/>
        <v>18190</v>
      </c>
      <c r="AX43" s="419">
        <v>0</v>
      </c>
      <c r="AY43" s="419">
        <v>0</v>
      </c>
      <c r="AZ43" s="419">
        <v>0</v>
      </c>
      <c r="BA43" s="419">
        <v>0</v>
      </c>
      <c r="BB43" s="607">
        <v>0.05</v>
      </c>
      <c r="BC43" s="939">
        <v>0</v>
      </c>
      <c r="BD43" s="419">
        <v>0</v>
      </c>
      <c r="BE43" s="419">
        <v>0</v>
      </c>
      <c r="BF43" s="419">
        <f t="shared" si="62"/>
        <v>0</v>
      </c>
      <c r="BG43" s="419">
        <f t="shared" si="63"/>
        <v>0.05</v>
      </c>
      <c r="BH43" s="421">
        <f t="shared" si="64"/>
        <v>0.05</v>
      </c>
      <c r="BI43" s="780">
        <f t="shared" si="65"/>
        <v>54556</v>
      </c>
      <c r="BJ43" s="418">
        <f t="shared" si="66"/>
        <v>39050</v>
      </c>
      <c r="BK43" s="418">
        <f t="shared" si="67"/>
        <v>0</v>
      </c>
      <c r="BL43" s="418">
        <f t="shared" si="67"/>
        <v>39050</v>
      </c>
      <c r="BM43" s="418">
        <f t="shared" si="68"/>
        <v>0</v>
      </c>
      <c r="BN43" s="418">
        <f t="shared" si="69"/>
        <v>0</v>
      </c>
      <c r="BO43" s="418">
        <f t="shared" si="69"/>
        <v>0</v>
      </c>
      <c r="BP43" s="418">
        <f t="shared" si="70"/>
        <v>13199</v>
      </c>
      <c r="BQ43" s="418">
        <f t="shared" si="70"/>
        <v>390</v>
      </c>
      <c r="BR43" s="418">
        <f t="shared" si="71"/>
        <v>1917</v>
      </c>
      <c r="BS43" s="419">
        <f t="shared" si="72"/>
        <v>0.15000000000000002</v>
      </c>
      <c r="BT43" s="419">
        <f t="shared" si="73"/>
        <v>0</v>
      </c>
      <c r="BU43" s="421">
        <f t="shared" si="73"/>
        <v>0.15000000000000002</v>
      </c>
      <c r="BV43" s="420"/>
      <c r="BW43" s="415"/>
      <c r="BX43" s="415"/>
      <c r="BY43" s="415"/>
      <c r="BZ43" s="415"/>
      <c r="CA43" s="510"/>
    </row>
    <row r="44" spans="1:79" x14ac:dyDescent="0.2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13"/>
      <c r="I44" s="447">
        <v>35382445</v>
      </c>
      <c r="J44" s="443">
        <v>25935453</v>
      </c>
      <c r="K44" s="443">
        <v>23121760</v>
      </c>
      <c r="L44" s="443">
        <v>2813693</v>
      </c>
      <c r="M44" s="443">
        <v>100000</v>
      </c>
      <c r="N44" s="443">
        <v>100000</v>
      </c>
      <c r="O44" s="443">
        <v>0</v>
      </c>
      <c r="P44" s="443">
        <v>8799984</v>
      </c>
      <c r="Q44" s="443">
        <v>259355</v>
      </c>
      <c r="R44" s="443">
        <v>287653</v>
      </c>
      <c r="S44" s="444">
        <v>50.635000000000005</v>
      </c>
      <c r="T44" s="444">
        <v>42.0122</v>
      </c>
      <c r="U44" s="449">
        <v>8.6227999999999998</v>
      </c>
      <c r="V44" s="447">
        <f t="shared" ref="V44:CA44" si="74">SUM(V38:V43)</f>
        <v>0</v>
      </c>
      <c r="W44" s="443">
        <f t="shared" si="74"/>
        <v>0</v>
      </c>
      <c r="X44" s="443">
        <f t="shared" si="74"/>
        <v>0</v>
      </c>
      <c r="Y44" s="443">
        <f t="shared" si="74"/>
        <v>0</v>
      </c>
      <c r="Z44" s="443">
        <f t="shared" si="74"/>
        <v>0</v>
      </c>
      <c r="AA44" s="443">
        <f t="shared" si="74"/>
        <v>596196</v>
      </c>
      <c r="AB44" s="443">
        <f t="shared" si="74"/>
        <v>0</v>
      </c>
      <c r="AC44" s="443">
        <f t="shared" si="74"/>
        <v>0</v>
      </c>
      <c r="AD44" s="443">
        <f t="shared" si="74"/>
        <v>0</v>
      </c>
      <c r="AE44" s="443">
        <f t="shared" si="74"/>
        <v>596196</v>
      </c>
      <c r="AF44" s="443">
        <f t="shared" si="74"/>
        <v>596196</v>
      </c>
      <c r="AG44" s="443">
        <f t="shared" si="74"/>
        <v>0</v>
      </c>
      <c r="AH44" s="443">
        <f t="shared" si="74"/>
        <v>0</v>
      </c>
      <c r="AI44" s="443">
        <f t="shared" si="74"/>
        <v>0</v>
      </c>
      <c r="AJ44" s="443">
        <f t="shared" si="74"/>
        <v>0</v>
      </c>
      <c r="AK44" s="443">
        <f t="shared" si="74"/>
        <v>0</v>
      </c>
      <c r="AL44" s="443">
        <f t="shared" si="74"/>
        <v>0</v>
      </c>
      <c r="AM44" s="443">
        <f t="shared" si="74"/>
        <v>0</v>
      </c>
      <c r="AN44" s="443">
        <f t="shared" si="74"/>
        <v>0</v>
      </c>
      <c r="AO44" s="443">
        <f t="shared" si="74"/>
        <v>0</v>
      </c>
      <c r="AP44" s="443">
        <f t="shared" si="74"/>
        <v>596196</v>
      </c>
      <c r="AQ44" s="443">
        <f t="shared" si="74"/>
        <v>596196</v>
      </c>
      <c r="AR44" s="443">
        <f t="shared" si="74"/>
        <v>201514</v>
      </c>
      <c r="AS44" s="443">
        <f t="shared" si="74"/>
        <v>5962</v>
      </c>
      <c r="AT44" s="443">
        <f t="shared" si="74"/>
        <v>0</v>
      </c>
      <c r="AU44" s="443">
        <f t="shared" si="74"/>
        <v>5484</v>
      </c>
      <c r="AV44" s="443">
        <f t="shared" si="74"/>
        <v>5484</v>
      </c>
      <c r="AW44" s="443">
        <f t="shared" si="74"/>
        <v>809156</v>
      </c>
      <c r="AX44" s="444">
        <f t="shared" si="74"/>
        <v>0</v>
      </c>
      <c r="AY44" s="444">
        <f t="shared" si="74"/>
        <v>0</v>
      </c>
      <c r="AZ44" s="444">
        <f t="shared" si="74"/>
        <v>0</v>
      </c>
      <c r="BA44" s="444">
        <f t="shared" si="74"/>
        <v>0</v>
      </c>
      <c r="BB44" s="444">
        <f t="shared" si="74"/>
        <v>1.8</v>
      </c>
      <c r="BC44" s="947">
        <f t="shared" si="74"/>
        <v>0</v>
      </c>
      <c r="BD44" s="444">
        <f t="shared" si="74"/>
        <v>0</v>
      </c>
      <c r="BE44" s="444">
        <f t="shared" si="74"/>
        <v>0</v>
      </c>
      <c r="BF44" s="444">
        <f t="shared" si="74"/>
        <v>0</v>
      </c>
      <c r="BG44" s="444">
        <f t="shared" si="74"/>
        <v>1.8</v>
      </c>
      <c r="BH44" s="40">
        <f t="shared" si="74"/>
        <v>1.8</v>
      </c>
      <c r="BI44" s="451">
        <f t="shared" si="74"/>
        <v>36191601</v>
      </c>
      <c r="BJ44" s="443">
        <f t="shared" si="74"/>
        <v>26531649</v>
      </c>
      <c r="BK44" s="443">
        <f t="shared" si="74"/>
        <v>23121760</v>
      </c>
      <c r="BL44" s="443">
        <f t="shared" si="74"/>
        <v>3409889</v>
      </c>
      <c r="BM44" s="443">
        <f t="shared" si="74"/>
        <v>100000</v>
      </c>
      <c r="BN44" s="443">
        <f t="shared" si="74"/>
        <v>100000</v>
      </c>
      <c r="BO44" s="443">
        <f t="shared" si="74"/>
        <v>0</v>
      </c>
      <c r="BP44" s="443">
        <f t="shared" si="74"/>
        <v>9001498</v>
      </c>
      <c r="BQ44" s="443">
        <f t="shared" si="74"/>
        <v>265317</v>
      </c>
      <c r="BR44" s="443">
        <f t="shared" si="74"/>
        <v>293137</v>
      </c>
      <c r="BS44" s="444">
        <f t="shared" si="74"/>
        <v>52.435000000000002</v>
      </c>
      <c r="BT44" s="444">
        <f t="shared" si="74"/>
        <v>42.0122</v>
      </c>
      <c r="BU44" s="40">
        <f t="shared" si="74"/>
        <v>10.422800000000001</v>
      </c>
      <c r="BV44" s="831">
        <f t="shared" si="74"/>
        <v>380136</v>
      </c>
      <c r="BW44" s="714">
        <f t="shared" si="74"/>
        <v>282000</v>
      </c>
      <c r="BX44" s="714">
        <f t="shared" si="74"/>
        <v>0</v>
      </c>
      <c r="BY44" s="714">
        <f t="shared" si="74"/>
        <v>95316</v>
      </c>
      <c r="BZ44" s="714">
        <f t="shared" si="74"/>
        <v>2820</v>
      </c>
      <c r="CA44" s="832">
        <f t="shared" si="74"/>
        <v>0.5</v>
      </c>
    </row>
    <row r="45" spans="1:79" x14ac:dyDescent="0.2">
      <c r="A45" s="205">
        <v>8</v>
      </c>
      <c r="B45" s="206">
        <v>3477</v>
      </c>
      <c r="C45" s="206">
        <v>600098451</v>
      </c>
      <c r="D45" s="206">
        <v>70695491</v>
      </c>
      <c r="E45" s="204" t="s">
        <v>99</v>
      </c>
      <c r="F45" s="206">
        <v>3111</v>
      </c>
      <c r="G45" s="207" t="s">
        <v>290</v>
      </c>
      <c r="H45" s="612" t="s">
        <v>271</v>
      </c>
      <c r="I45" s="420">
        <v>4214059</v>
      </c>
      <c r="J45" s="415">
        <v>3115018</v>
      </c>
      <c r="K45" s="415">
        <v>2793581</v>
      </c>
      <c r="L45" s="415">
        <v>321437</v>
      </c>
      <c r="M45" s="415">
        <v>0</v>
      </c>
      <c r="N45" s="415">
        <v>0</v>
      </c>
      <c r="O45" s="415">
        <v>0</v>
      </c>
      <c r="P45" s="68">
        <v>1052876</v>
      </c>
      <c r="Q45" s="68">
        <v>31150</v>
      </c>
      <c r="R45" s="415">
        <v>15015</v>
      </c>
      <c r="S45" s="416">
        <v>6.0750000000000002</v>
      </c>
      <c r="T45" s="417">
        <v>5</v>
      </c>
      <c r="U45" s="423">
        <v>1.0750000000000002</v>
      </c>
      <c r="V45" s="424">
        <f t="shared" ref="V45:W47" si="75">AG45*-1</f>
        <v>0</v>
      </c>
      <c r="W45" s="418">
        <f t="shared" si="75"/>
        <v>0</v>
      </c>
      <c r="X45" s="418">
        <v>0</v>
      </c>
      <c r="Y45" s="418">
        <v>0</v>
      </c>
      <c r="Z45" s="418">
        <v>0</v>
      </c>
      <c r="AA45" s="415">
        <v>0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0</v>
      </c>
      <c r="AF45" s="418">
        <f>SUM(AD45:AE45)</f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 t="shared" ref="AO45:AP47" si="76">AD45+AL45</f>
        <v>0</v>
      </c>
      <c r="AP45" s="418">
        <f t="shared" si="76"/>
        <v>0</v>
      </c>
      <c r="AQ45" s="418">
        <f>SUM(AO45:AP45)</f>
        <v>0</v>
      </c>
      <c r="AR45" s="68">
        <f>ROUND((AF45+AG45+AH45+AI45)*33.8%,0)</f>
        <v>0</v>
      </c>
      <c r="AS45" s="68">
        <f>ROUND(AF45*1%,0)</f>
        <v>0</v>
      </c>
      <c r="AT45" s="418">
        <v>0</v>
      </c>
      <c r="AU45" s="415">
        <v>0</v>
      </c>
      <c r="AV45" s="418">
        <f>AT45+AU45</f>
        <v>0</v>
      </c>
      <c r="AW45" s="418">
        <f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6">
        <v>0</v>
      </c>
      <c r="BC45" s="93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</v>
      </c>
      <c r="BH45" s="421">
        <f>SUM(BF45:BG45)</f>
        <v>0</v>
      </c>
      <c r="BI45" s="780">
        <f>I45+AW45</f>
        <v>4214059</v>
      </c>
      <c r="BJ45" s="418">
        <f>J45+AF45</f>
        <v>3115018</v>
      </c>
      <c r="BK45" s="418">
        <f t="shared" ref="BK45:BL47" si="77">K45+AD45</f>
        <v>2793581</v>
      </c>
      <c r="BL45" s="418">
        <f t="shared" si="77"/>
        <v>321437</v>
      </c>
      <c r="BM45" s="418">
        <f>M45+AN45</f>
        <v>0</v>
      </c>
      <c r="BN45" s="418">
        <f t="shared" ref="BN45:BO47" si="78">N45+AL45</f>
        <v>0</v>
      </c>
      <c r="BO45" s="418">
        <f t="shared" si="78"/>
        <v>0</v>
      </c>
      <c r="BP45" s="418">
        <f t="shared" ref="BP45:BQ47" si="79">P45+AR45</f>
        <v>1052876</v>
      </c>
      <c r="BQ45" s="418">
        <f t="shared" si="79"/>
        <v>31150</v>
      </c>
      <c r="BR45" s="418">
        <f>R45+AV45</f>
        <v>15015</v>
      </c>
      <c r="BS45" s="419">
        <f>S45+BH45</f>
        <v>6.0750000000000002</v>
      </c>
      <c r="BT45" s="419">
        <f t="shared" ref="BT45:BU47" si="80">T45+BF45</f>
        <v>5</v>
      </c>
      <c r="BU45" s="421">
        <f t="shared" si="80"/>
        <v>1.0750000000000002</v>
      </c>
      <c r="BV45" s="420"/>
      <c r="BW45" s="415"/>
      <c r="BX45" s="415"/>
      <c r="BY45" s="415"/>
      <c r="BZ45" s="415"/>
      <c r="CA45" s="510"/>
    </row>
    <row r="46" spans="1:79" x14ac:dyDescent="0.2">
      <c r="A46" s="205">
        <v>8</v>
      </c>
      <c r="B46" s="206">
        <v>3477</v>
      </c>
      <c r="C46" s="206">
        <v>600098451</v>
      </c>
      <c r="D46" s="206">
        <v>70695491</v>
      </c>
      <c r="E46" s="204" t="s">
        <v>99</v>
      </c>
      <c r="F46" s="206">
        <v>3111</v>
      </c>
      <c r="G46" s="207" t="s">
        <v>291</v>
      </c>
      <c r="H46" s="612" t="s">
        <v>272</v>
      </c>
      <c r="I46" s="420">
        <v>499840</v>
      </c>
      <c r="J46" s="415">
        <v>370801</v>
      </c>
      <c r="K46" s="415">
        <v>370801</v>
      </c>
      <c r="L46" s="415">
        <v>0</v>
      </c>
      <c r="M46" s="415">
        <v>0</v>
      </c>
      <c r="N46" s="415">
        <v>0</v>
      </c>
      <c r="O46" s="415">
        <v>0</v>
      </c>
      <c r="P46" s="68">
        <v>125331</v>
      </c>
      <c r="Q46" s="68">
        <v>3708</v>
      </c>
      <c r="R46" s="415">
        <v>0</v>
      </c>
      <c r="S46" s="416">
        <v>1</v>
      </c>
      <c r="T46" s="417">
        <v>1</v>
      </c>
      <c r="U46" s="423">
        <v>0</v>
      </c>
      <c r="V46" s="424">
        <f t="shared" si="75"/>
        <v>0</v>
      </c>
      <c r="W46" s="418">
        <f t="shared" si="75"/>
        <v>0</v>
      </c>
      <c r="X46" s="418">
        <v>0</v>
      </c>
      <c r="Y46" s="418">
        <v>0</v>
      </c>
      <c r="Z46" s="418">
        <v>0</v>
      </c>
      <c r="AA46" s="415">
        <v>0</v>
      </c>
      <c r="AB46" s="418">
        <v>0</v>
      </c>
      <c r="AC46" s="418">
        <v>0</v>
      </c>
      <c r="AD46" s="418">
        <f>V46+X46+Y46+Z46+AB46</f>
        <v>0</v>
      </c>
      <c r="AE46" s="418">
        <f>W46+AA46+AC46</f>
        <v>0</v>
      </c>
      <c r="AF46" s="418">
        <f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>AG46+AI46+AJ46</f>
        <v>0</v>
      </c>
      <c r="AM46" s="418">
        <f>AH46+AK46</f>
        <v>0</v>
      </c>
      <c r="AN46" s="418">
        <f>SUM(AL46:AM46)</f>
        <v>0</v>
      </c>
      <c r="AO46" s="418">
        <f t="shared" si="76"/>
        <v>0</v>
      </c>
      <c r="AP46" s="418">
        <f t="shared" si="76"/>
        <v>0</v>
      </c>
      <c r="AQ46" s="418">
        <f>SUM(AO46:AP46)</f>
        <v>0</v>
      </c>
      <c r="AR46" s="68">
        <f>ROUND((AF46+AG46+AH46+AI46)*33.8%,0)</f>
        <v>0</v>
      </c>
      <c r="AS46" s="68">
        <f>ROUND(AF46*1%,0)</f>
        <v>0</v>
      </c>
      <c r="AT46" s="418">
        <v>0</v>
      </c>
      <c r="AU46" s="415">
        <v>0</v>
      </c>
      <c r="AV46" s="418">
        <f>AT46+AU46</f>
        <v>0</v>
      </c>
      <c r="AW46" s="418">
        <f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6">
        <v>0</v>
      </c>
      <c r="BC46" s="939">
        <v>0</v>
      </c>
      <c r="BD46" s="419">
        <v>0</v>
      </c>
      <c r="BE46" s="419">
        <v>0</v>
      </c>
      <c r="BF46" s="419">
        <f>AX46+AZ46+BA46+BC46+BD46</f>
        <v>0</v>
      </c>
      <c r="BG46" s="419">
        <f>AY46+BB46+BE46</f>
        <v>0</v>
      </c>
      <c r="BH46" s="421">
        <f>SUM(BF46:BG46)</f>
        <v>0</v>
      </c>
      <c r="BI46" s="780">
        <f>I46+AW46</f>
        <v>499840</v>
      </c>
      <c r="BJ46" s="418">
        <f>J46+AF46</f>
        <v>370801</v>
      </c>
      <c r="BK46" s="418">
        <f t="shared" si="77"/>
        <v>370801</v>
      </c>
      <c r="BL46" s="418">
        <f t="shared" si="77"/>
        <v>0</v>
      </c>
      <c r="BM46" s="418">
        <f>M46+AN46</f>
        <v>0</v>
      </c>
      <c r="BN46" s="418">
        <f t="shared" si="78"/>
        <v>0</v>
      </c>
      <c r="BO46" s="418">
        <f t="shared" si="78"/>
        <v>0</v>
      </c>
      <c r="BP46" s="418">
        <f t="shared" si="79"/>
        <v>125331</v>
      </c>
      <c r="BQ46" s="418">
        <f t="shared" si="79"/>
        <v>3708</v>
      </c>
      <c r="BR46" s="418">
        <f>R46+AV46</f>
        <v>0</v>
      </c>
      <c r="BS46" s="419">
        <f>S46+BH46</f>
        <v>1</v>
      </c>
      <c r="BT46" s="419">
        <f t="shared" si="80"/>
        <v>1</v>
      </c>
      <c r="BU46" s="421">
        <f t="shared" si="80"/>
        <v>0</v>
      </c>
      <c r="BV46" s="420"/>
      <c r="BW46" s="415"/>
      <c r="BX46" s="415"/>
      <c r="BY46" s="415"/>
      <c r="BZ46" s="415"/>
      <c r="CA46" s="510"/>
    </row>
    <row r="47" spans="1:79" x14ac:dyDescent="0.2">
      <c r="A47" s="205">
        <v>8</v>
      </c>
      <c r="B47" s="206">
        <v>3477</v>
      </c>
      <c r="C47" s="206">
        <v>600098451</v>
      </c>
      <c r="D47" s="206">
        <v>70695491</v>
      </c>
      <c r="E47" s="204" t="s">
        <v>99</v>
      </c>
      <c r="F47" s="206">
        <v>3141</v>
      </c>
      <c r="G47" s="207" t="s">
        <v>294</v>
      </c>
      <c r="H47" s="612" t="s">
        <v>272</v>
      </c>
      <c r="I47" s="420">
        <v>424099</v>
      </c>
      <c r="J47" s="415">
        <v>313471</v>
      </c>
      <c r="K47" s="415">
        <v>0</v>
      </c>
      <c r="L47" s="415">
        <v>313471</v>
      </c>
      <c r="M47" s="415">
        <v>0</v>
      </c>
      <c r="N47" s="415">
        <v>0</v>
      </c>
      <c r="O47" s="415">
        <v>0</v>
      </c>
      <c r="P47" s="68">
        <v>105953</v>
      </c>
      <c r="Q47" s="68">
        <v>3135</v>
      </c>
      <c r="R47" s="415">
        <v>1540</v>
      </c>
      <c r="S47" s="416">
        <v>0.94</v>
      </c>
      <c r="T47" s="417">
        <v>0</v>
      </c>
      <c r="U47" s="423">
        <v>0.94</v>
      </c>
      <c r="V47" s="424">
        <f t="shared" si="75"/>
        <v>0</v>
      </c>
      <c r="W47" s="418">
        <f t="shared" si="75"/>
        <v>0</v>
      </c>
      <c r="X47" s="418">
        <v>0</v>
      </c>
      <c r="Y47" s="418">
        <v>0</v>
      </c>
      <c r="Z47" s="418">
        <v>0</v>
      </c>
      <c r="AA47" s="605">
        <v>157496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157496</v>
      </c>
      <c r="AF47" s="418">
        <f>SUM(AD47:AE47)</f>
        <v>157496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si="76"/>
        <v>0</v>
      </c>
      <c r="AP47" s="418">
        <f t="shared" si="76"/>
        <v>157496</v>
      </c>
      <c r="AQ47" s="418">
        <f>SUM(AO47:AP47)</f>
        <v>157496</v>
      </c>
      <c r="AR47" s="68">
        <f>ROUND((AF47+AG47+AH47+AI47)*33.8%,0)</f>
        <v>53234</v>
      </c>
      <c r="AS47" s="68">
        <f>ROUND(AF47*1%,0)</f>
        <v>1575</v>
      </c>
      <c r="AT47" s="418">
        <v>0</v>
      </c>
      <c r="AU47" s="605">
        <v>748</v>
      </c>
      <c r="AV47" s="418">
        <f>AT47+AU47</f>
        <v>748</v>
      </c>
      <c r="AW47" s="418">
        <f>AQ47+AR47+AS47+AV47</f>
        <v>213053</v>
      </c>
      <c r="AX47" s="419">
        <v>0</v>
      </c>
      <c r="AY47" s="419">
        <v>0</v>
      </c>
      <c r="AZ47" s="419">
        <v>0</v>
      </c>
      <c r="BA47" s="419">
        <v>0</v>
      </c>
      <c r="BB47" s="607">
        <v>0.47</v>
      </c>
      <c r="BC47" s="93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0.47</v>
      </c>
      <c r="BH47" s="421">
        <f>SUM(BF47:BG47)</f>
        <v>0.47</v>
      </c>
      <c r="BI47" s="780">
        <f>I47+AW47</f>
        <v>637152</v>
      </c>
      <c r="BJ47" s="418">
        <f>J47+AF47</f>
        <v>470967</v>
      </c>
      <c r="BK47" s="418">
        <f t="shared" si="77"/>
        <v>0</v>
      </c>
      <c r="BL47" s="418">
        <f t="shared" si="77"/>
        <v>470967</v>
      </c>
      <c r="BM47" s="418">
        <f>M47+AN47</f>
        <v>0</v>
      </c>
      <c r="BN47" s="418">
        <f t="shared" si="78"/>
        <v>0</v>
      </c>
      <c r="BO47" s="418">
        <f t="shared" si="78"/>
        <v>0</v>
      </c>
      <c r="BP47" s="418">
        <f t="shared" si="79"/>
        <v>159187</v>
      </c>
      <c r="BQ47" s="418">
        <f t="shared" si="79"/>
        <v>4710</v>
      </c>
      <c r="BR47" s="418">
        <f>R47+AV47</f>
        <v>2288</v>
      </c>
      <c r="BS47" s="419">
        <f>S47+BH47</f>
        <v>1.41</v>
      </c>
      <c r="BT47" s="419">
        <f t="shared" si="80"/>
        <v>0</v>
      </c>
      <c r="BU47" s="421">
        <f t="shared" si="80"/>
        <v>1.41</v>
      </c>
      <c r="BV47" s="420"/>
      <c r="BW47" s="415"/>
      <c r="BX47" s="415"/>
      <c r="BY47" s="415"/>
      <c r="BZ47" s="415"/>
      <c r="CA47" s="510"/>
    </row>
    <row r="48" spans="1:79" x14ac:dyDescent="0.2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13"/>
      <c r="I48" s="448">
        <v>5137998</v>
      </c>
      <c r="J48" s="445">
        <v>3799290</v>
      </c>
      <c r="K48" s="445">
        <v>3164382</v>
      </c>
      <c r="L48" s="445">
        <v>634908</v>
      </c>
      <c r="M48" s="445">
        <v>0</v>
      </c>
      <c r="N48" s="445">
        <v>0</v>
      </c>
      <c r="O48" s="445">
        <v>0</v>
      </c>
      <c r="P48" s="445">
        <v>1284160</v>
      </c>
      <c r="Q48" s="445">
        <v>37993</v>
      </c>
      <c r="R48" s="445">
        <v>16555</v>
      </c>
      <c r="S48" s="446">
        <v>8.0150000000000006</v>
      </c>
      <c r="T48" s="446">
        <v>6</v>
      </c>
      <c r="U48" s="450">
        <v>2.0150000000000001</v>
      </c>
      <c r="V48" s="448">
        <f t="shared" ref="V48:CA48" si="81">SUM(V45:V47)</f>
        <v>0</v>
      </c>
      <c r="W48" s="445">
        <f t="shared" si="81"/>
        <v>0</v>
      </c>
      <c r="X48" s="445">
        <f t="shared" si="81"/>
        <v>0</v>
      </c>
      <c r="Y48" s="445">
        <f t="shared" si="81"/>
        <v>0</v>
      </c>
      <c r="Z48" s="445">
        <f t="shared" si="81"/>
        <v>0</v>
      </c>
      <c r="AA48" s="445">
        <f t="shared" si="81"/>
        <v>157496</v>
      </c>
      <c r="AB48" s="445">
        <f t="shared" si="81"/>
        <v>0</v>
      </c>
      <c r="AC48" s="445">
        <f t="shared" si="81"/>
        <v>0</v>
      </c>
      <c r="AD48" s="445">
        <f t="shared" si="81"/>
        <v>0</v>
      </c>
      <c r="AE48" s="445">
        <f t="shared" si="81"/>
        <v>157496</v>
      </c>
      <c r="AF48" s="445">
        <f t="shared" si="81"/>
        <v>157496</v>
      </c>
      <c r="AG48" s="445">
        <f t="shared" si="81"/>
        <v>0</v>
      </c>
      <c r="AH48" s="445">
        <f t="shared" si="81"/>
        <v>0</v>
      </c>
      <c r="AI48" s="445">
        <f t="shared" si="81"/>
        <v>0</v>
      </c>
      <c r="AJ48" s="445">
        <f t="shared" si="81"/>
        <v>0</v>
      </c>
      <c r="AK48" s="445">
        <f t="shared" si="81"/>
        <v>0</v>
      </c>
      <c r="AL48" s="445">
        <f t="shared" si="81"/>
        <v>0</v>
      </c>
      <c r="AM48" s="445">
        <f t="shared" si="81"/>
        <v>0</v>
      </c>
      <c r="AN48" s="445">
        <f t="shared" si="81"/>
        <v>0</v>
      </c>
      <c r="AO48" s="445">
        <f t="shared" si="81"/>
        <v>0</v>
      </c>
      <c r="AP48" s="445">
        <f t="shared" si="81"/>
        <v>157496</v>
      </c>
      <c r="AQ48" s="445">
        <f t="shared" si="81"/>
        <v>157496</v>
      </c>
      <c r="AR48" s="445">
        <f t="shared" si="81"/>
        <v>53234</v>
      </c>
      <c r="AS48" s="445">
        <f t="shared" si="81"/>
        <v>1575</v>
      </c>
      <c r="AT48" s="445">
        <f t="shared" si="81"/>
        <v>0</v>
      </c>
      <c r="AU48" s="445">
        <f t="shared" si="81"/>
        <v>748</v>
      </c>
      <c r="AV48" s="445">
        <f t="shared" si="81"/>
        <v>748</v>
      </c>
      <c r="AW48" s="445">
        <f t="shared" si="81"/>
        <v>213053</v>
      </c>
      <c r="AX48" s="446">
        <f t="shared" si="81"/>
        <v>0</v>
      </c>
      <c r="AY48" s="446">
        <f t="shared" si="81"/>
        <v>0</v>
      </c>
      <c r="AZ48" s="446">
        <f t="shared" si="81"/>
        <v>0</v>
      </c>
      <c r="BA48" s="446">
        <f t="shared" si="81"/>
        <v>0</v>
      </c>
      <c r="BB48" s="446">
        <f t="shared" si="81"/>
        <v>0.47</v>
      </c>
      <c r="BC48" s="948">
        <f t="shared" si="81"/>
        <v>0</v>
      </c>
      <c r="BD48" s="446">
        <f t="shared" si="81"/>
        <v>0</v>
      </c>
      <c r="BE48" s="446">
        <f t="shared" si="81"/>
        <v>0</v>
      </c>
      <c r="BF48" s="446">
        <f t="shared" si="81"/>
        <v>0</v>
      </c>
      <c r="BG48" s="446">
        <f t="shared" si="81"/>
        <v>0.47</v>
      </c>
      <c r="BH48" s="39">
        <f t="shared" si="81"/>
        <v>0.47</v>
      </c>
      <c r="BI48" s="452">
        <f t="shared" si="81"/>
        <v>5351051</v>
      </c>
      <c r="BJ48" s="445">
        <f t="shared" si="81"/>
        <v>3956786</v>
      </c>
      <c r="BK48" s="445">
        <f t="shared" si="81"/>
        <v>3164382</v>
      </c>
      <c r="BL48" s="445">
        <f t="shared" si="81"/>
        <v>792404</v>
      </c>
      <c r="BM48" s="445">
        <f t="shared" si="81"/>
        <v>0</v>
      </c>
      <c r="BN48" s="445">
        <f t="shared" si="81"/>
        <v>0</v>
      </c>
      <c r="BO48" s="445">
        <f t="shared" si="81"/>
        <v>0</v>
      </c>
      <c r="BP48" s="445">
        <f t="shared" si="81"/>
        <v>1337394</v>
      </c>
      <c r="BQ48" s="445">
        <f t="shared" si="81"/>
        <v>39568</v>
      </c>
      <c r="BR48" s="445">
        <f t="shared" si="81"/>
        <v>17303</v>
      </c>
      <c r="BS48" s="446">
        <f t="shared" si="81"/>
        <v>8.4849999999999994</v>
      </c>
      <c r="BT48" s="446">
        <f t="shared" si="81"/>
        <v>6</v>
      </c>
      <c r="BU48" s="39">
        <f t="shared" si="81"/>
        <v>2.4850000000000003</v>
      </c>
      <c r="BV48" s="833">
        <f t="shared" si="81"/>
        <v>0</v>
      </c>
      <c r="BW48" s="715">
        <f t="shared" si="81"/>
        <v>0</v>
      </c>
      <c r="BX48" s="715">
        <f t="shared" si="81"/>
        <v>0</v>
      </c>
      <c r="BY48" s="715">
        <f t="shared" si="81"/>
        <v>0</v>
      </c>
      <c r="BZ48" s="715">
        <f t="shared" si="81"/>
        <v>0</v>
      </c>
      <c r="CA48" s="834">
        <f t="shared" si="81"/>
        <v>0</v>
      </c>
    </row>
    <row r="49" spans="1:79" x14ac:dyDescent="0.2">
      <c r="A49" s="205">
        <v>9</v>
      </c>
      <c r="B49" s="206">
        <v>3476</v>
      </c>
      <c r="C49" s="206">
        <v>600099164</v>
      </c>
      <c r="D49" s="206">
        <v>854808</v>
      </c>
      <c r="E49" s="204" t="s">
        <v>101</v>
      </c>
      <c r="F49" s="206">
        <v>3113</v>
      </c>
      <c r="G49" s="207" t="s">
        <v>293</v>
      </c>
      <c r="H49" s="612" t="s">
        <v>271</v>
      </c>
      <c r="I49" s="420">
        <v>10216046</v>
      </c>
      <c r="J49" s="415">
        <v>7495575</v>
      </c>
      <c r="K49" s="415">
        <v>6832517</v>
      </c>
      <c r="L49" s="415">
        <v>663058</v>
      </c>
      <c r="M49" s="415">
        <v>0</v>
      </c>
      <c r="N49" s="415">
        <v>0</v>
      </c>
      <c r="O49" s="415">
        <v>0</v>
      </c>
      <c r="P49" s="68">
        <v>2533505</v>
      </c>
      <c r="Q49" s="68">
        <v>74956</v>
      </c>
      <c r="R49" s="415">
        <v>112010</v>
      </c>
      <c r="S49" s="416">
        <v>12.508799999999999</v>
      </c>
      <c r="T49" s="417">
        <v>10.802399999999999</v>
      </c>
      <c r="U49" s="423">
        <v>1.7063999999999999</v>
      </c>
      <c r="V49" s="424">
        <f t="shared" ref="V49:W53" si="82">AG49*-1</f>
        <v>0</v>
      </c>
      <c r="W49" s="418">
        <f t="shared" si="82"/>
        <v>0</v>
      </c>
      <c r="X49" s="418">
        <v>0</v>
      </c>
      <c r="Y49" s="418">
        <v>0</v>
      </c>
      <c r="Z49" s="418">
        <v>0</v>
      </c>
      <c r="AA49" s="415">
        <v>0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0</v>
      </c>
      <c r="AF49" s="418">
        <f>SUM(AD49:AE49)</f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ref="AO49:AP53" si="83">AD49+AL49</f>
        <v>0</v>
      </c>
      <c r="AP49" s="418">
        <f t="shared" si="83"/>
        <v>0</v>
      </c>
      <c r="AQ49" s="418">
        <f>SUM(AO49:AP49)</f>
        <v>0</v>
      </c>
      <c r="AR49" s="68">
        <f>ROUND((AF49+AG49+AH49+AI49)*33.8%,0)</f>
        <v>0</v>
      </c>
      <c r="AS49" s="68">
        <f>ROUND(AF49*1%,0)</f>
        <v>0</v>
      </c>
      <c r="AT49" s="418">
        <v>0</v>
      </c>
      <c r="AU49" s="415">
        <v>0</v>
      </c>
      <c r="AV49" s="418">
        <f>AT49+AU49</f>
        <v>0</v>
      </c>
      <c r="AW49" s="418">
        <f>AQ49+AR49+AS49+AV49</f>
        <v>0</v>
      </c>
      <c r="AX49" s="419">
        <v>0</v>
      </c>
      <c r="AY49" s="419">
        <v>0</v>
      </c>
      <c r="AZ49" s="419">
        <v>0</v>
      </c>
      <c r="BA49" s="419">
        <v>0</v>
      </c>
      <c r="BB49" s="416">
        <v>0</v>
      </c>
      <c r="BC49" s="93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0</v>
      </c>
      <c r="BH49" s="421">
        <f>SUM(BF49:BG49)</f>
        <v>0</v>
      </c>
      <c r="BI49" s="780">
        <f>I49+AW49</f>
        <v>10216046</v>
      </c>
      <c r="BJ49" s="418">
        <f>J49+AF49</f>
        <v>7495575</v>
      </c>
      <c r="BK49" s="418">
        <f t="shared" ref="BK49:BL53" si="84">K49+AD49</f>
        <v>6832517</v>
      </c>
      <c r="BL49" s="418">
        <f t="shared" si="84"/>
        <v>663058</v>
      </c>
      <c r="BM49" s="418">
        <f>M49+AN49</f>
        <v>0</v>
      </c>
      <c r="BN49" s="418">
        <f t="shared" ref="BN49:BO53" si="85">N49+AL49</f>
        <v>0</v>
      </c>
      <c r="BO49" s="418">
        <f t="shared" si="85"/>
        <v>0</v>
      </c>
      <c r="BP49" s="418">
        <f t="shared" ref="BP49:BQ53" si="86">P49+AR49</f>
        <v>2533505</v>
      </c>
      <c r="BQ49" s="418">
        <f t="shared" si="86"/>
        <v>74956</v>
      </c>
      <c r="BR49" s="418">
        <f>R49+AV49</f>
        <v>112010</v>
      </c>
      <c r="BS49" s="419">
        <f>S49+BH49</f>
        <v>12.508799999999999</v>
      </c>
      <c r="BT49" s="419">
        <f t="shared" ref="BT49:BU53" si="87">T49+BF49</f>
        <v>10.802399999999999</v>
      </c>
      <c r="BU49" s="421">
        <f t="shared" si="87"/>
        <v>1.7063999999999999</v>
      </c>
      <c r="BV49" s="420"/>
      <c r="BW49" s="415"/>
      <c r="BX49" s="415"/>
      <c r="BY49" s="415"/>
      <c r="BZ49" s="415"/>
      <c r="CA49" s="510"/>
    </row>
    <row r="50" spans="1:79" x14ac:dyDescent="0.2">
      <c r="A50" s="205">
        <v>9</v>
      </c>
      <c r="B50" s="206">
        <v>3476</v>
      </c>
      <c r="C50" s="206">
        <v>600099164</v>
      </c>
      <c r="D50" s="206">
        <v>854808</v>
      </c>
      <c r="E50" s="204" t="s">
        <v>101</v>
      </c>
      <c r="F50" s="206">
        <v>3113</v>
      </c>
      <c r="G50" s="207" t="s">
        <v>291</v>
      </c>
      <c r="H50" s="612" t="s">
        <v>272</v>
      </c>
      <c r="I50" s="420">
        <v>316665</v>
      </c>
      <c r="J50" s="415">
        <v>234915</v>
      </c>
      <c r="K50" s="415">
        <v>234915</v>
      </c>
      <c r="L50" s="415">
        <v>0</v>
      </c>
      <c r="M50" s="415">
        <v>0</v>
      </c>
      <c r="N50" s="415">
        <v>0</v>
      </c>
      <c r="O50" s="415">
        <v>0</v>
      </c>
      <c r="P50" s="68">
        <v>79401</v>
      </c>
      <c r="Q50" s="68">
        <v>2349</v>
      </c>
      <c r="R50" s="415">
        <v>0</v>
      </c>
      <c r="S50" s="416">
        <v>0.6</v>
      </c>
      <c r="T50" s="417">
        <v>0.6</v>
      </c>
      <c r="U50" s="423">
        <v>0</v>
      </c>
      <c r="V50" s="424">
        <f t="shared" si="82"/>
        <v>0</v>
      </c>
      <c r="W50" s="418">
        <f t="shared" si="82"/>
        <v>0</v>
      </c>
      <c r="X50" s="418">
        <v>0</v>
      </c>
      <c r="Y50" s="418">
        <v>0</v>
      </c>
      <c r="Z50" s="418">
        <v>0</v>
      </c>
      <c r="AA50" s="415">
        <v>0</v>
      </c>
      <c r="AB50" s="418">
        <v>0</v>
      </c>
      <c r="AC50" s="418">
        <v>0</v>
      </c>
      <c r="AD50" s="418">
        <f>V50+X50+Y50+Z50+AB50</f>
        <v>0</v>
      </c>
      <c r="AE50" s="418">
        <f>W50+AA50+AC50</f>
        <v>0</v>
      </c>
      <c r="AF50" s="418">
        <f>SUM(AD50:AE50)</f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>AG50+AI50+AJ50</f>
        <v>0</v>
      </c>
      <c r="AM50" s="418">
        <f>AH50+AK50</f>
        <v>0</v>
      </c>
      <c r="AN50" s="418">
        <f>SUM(AL50:AM50)</f>
        <v>0</v>
      </c>
      <c r="AO50" s="418">
        <f t="shared" si="83"/>
        <v>0</v>
      </c>
      <c r="AP50" s="418">
        <f t="shared" si="83"/>
        <v>0</v>
      </c>
      <c r="AQ50" s="418">
        <f>SUM(AO50:AP50)</f>
        <v>0</v>
      </c>
      <c r="AR50" s="68">
        <f>ROUND((AF50+AG50+AH50+AI50)*33.8%,0)</f>
        <v>0</v>
      </c>
      <c r="AS50" s="68">
        <f>ROUND(AF50*1%,0)</f>
        <v>0</v>
      </c>
      <c r="AT50" s="418">
        <v>0</v>
      </c>
      <c r="AU50" s="415">
        <v>0</v>
      </c>
      <c r="AV50" s="418">
        <f>AT50+AU50</f>
        <v>0</v>
      </c>
      <c r="AW50" s="418">
        <f>AQ50+AR50+AS50+AV50</f>
        <v>0</v>
      </c>
      <c r="AX50" s="419">
        <v>0</v>
      </c>
      <c r="AY50" s="419">
        <v>0</v>
      </c>
      <c r="AZ50" s="419">
        <v>0</v>
      </c>
      <c r="BA50" s="419">
        <v>0</v>
      </c>
      <c r="BB50" s="416">
        <v>0</v>
      </c>
      <c r="BC50" s="939">
        <v>0</v>
      </c>
      <c r="BD50" s="419">
        <v>0</v>
      </c>
      <c r="BE50" s="419">
        <v>0</v>
      </c>
      <c r="BF50" s="419">
        <f>AX50+AZ50+BA50+BC50+BD50</f>
        <v>0</v>
      </c>
      <c r="BG50" s="419">
        <f>AY50+BB50+BE50</f>
        <v>0</v>
      </c>
      <c r="BH50" s="421">
        <f>SUM(BF50:BG50)</f>
        <v>0</v>
      </c>
      <c r="BI50" s="780">
        <f>I50+AW50</f>
        <v>316665</v>
      </c>
      <c r="BJ50" s="418">
        <f>J50+AF50</f>
        <v>234915</v>
      </c>
      <c r="BK50" s="418">
        <f t="shared" si="84"/>
        <v>234915</v>
      </c>
      <c r="BL50" s="418">
        <f t="shared" si="84"/>
        <v>0</v>
      </c>
      <c r="BM50" s="418">
        <f>M50+AN50</f>
        <v>0</v>
      </c>
      <c r="BN50" s="418">
        <f t="shared" si="85"/>
        <v>0</v>
      </c>
      <c r="BO50" s="418">
        <f t="shared" si="85"/>
        <v>0</v>
      </c>
      <c r="BP50" s="418">
        <f t="shared" si="86"/>
        <v>79401</v>
      </c>
      <c r="BQ50" s="418">
        <f t="shared" si="86"/>
        <v>2349</v>
      </c>
      <c r="BR50" s="418">
        <f>R50+AV50</f>
        <v>0</v>
      </c>
      <c r="BS50" s="419">
        <f>S50+BH50</f>
        <v>0.6</v>
      </c>
      <c r="BT50" s="419">
        <f t="shared" si="87"/>
        <v>0.6</v>
      </c>
      <c r="BU50" s="421">
        <f t="shared" si="87"/>
        <v>0</v>
      </c>
      <c r="BV50" s="420"/>
      <c r="BW50" s="415"/>
      <c r="BX50" s="415"/>
      <c r="BY50" s="415"/>
      <c r="BZ50" s="415"/>
      <c r="CA50" s="510"/>
    </row>
    <row r="51" spans="1:79" x14ac:dyDescent="0.2">
      <c r="A51" s="205">
        <v>9</v>
      </c>
      <c r="B51" s="206">
        <v>3476</v>
      </c>
      <c r="C51" s="206">
        <v>600099164</v>
      </c>
      <c r="D51" s="206">
        <v>854808</v>
      </c>
      <c r="E51" s="204" t="s">
        <v>101</v>
      </c>
      <c r="F51" s="206">
        <v>3141</v>
      </c>
      <c r="G51" s="207" t="s">
        <v>294</v>
      </c>
      <c r="H51" s="612" t="s">
        <v>272</v>
      </c>
      <c r="I51" s="420">
        <v>599928</v>
      </c>
      <c r="J51" s="415">
        <v>442428</v>
      </c>
      <c r="K51" s="415">
        <v>0</v>
      </c>
      <c r="L51" s="415">
        <v>442428</v>
      </c>
      <c r="M51" s="415">
        <v>0</v>
      </c>
      <c r="N51" s="415">
        <v>0</v>
      </c>
      <c r="O51" s="415">
        <v>0</v>
      </c>
      <c r="P51" s="68">
        <v>149541</v>
      </c>
      <c r="Q51" s="68">
        <v>4424</v>
      </c>
      <c r="R51" s="415">
        <v>3535</v>
      </c>
      <c r="S51" s="416">
        <v>1.33</v>
      </c>
      <c r="T51" s="417">
        <v>0</v>
      </c>
      <c r="U51" s="423">
        <v>1.33</v>
      </c>
      <c r="V51" s="424">
        <f t="shared" si="82"/>
        <v>0</v>
      </c>
      <c r="W51" s="418">
        <f t="shared" si="82"/>
        <v>0</v>
      </c>
      <c r="X51" s="418">
        <v>0</v>
      </c>
      <c r="Y51" s="418">
        <v>0</v>
      </c>
      <c r="Z51" s="418">
        <v>0</v>
      </c>
      <c r="AA51" s="605">
        <v>221254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221254</v>
      </c>
      <c r="AF51" s="418">
        <f>SUM(AD51:AE51)</f>
        <v>221254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si="83"/>
        <v>0</v>
      </c>
      <c r="AP51" s="418">
        <f t="shared" si="83"/>
        <v>221254</v>
      </c>
      <c r="AQ51" s="418">
        <f>SUM(AO51:AP51)</f>
        <v>221254</v>
      </c>
      <c r="AR51" s="68">
        <f>ROUND((AF51+AG51+AH51+AI51)*33.8%,0)</f>
        <v>74784</v>
      </c>
      <c r="AS51" s="68">
        <f>ROUND(AF51*1%,0)</f>
        <v>2213</v>
      </c>
      <c r="AT51" s="418">
        <v>0</v>
      </c>
      <c r="AU51" s="605">
        <v>1717</v>
      </c>
      <c r="AV51" s="418">
        <f>AT51+AU51</f>
        <v>1717</v>
      </c>
      <c r="AW51" s="418">
        <f>AQ51+AR51+AS51+AV51</f>
        <v>299968</v>
      </c>
      <c r="AX51" s="419">
        <v>0</v>
      </c>
      <c r="AY51" s="419">
        <v>0</v>
      </c>
      <c r="AZ51" s="419">
        <v>0</v>
      </c>
      <c r="BA51" s="419">
        <v>0</v>
      </c>
      <c r="BB51" s="607">
        <v>0.66</v>
      </c>
      <c r="BC51" s="93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0.66</v>
      </c>
      <c r="BH51" s="421">
        <f>SUM(BF51:BG51)</f>
        <v>0.66</v>
      </c>
      <c r="BI51" s="780">
        <f>I51+AW51</f>
        <v>899896</v>
      </c>
      <c r="BJ51" s="418">
        <f>J51+AF51</f>
        <v>663682</v>
      </c>
      <c r="BK51" s="418">
        <f t="shared" si="84"/>
        <v>0</v>
      </c>
      <c r="BL51" s="418">
        <f t="shared" si="84"/>
        <v>663682</v>
      </c>
      <c r="BM51" s="418">
        <f>M51+AN51</f>
        <v>0</v>
      </c>
      <c r="BN51" s="418">
        <f t="shared" si="85"/>
        <v>0</v>
      </c>
      <c r="BO51" s="418">
        <f t="shared" si="85"/>
        <v>0</v>
      </c>
      <c r="BP51" s="418">
        <f t="shared" si="86"/>
        <v>224325</v>
      </c>
      <c r="BQ51" s="418">
        <f t="shared" si="86"/>
        <v>6637</v>
      </c>
      <c r="BR51" s="418">
        <f>R51+AV51</f>
        <v>5252</v>
      </c>
      <c r="BS51" s="419">
        <f>S51+BH51</f>
        <v>1.9900000000000002</v>
      </c>
      <c r="BT51" s="419">
        <f t="shared" si="87"/>
        <v>0</v>
      </c>
      <c r="BU51" s="421">
        <f t="shared" si="87"/>
        <v>1.9900000000000002</v>
      </c>
      <c r="BV51" s="420"/>
      <c r="BW51" s="415"/>
      <c r="BX51" s="415"/>
      <c r="BY51" s="415"/>
      <c r="BZ51" s="415"/>
      <c r="CA51" s="510"/>
    </row>
    <row r="52" spans="1:79" x14ac:dyDescent="0.2">
      <c r="A52" s="205">
        <v>9</v>
      </c>
      <c r="B52" s="206">
        <v>3476</v>
      </c>
      <c r="C52" s="206">
        <v>600099164</v>
      </c>
      <c r="D52" s="206">
        <v>854808</v>
      </c>
      <c r="E52" s="204" t="s">
        <v>101</v>
      </c>
      <c r="F52" s="206">
        <v>3143</v>
      </c>
      <c r="G52" s="207" t="s">
        <v>595</v>
      </c>
      <c r="H52" s="614" t="s">
        <v>271</v>
      </c>
      <c r="I52" s="420">
        <v>586432</v>
      </c>
      <c r="J52" s="415">
        <v>435039</v>
      </c>
      <c r="K52" s="415">
        <v>435039</v>
      </c>
      <c r="L52" s="415">
        <v>0</v>
      </c>
      <c r="M52" s="415">
        <v>0</v>
      </c>
      <c r="N52" s="415">
        <v>0</v>
      </c>
      <c r="O52" s="415">
        <v>0</v>
      </c>
      <c r="P52" s="68">
        <v>147043</v>
      </c>
      <c r="Q52" s="68">
        <v>4350</v>
      </c>
      <c r="R52" s="415">
        <v>0</v>
      </c>
      <c r="S52" s="416">
        <v>0.89280000000000004</v>
      </c>
      <c r="T52" s="417">
        <v>0.89280000000000004</v>
      </c>
      <c r="U52" s="423">
        <v>0</v>
      </c>
      <c r="V52" s="424">
        <f t="shared" si="82"/>
        <v>0</v>
      </c>
      <c r="W52" s="418">
        <f t="shared" si="82"/>
        <v>0</v>
      </c>
      <c r="X52" s="418">
        <v>0</v>
      </c>
      <c r="Y52" s="418">
        <v>0</v>
      </c>
      <c r="Z52" s="418">
        <v>0</v>
      </c>
      <c r="AA52" s="415">
        <v>0</v>
      </c>
      <c r="AB52" s="418">
        <v>0</v>
      </c>
      <c r="AC52" s="418">
        <v>0</v>
      </c>
      <c r="AD52" s="418">
        <f>V52+X52+Y52+Z52+AB52</f>
        <v>0</v>
      </c>
      <c r="AE52" s="418">
        <f>W52+AA52+AC52</f>
        <v>0</v>
      </c>
      <c r="AF52" s="418">
        <f>SUM(AD52:AE52)</f>
        <v>0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 t="shared" si="83"/>
        <v>0</v>
      </c>
      <c r="AP52" s="418">
        <f t="shared" si="83"/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0</v>
      </c>
      <c r="AT52" s="418">
        <v>0</v>
      </c>
      <c r="AU52" s="415">
        <v>0</v>
      </c>
      <c r="AV52" s="418">
        <f>AT52+AU52</f>
        <v>0</v>
      </c>
      <c r="AW52" s="418">
        <f>AQ52+AR52+AS52+AV52</f>
        <v>0</v>
      </c>
      <c r="AX52" s="419">
        <v>0</v>
      </c>
      <c r="AY52" s="419">
        <v>0</v>
      </c>
      <c r="AZ52" s="419">
        <v>0</v>
      </c>
      <c r="BA52" s="419">
        <v>0</v>
      </c>
      <c r="BB52" s="416">
        <v>0</v>
      </c>
      <c r="BC52" s="939">
        <v>0</v>
      </c>
      <c r="BD52" s="419">
        <v>0</v>
      </c>
      <c r="BE52" s="419">
        <v>0</v>
      </c>
      <c r="BF52" s="419">
        <f>AX52+AZ52+BA52+BC52+BD52</f>
        <v>0</v>
      </c>
      <c r="BG52" s="419">
        <f>AY52+BB52+BE52</f>
        <v>0</v>
      </c>
      <c r="BH52" s="421">
        <f>SUM(BF52:BG52)</f>
        <v>0</v>
      </c>
      <c r="BI52" s="780">
        <f>I52+AW52</f>
        <v>586432</v>
      </c>
      <c r="BJ52" s="418">
        <f>J52+AF52</f>
        <v>435039</v>
      </c>
      <c r="BK52" s="418">
        <f t="shared" si="84"/>
        <v>435039</v>
      </c>
      <c r="BL52" s="418">
        <f t="shared" si="84"/>
        <v>0</v>
      </c>
      <c r="BM52" s="418">
        <f>M52+AN52</f>
        <v>0</v>
      </c>
      <c r="BN52" s="418">
        <f t="shared" si="85"/>
        <v>0</v>
      </c>
      <c r="BO52" s="418">
        <f t="shared" si="85"/>
        <v>0</v>
      </c>
      <c r="BP52" s="418">
        <f t="shared" si="86"/>
        <v>147043</v>
      </c>
      <c r="BQ52" s="418">
        <f t="shared" si="86"/>
        <v>4350</v>
      </c>
      <c r="BR52" s="418">
        <f>R52+AV52</f>
        <v>0</v>
      </c>
      <c r="BS52" s="419">
        <f>S52+BH52</f>
        <v>0.89280000000000004</v>
      </c>
      <c r="BT52" s="419">
        <f t="shared" si="87"/>
        <v>0.89280000000000004</v>
      </c>
      <c r="BU52" s="421">
        <f t="shared" si="87"/>
        <v>0</v>
      </c>
      <c r="BV52" s="420"/>
      <c r="BW52" s="415"/>
      <c r="BX52" s="415"/>
      <c r="BY52" s="415"/>
      <c r="BZ52" s="415"/>
      <c r="CA52" s="510"/>
    </row>
    <row r="53" spans="1:79" x14ac:dyDescent="0.2">
      <c r="A53" s="205">
        <v>9</v>
      </c>
      <c r="B53" s="206">
        <v>3476</v>
      </c>
      <c r="C53" s="206">
        <v>600099164</v>
      </c>
      <c r="D53" s="206">
        <v>854808</v>
      </c>
      <c r="E53" s="204" t="s">
        <v>101</v>
      </c>
      <c r="F53" s="206">
        <v>3143</v>
      </c>
      <c r="G53" s="207" t="s">
        <v>596</v>
      </c>
      <c r="H53" s="614" t="s">
        <v>272</v>
      </c>
      <c r="I53" s="420">
        <v>12799</v>
      </c>
      <c r="J53" s="415">
        <v>9161</v>
      </c>
      <c r="K53" s="415">
        <v>0</v>
      </c>
      <c r="L53" s="415">
        <v>9161</v>
      </c>
      <c r="M53" s="415">
        <v>0</v>
      </c>
      <c r="N53" s="415">
        <v>0</v>
      </c>
      <c r="O53" s="415">
        <v>0</v>
      </c>
      <c r="P53" s="68">
        <v>3096</v>
      </c>
      <c r="Q53" s="68">
        <v>92</v>
      </c>
      <c r="R53" s="415">
        <v>450</v>
      </c>
      <c r="S53" s="416">
        <v>0.03</v>
      </c>
      <c r="T53" s="417">
        <v>0</v>
      </c>
      <c r="U53" s="423">
        <v>0.03</v>
      </c>
      <c r="V53" s="424">
        <f t="shared" si="82"/>
        <v>0</v>
      </c>
      <c r="W53" s="418">
        <f t="shared" si="82"/>
        <v>0</v>
      </c>
      <c r="X53" s="418">
        <v>0</v>
      </c>
      <c r="Y53" s="418">
        <v>0</v>
      </c>
      <c r="Z53" s="418">
        <v>0</v>
      </c>
      <c r="AA53" s="605">
        <v>4589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4589</v>
      </c>
      <c r="AF53" s="418">
        <f>SUM(AD53:AE53)</f>
        <v>4589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si="83"/>
        <v>0</v>
      </c>
      <c r="AP53" s="418">
        <f t="shared" si="83"/>
        <v>4589</v>
      </c>
      <c r="AQ53" s="418">
        <f>SUM(AO53:AP53)</f>
        <v>4589</v>
      </c>
      <c r="AR53" s="68">
        <f>ROUND((AF53+AG53+AH53+AI53)*33.8%,0)</f>
        <v>1551</v>
      </c>
      <c r="AS53" s="68">
        <f>ROUND(AF53*1%,0)</f>
        <v>46</v>
      </c>
      <c r="AT53" s="418">
        <v>0</v>
      </c>
      <c r="AU53" s="606">
        <v>225</v>
      </c>
      <c r="AV53" s="418">
        <f>AT53+AU53</f>
        <v>225</v>
      </c>
      <c r="AW53" s="418">
        <f>AQ53+AR53+AS53+AV53</f>
        <v>6411</v>
      </c>
      <c r="AX53" s="419">
        <v>0</v>
      </c>
      <c r="AY53" s="419">
        <v>0</v>
      </c>
      <c r="AZ53" s="419">
        <v>0</v>
      </c>
      <c r="BA53" s="419">
        <v>0</v>
      </c>
      <c r="BB53" s="607">
        <v>0.02</v>
      </c>
      <c r="BC53" s="93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0.02</v>
      </c>
      <c r="BH53" s="421">
        <f>SUM(BF53:BG53)</f>
        <v>0.02</v>
      </c>
      <c r="BI53" s="780">
        <f>I53+AW53</f>
        <v>19210</v>
      </c>
      <c r="BJ53" s="418">
        <f>J53+AF53</f>
        <v>13750</v>
      </c>
      <c r="BK53" s="418">
        <f t="shared" si="84"/>
        <v>0</v>
      </c>
      <c r="BL53" s="418">
        <f t="shared" si="84"/>
        <v>13750</v>
      </c>
      <c r="BM53" s="418">
        <f>M53+AN53</f>
        <v>0</v>
      </c>
      <c r="BN53" s="418">
        <f t="shared" si="85"/>
        <v>0</v>
      </c>
      <c r="BO53" s="418">
        <f t="shared" si="85"/>
        <v>0</v>
      </c>
      <c r="BP53" s="418">
        <f t="shared" si="86"/>
        <v>4647</v>
      </c>
      <c r="BQ53" s="418">
        <f t="shared" si="86"/>
        <v>138</v>
      </c>
      <c r="BR53" s="418">
        <f>R53+AV53</f>
        <v>675</v>
      </c>
      <c r="BS53" s="419">
        <f>S53+BH53</f>
        <v>0.05</v>
      </c>
      <c r="BT53" s="419">
        <f t="shared" si="87"/>
        <v>0</v>
      </c>
      <c r="BU53" s="421">
        <f t="shared" si="87"/>
        <v>0.05</v>
      </c>
      <c r="BV53" s="420"/>
      <c r="BW53" s="415"/>
      <c r="BX53" s="415"/>
      <c r="BY53" s="415"/>
      <c r="BZ53" s="415"/>
      <c r="CA53" s="510"/>
    </row>
    <row r="54" spans="1:79" x14ac:dyDescent="0.2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13"/>
      <c r="I54" s="447">
        <v>11731870</v>
      </c>
      <c r="J54" s="443">
        <v>8617118</v>
      </c>
      <c r="K54" s="443">
        <v>7502471</v>
      </c>
      <c r="L54" s="443">
        <v>1114647</v>
      </c>
      <c r="M54" s="443">
        <v>0</v>
      </c>
      <c r="N54" s="443">
        <v>0</v>
      </c>
      <c r="O54" s="443">
        <v>0</v>
      </c>
      <c r="P54" s="443">
        <v>2912586</v>
      </c>
      <c r="Q54" s="443">
        <v>86171</v>
      </c>
      <c r="R54" s="443">
        <v>115995</v>
      </c>
      <c r="S54" s="444">
        <v>15.361599999999997</v>
      </c>
      <c r="T54" s="444">
        <v>12.295199999999998</v>
      </c>
      <c r="U54" s="449">
        <v>3.0663999999999998</v>
      </c>
      <c r="V54" s="447">
        <f t="shared" ref="V54:CA54" si="88">SUM(V49:V53)</f>
        <v>0</v>
      </c>
      <c r="W54" s="443">
        <f t="shared" si="88"/>
        <v>0</v>
      </c>
      <c r="X54" s="443">
        <f t="shared" si="88"/>
        <v>0</v>
      </c>
      <c r="Y54" s="443">
        <f t="shared" si="88"/>
        <v>0</v>
      </c>
      <c r="Z54" s="443">
        <f t="shared" si="88"/>
        <v>0</v>
      </c>
      <c r="AA54" s="443">
        <f t="shared" si="88"/>
        <v>225843</v>
      </c>
      <c r="AB54" s="443">
        <f t="shared" si="88"/>
        <v>0</v>
      </c>
      <c r="AC54" s="443">
        <f t="shared" si="88"/>
        <v>0</v>
      </c>
      <c r="AD54" s="443">
        <f t="shared" si="88"/>
        <v>0</v>
      </c>
      <c r="AE54" s="443">
        <f t="shared" si="88"/>
        <v>225843</v>
      </c>
      <c r="AF54" s="443">
        <f t="shared" si="88"/>
        <v>225843</v>
      </c>
      <c r="AG54" s="443">
        <f t="shared" si="88"/>
        <v>0</v>
      </c>
      <c r="AH54" s="443">
        <f t="shared" si="88"/>
        <v>0</v>
      </c>
      <c r="AI54" s="443">
        <f t="shared" si="88"/>
        <v>0</v>
      </c>
      <c r="AJ54" s="443">
        <f t="shared" si="88"/>
        <v>0</v>
      </c>
      <c r="AK54" s="443">
        <f t="shared" si="88"/>
        <v>0</v>
      </c>
      <c r="AL54" s="443">
        <f t="shared" si="88"/>
        <v>0</v>
      </c>
      <c r="AM54" s="443">
        <f t="shared" si="88"/>
        <v>0</v>
      </c>
      <c r="AN54" s="443">
        <f t="shared" si="88"/>
        <v>0</v>
      </c>
      <c r="AO54" s="443">
        <f t="shared" si="88"/>
        <v>0</v>
      </c>
      <c r="AP54" s="443">
        <f t="shared" si="88"/>
        <v>225843</v>
      </c>
      <c r="AQ54" s="443">
        <f t="shared" si="88"/>
        <v>225843</v>
      </c>
      <c r="AR54" s="443">
        <f t="shared" si="88"/>
        <v>76335</v>
      </c>
      <c r="AS54" s="443">
        <f t="shared" si="88"/>
        <v>2259</v>
      </c>
      <c r="AT54" s="443">
        <f t="shared" si="88"/>
        <v>0</v>
      </c>
      <c r="AU54" s="443">
        <f t="shared" si="88"/>
        <v>1942</v>
      </c>
      <c r="AV54" s="443">
        <f t="shared" si="88"/>
        <v>1942</v>
      </c>
      <c r="AW54" s="443">
        <f t="shared" si="88"/>
        <v>306379</v>
      </c>
      <c r="AX54" s="444">
        <f t="shared" si="88"/>
        <v>0</v>
      </c>
      <c r="AY54" s="444">
        <f t="shared" si="88"/>
        <v>0</v>
      </c>
      <c r="AZ54" s="444">
        <f t="shared" si="88"/>
        <v>0</v>
      </c>
      <c r="BA54" s="444">
        <f t="shared" si="88"/>
        <v>0</v>
      </c>
      <c r="BB54" s="444">
        <f t="shared" si="88"/>
        <v>0.68</v>
      </c>
      <c r="BC54" s="947">
        <f t="shared" si="88"/>
        <v>0</v>
      </c>
      <c r="BD54" s="444">
        <f t="shared" si="88"/>
        <v>0</v>
      </c>
      <c r="BE54" s="444">
        <f t="shared" si="88"/>
        <v>0</v>
      </c>
      <c r="BF54" s="444">
        <f t="shared" si="88"/>
        <v>0</v>
      </c>
      <c r="BG54" s="444">
        <f t="shared" si="88"/>
        <v>0.68</v>
      </c>
      <c r="BH54" s="40">
        <f t="shared" si="88"/>
        <v>0.68</v>
      </c>
      <c r="BI54" s="451">
        <f t="shared" si="88"/>
        <v>12038249</v>
      </c>
      <c r="BJ54" s="443">
        <f t="shared" si="88"/>
        <v>8842961</v>
      </c>
      <c r="BK54" s="443">
        <f t="shared" si="88"/>
        <v>7502471</v>
      </c>
      <c r="BL54" s="443">
        <f t="shared" si="88"/>
        <v>1340490</v>
      </c>
      <c r="BM54" s="443">
        <f t="shared" si="88"/>
        <v>0</v>
      </c>
      <c r="BN54" s="443">
        <f t="shared" si="88"/>
        <v>0</v>
      </c>
      <c r="BO54" s="443">
        <f t="shared" si="88"/>
        <v>0</v>
      </c>
      <c r="BP54" s="443">
        <f t="shared" si="88"/>
        <v>2988921</v>
      </c>
      <c r="BQ54" s="443">
        <f t="shared" si="88"/>
        <v>88430</v>
      </c>
      <c r="BR54" s="443">
        <f t="shared" si="88"/>
        <v>117937</v>
      </c>
      <c r="BS54" s="444">
        <f t="shared" si="88"/>
        <v>16.041599999999999</v>
      </c>
      <c r="BT54" s="444">
        <f t="shared" si="88"/>
        <v>12.295199999999998</v>
      </c>
      <c r="BU54" s="40">
        <f t="shared" si="88"/>
        <v>3.7464</v>
      </c>
      <c r="BV54" s="831">
        <f t="shared" si="88"/>
        <v>0</v>
      </c>
      <c r="BW54" s="714">
        <f t="shared" si="88"/>
        <v>0</v>
      </c>
      <c r="BX54" s="714">
        <f t="shared" si="88"/>
        <v>0</v>
      </c>
      <c r="BY54" s="714">
        <f t="shared" si="88"/>
        <v>0</v>
      </c>
      <c r="BZ54" s="714">
        <f t="shared" si="88"/>
        <v>0</v>
      </c>
      <c r="CA54" s="832">
        <f t="shared" si="88"/>
        <v>0</v>
      </c>
    </row>
    <row r="55" spans="1:79" x14ac:dyDescent="0.2">
      <c r="A55" s="205">
        <v>10</v>
      </c>
      <c r="B55" s="206">
        <v>3424</v>
      </c>
      <c r="C55" s="206">
        <v>650040384</v>
      </c>
      <c r="D55" s="206">
        <v>72744561</v>
      </c>
      <c r="E55" s="204" t="s">
        <v>103</v>
      </c>
      <c r="F55" s="206">
        <v>3111</v>
      </c>
      <c r="G55" s="207" t="s">
        <v>290</v>
      </c>
      <c r="H55" s="612" t="s">
        <v>271</v>
      </c>
      <c r="I55" s="420">
        <v>1483471</v>
      </c>
      <c r="J55" s="415">
        <v>1097329</v>
      </c>
      <c r="K55" s="415">
        <v>1037425</v>
      </c>
      <c r="L55" s="415">
        <v>59904</v>
      </c>
      <c r="M55" s="415">
        <v>0</v>
      </c>
      <c r="N55" s="415">
        <v>0</v>
      </c>
      <c r="O55" s="415">
        <v>0</v>
      </c>
      <c r="P55" s="68">
        <v>370897</v>
      </c>
      <c r="Q55" s="68">
        <v>10973</v>
      </c>
      <c r="R55" s="415">
        <v>4272</v>
      </c>
      <c r="S55" s="416">
        <v>2.2400000000000002</v>
      </c>
      <c r="T55" s="417">
        <v>2</v>
      </c>
      <c r="U55" s="423">
        <v>0.24</v>
      </c>
      <c r="V55" s="424">
        <f t="shared" ref="V55:W60" si="89">AG55*-1</f>
        <v>0</v>
      </c>
      <c r="W55" s="418">
        <f t="shared" si="89"/>
        <v>0</v>
      </c>
      <c r="X55" s="418">
        <v>0</v>
      </c>
      <c r="Y55" s="418">
        <v>0</v>
      </c>
      <c r="Z55" s="418">
        <v>0</v>
      </c>
      <c r="AA55" s="415">
        <v>0</v>
      </c>
      <c r="AB55" s="418">
        <v>0</v>
      </c>
      <c r="AC55" s="418">
        <v>0</v>
      </c>
      <c r="AD55" s="418">
        <f t="shared" ref="AD55:AD60" si="90">V55+X55+Y55+Z55+AB55</f>
        <v>0</v>
      </c>
      <c r="AE55" s="418">
        <f t="shared" ref="AE55:AE60" si="91">W55+AA55+AC55</f>
        <v>0</v>
      </c>
      <c r="AF55" s="418">
        <f t="shared" ref="AF55:AF60" si="92"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ref="AL55:AL60" si="93">AG55+AI55+AJ55</f>
        <v>0</v>
      </c>
      <c r="AM55" s="418">
        <f t="shared" ref="AM55:AM60" si="94">AH55+AK55</f>
        <v>0</v>
      </c>
      <c r="AN55" s="418">
        <f t="shared" ref="AN55:AN60" si="95">SUM(AL55:AM55)</f>
        <v>0</v>
      </c>
      <c r="AO55" s="418">
        <f t="shared" ref="AO55:AP60" si="96">AD55+AL55</f>
        <v>0</v>
      </c>
      <c r="AP55" s="418">
        <f t="shared" si="96"/>
        <v>0</v>
      </c>
      <c r="AQ55" s="418">
        <f t="shared" ref="AQ55:AQ60" si="97">SUM(AO55:AP55)</f>
        <v>0</v>
      </c>
      <c r="AR55" s="68">
        <f t="shared" ref="AR55:AR60" si="98">ROUND((AF55+AG55+AH55+AI55)*33.8%,0)</f>
        <v>0</v>
      </c>
      <c r="AS55" s="68">
        <f t="shared" ref="AS55:AS60" si="99">ROUND(AF55*1%,0)</f>
        <v>0</v>
      </c>
      <c r="AT55" s="418">
        <v>0</v>
      </c>
      <c r="AU55" s="415">
        <v>0</v>
      </c>
      <c r="AV55" s="418">
        <f t="shared" ref="AV55:AV60" si="100">AT55+AU55</f>
        <v>0</v>
      </c>
      <c r="AW55" s="418">
        <f t="shared" ref="AW55:AW60" si="101"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6">
        <v>0</v>
      </c>
      <c r="BC55" s="939">
        <v>0</v>
      </c>
      <c r="BD55" s="419">
        <v>0</v>
      </c>
      <c r="BE55" s="419">
        <v>0</v>
      </c>
      <c r="BF55" s="419">
        <f t="shared" ref="BF55:BF60" si="102">AX55+AZ55+BA55+BC55+BD55</f>
        <v>0</v>
      </c>
      <c r="BG55" s="419">
        <f t="shared" ref="BG55:BG60" si="103">AY55+BB55+BE55</f>
        <v>0</v>
      </c>
      <c r="BH55" s="421">
        <f t="shared" ref="BH55:BH60" si="104">SUM(BF55:BG55)</f>
        <v>0</v>
      </c>
      <c r="BI55" s="780">
        <f t="shared" ref="BI55:BI60" si="105">I55+AW55</f>
        <v>1483471</v>
      </c>
      <c r="BJ55" s="418">
        <f t="shared" ref="BJ55:BJ60" si="106">J55+AF55</f>
        <v>1097329</v>
      </c>
      <c r="BK55" s="418">
        <f t="shared" ref="BK55:BL60" si="107">K55+AD55</f>
        <v>1037425</v>
      </c>
      <c r="BL55" s="418">
        <f t="shared" si="107"/>
        <v>59904</v>
      </c>
      <c r="BM55" s="418">
        <f t="shared" ref="BM55:BM60" si="108">M55+AN55</f>
        <v>0</v>
      </c>
      <c r="BN55" s="418">
        <f t="shared" ref="BN55:BO60" si="109">N55+AL55</f>
        <v>0</v>
      </c>
      <c r="BO55" s="418">
        <f t="shared" si="109"/>
        <v>0</v>
      </c>
      <c r="BP55" s="418">
        <f t="shared" ref="BP55:BQ60" si="110">P55+AR55</f>
        <v>370897</v>
      </c>
      <c r="BQ55" s="418">
        <f t="shared" si="110"/>
        <v>10973</v>
      </c>
      <c r="BR55" s="418">
        <f t="shared" ref="BR55:BR60" si="111">R55+AV55</f>
        <v>4272</v>
      </c>
      <c r="BS55" s="419">
        <f t="shared" ref="BS55:BS60" si="112">S55+BH55</f>
        <v>2.2400000000000002</v>
      </c>
      <c r="BT55" s="419">
        <f t="shared" ref="BT55:BU60" si="113">T55+BF55</f>
        <v>2</v>
      </c>
      <c r="BU55" s="421">
        <f t="shared" si="113"/>
        <v>0.24</v>
      </c>
      <c r="BV55" s="420"/>
      <c r="BW55" s="415"/>
      <c r="BX55" s="415"/>
      <c r="BY55" s="415"/>
      <c r="BZ55" s="415"/>
      <c r="CA55" s="510"/>
    </row>
    <row r="56" spans="1:79" x14ac:dyDescent="0.2">
      <c r="A56" s="205">
        <v>10</v>
      </c>
      <c r="B56" s="206">
        <v>3424</v>
      </c>
      <c r="C56" s="206">
        <v>650040384</v>
      </c>
      <c r="D56" s="206">
        <v>72744561</v>
      </c>
      <c r="E56" s="204" t="s">
        <v>103</v>
      </c>
      <c r="F56" s="206">
        <v>3117</v>
      </c>
      <c r="G56" s="207" t="s">
        <v>293</v>
      </c>
      <c r="H56" s="612" t="s">
        <v>271</v>
      </c>
      <c r="I56" s="420">
        <v>3119789</v>
      </c>
      <c r="J56" s="415">
        <v>2253276</v>
      </c>
      <c r="K56" s="415">
        <v>1958669</v>
      </c>
      <c r="L56" s="415">
        <v>294607</v>
      </c>
      <c r="M56" s="415">
        <v>27000</v>
      </c>
      <c r="N56" s="415">
        <v>0</v>
      </c>
      <c r="O56" s="415">
        <v>27000</v>
      </c>
      <c r="P56" s="68">
        <v>770734</v>
      </c>
      <c r="Q56" s="68">
        <v>22533</v>
      </c>
      <c r="R56" s="415">
        <v>46246</v>
      </c>
      <c r="S56" s="416">
        <v>3.6781000000000001</v>
      </c>
      <c r="T56" s="417">
        <v>2.8182</v>
      </c>
      <c r="U56" s="423">
        <v>0.85990000000000011</v>
      </c>
      <c r="V56" s="424">
        <f t="shared" si="89"/>
        <v>0</v>
      </c>
      <c r="W56" s="418">
        <f t="shared" si="89"/>
        <v>0</v>
      </c>
      <c r="X56" s="418">
        <v>0</v>
      </c>
      <c r="Y56" s="418">
        <v>0</v>
      </c>
      <c r="Z56" s="418">
        <v>0</v>
      </c>
      <c r="AA56" s="415">
        <v>0</v>
      </c>
      <c r="AB56" s="418">
        <v>0</v>
      </c>
      <c r="AC56" s="418">
        <v>0</v>
      </c>
      <c r="AD56" s="418">
        <f t="shared" si="90"/>
        <v>0</v>
      </c>
      <c r="AE56" s="418">
        <f t="shared" si="91"/>
        <v>0</v>
      </c>
      <c r="AF56" s="418">
        <f t="shared" si="92"/>
        <v>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93"/>
        <v>0</v>
      </c>
      <c r="AM56" s="418">
        <f t="shared" si="94"/>
        <v>0</v>
      </c>
      <c r="AN56" s="418">
        <f t="shared" si="95"/>
        <v>0</v>
      </c>
      <c r="AO56" s="418">
        <f t="shared" si="96"/>
        <v>0</v>
      </c>
      <c r="AP56" s="418">
        <f t="shared" si="96"/>
        <v>0</v>
      </c>
      <c r="AQ56" s="418">
        <f t="shared" si="97"/>
        <v>0</v>
      </c>
      <c r="AR56" s="68">
        <f t="shared" si="98"/>
        <v>0</v>
      </c>
      <c r="AS56" s="68">
        <f t="shared" si="99"/>
        <v>0</v>
      </c>
      <c r="AT56" s="418">
        <v>0</v>
      </c>
      <c r="AU56" s="415">
        <v>0</v>
      </c>
      <c r="AV56" s="418">
        <f t="shared" si="100"/>
        <v>0</v>
      </c>
      <c r="AW56" s="418">
        <f t="shared" si="101"/>
        <v>0</v>
      </c>
      <c r="AX56" s="419">
        <v>0</v>
      </c>
      <c r="AY56" s="419">
        <v>0</v>
      </c>
      <c r="AZ56" s="419">
        <v>0</v>
      </c>
      <c r="BA56" s="419">
        <v>0</v>
      </c>
      <c r="BB56" s="416">
        <v>0</v>
      </c>
      <c r="BC56" s="939">
        <v>0</v>
      </c>
      <c r="BD56" s="419">
        <v>0</v>
      </c>
      <c r="BE56" s="419">
        <v>0</v>
      </c>
      <c r="BF56" s="419">
        <f t="shared" si="102"/>
        <v>0</v>
      </c>
      <c r="BG56" s="419">
        <f t="shared" si="103"/>
        <v>0</v>
      </c>
      <c r="BH56" s="421">
        <f t="shared" si="104"/>
        <v>0</v>
      </c>
      <c r="BI56" s="780">
        <f t="shared" si="105"/>
        <v>3119789</v>
      </c>
      <c r="BJ56" s="418">
        <f t="shared" si="106"/>
        <v>2253276</v>
      </c>
      <c r="BK56" s="418">
        <f t="shared" si="107"/>
        <v>1958669</v>
      </c>
      <c r="BL56" s="418">
        <f t="shared" si="107"/>
        <v>294607</v>
      </c>
      <c r="BM56" s="418">
        <f t="shared" si="108"/>
        <v>27000</v>
      </c>
      <c r="BN56" s="418">
        <f t="shared" si="109"/>
        <v>0</v>
      </c>
      <c r="BO56" s="418">
        <f t="shared" si="109"/>
        <v>27000</v>
      </c>
      <c r="BP56" s="418">
        <f t="shared" si="110"/>
        <v>770734</v>
      </c>
      <c r="BQ56" s="418">
        <f t="shared" si="110"/>
        <v>22533</v>
      </c>
      <c r="BR56" s="418">
        <f t="shared" si="111"/>
        <v>46246</v>
      </c>
      <c r="BS56" s="419">
        <f t="shared" si="112"/>
        <v>3.6781000000000001</v>
      </c>
      <c r="BT56" s="419">
        <f t="shared" si="113"/>
        <v>2.8182</v>
      </c>
      <c r="BU56" s="421">
        <f t="shared" si="113"/>
        <v>0.85990000000000011</v>
      </c>
      <c r="BV56" s="420"/>
      <c r="BW56" s="415"/>
      <c r="BX56" s="415"/>
      <c r="BY56" s="415"/>
      <c r="BZ56" s="415"/>
      <c r="CA56" s="510"/>
    </row>
    <row r="57" spans="1:79" x14ac:dyDescent="0.2">
      <c r="A57" s="205">
        <v>10</v>
      </c>
      <c r="B57" s="206">
        <v>3424</v>
      </c>
      <c r="C57" s="206">
        <v>650040384</v>
      </c>
      <c r="D57" s="206">
        <v>72744561</v>
      </c>
      <c r="E57" s="204" t="s">
        <v>103</v>
      </c>
      <c r="F57" s="206">
        <v>3117</v>
      </c>
      <c r="G57" s="207" t="s">
        <v>291</v>
      </c>
      <c r="H57" s="612" t="s">
        <v>272</v>
      </c>
      <c r="I57" s="420">
        <v>319348</v>
      </c>
      <c r="J57" s="415">
        <v>236905</v>
      </c>
      <c r="K57" s="415">
        <v>236905</v>
      </c>
      <c r="L57" s="415">
        <v>0</v>
      </c>
      <c r="M57" s="415">
        <v>0</v>
      </c>
      <c r="N57" s="415">
        <v>0</v>
      </c>
      <c r="O57" s="415">
        <v>0</v>
      </c>
      <c r="P57" s="68">
        <v>80074</v>
      </c>
      <c r="Q57" s="68">
        <v>2369</v>
      </c>
      <c r="R57" s="415">
        <v>0</v>
      </c>
      <c r="S57" s="416">
        <v>0.64</v>
      </c>
      <c r="T57" s="417">
        <v>0.64</v>
      </c>
      <c r="U57" s="423">
        <v>0</v>
      </c>
      <c r="V57" s="424">
        <f t="shared" si="89"/>
        <v>0</v>
      </c>
      <c r="W57" s="418">
        <f t="shared" si="89"/>
        <v>0</v>
      </c>
      <c r="X57" s="418">
        <v>0</v>
      </c>
      <c r="Y57" s="418">
        <v>0</v>
      </c>
      <c r="Z57" s="418">
        <v>0</v>
      </c>
      <c r="AA57" s="415">
        <v>0</v>
      </c>
      <c r="AB57" s="418">
        <v>0</v>
      </c>
      <c r="AC57" s="418">
        <v>0</v>
      </c>
      <c r="AD57" s="418">
        <f t="shared" si="90"/>
        <v>0</v>
      </c>
      <c r="AE57" s="418">
        <f t="shared" si="91"/>
        <v>0</v>
      </c>
      <c r="AF57" s="418">
        <f t="shared" si="92"/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93"/>
        <v>0</v>
      </c>
      <c r="AM57" s="418">
        <f t="shared" si="94"/>
        <v>0</v>
      </c>
      <c r="AN57" s="418">
        <f t="shared" si="95"/>
        <v>0</v>
      </c>
      <c r="AO57" s="418">
        <f t="shared" si="96"/>
        <v>0</v>
      </c>
      <c r="AP57" s="418">
        <f t="shared" si="96"/>
        <v>0</v>
      </c>
      <c r="AQ57" s="418">
        <f t="shared" si="97"/>
        <v>0</v>
      </c>
      <c r="AR57" s="68">
        <f t="shared" si="98"/>
        <v>0</v>
      </c>
      <c r="AS57" s="68">
        <f t="shared" si="99"/>
        <v>0</v>
      </c>
      <c r="AT57" s="418">
        <v>0</v>
      </c>
      <c r="AU57" s="415">
        <v>0</v>
      </c>
      <c r="AV57" s="418">
        <f t="shared" si="100"/>
        <v>0</v>
      </c>
      <c r="AW57" s="418">
        <f t="shared" si="101"/>
        <v>0</v>
      </c>
      <c r="AX57" s="419">
        <v>0</v>
      </c>
      <c r="AY57" s="419">
        <v>0</v>
      </c>
      <c r="AZ57" s="419">
        <v>0</v>
      </c>
      <c r="BA57" s="419">
        <v>0</v>
      </c>
      <c r="BB57" s="416">
        <v>0</v>
      </c>
      <c r="BC57" s="939">
        <v>0</v>
      </c>
      <c r="BD57" s="419">
        <v>0</v>
      </c>
      <c r="BE57" s="419">
        <v>0</v>
      </c>
      <c r="BF57" s="419">
        <f t="shared" si="102"/>
        <v>0</v>
      </c>
      <c r="BG57" s="419">
        <f t="shared" si="103"/>
        <v>0</v>
      </c>
      <c r="BH57" s="421">
        <f t="shared" si="104"/>
        <v>0</v>
      </c>
      <c r="BI57" s="780">
        <f t="shared" si="105"/>
        <v>319348</v>
      </c>
      <c r="BJ57" s="418">
        <f t="shared" si="106"/>
        <v>236905</v>
      </c>
      <c r="BK57" s="418">
        <f t="shared" si="107"/>
        <v>236905</v>
      </c>
      <c r="BL57" s="418">
        <f t="shared" si="107"/>
        <v>0</v>
      </c>
      <c r="BM57" s="418">
        <f t="shared" si="108"/>
        <v>0</v>
      </c>
      <c r="BN57" s="418">
        <f t="shared" si="109"/>
        <v>0</v>
      </c>
      <c r="BO57" s="418">
        <f t="shared" si="109"/>
        <v>0</v>
      </c>
      <c r="BP57" s="418">
        <f t="shared" si="110"/>
        <v>80074</v>
      </c>
      <c r="BQ57" s="418">
        <f t="shared" si="110"/>
        <v>2369</v>
      </c>
      <c r="BR57" s="418">
        <f t="shared" si="111"/>
        <v>0</v>
      </c>
      <c r="BS57" s="419">
        <f t="shared" si="112"/>
        <v>0.64</v>
      </c>
      <c r="BT57" s="419">
        <f t="shared" si="113"/>
        <v>0.64</v>
      </c>
      <c r="BU57" s="421">
        <f t="shared" si="113"/>
        <v>0</v>
      </c>
      <c r="BV57" s="420"/>
      <c r="BW57" s="415"/>
      <c r="BX57" s="415"/>
      <c r="BY57" s="415"/>
      <c r="BZ57" s="415"/>
      <c r="CA57" s="510"/>
    </row>
    <row r="58" spans="1:79" x14ac:dyDescent="0.2">
      <c r="A58" s="205">
        <v>10</v>
      </c>
      <c r="B58" s="206">
        <v>3424</v>
      </c>
      <c r="C58" s="206">
        <v>650040384</v>
      </c>
      <c r="D58" s="206">
        <v>72744561</v>
      </c>
      <c r="E58" s="204" t="s">
        <v>103</v>
      </c>
      <c r="F58" s="206">
        <v>3141</v>
      </c>
      <c r="G58" s="207" t="s">
        <v>294</v>
      </c>
      <c r="H58" s="612" t="s">
        <v>272</v>
      </c>
      <c r="I58" s="420">
        <v>466727</v>
      </c>
      <c r="J58" s="415">
        <v>344619</v>
      </c>
      <c r="K58" s="415">
        <v>0</v>
      </c>
      <c r="L58" s="415">
        <v>344619</v>
      </c>
      <c r="M58" s="415">
        <v>0</v>
      </c>
      <c r="N58" s="415">
        <v>0</v>
      </c>
      <c r="O58" s="415">
        <v>0</v>
      </c>
      <c r="P58" s="68">
        <v>116481</v>
      </c>
      <c r="Q58" s="68">
        <v>3446</v>
      </c>
      <c r="R58" s="415">
        <v>2181</v>
      </c>
      <c r="S58" s="416">
        <v>1.03</v>
      </c>
      <c r="T58" s="417">
        <v>0</v>
      </c>
      <c r="U58" s="423">
        <v>1.03</v>
      </c>
      <c r="V58" s="424">
        <f t="shared" si="89"/>
        <v>0</v>
      </c>
      <c r="W58" s="418">
        <f t="shared" si="89"/>
        <v>0</v>
      </c>
      <c r="X58" s="418">
        <v>0</v>
      </c>
      <c r="Y58" s="418">
        <v>0</v>
      </c>
      <c r="Z58" s="418">
        <v>0</v>
      </c>
      <c r="AA58" s="415">
        <v>174422</v>
      </c>
      <c r="AB58" s="418">
        <v>0</v>
      </c>
      <c r="AC58" s="418">
        <v>0</v>
      </c>
      <c r="AD58" s="418">
        <f t="shared" si="90"/>
        <v>0</v>
      </c>
      <c r="AE58" s="418">
        <f t="shared" si="91"/>
        <v>174422</v>
      </c>
      <c r="AF58" s="418">
        <f t="shared" si="92"/>
        <v>174422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93"/>
        <v>0</v>
      </c>
      <c r="AM58" s="418">
        <f t="shared" si="94"/>
        <v>0</v>
      </c>
      <c r="AN58" s="418">
        <f t="shared" si="95"/>
        <v>0</v>
      </c>
      <c r="AO58" s="418">
        <f t="shared" si="96"/>
        <v>0</v>
      </c>
      <c r="AP58" s="418">
        <f t="shared" si="96"/>
        <v>174422</v>
      </c>
      <c r="AQ58" s="418">
        <f t="shared" si="97"/>
        <v>174422</v>
      </c>
      <c r="AR58" s="68">
        <f t="shared" si="98"/>
        <v>58955</v>
      </c>
      <c r="AS58" s="68">
        <f t="shared" si="99"/>
        <v>1744</v>
      </c>
      <c r="AT58" s="418">
        <v>0</v>
      </c>
      <c r="AU58" s="415">
        <v>1047</v>
      </c>
      <c r="AV58" s="418">
        <f t="shared" si="100"/>
        <v>1047</v>
      </c>
      <c r="AW58" s="418">
        <f t="shared" si="101"/>
        <v>236168</v>
      </c>
      <c r="AX58" s="419">
        <v>0</v>
      </c>
      <c r="AY58" s="419">
        <v>0</v>
      </c>
      <c r="AZ58" s="419">
        <v>0</v>
      </c>
      <c r="BA58" s="419">
        <v>0</v>
      </c>
      <c r="BB58" s="416">
        <v>0.52</v>
      </c>
      <c r="BC58" s="939">
        <v>0</v>
      </c>
      <c r="BD58" s="419">
        <v>0</v>
      </c>
      <c r="BE58" s="419">
        <v>0</v>
      </c>
      <c r="BF58" s="419">
        <f t="shared" si="102"/>
        <v>0</v>
      </c>
      <c r="BG58" s="419">
        <f t="shared" si="103"/>
        <v>0.52</v>
      </c>
      <c r="BH58" s="421">
        <f t="shared" si="104"/>
        <v>0.52</v>
      </c>
      <c r="BI58" s="780">
        <f t="shared" si="105"/>
        <v>702895</v>
      </c>
      <c r="BJ58" s="418">
        <f t="shared" si="106"/>
        <v>519041</v>
      </c>
      <c r="BK58" s="418">
        <f t="shared" si="107"/>
        <v>0</v>
      </c>
      <c r="BL58" s="418">
        <f t="shared" si="107"/>
        <v>519041</v>
      </c>
      <c r="BM58" s="418">
        <f t="shared" si="108"/>
        <v>0</v>
      </c>
      <c r="BN58" s="418">
        <f t="shared" si="109"/>
        <v>0</v>
      </c>
      <c r="BO58" s="418">
        <f t="shared" si="109"/>
        <v>0</v>
      </c>
      <c r="BP58" s="418">
        <f t="shared" si="110"/>
        <v>175436</v>
      </c>
      <c r="BQ58" s="418">
        <f t="shared" si="110"/>
        <v>5190</v>
      </c>
      <c r="BR58" s="418">
        <f t="shared" si="111"/>
        <v>3228</v>
      </c>
      <c r="BS58" s="419">
        <f t="shared" si="112"/>
        <v>1.55</v>
      </c>
      <c r="BT58" s="419">
        <f t="shared" si="113"/>
        <v>0</v>
      </c>
      <c r="BU58" s="421">
        <f t="shared" si="113"/>
        <v>1.55</v>
      </c>
      <c r="BV58" s="420"/>
      <c r="BW58" s="415"/>
      <c r="BX58" s="415"/>
      <c r="BY58" s="415"/>
      <c r="BZ58" s="415"/>
      <c r="CA58" s="510"/>
    </row>
    <row r="59" spans="1:79" x14ac:dyDescent="0.2">
      <c r="A59" s="205">
        <v>10</v>
      </c>
      <c r="B59" s="206">
        <v>3424</v>
      </c>
      <c r="C59" s="206">
        <v>650040384</v>
      </c>
      <c r="D59" s="206">
        <v>72744561</v>
      </c>
      <c r="E59" s="204" t="s">
        <v>103</v>
      </c>
      <c r="F59" s="206">
        <v>3143</v>
      </c>
      <c r="G59" s="207" t="s">
        <v>595</v>
      </c>
      <c r="H59" s="614" t="s">
        <v>271</v>
      </c>
      <c r="I59" s="420">
        <v>619255</v>
      </c>
      <c r="J59" s="415">
        <v>459388</v>
      </c>
      <c r="K59" s="415">
        <v>459388</v>
      </c>
      <c r="L59" s="415">
        <v>0</v>
      </c>
      <c r="M59" s="415">
        <v>0</v>
      </c>
      <c r="N59" s="415">
        <v>0</v>
      </c>
      <c r="O59" s="415">
        <v>0</v>
      </c>
      <c r="P59" s="68">
        <v>155273</v>
      </c>
      <c r="Q59" s="68">
        <v>4594</v>
      </c>
      <c r="R59" s="415">
        <v>0</v>
      </c>
      <c r="S59" s="416">
        <v>0.86199999999999999</v>
      </c>
      <c r="T59" s="417">
        <v>0.86199999999999999</v>
      </c>
      <c r="U59" s="423">
        <v>0</v>
      </c>
      <c r="V59" s="424">
        <f t="shared" si="89"/>
        <v>0</v>
      </c>
      <c r="W59" s="418">
        <f t="shared" si="89"/>
        <v>0</v>
      </c>
      <c r="X59" s="418">
        <v>0</v>
      </c>
      <c r="Y59" s="418">
        <v>0</v>
      </c>
      <c r="Z59" s="418">
        <v>0</v>
      </c>
      <c r="AA59" s="415">
        <v>0</v>
      </c>
      <c r="AB59" s="418">
        <v>0</v>
      </c>
      <c r="AC59" s="418">
        <v>0</v>
      </c>
      <c r="AD59" s="418">
        <f t="shared" si="90"/>
        <v>0</v>
      </c>
      <c r="AE59" s="418">
        <f t="shared" si="91"/>
        <v>0</v>
      </c>
      <c r="AF59" s="418">
        <f t="shared" si="92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93"/>
        <v>0</v>
      </c>
      <c r="AM59" s="418">
        <f t="shared" si="94"/>
        <v>0</v>
      </c>
      <c r="AN59" s="418">
        <f t="shared" si="95"/>
        <v>0</v>
      </c>
      <c r="AO59" s="418">
        <f t="shared" si="96"/>
        <v>0</v>
      </c>
      <c r="AP59" s="418">
        <f t="shared" si="96"/>
        <v>0</v>
      </c>
      <c r="AQ59" s="418">
        <f t="shared" si="97"/>
        <v>0</v>
      </c>
      <c r="AR59" s="68">
        <f t="shared" si="98"/>
        <v>0</v>
      </c>
      <c r="AS59" s="68">
        <f t="shared" si="99"/>
        <v>0</v>
      </c>
      <c r="AT59" s="418">
        <v>0</v>
      </c>
      <c r="AU59" s="415">
        <v>0</v>
      </c>
      <c r="AV59" s="418">
        <f t="shared" si="100"/>
        <v>0</v>
      </c>
      <c r="AW59" s="418">
        <f t="shared" si="101"/>
        <v>0</v>
      </c>
      <c r="AX59" s="419">
        <v>0</v>
      </c>
      <c r="AY59" s="419">
        <v>0</v>
      </c>
      <c r="AZ59" s="419">
        <v>0</v>
      </c>
      <c r="BA59" s="419">
        <v>0</v>
      </c>
      <c r="BB59" s="416">
        <v>0</v>
      </c>
      <c r="BC59" s="939">
        <v>0</v>
      </c>
      <c r="BD59" s="419">
        <v>0</v>
      </c>
      <c r="BE59" s="419">
        <v>0</v>
      </c>
      <c r="BF59" s="419">
        <f t="shared" si="102"/>
        <v>0</v>
      </c>
      <c r="BG59" s="419">
        <f t="shared" si="103"/>
        <v>0</v>
      </c>
      <c r="BH59" s="421">
        <f t="shared" si="104"/>
        <v>0</v>
      </c>
      <c r="BI59" s="780">
        <f t="shared" si="105"/>
        <v>619255</v>
      </c>
      <c r="BJ59" s="418">
        <f t="shared" si="106"/>
        <v>459388</v>
      </c>
      <c r="BK59" s="418">
        <f t="shared" si="107"/>
        <v>459388</v>
      </c>
      <c r="BL59" s="418">
        <f t="shared" si="107"/>
        <v>0</v>
      </c>
      <c r="BM59" s="418">
        <f t="shared" si="108"/>
        <v>0</v>
      </c>
      <c r="BN59" s="418">
        <f t="shared" si="109"/>
        <v>0</v>
      </c>
      <c r="BO59" s="418">
        <f t="shared" si="109"/>
        <v>0</v>
      </c>
      <c r="BP59" s="418">
        <f t="shared" si="110"/>
        <v>155273</v>
      </c>
      <c r="BQ59" s="418">
        <f t="shared" si="110"/>
        <v>4594</v>
      </c>
      <c r="BR59" s="418">
        <f t="shared" si="111"/>
        <v>0</v>
      </c>
      <c r="BS59" s="419">
        <f t="shared" si="112"/>
        <v>0.86199999999999999</v>
      </c>
      <c r="BT59" s="419">
        <f t="shared" si="113"/>
        <v>0.86199999999999999</v>
      </c>
      <c r="BU59" s="421">
        <f t="shared" si="113"/>
        <v>0</v>
      </c>
      <c r="BV59" s="420"/>
      <c r="BW59" s="415"/>
      <c r="BX59" s="415"/>
      <c r="BY59" s="415"/>
      <c r="BZ59" s="415"/>
      <c r="CA59" s="510"/>
    </row>
    <row r="60" spans="1:79" x14ac:dyDescent="0.2">
      <c r="A60" s="205">
        <v>10</v>
      </c>
      <c r="B60" s="206">
        <v>3424</v>
      </c>
      <c r="C60" s="206">
        <v>650040384</v>
      </c>
      <c r="D60" s="206">
        <v>72744561</v>
      </c>
      <c r="E60" s="204" t="s">
        <v>103</v>
      </c>
      <c r="F60" s="206">
        <v>3143</v>
      </c>
      <c r="G60" s="207" t="s">
        <v>596</v>
      </c>
      <c r="H60" s="614" t="s">
        <v>272</v>
      </c>
      <c r="I60" s="420">
        <v>12799</v>
      </c>
      <c r="J60" s="415">
        <v>9161</v>
      </c>
      <c r="K60" s="415">
        <v>0</v>
      </c>
      <c r="L60" s="415">
        <v>9161</v>
      </c>
      <c r="M60" s="415">
        <v>0</v>
      </c>
      <c r="N60" s="415">
        <v>0</v>
      </c>
      <c r="O60" s="415">
        <v>0</v>
      </c>
      <c r="P60" s="68">
        <v>3096</v>
      </c>
      <c r="Q60" s="68">
        <v>92</v>
      </c>
      <c r="R60" s="415">
        <v>450</v>
      </c>
      <c r="S60" s="416">
        <v>0.03</v>
      </c>
      <c r="T60" s="417">
        <v>0</v>
      </c>
      <c r="U60" s="423">
        <v>0.03</v>
      </c>
      <c r="V60" s="424">
        <f t="shared" si="89"/>
        <v>0</v>
      </c>
      <c r="W60" s="418">
        <f t="shared" si="89"/>
        <v>0</v>
      </c>
      <c r="X60" s="418">
        <v>0</v>
      </c>
      <c r="Y60" s="418">
        <v>0</v>
      </c>
      <c r="Z60" s="418">
        <v>0</v>
      </c>
      <c r="AA60" s="605">
        <v>4589</v>
      </c>
      <c r="AB60" s="418">
        <v>0</v>
      </c>
      <c r="AC60" s="418">
        <v>0</v>
      </c>
      <c r="AD60" s="418">
        <f t="shared" si="90"/>
        <v>0</v>
      </c>
      <c r="AE60" s="418">
        <f t="shared" si="91"/>
        <v>4589</v>
      </c>
      <c r="AF60" s="418">
        <f t="shared" si="92"/>
        <v>4589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93"/>
        <v>0</v>
      </c>
      <c r="AM60" s="418">
        <f t="shared" si="94"/>
        <v>0</v>
      </c>
      <c r="AN60" s="418">
        <f t="shared" si="95"/>
        <v>0</v>
      </c>
      <c r="AO60" s="418">
        <f t="shared" si="96"/>
        <v>0</v>
      </c>
      <c r="AP60" s="418">
        <f t="shared" si="96"/>
        <v>4589</v>
      </c>
      <c r="AQ60" s="418">
        <f t="shared" si="97"/>
        <v>4589</v>
      </c>
      <c r="AR60" s="68">
        <f t="shared" si="98"/>
        <v>1551</v>
      </c>
      <c r="AS60" s="68">
        <f t="shared" si="99"/>
        <v>46</v>
      </c>
      <c r="AT60" s="418">
        <v>0</v>
      </c>
      <c r="AU60" s="606">
        <v>225</v>
      </c>
      <c r="AV60" s="418">
        <f t="shared" si="100"/>
        <v>225</v>
      </c>
      <c r="AW60" s="418">
        <f t="shared" si="101"/>
        <v>6411</v>
      </c>
      <c r="AX60" s="419">
        <v>0</v>
      </c>
      <c r="AY60" s="419">
        <v>0</v>
      </c>
      <c r="AZ60" s="419">
        <v>0</v>
      </c>
      <c r="BA60" s="419">
        <v>0</v>
      </c>
      <c r="BB60" s="607">
        <v>0.02</v>
      </c>
      <c r="BC60" s="939">
        <v>0</v>
      </c>
      <c r="BD60" s="419">
        <v>0</v>
      </c>
      <c r="BE60" s="419">
        <v>0</v>
      </c>
      <c r="BF60" s="419">
        <f t="shared" si="102"/>
        <v>0</v>
      </c>
      <c r="BG60" s="419">
        <f t="shared" si="103"/>
        <v>0.02</v>
      </c>
      <c r="BH60" s="421">
        <f t="shared" si="104"/>
        <v>0.02</v>
      </c>
      <c r="BI60" s="780">
        <f t="shared" si="105"/>
        <v>19210</v>
      </c>
      <c r="BJ60" s="418">
        <f t="shared" si="106"/>
        <v>13750</v>
      </c>
      <c r="BK60" s="418">
        <f t="shared" si="107"/>
        <v>0</v>
      </c>
      <c r="BL60" s="418">
        <f t="shared" si="107"/>
        <v>13750</v>
      </c>
      <c r="BM60" s="418">
        <f t="shared" si="108"/>
        <v>0</v>
      </c>
      <c r="BN60" s="418">
        <f t="shared" si="109"/>
        <v>0</v>
      </c>
      <c r="BO60" s="418">
        <f t="shared" si="109"/>
        <v>0</v>
      </c>
      <c r="BP60" s="418">
        <f t="shared" si="110"/>
        <v>4647</v>
      </c>
      <c r="BQ60" s="418">
        <f t="shared" si="110"/>
        <v>138</v>
      </c>
      <c r="BR60" s="418">
        <f t="shared" si="111"/>
        <v>675</v>
      </c>
      <c r="BS60" s="419">
        <f t="shared" si="112"/>
        <v>0.05</v>
      </c>
      <c r="BT60" s="419">
        <f t="shared" si="113"/>
        <v>0</v>
      </c>
      <c r="BU60" s="421">
        <f t="shared" si="113"/>
        <v>0.05</v>
      </c>
      <c r="BV60" s="420"/>
      <c r="BW60" s="415"/>
      <c r="BX60" s="415"/>
      <c r="BY60" s="415"/>
      <c r="BZ60" s="415"/>
      <c r="CA60" s="510"/>
    </row>
    <row r="61" spans="1:79" x14ac:dyDescent="0.2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13"/>
      <c r="I61" s="447">
        <v>6021389</v>
      </c>
      <c r="J61" s="443">
        <v>4400678</v>
      </c>
      <c r="K61" s="443">
        <v>3692387</v>
      </c>
      <c r="L61" s="443">
        <v>708291</v>
      </c>
      <c r="M61" s="443">
        <v>27000</v>
      </c>
      <c r="N61" s="443">
        <v>0</v>
      </c>
      <c r="O61" s="443">
        <v>27000</v>
      </c>
      <c r="P61" s="443">
        <v>1496555</v>
      </c>
      <c r="Q61" s="443">
        <v>44007</v>
      </c>
      <c r="R61" s="443">
        <v>53149</v>
      </c>
      <c r="S61" s="444">
        <v>8.4801000000000002</v>
      </c>
      <c r="T61" s="444">
        <v>6.3201999999999998</v>
      </c>
      <c r="U61" s="449">
        <v>2.1598999999999999</v>
      </c>
      <c r="V61" s="447">
        <f t="shared" ref="V61:CA61" si="114">SUM(V55:V60)</f>
        <v>0</v>
      </c>
      <c r="W61" s="443">
        <f t="shared" si="114"/>
        <v>0</v>
      </c>
      <c r="X61" s="443">
        <f t="shared" si="114"/>
        <v>0</v>
      </c>
      <c r="Y61" s="443">
        <f t="shared" si="114"/>
        <v>0</v>
      </c>
      <c r="Z61" s="443">
        <f t="shared" si="114"/>
        <v>0</v>
      </c>
      <c r="AA61" s="443">
        <f t="shared" si="114"/>
        <v>179011</v>
      </c>
      <c r="AB61" s="443">
        <f t="shared" si="114"/>
        <v>0</v>
      </c>
      <c r="AC61" s="443">
        <f t="shared" si="114"/>
        <v>0</v>
      </c>
      <c r="AD61" s="443">
        <f t="shared" si="114"/>
        <v>0</v>
      </c>
      <c r="AE61" s="443">
        <f t="shared" si="114"/>
        <v>179011</v>
      </c>
      <c r="AF61" s="443">
        <f t="shared" si="114"/>
        <v>179011</v>
      </c>
      <c r="AG61" s="443">
        <f t="shared" si="114"/>
        <v>0</v>
      </c>
      <c r="AH61" s="443">
        <f t="shared" si="114"/>
        <v>0</v>
      </c>
      <c r="AI61" s="443">
        <f t="shared" si="114"/>
        <v>0</v>
      </c>
      <c r="AJ61" s="443">
        <f t="shared" si="114"/>
        <v>0</v>
      </c>
      <c r="AK61" s="443">
        <f t="shared" si="114"/>
        <v>0</v>
      </c>
      <c r="AL61" s="443">
        <f t="shared" si="114"/>
        <v>0</v>
      </c>
      <c r="AM61" s="443">
        <f t="shared" si="114"/>
        <v>0</v>
      </c>
      <c r="AN61" s="443">
        <f t="shared" si="114"/>
        <v>0</v>
      </c>
      <c r="AO61" s="443">
        <f t="shared" si="114"/>
        <v>0</v>
      </c>
      <c r="AP61" s="443">
        <f t="shared" si="114"/>
        <v>179011</v>
      </c>
      <c r="AQ61" s="443">
        <f t="shared" si="114"/>
        <v>179011</v>
      </c>
      <c r="AR61" s="443">
        <f t="shared" si="114"/>
        <v>60506</v>
      </c>
      <c r="AS61" s="443">
        <f t="shared" si="114"/>
        <v>1790</v>
      </c>
      <c r="AT61" s="443">
        <f t="shared" si="114"/>
        <v>0</v>
      </c>
      <c r="AU61" s="443">
        <f t="shared" si="114"/>
        <v>1272</v>
      </c>
      <c r="AV61" s="443">
        <f t="shared" si="114"/>
        <v>1272</v>
      </c>
      <c r="AW61" s="443">
        <f t="shared" si="114"/>
        <v>242579</v>
      </c>
      <c r="AX61" s="444">
        <f t="shared" si="114"/>
        <v>0</v>
      </c>
      <c r="AY61" s="444">
        <f t="shared" si="114"/>
        <v>0</v>
      </c>
      <c r="AZ61" s="444">
        <f t="shared" si="114"/>
        <v>0</v>
      </c>
      <c r="BA61" s="444">
        <f t="shared" si="114"/>
        <v>0</v>
      </c>
      <c r="BB61" s="444">
        <f t="shared" si="114"/>
        <v>0.54</v>
      </c>
      <c r="BC61" s="947">
        <f t="shared" si="114"/>
        <v>0</v>
      </c>
      <c r="BD61" s="444">
        <f t="shared" si="114"/>
        <v>0</v>
      </c>
      <c r="BE61" s="444">
        <f t="shared" si="114"/>
        <v>0</v>
      </c>
      <c r="BF61" s="444">
        <f t="shared" si="114"/>
        <v>0</v>
      </c>
      <c r="BG61" s="444">
        <f t="shared" si="114"/>
        <v>0.54</v>
      </c>
      <c r="BH61" s="40">
        <f t="shared" si="114"/>
        <v>0.54</v>
      </c>
      <c r="BI61" s="451">
        <f t="shared" si="114"/>
        <v>6263968</v>
      </c>
      <c r="BJ61" s="443">
        <f t="shared" si="114"/>
        <v>4579689</v>
      </c>
      <c r="BK61" s="443">
        <f t="shared" si="114"/>
        <v>3692387</v>
      </c>
      <c r="BL61" s="443">
        <f t="shared" si="114"/>
        <v>887302</v>
      </c>
      <c r="BM61" s="443">
        <f t="shared" si="114"/>
        <v>27000</v>
      </c>
      <c r="BN61" s="443">
        <f t="shared" si="114"/>
        <v>0</v>
      </c>
      <c r="BO61" s="443">
        <f t="shared" si="114"/>
        <v>27000</v>
      </c>
      <c r="BP61" s="443">
        <f t="shared" si="114"/>
        <v>1557061</v>
      </c>
      <c r="BQ61" s="443">
        <f t="shared" si="114"/>
        <v>45797</v>
      </c>
      <c r="BR61" s="443">
        <f t="shared" si="114"/>
        <v>54421</v>
      </c>
      <c r="BS61" s="444">
        <f t="shared" si="114"/>
        <v>9.0201000000000011</v>
      </c>
      <c r="BT61" s="444">
        <f t="shared" si="114"/>
        <v>6.3201999999999998</v>
      </c>
      <c r="BU61" s="40">
        <f t="shared" si="114"/>
        <v>2.6999</v>
      </c>
      <c r="BV61" s="831">
        <f t="shared" si="114"/>
        <v>0</v>
      </c>
      <c r="BW61" s="714">
        <f t="shared" si="114"/>
        <v>0</v>
      </c>
      <c r="BX61" s="714">
        <f t="shared" si="114"/>
        <v>0</v>
      </c>
      <c r="BY61" s="714">
        <f t="shared" si="114"/>
        <v>0</v>
      </c>
      <c r="BZ61" s="714">
        <f t="shared" si="114"/>
        <v>0</v>
      </c>
      <c r="CA61" s="832">
        <f t="shared" si="114"/>
        <v>0</v>
      </c>
    </row>
    <row r="62" spans="1:79" x14ac:dyDescent="0.2">
      <c r="A62" s="205">
        <v>11</v>
      </c>
      <c r="B62" s="206">
        <v>3430</v>
      </c>
      <c r="C62" s="206">
        <v>600078183</v>
      </c>
      <c r="D62" s="206">
        <v>72744405</v>
      </c>
      <c r="E62" s="204" t="s">
        <v>105</v>
      </c>
      <c r="F62" s="206">
        <v>3111</v>
      </c>
      <c r="G62" s="207" t="s">
        <v>290</v>
      </c>
      <c r="H62" s="612" t="s">
        <v>271</v>
      </c>
      <c r="I62" s="420">
        <v>3710327</v>
      </c>
      <c r="J62" s="415">
        <v>2733233</v>
      </c>
      <c r="K62" s="415">
        <v>2508113</v>
      </c>
      <c r="L62" s="415">
        <v>225120</v>
      </c>
      <c r="M62" s="415">
        <v>10000</v>
      </c>
      <c r="N62" s="415">
        <v>0</v>
      </c>
      <c r="O62" s="415">
        <v>10000</v>
      </c>
      <c r="P62" s="68">
        <v>927213</v>
      </c>
      <c r="Q62" s="68">
        <v>27332</v>
      </c>
      <c r="R62" s="415">
        <v>12549</v>
      </c>
      <c r="S62" s="416">
        <v>4.7601000000000004</v>
      </c>
      <c r="T62" s="417">
        <v>4</v>
      </c>
      <c r="U62" s="423">
        <v>0.7601</v>
      </c>
      <c r="V62" s="424">
        <f t="shared" ref="V62:W64" si="115">AG62*-1</f>
        <v>0</v>
      </c>
      <c r="W62" s="418">
        <f t="shared" si="115"/>
        <v>0</v>
      </c>
      <c r="X62" s="418">
        <v>0</v>
      </c>
      <c r="Y62" s="418">
        <v>0</v>
      </c>
      <c r="Z62" s="418">
        <v>0</v>
      </c>
      <c r="AA62" s="415">
        <v>0</v>
      </c>
      <c r="AB62" s="418">
        <v>0</v>
      </c>
      <c r="AC62" s="418">
        <v>0</v>
      </c>
      <c r="AD62" s="418">
        <f>V62+X62+Y62+Z62+AB62</f>
        <v>0</v>
      </c>
      <c r="AE62" s="418">
        <f>W62+AA62+AC62</f>
        <v>0</v>
      </c>
      <c r="AF62" s="418">
        <f>SUM(AD62:AE62)</f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>AG62+AI62+AJ62</f>
        <v>0</v>
      </c>
      <c r="AM62" s="418">
        <f>AH62+AK62</f>
        <v>0</v>
      </c>
      <c r="AN62" s="418">
        <f>SUM(AL62:AM62)</f>
        <v>0</v>
      </c>
      <c r="AO62" s="418">
        <f t="shared" ref="AO62:AP64" si="116">AD62+AL62</f>
        <v>0</v>
      </c>
      <c r="AP62" s="418">
        <f t="shared" si="116"/>
        <v>0</v>
      </c>
      <c r="AQ62" s="418">
        <f>SUM(AO62:AP62)</f>
        <v>0</v>
      </c>
      <c r="AR62" s="68">
        <f>ROUND((AF62+AG62+AH62+AI62)*33.8%,0)</f>
        <v>0</v>
      </c>
      <c r="AS62" s="68">
        <f>ROUND(AF62*1%,0)</f>
        <v>0</v>
      </c>
      <c r="AT62" s="418">
        <v>0</v>
      </c>
      <c r="AU62" s="415">
        <v>0</v>
      </c>
      <c r="AV62" s="418">
        <f>AT62+AU62</f>
        <v>0</v>
      </c>
      <c r="AW62" s="418">
        <f>AQ62+AR62+AS62+AV62</f>
        <v>0</v>
      </c>
      <c r="AX62" s="419">
        <v>0</v>
      </c>
      <c r="AY62" s="419">
        <v>0</v>
      </c>
      <c r="AZ62" s="419">
        <v>0</v>
      </c>
      <c r="BA62" s="419">
        <v>0</v>
      </c>
      <c r="BB62" s="416">
        <v>0</v>
      </c>
      <c r="BC62" s="939">
        <v>0</v>
      </c>
      <c r="BD62" s="419">
        <v>0</v>
      </c>
      <c r="BE62" s="419">
        <v>0</v>
      </c>
      <c r="BF62" s="419">
        <f>AX62+AZ62+BA62+BC62+BD62</f>
        <v>0</v>
      </c>
      <c r="BG62" s="419">
        <f>AY62+BB62+BE62</f>
        <v>0</v>
      </c>
      <c r="BH62" s="421">
        <f>SUM(BF62:BG62)</f>
        <v>0</v>
      </c>
      <c r="BI62" s="780">
        <f>I62+AW62</f>
        <v>3710327</v>
      </c>
      <c r="BJ62" s="418">
        <f>J62+AF62</f>
        <v>2733233</v>
      </c>
      <c r="BK62" s="418">
        <f t="shared" ref="BK62:BL64" si="117">K62+AD62</f>
        <v>2508113</v>
      </c>
      <c r="BL62" s="418">
        <f t="shared" si="117"/>
        <v>225120</v>
      </c>
      <c r="BM62" s="418">
        <f>M62+AN62</f>
        <v>10000</v>
      </c>
      <c r="BN62" s="418">
        <f t="shared" ref="BN62:BO64" si="118">N62+AL62</f>
        <v>0</v>
      </c>
      <c r="BO62" s="418">
        <f t="shared" si="118"/>
        <v>10000</v>
      </c>
      <c r="BP62" s="418">
        <f t="shared" ref="BP62:BQ64" si="119">P62+AR62</f>
        <v>927213</v>
      </c>
      <c r="BQ62" s="418">
        <f t="shared" si="119"/>
        <v>27332</v>
      </c>
      <c r="BR62" s="418">
        <f>R62+AV62</f>
        <v>12549</v>
      </c>
      <c r="BS62" s="419">
        <f>S62+BH62</f>
        <v>4.7601000000000004</v>
      </c>
      <c r="BT62" s="419">
        <f t="shared" ref="BT62:BU64" si="120">T62+BF62</f>
        <v>4</v>
      </c>
      <c r="BU62" s="421">
        <f t="shared" si="120"/>
        <v>0.7601</v>
      </c>
      <c r="BV62" s="420"/>
      <c r="BW62" s="415"/>
      <c r="BX62" s="415"/>
      <c r="BY62" s="415"/>
      <c r="BZ62" s="415"/>
      <c r="CA62" s="510"/>
    </row>
    <row r="63" spans="1:79" x14ac:dyDescent="0.2">
      <c r="A63" s="205">
        <v>11</v>
      </c>
      <c r="B63" s="206">
        <v>3430</v>
      </c>
      <c r="C63" s="206">
        <v>600078183</v>
      </c>
      <c r="D63" s="206">
        <v>72744405</v>
      </c>
      <c r="E63" s="204" t="s">
        <v>105</v>
      </c>
      <c r="F63" s="206">
        <v>3111</v>
      </c>
      <c r="G63" s="207" t="s">
        <v>291</v>
      </c>
      <c r="H63" s="612" t="s">
        <v>272</v>
      </c>
      <c r="I63" s="420">
        <v>874720</v>
      </c>
      <c r="J63" s="415">
        <v>648902</v>
      </c>
      <c r="K63" s="415">
        <v>648902</v>
      </c>
      <c r="L63" s="415">
        <v>0</v>
      </c>
      <c r="M63" s="415">
        <v>0</v>
      </c>
      <c r="N63" s="415">
        <v>0</v>
      </c>
      <c r="O63" s="415">
        <v>0</v>
      </c>
      <c r="P63" s="68">
        <v>219329</v>
      </c>
      <c r="Q63" s="68">
        <v>6489</v>
      </c>
      <c r="R63" s="415">
        <v>0</v>
      </c>
      <c r="S63" s="416">
        <v>1.75</v>
      </c>
      <c r="T63" s="417">
        <v>1.75</v>
      </c>
      <c r="U63" s="423">
        <v>0</v>
      </c>
      <c r="V63" s="424">
        <f t="shared" si="115"/>
        <v>0</v>
      </c>
      <c r="W63" s="418">
        <f t="shared" si="115"/>
        <v>0</v>
      </c>
      <c r="X63" s="418">
        <v>0</v>
      </c>
      <c r="Y63" s="418">
        <v>0</v>
      </c>
      <c r="Z63" s="418">
        <v>0</v>
      </c>
      <c r="AA63" s="415">
        <v>0</v>
      </c>
      <c r="AB63" s="418">
        <v>0</v>
      </c>
      <c r="AC63" s="418">
        <v>0</v>
      </c>
      <c r="AD63" s="418">
        <f>V63+X63+Y63+Z63+AB63</f>
        <v>0</v>
      </c>
      <c r="AE63" s="418">
        <f>W63+AA63+AC63</f>
        <v>0</v>
      </c>
      <c r="AF63" s="418">
        <f>SUM(AD63:AE63)</f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>AG63+AI63+AJ63</f>
        <v>0</v>
      </c>
      <c r="AM63" s="418">
        <f>AH63+AK63</f>
        <v>0</v>
      </c>
      <c r="AN63" s="418">
        <f>SUM(AL63:AM63)</f>
        <v>0</v>
      </c>
      <c r="AO63" s="418">
        <f t="shared" si="116"/>
        <v>0</v>
      </c>
      <c r="AP63" s="418">
        <f t="shared" si="116"/>
        <v>0</v>
      </c>
      <c r="AQ63" s="418">
        <f>SUM(AO63:AP63)</f>
        <v>0</v>
      </c>
      <c r="AR63" s="68">
        <f>ROUND((AF63+AG63+AH63+AI63)*33.8%,0)</f>
        <v>0</v>
      </c>
      <c r="AS63" s="68">
        <f>ROUND(AF63*1%,0)</f>
        <v>0</v>
      </c>
      <c r="AT63" s="418">
        <v>0</v>
      </c>
      <c r="AU63" s="415">
        <v>0</v>
      </c>
      <c r="AV63" s="418">
        <f>AT63+AU63</f>
        <v>0</v>
      </c>
      <c r="AW63" s="418">
        <f>AQ63+AR63+AS63+AV63</f>
        <v>0</v>
      </c>
      <c r="AX63" s="419">
        <v>0</v>
      </c>
      <c r="AY63" s="419">
        <v>0</v>
      </c>
      <c r="AZ63" s="419">
        <v>0</v>
      </c>
      <c r="BA63" s="419">
        <v>0</v>
      </c>
      <c r="BB63" s="416">
        <v>0</v>
      </c>
      <c r="BC63" s="939">
        <v>0</v>
      </c>
      <c r="BD63" s="419">
        <v>0</v>
      </c>
      <c r="BE63" s="419">
        <v>0</v>
      </c>
      <c r="BF63" s="419">
        <f>AX63+AZ63+BA63+BC63+BD63</f>
        <v>0</v>
      </c>
      <c r="BG63" s="419">
        <f>AY63+BB63+BE63</f>
        <v>0</v>
      </c>
      <c r="BH63" s="421">
        <f>SUM(BF63:BG63)</f>
        <v>0</v>
      </c>
      <c r="BI63" s="780">
        <f>I63+AW63</f>
        <v>874720</v>
      </c>
      <c r="BJ63" s="418">
        <f>J63+AF63</f>
        <v>648902</v>
      </c>
      <c r="BK63" s="418">
        <f t="shared" si="117"/>
        <v>648902</v>
      </c>
      <c r="BL63" s="418">
        <f t="shared" si="117"/>
        <v>0</v>
      </c>
      <c r="BM63" s="418">
        <f>M63+AN63</f>
        <v>0</v>
      </c>
      <c r="BN63" s="418">
        <f t="shared" si="118"/>
        <v>0</v>
      </c>
      <c r="BO63" s="418">
        <f t="shared" si="118"/>
        <v>0</v>
      </c>
      <c r="BP63" s="418">
        <f t="shared" si="119"/>
        <v>219329</v>
      </c>
      <c r="BQ63" s="418">
        <f t="shared" si="119"/>
        <v>6489</v>
      </c>
      <c r="BR63" s="418">
        <f>R63+AV63</f>
        <v>0</v>
      </c>
      <c r="BS63" s="419">
        <f>S63+BH63</f>
        <v>1.75</v>
      </c>
      <c r="BT63" s="419">
        <f t="shared" si="120"/>
        <v>1.75</v>
      </c>
      <c r="BU63" s="421">
        <f t="shared" si="120"/>
        <v>0</v>
      </c>
      <c r="BV63" s="420"/>
      <c r="BW63" s="415"/>
      <c r="BX63" s="415"/>
      <c r="BY63" s="415"/>
      <c r="BZ63" s="415"/>
      <c r="CA63" s="510"/>
    </row>
    <row r="64" spans="1:79" x14ac:dyDescent="0.2">
      <c r="A64" s="205">
        <v>11</v>
      </c>
      <c r="B64" s="206">
        <v>3430</v>
      </c>
      <c r="C64" s="206">
        <v>600078183</v>
      </c>
      <c r="D64" s="206">
        <v>72744405</v>
      </c>
      <c r="E64" s="204" t="s">
        <v>105</v>
      </c>
      <c r="F64" s="206">
        <v>3141</v>
      </c>
      <c r="G64" s="207" t="s">
        <v>294</v>
      </c>
      <c r="H64" s="612" t="s">
        <v>272</v>
      </c>
      <c r="I64" s="420">
        <v>445197</v>
      </c>
      <c r="J64" s="415">
        <v>329045</v>
      </c>
      <c r="K64" s="415">
        <v>0</v>
      </c>
      <c r="L64" s="415">
        <v>329045</v>
      </c>
      <c r="M64" s="415">
        <v>0</v>
      </c>
      <c r="N64" s="415">
        <v>0</v>
      </c>
      <c r="O64" s="415">
        <v>0</v>
      </c>
      <c r="P64" s="68">
        <v>111217</v>
      </c>
      <c r="Q64" s="68">
        <v>3290</v>
      </c>
      <c r="R64" s="415">
        <v>1645</v>
      </c>
      <c r="S64" s="416">
        <v>0.99</v>
      </c>
      <c r="T64" s="417">
        <v>0</v>
      </c>
      <c r="U64" s="423">
        <v>0.99</v>
      </c>
      <c r="V64" s="424">
        <f t="shared" si="115"/>
        <v>0</v>
      </c>
      <c r="W64" s="418">
        <f t="shared" si="115"/>
        <v>0</v>
      </c>
      <c r="X64" s="418">
        <v>0</v>
      </c>
      <c r="Y64" s="418">
        <v>0</v>
      </c>
      <c r="Z64" s="418">
        <v>0</v>
      </c>
      <c r="AA64" s="605">
        <v>163841</v>
      </c>
      <c r="AB64" s="418">
        <v>0</v>
      </c>
      <c r="AC64" s="418">
        <v>0</v>
      </c>
      <c r="AD64" s="418">
        <f>V64+X64+Y64+Z64+AB64</f>
        <v>0</v>
      </c>
      <c r="AE64" s="418">
        <f>W64+AA64+AC64</f>
        <v>163841</v>
      </c>
      <c r="AF64" s="418">
        <f>SUM(AD64:AE64)</f>
        <v>163841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>AG64+AI64+AJ64</f>
        <v>0</v>
      </c>
      <c r="AM64" s="418">
        <f>AH64+AK64</f>
        <v>0</v>
      </c>
      <c r="AN64" s="418">
        <f>SUM(AL64:AM64)</f>
        <v>0</v>
      </c>
      <c r="AO64" s="418">
        <f t="shared" si="116"/>
        <v>0</v>
      </c>
      <c r="AP64" s="418">
        <f t="shared" si="116"/>
        <v>163841</v>
      </c>
      <c r="AQ64" s="418">
        <f>SUM(AO64:AP64)</f>
        <v>163841</v>
      </c>
      <c r="AR64" s="68">
        <f>ROUND((AF64+AG64+AH64+AI64)*33.8%,0)</f>
        <v>55378</v>
      </c>
      <c r="AS64" s="68">
        <f>ROUND(AF64*1%,0)</f>
        <v>1638</v>
      </c>
      <c r="AT64" s="418">
        <v>0</v>
      </c>
      <c r="AU64" s="605">
        <v>799</v>
      </c>
      <c r="AV64" s="418">
        <f>AT64+AU64</f>
        <v>799</v>
      </c>
      <c r="AW64" s="418">
        <f>AQ64+AR64+AS64+AV64</f>
        <v>221656</v>
      </c>
      <c r="AX64" s="419">
        <v>0</v>
      </c>
      <c r="AY64" s="419">
        <v>0</v>
      </c>
      <c r="AZ64" s="419">
        <v>0</v>
      </c>
      <c r="BA64" s="419">
        <v>0</v>
      </c>
      <c r="BB64" s="607">
        <v>0.49</v>
      </c>
      <c r="BC64" s="939">
        <v>0</v>
      </c>
      <c r="BD64" s="419">
        <v>0</v>
      </c>
      <c r="BE64" s="419">
        <v>0</v>
      </c>
      <c r="BF64" s="419">
        <f>AX64+AZ64+BA64+BC64+BD64</f>
        <v>0</v>
      </c>
      <c r="BG64" s="419">
        <f>AY64+BB64+BE64</f>
        <v>0.49</v>
      </c>
      <c r="BH64" s="421">
        <f>SUM(BF64:BG64)</f>
        <v>0.49</v>
      </c>
      <c r="BI64" s="780">
        <f>I64+AW64</f>
        <v>666853</v>
      </c>
      <c r="BJ64" s="418">
        <f>J64+AF64</f>
        <v>492886</v>
      </c>
      <c r="BK64" s="418">
        <f t="shared" si="117"/>
        <v>0</v>
      </c>
      <c r="BL64" s="418">
        <f t="shared" si="117"/>
        <v>492886</v>
      </c>
      <c r="BM64" s="418">
        <f>M64+AN64</f>
        <v>0</v>
      </c>
      <c r="BN64" s="418">
        <f t="shared" si="118"/>
        <v>0</v>
      </c>
      <c r="BO64" s="418">
        <f t="shared" si="118"/>
        <v>0</v>
      </c>
      <c r="BP64" s="418">
        <f t="shared" si="119"/>
        <v>166595</v>
      </c>
      <c r="BQ64" s="418">
        <f t="shared" si="119"/>
        <v>4928</v>
      </c>
      <c r="BR64" s="418">
        <f>R64+AV64</f>
        <v>2444</v>
      </c>
      <c r="BS64" s="419">
        <f>S64+BH64</f>
        <v>1.48</v>
      </c>
      <c r="BT64" s="419">
        <f t="shared" si="120"/>
        <v>0</v>
      </c>
      <c r="BU64" s="421">
        <f t="shared" si="120"/>
        <v>1.48</v>
      </c>
      <c r="BV64" s="420"/>
      <c r="BW64" s="415"/>
      <c r="BX64" s="415"/>
      <c r="BY64" s="415"/>
      <c r="BZ64" s="415"/>
      <c r="CA64" s="510"/>
    </row>
    <row r="65" spans="1:79" x14ac:dyDescent="0.2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13"/>
      <c r="I65" s="447">
        <v>5030244</v>
      </c>
      <c r="J65" s="443">
        <v>3711180</v>
      </c>
      <c r="K65" s="443">
        <v>3157015</v>
      </c>
      <c r="L65" s="443">
        <v>554165</v>
      </c>
      <c r="M65" s="443">
        <v>10000</v>
      </c>
      <c r="N65" s="443">
        <v>0</v>
      </c>
      <c r="O65" s="443">
        <v>10000</v>
      </c>
      <c r="P65" s="443">
        <v>1257759</v>
      </c>
      <c r="Q65" s="443">
        <v>37111</v>
      </c>
      <c r="R65" s="443">
        <v>14194</v>
      </c>
      <c r="S65" s="444">
        <v>7.5001000000000007</v>
      </c>
      <c r="T65" s="444">
        <v>5.75</v>
      </c>
      <c r="U65" s="449">
        <v>1.7501</v>
      </c>
      <c r="V65" s="447">
        <f t="shared" ref="V65:CA65" si="121">SUM(V62:V64)</f>
        <v>0</v>
      </c>
      <c r="W65" s="443">
        <f t="shared" si="121"/>
        <v>0</v>
      </c>
      <c r="X65" s="443">
        <f t="shared" si="121"/>
        <v>0</v>
      </c>
      <c r="Y65" s="443">
        <f t="shared" si="121"/>
        <v>0</v>
      </c>
      <c r="Z65" s="443">
        <f t="shared" si="121"/>
        <v>0</v>
      </c>
      <c r="AA65" s="443">
        <f t="shared" si="121"/>
        <v>163841</v>
      </c>
      <c r="AB65" s="443">
        <f t="shared" si="121"/>
        <v>0</v>
      </c>
      <c r="AC65" s="443">
        <f t="shared" si="121"/>
        <v>0</v>
      </c>
      <c r="AD65" s="443">
        <f t="shared" si="121"/>
        <v>0</v>
      </c>
      <c r="AE65" s="443">
        <f t="shared" si="121"/>
        <v>163841</v>
      </c>
      <c r="AF65" s="443">
        <f t="shared" si="121"/>
        <v>163841</v>
      </c>
      <c r="AG65" s="443">
        <f t="shared" si="121"/>
        <v>0</v>
      </c>
      <c r="AH65" s="443">
        <f t="shared" si="121"/>
        <v>0</v>
      </c>
      <c r="AI65" s="443">
        <f t="shared" si="121"/>
        <v>0</v>
      </c>
      <c r="AJ65" s="443">
        <f t="shared" si="121"/>
        <v>0</v>
      </c>
      <c r="AK65" s="443">
        <f t="shared" si="121"/>
        <v>0</v>
      </c>
      <c r="AL65" s="443">
        <f t="shared" si="121"/>
        <v>0</v>
      </c>
      <c r="AM65" s="443">
        <f t="shared" si="121"/>
        <v>0</v>
      </c>
      <c r="AN65" s="443">
        <f t="shared" si="121"/>
        <v>0</v>
      </c>
      <c r="AO65" s="443">
        <f t="shared" si="121"/>
        <v>0</v>
      </c>
      <c r="AP65" s="443">
        <f t="shared" si="121"/>
        <v>163841</v>
      </c>
      <c r="AQ65" s="443">
        <f t="shared" si="121"/>
        <v>163841</v>
      </c>
      <c r="AR65" s="443">
        <f t="shared" si="121"/>
        <v>55378</v>
      </c>
      <c r="AS65" s="443">
        <f t="shared" si="121"/>
        <v>1638</v>
      </c>
      <c r="AT65" s="443">
        <f t="shared" si="121"/>
        <v>0</v>
      </c>
      <c r="AU65" s="443">
        <f t="shared" si="121"/>
        <v>799</v>
      </c>
      <c r="AV65" s="443">
        <f t="shared" si="121"/>
        <v>799</v>
      </c>
      <c r="AW65" s="443">
        <f t="shared" si="121"/>
        <v>221656</v>
      </c>
      <c r="AX65" s="444">
        <f t="shared" si="121"/>
        <v>0</v>
      </c>
      <c r="AY65" s="444">
        <f t="shared" si="121"/>
        <v>0</v>
      </c>
      <c r="AZ65" s="444">
        <f t="shared" si="121"/>
        <v>0</v>
      </c>
      <c r="BA65" s="444">
        <f t="shared" si="121"/>
        <v>0</v>
      </c>
      <c r="BB65" s="444">
        <f t="shared" si="121"/>
        <v>0.49</v>
      </c>
      <c r="BC65" s="947">
        <f t="shared" si="121"/>
        <v>0</v>
      </c>
      <c r="BD65" s="444">
        <f t="shared" si="121"/>
        <v>0</v>
      </c>
      <c r="BE65" s="444">
        <f t="shared" si="121"/>
        <v>0</v>
      </c>
      <c r="BF65" s="444">
        <f t="shared" si="121"/>
        <v>0</v>
      </c>
      <c r="BG65" s="444">
        <f t="shared" si="121"/>
        <v>0.49</v>
      </c>
      <c r="BH65" s="40">
        <f t="shared" si="121"/>
        <v>0.49</v>
      </c>
      <c r="BI65" s="451">
        <f t="shared" si="121"/>
        <v>5251900</v>
      </c>
      <c r="BJ65" s="443">
        <f t="shared" si="121"/>
        <v>3875021</v>
      </c>
      <c r="BK65" s="443">
        <f t="shared" si="121"/>
        <v>3157015</v>
      </c>
      <c r="BL65" s="443">
        <f t="shared" si="121"/>
        <v>718006</v>
      </c>
      <c r="BM65" s="443">
        <f t="shared" si="121"/>
        <v>10000</v>
      </c>
      <c r="BN65" s="443">
        <f t="shared" si="121"/>
        <v>0</v>
      </c>
      <c r="BO65" s="443">
        <f t="shared" si="121"/>
        <v>10000</v>
      </c>
      <c r="BP65" s="443">
        <f t="shared" si="121"/>
        <v>1313137</v>
      </c>
      <c r="BQ65" s="443">
        <f t="shared" si="121"/>
        <v>38749</v>
      </c>
      <c r="BR65" s="443">
        <f t="shared" si="121"/>
        <v>14993</v>
      </c>
      <c r="BS65" s="444">
        <f t="shared" si="121"/>
        <v>7.9901</v>
      </c>
      <c r="BT65" s="444">
        <f t="shared" si="121"/>
        <v>5.75</v>
      </c>
      <c r="BU65" s="40">
        <f t="shared" si="121"/>
        <v>2.2401</v>
      </c>
      <c r="BV65" s="831">
        <f t="shared" si="121"/>
        <v>0</v>
      </c>
      <c r="BW65" s="714">
        <f t="shared" si="121"/>
        <v>0</v>
      </c>
      <c r="BX65" s="714">
        <f t="shared" si="121"/>
        <v>0</v>
      </c>
      <c r="BY65" s="714">
        <f t="shared" si="121"/>
        <v>0</v>
      </c>
      <c r="BZ65" s="714">
        <f t="shared" si="121"/>
        <v>0</v>
      </c>
      <c r="CA65" s="832">
        <f t="shared" si="121"/>
        <v>0</v>
      </c>
    </row>
    <row r="66" spans="1:79" x14ac:dyDescent="0.2">
      <c r="A66" s="205">
        <v>12</v>
      </c>
      <c r="B66" s="206">
        <v>3431</v>
      </c>
      <c r="C66" s="206">
        <v>600078370</v>
      </c>
      <c r="D66" s="206">
        <v>72744162</v>
      </c>
      <c r="E66" s="204" t="s">
        <v>107</v>
      </c>
      <c r="F66" s="206">
        <v>3117</v>
      </c>
      <c r="G66" s="207" t="s">
        <v>293</v>
      </c>
      <c r="H66" s="612" t="s">
        <v>271</v>
      </c>
      <c r="I66" s="420">
        <v>4269632</v>
      </c>
      <c r="J66" s="415">
        <v>2945936</v>
      </c>
      <c r="K66" s="415">
        <v>2741014</v>
      </c>
      <c r="L66" s="415">
        <v>204922</v>
      </c>
      <c r="M66" s="415">
        <v>165800</v>
      </c>
      <c r="N66" s="415">
        <v>112800</v>
      </c>
      <c r="O66" s="415">
        <v>53000</v>
      </c>
      <c r="P66" s="68">
        <v>1051766</v>
      </c>
      <c r="Q66" s="68">
        <v>29459</v>
      </c>
      <c r="R66" s="415">
        <v>76671</v>
      </c>
      <c r="S66" s="416">
        <v>4.6945999999999994</v>
      </c>
      <c r="T66" s="417">
        <v>4.1844999999999999</v>
      </c>
      <c r="U66" s="423">
        <v>0.5101</v>
      </c>
      <c r="V66" s="424">
        <f t="shared" ref="V66:W70" si="122">AG66*-1</f>
        <v>0</v>
      </c>
      <c r="W66" s="418">
        <f t="shared" si="122"/>
        <v>0</v>
      </c>
      <c r="X66" s="418">
        <v>0</v>
      </c>
      <c r="Y66" s="418">
        <v>0</v>
      </c>
      <c r="Z66" s="418">
        <v>0</v>
      </c>
      <c r="AA66" s="415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ref="AO66:AP70" si="123">AD66+AL66</f>
        <v>0</v>
      </c>
      <c r="AP66" s="418">
        <f t="shared" si="123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5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6">
        <v>0</v>
      </c>
      <c r="BC66" s="93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780">
        <f>I66+AW66</f>
        <v>4269632</v>
      </c>
      <c r="BJ66" s="418">
        <f>J66+AF66</f>
        <v>2945936</v>
      </c>
      <c r="BK66" s="418">
        <f t="shared" ref="BK66:BL70" si="124">K66+AD66</f>
        <v>2741014</v>
      </c>
      <c r="BL66" s="418">
        <f t="shared" si="124"/>
        <v>204922</v>
      </c>
      <c r="BM66" s="418">
        <f>M66+AN66</f>
        <v>165800</v>
      </c>
      <c r="BN66" s="418">
        <f t="shared" ref="BN66:BO70" si="125">N66+AL66</f>
        <v>112800</v>
      </c>
      <c r="BO66" s="418">
        <f t="shared" si="125"/>
        <v>53000</v>
      </c>
      <c r="BP66" s="418">
        <f t="shared" ref="BP66:BQ70" si="126">P66+AR66</f>
        <v>1051766</v>
      </c>
      <c r="BQ66" s="418">
        <f t="shared" si="126"/>
        <v>29459</v>
      </c>
      <c r="BR66" s="418">
        <f>R66+AV66</f>
        <v>76671</v>
      </c>
      <c r="BS66" s="419">
        <f>S66+BH66</f>
        <v>4.6945999999999994</v>
      </c>
      <c r="BT66" s="419">
        <f t="shared" ref="BT66:BU70" si="127">T66+BF66</f>
        <v>4.1844999999999999</v>
      </c>
      <c r="BU66" s="421">
        <f t="shared" si="127"/>
        <v>0.5101</v>
      </c>
      <c r="BV66" s="420">
        <v>150926</v>
      </c>
      <c r="BW66" s="415">
        <v>0</v>
      </c>
      <c r="BX66" s="415">
        <v>112800</v>
      </c>
      <c r="BY66" s="415">
        <v>38126</v>
      </c>
      <c r="BZ66" s="415">
        <v>0</v>
      </c>
      <c r="CA66" s="510">
        <v>0</v>
      </c>
    </row>
    <row r="67" spans="1:79" x14ac:dyDescent="0.2">
      <c r="A67" s="205">
        <v>12</v>
      </c>
      <c r="B67" s="206">
        <v>3431</v>
      </c>
      <c r="C67" s="206">
        <v>600078370</v>
      </c>
      <c r="D67" s="206">
        <v>72744162</v>
      </c>
      <c r="E67" s="204" t="s">
        <v>107</v>
      </c>
      <c r="F67" s="206">
        <v>3117</v>
      </c>
      <c r="G67" s="207" t="s">
        <v>291</v>
      </c>
      <c r="H67" s="612" t="s">
        <v>272</v>
      </c>
      <c r="I67" s="420">
        <v>1374560</v>
      </c>
      <c r="J67" s="415">
        <v>1019703</v>
      </c>
      <c r="K67" s="415">
        <v>1019703</v>
      </c>
      <c r="L67" s="415">
        <v>0</v>
      </c>
      <c r="M67" s="415">
        <v>0</v>
      </c>
      <c r="N67" s="415">
        <v>0</v>
      </c>
      <c r="O67" s="415">
        <v>0</v>
      </c>
      <c r="P67" s="68">
        <v>344660</v>
      </c>
      <c r="Q67" s="68">
        <v>10197</v>
      </c>
      <c r="R67" s="415">
        <v>0</v>
      </c>
      <c r="S67" s="416">
        <v>2.75</v>
      </c>
      <c r="T67" s="417">
        <v>2.75</v>
      </c>
      <c r="U67" s="423">
        <v>0</v>
      </c>
      <c r="V67" s="424">
        <f t="shared" si="122"/>
        <v>0</v>
      </c>
      <c r="W67" s="418">
        <f t="shared" si="122"/>
        <v>0</v>
      </c>
      <c r="X67" s="418">
        <v>0</v>
      </c>
      <c r="Y67" s="418">
        <v>0</v>
      </c>
      <c r="Z67" s="418">
        <v>0</v>
      </c>
      <c r="AA67" s="415">
        <v>0</v>
      </c>
      <c r="AB67" s="418">
        <v>0</v>
      </c>
      <c r="AC67" s="418">
        <v>0</v>
      </c>
      <c r="AD67" s="418">
        <f>V67+X67+Y67+Z67+AB67</f>
        <v>0</v>
      </c>
      <c r="AE67" s="418">
        <f>W67+AA67+AC67</f>
        <v>0</v>
      </c>
      <c r="AF67" s="418">
        <f>SUM(AD67:AE67)</f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23"/>
        <v>0</v>
      </c>
      <c r="AP67" s="418">
        <f t="shared" si="123"/>
        <v>0</v>
      </c>
      <c r="AQ67" s="418">
        <f>SUM(AO67:AP67)</f>
        <v>0</v>
      </c>
      <c r="AR67" s="68">
        <f>ROUND((AF67+AG67+AH67+AI67)*33.8%,0)</f>
        <v>0</v>
      </c>
      <c r="AS67" s="68">
        <f>ROUND(AF67*1%,0)</f>
        <v>0</v>
      </c>
      <c r="AT67" s="418">
        <v>0</v>
      </c>
      <c r="AU67" s="415">
        <v>0</v>
      </c>
      <c r="AV67" s="418">
        <f>AT67+AU67</f>
        <v>0</v>
      </c>
      <c r="AW67" s="418">
        <f>AQ67+AR67+AS67+AV67</f>
        <v>0</v>
      </c>
      <c r="AX67" s="419">
        <v>0</v>
      </c>
      <c r="AY67" s="419">
        <v>0</v>
      </c>
      <c r="AZ67" s="419">
        <v>0</v>
      </c>
      <c r="BA67" s="419">
        <v>0</v>
      </c>
      <c r="BB67" s="416">
        <v>0</v>
      </c>
      <c r="BC67" s="939">
        <v>0</v>
      </c>
      <c r="BD67" s="419">
        <v>0</v>
      </c>
      <c r="BE67" s="419">
        <v>0</v>
      </c>
      <c r="BF67" s="419">
        <f>AX67+AZ67+BA67+BC67+BD67</f>
        <v>0</v>
      </c>
      <c r="BG67" s="419">
        <f>AY67+BB67+BE67</f>
        <v>0</v>
      </c>
      <c r="BH67" s="421">
        <f>SUM(BF67:BG67)</f>
        <v>0</v>
      </c>
      <c r="BI67" s="780">
        <f>I67+AW67</f>
        <v>1374560</v>
      </c>
      <c r="BJ67" s="418">
        <f>J67+AF67</f>
        <v>1019703</v>
      </c>
      <c r="BK67" s="418">
        <f t="shared" si="124"/>
        <v>1019703</v>
      </c>
      <c r="BL67" s="418">
        <f t="shared" si="124"/>
        <v>0</v>
      </c>
      <c r="BM67" s="418">
        <f>M67+AN67</f>
        <v>0</v>
      </c>
      <c r="BN67" s="418">
        <f t="shared" si="125"/>
        <v>0</v>
      </c>
      <c r="BO67" s="418">
        <f t="shared" si="125"/>
        <v>0</v>
      </c>
      <c r="BP67" s="418">
        <f t="shared" si="126"/>
        <v>344660</v>
      </c>
      <c r="BQ67" s="418">
        <f t="shared" si="126"/>
        <v>10197</v>
      </c>
      <c r="BR67" s="418">
        <f>R67+AV67</f>
        <v>0</v>
      </c>
      <c r="BS67" s="419">
        <f>S67+BH67</f>
        <v>2.75</v>
      </c>
      <c r="BT67" s="419">
        <f t="shared" si="127"/>
        <v>2.75</v>
      </c>
      <c r="BU67" s="421">
        <f t="shared" si="127"/>
        <v>0</v>
      </c>
      <c r="BV67" s="420"/>
      <c r="BW67" s="415"/>
      <c r="BX67" s="415"/>
      <c r="BY67" s="415"/>
      <c r="BZ67" s="415"/>
      <c r="CA67" s="510"/>
    </row>
    <row r="68" spans="1:79" x14ac:dyDescent="0.2">
      <c r="A68" s="205">
        <v>12</v>
      </c>
      <c r="B68" s="206">
        <v>3431</v>
      </c>
      <c r="C68" s="206">
        <v>600078370</v>
      </c>
      <c r="D68" s="206">
        <v>72744162</v>
      </c>
      <c r="E68" s="204" t="s">
        <v>107</v>
      </c>
      <c r="F68" s="206">
        <v>3141</v>
      </c>
      <c r="G68" s="207" t="s">
        <v>294</v>
      </c>
      <c r="H68" s="612" t="s">
        <v>272</v>
      </c>
      <c r="I68" s="420">
        <v>319188</v>
      </c>
      <c r="J68" s="415">
        <v>235670</v>
      </c>
      <c r="K68" s="415">
        <v>0</v>
      </c>
      <c r="L68" s="415">
        <v>235670</v>
      </c>
      <c r="M68" s="415">
        <v>0</v>
      </c>
      <c r="N68" s="415">
        <v>0</v>
      </c>
      <c r="O68" s="415">
        <v>0</v>
      </c>
      <c r="P68" s="68">
        <v>79656</v>
      </c>
      <c r="Q68" s="68">
        <v>2357</v>
      </c>
      <c r="R68" s="415">
        <v>1505</v>
      </c>
      <c r="S68" s="416">
        <v>0.71</v>
      </c>
      <c r="T68" s="417">
        <v>0</v>
      </c>
      <c r="U68" s="423">
        <v>0.71</v>
      </c>
      <c r="V68" s="424">
        <f t="shared" si="122"/>
        <v>0</v>
      </c>
      <c r="W68" s="418">
        <f t="shared" si="122"/>
        <v>0</v>
      </c>
      <c r="X68" s="418">
        <v>0</v>
      </c>
      <c r="Y68" s="418">
        <v>0</v>
      </c>
      <c r="Z68" s="418">
        <v>0</v>
      </c>
      <c r="AA68" s="605">
        <v>116941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116941</v>
      </c>
      <c r="AF68" s="418">
        <f>SUM(AD68:AE68)</f>
        <v>116941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23"/>
        <v>0</v>
      </c>
      <c r="AP68" s="418">
        <f t="shared" si="123"/>
        <v>116941</v>
      </c>
      <c r="AQ68" s="418">
        <f>SUM(AO68:AP68)</f>
        <v>116941</v>
      </c>
      <c r="AR68" s="68">
        <f>ROUND((AF68+AG68+AH68+AI68)*33.8%,0)</f>
        <v>39526</v>
      </c>
      <c r="AS68" s="68">
        <f>ROUND(AF68*1%,0)</f>
        <v>1169</v>
      </c>
      <c r="AT68" s="418">
        <v>0</v>
      </c>
      <c r="AU68" s="605">
        <v>731</v>
      </c>
      <c r="AV68" s="418">
        <f>AT68+AU68</f>
        <v>731</v>
      </c>
      <c r="AW68" s="418">
        <f>AQ68+AR68+AS68+AV68</f>
        <v>158367</v>
      </c>
      <c r="AX68" s="419">
        <v>0</v>
      </c>
      <c r="AY68" s="419">
        <v>0</v>
      </c>
      <c r="AZ68" s="419">
        <v>0</v>
      </c>
      <c r="BA68" s="419">
        <v>0</v>
      </c>
      <c r="BB68" s="607">
        <v>0.35</v>
      </c>
      <c r="BC68" s="93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0.35</v>
      </c>
      <c r="BH68" s="421">
        <f>SUM(BF68:BG68)</f>
        <v>0.35</v>
      </c>
      <c r="BI68" s="780">
        <f>I68+AW68</f>
        <v>477555</v>
      </c>
      <c r="BJ68" s="418">
        <f>J68+AF68</f>
        <v>352611</v>
      </c>
      <c r="BK68" s="418">
        <f t="shared" si="124"/>
        <v>0</v>
      </c>
      <c r="BL68" s="418">
        <f t="shared" si="124"/>
        <v>352611</v>
      </c>
      <c r="BM68" s="418">
        <f>M68+AN68</f>
        <v>0</v>
      </c>
      <c r="BN68" s="418">
        <f t="shared" si="125"/>
        <v>0</v>
      </c>
      <c r="BO68" s="418">
        <f t="shared" si="125"/>
        <v>0</v>
      </c>
      <c r="BP68" s="418">
        <f t="shared" si="126"/>
        <v>119182</v>
      </c>
      <c r="BQ68" s="418">
        <f t="shared" si="126"/>
        <v>3526</v>
      </c>
      <c r="BR68" s="418">
        <f>R68+AV68</f>
        <v>2236</v>
      </c>
      <c r="BS68" s="419">
        <f>S68+BH68</f>
        <v>1.06</v>
      </c>
      <c r="BT68" s="419">
        <f t="shared" si="127"/>
        <v>0</v>
      </c>
      <c r="BU68" s="421">
        <f t="shared" si="127"/>
        <v>1.06</v>
      </c>
      <c r="BV68" s="420"/>
      <c r="BW68" s="415"/>
      <c r="BX68" s="415"/>
      <c r="BY68" s="415"/>
      <c r="BZ68" s="415"/>
      <c r="CA68" s="510"/>
    </row>
    <row r="69" spans="1:79" x14ac:dyDescent="0.2">
      <c r="A69" s="205">
        <v>12</v>
      </c>
      <c r="B69" s="206">
        <v>3431</v>
      </c>
      <c r="C69" s="206">
        <v>600078370</v>
      </c>
      <c r="D69" s="206">
        <v>72744162</v>
      </c>
      <c r="E69" s="204" t="s">
        <v>107</v>
      </c>
      <c r="F69" s="206">
        <v>3143</v>
      </c>
      <c r="G69" s="207" t="s">
        <v>595</v>
      </c>
      <c r="H69" s="614" t="s">
        <v>271</v>
      </c>
      <c r="I69" s="420">
        <v>698534</v>
      </c>
      <c r="J69" s="415">
        <v>518200</v>
      </c>
      <c r="K69" s="415">
        <v>518200</v>
      </c>
      <c r="L69" s="415">
        <v>0</v>
      </c>
      <c r="M69" s="415">
        <v>0</v>
      </c>
      <c r="N69" s="415">
        <v>0</v>
      </c>
      <c r="O69" s="415">
        <v>0</v>
      </c>
      <c r="P69" s="68">
        <v>175152</v>
      </c>
      <c r="Q69" s="68">
        <v>5182</v>
      </c>
      <c r="R69" s="415">
        <v>0</v>
      </c>
      <c r="S69" s="416">
        <v>1</v>
      </c>
      <c r="T69" s="417">
        <v>1</v>
      </c>
      <c r="U69" s="423">
        <v>0</v>
      </c>
      <c r="V69" s="424">
        <f t="shared" si="122"/>
        <v>0</v>
      </c>
      <c r="W69" s="418">
        <f t="shared" si="122"/>
        <v>0</v>
      </c>
      <c r="X69" s="418">
        <v>0</v>
      </c>
      <c r="Y69" s="418">
        <v>0</v>
      </c>
      <c r="Z69" s="418">
        <v>0</v>
      </c>
      <c r="AA69" s="415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23"/>
        <v>0</v>
      </c>
      <c r="AP69" s="418">
        <f t="shared" si="123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5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6">
        <v>0</v>
      </c>
      <c r="BC69" s="93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421">
        <f>SUM(BF69:BG69)</f>
        <v>0</v>
      </c>
      <c r="BI69" s="780">
        <f>I69+AW69</f>
        <v>698534</v>
      </c>
      <c r="BJ69" s="418">
        <f>J69+AF69</f>
        <v>518200</v>
      </c>
      <c r="BK69" s="418">
        <f t="shared" si="124"/>
        <v>518200</v>
      </c>
      <c r="BL69" s="418">
        <f t="shared" si="124"/>
        <v>0</v>
      </c>
      <c r="BM69" s="418">
        <f>M69+AN69</f>
        <v>0</v>
      </c>
      <c r="BN69" s="418">
        <f t="shared" si="125"/>
        <v>0</v>
      </c>
      <c r="BO69" s="418">
        <f t="shared" si="125"/>
        <v>0</v>
      </c>
      <c r="BP69" s="418">
        <f t="shared" si="126"/>
        <v>175152</v>
      </c>
      <c r="BQ69" s="418">
        <f t="shared" si="126"/>
        <v>5182</v>
      </c>
      <c r="BR69" s="418">
        <f>R69+AV69</f>
        <v>0</v>
      </c>
      <c r="BS69" s="419">
        <f>S69+BH69</f>
        <v>1</v>
      </c>
      <c r="BT69" s="419">
        <f t="shared" si="127"/>
        <v>1</v>
      </c>
      <c r="BU69" s="421">
        <f t="shared" si="127"/>
        <v>0</v>
      </c>
      <c r="BV69" s="420"/>
      <c r="BW69" s="415"/>
      <c r="BX69" s="415"/>
      <c r="BY69" s="415"/>
      <c r="BZ69" s="415"/>
      <c r="CA69" s="510"/>
    </row>
    <row r="70" spans="1:79" x14ac:dyDescent="0.2">
      <c r="A70" s="205">
        <v>12</v>
      </c>
      <c r="B70" s="206">
        <v>3431</v>
      </c>
      <c r="C70" s="206">
        <v>600078370</v>
      </c>
      <c r="D70" s="206">
        <v>72744162</v>
      </c>
      <c r="E70" s="204" t="s">
        <v>107</v>
      </c>
      <c r="F70" s="206">
        <v>3143</v>
      </c>
      <c r="G70" s="207" t="s">
        <v>596</v>
      </c>
      <c r="H70" s="614" t="s">
        <v>272</v>
      </c>
      <c r="I70" s="420">
        <v>14863</v>
      </c>
      <c r="J70" s="415">
        <v>10639</v>
      </c>
      <c r="K70" s="415">
        <v>0</v>
      </c>
      <c r="L70" s="415">
        <v>10639</v>
      </c>
      <c r="M70" s="415">
        <v>0</v>
      </c>
      <c r="N70" s="415">
        <v>0</v>
      </c>
      <c r="O70" s="415">
        <v>0</v>
      </c>
      <c r="P70" s="68">
        <v>3596</v>
      </c>
      <c r="Q70" s="68">
        <v>106</v>
      </c>
      <c r="R70" s="415">
        <v>522</v>
      </c>
      <c r="S70" s="416">
        <v>0.04</v>
      </c>
      <c r="T70" s="417">
        <v>0</v>
      </c>
      <c r="U70" s="423">
        <v>0.04</v>
      </c>
      <c r="V70" s="424">
        <f t="shared" si="122"/>
        <v>0</v>
      </c>
      <c r="W70" s="418">
        <f t="shared" si="122"/>
        <v>0</v>
      </c>
      <c r="X70" s="418">
        <v>0</v>
      </c>
      <c r="Y70" s="418">
        <v>0</v>
      </c>
      <c r="Z70" s="418">
        <v>0</v>
      </c>
      <c r="AA70" s="605">
        <v>5311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5311</v>
      </c>
      <c r="AF70" s="418">
        <f>SUM(AD70:AE70)</f>
        <v>5311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123"/>
        <v>0</v>
      </c>
      <c r="AP70" s="418">
        <f t="shared" si="123"/>
        <v>5311</v>
      </c>
      <c r="AQ70" s="418">
        <f>SUM(AO70:AP70)</f>
        <v>5311</v>
      </c>
      <c r="AR70" s="68">
        <f>ROUND((AF70+AG70+AH70+AI70)*33.8%,0)</f>
        <v>1795</v>
      </c>
      <c r="AS70" s="68">
        <f>ROUND(AF70*1%,0)</f>
        <v>53</v>
      </c>
      <c r="AT70" s="418">
        <v>0</v>
      </c>
      <c r="AU70" s="606">
        <v>261</v>
      </c>
      <c r="AV70" s="418">
        <f>AT70+AU70</f>
        <v>261</v>
      </c>
      <c r="AW70" s="418">
        <f>AQ70+AR70+AS70+AV70</f>
        <v>7420</v>
      </c>
      <c r="AX70" s="419">
        <v>0</v>
      </c>
      <c r="AY70" s="419">
        <v>0</v>
      </c>
      <c r="AZ70" s="419">
        <v>0</v>
      </c>
      <c r="BA70" s="419">
        <v>0</v>
      </c>
      <c r="BB70" s="607">
        <v>0.02</v>
      </c>
      <c r="BC70" s="93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0.02</v>
      </c>
      <c r="BH70" s="421">
        <f>SUM(BF70:BG70)</f>
        <v>0.02</v>
      </c>
      <c r="BI70" s="780">
        <f>I70+AW70</f>
        <v>22283</v>
      </c>
      <c r="BJ70" s="418">
        <f>J70+AF70</f>
        <v>15950</v>
      </c>
      <c r="BK70" s="418">
        <f t="shared" si="124"/>
        <v>0</v>
      </c>
      <c r="BL70" s="418">
        <f t="shared" si="124"/>
        <v>15950</v>
      </c>
      <c r="BM70" s="418">
        <f>M70+AN70</f>
        <v>0</v>
      </c>
      <c r="BN70" s="418">
        <f t="shared" si="125"/>
        <v>0</v>
      </c>
      <c r="BO70" s="418">
        <f t="shared" si="125"/>
        <v>0</v>
      </c>
      <c r="BP70" s="418">
        <f t="shared" si="126"/>
        <v>5391</v>
      </c>
      <c r="BQ70" s="418">
        <f t="shared" si="126"/>
        <v>159</v>
      </c>
      <c r="BR70" s="418">
        <f>R70+AV70</f>
        <v>783</v>
      </c>
      <c r="BS70" s="419">
        <f>S70+BH70</f>
        <v>0.06</v>
      </c>
      <c r="BT70" s="419">
        <f t="shared" si="127"/>
        <v>0</v>
      </c>
      <c r="BU70" s="421">
        <f t="shared" si="127"/>
        <v>0.06</v>
      </c>
      <c r="BV70" s="420"/>
      <c r="BW70" s="415"/>
      <c r="BX70" s="415"/>
      <c r="BY70" s="415"/>
      <c r="BZ70" s="415"/>
      <c r="CA70" s="510"/>
    </row>
    <row r="71" spans="1:79" x14ac:dyDescent="0.2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13"/>
      <c r="I71" s="447">
        <v>6676777</v>
      </c>
      <c r="J71" s="443">
        <v>4730148</v>
      </c>
      <c r="K71" s="443">
        <v>4278917</v>
      </c>
      <c r="L71" s="443">
        <v>451231</v>
      </c>
      <c r="M71" s="443">
        <v>165800</v>
      </c>
      <c r="N71" s="443">
        <v>112800</v>
      </c>
      <c r="O71" s="443">
        <v>53000</v>
      </c>
      <c r="P71" s="443">
        <v>1654830</v>
      </c>
      <c r="Q71" s="443">
        <v>47301</v>
      </c>
      <c r="R71" s="443">
        <v>78698</v>
      </c>
      <c r="S71" s="444">
        <v>9.1945999999999977</v>
      </c>
      <c r="T71" s="444">
        <v>7.9344999999999999</v>
      </c>
      <c r="U71" s="449">
        <v>1.2601</v>
      </c>
      <c r="V71" s="447">
        <f t="shared" ref="V71:CA71" si="128">SUM(V66:V70)</f>
        <v>0</v>
      </c>
      <c r="W71" s="443">
        <f t="shared" si="128"/>
        <v>0</v>
      </c>
      <c r="X71" s="443">
        <f t="shared" si="128"/>
        <v>0</v>
      </c>
      <c r="Y71" s="443">
        <f t="shared" si="128"/>
        <v>0</v>
      </c>
      <c r="Z71" s="443">
        <f t="shared" si="128"/>
        <v>0</v>
      </c>
      <c r="AA71" s="443">
        <f t="shared" si="128"/>
        <v>122252</v>
      </c>
      <c r="AB71" s="443">
        <f t="shared" si="128"/>
        <v>0</v>
      </c>
      <c r="AC71" s="443">
        <f t="shared" si="128"/>
        <v>0</v>
      </c>
      <c r="AD71" s="443">
        <f t="shared" si="128"/>
        <v>0</v>
      </c>
      <c r="AE71" s="443">
        <f t="shared" si="128"/>
        <v>122252</v>
      </c>
      <c r="AF71" s="443">
        <f t="shared" si="128"/>
        <v>122252</v>
      </c>
      <c r="AG71" s="443">
        <f t="shared" si="128"/>
        <v>0</v>
      </c>
      <c r="AH71" s="443">
        <f t="shared" si="128"/>
        <v>0</v>
      </c>
      <c r="AI71" s="443">
        <f t="shared" si="128"/>
        <v>0</v>
      </c>
      <c r="AJ71" s="443">
        <f t="shared" si="128"/>
        <v>0</v>
      </c>
      <c r="AK71" s="443">
        <f t="shared" si="128"/>
        <v>0</v>
      </c>
      <c r="AL71" s="443">
        <f t="shared" si="128"/>
        <v>0</v>
      </c>
      <c r="AM71" s="443">
        <f t="shared" si="128"/>
        <v>0</v>
      </c>
      <c r="AN71" s="443">
        <f t="shared" si="128"/>
        <v>0</v>
      </c>
      <c r="AO71" s="443">
        <f t="shared" si="128"/>
        <v>0</v>
      </c>
      <c r="AP71" s="443">
        <f t="shared" si="128"/>
        <v>122252</v>
      </c>
      <c r="AQ71" s="443">
        <f t="shared" si="128"/>
        <v>122252</v>
      </c>
      <c r="AR71" s="443">
        <f t="shared" si="128"/>
        <v>41321</v>
      </c>
      <c r="AS71" s="443">
        <f t="shared" si="128"/>
        <v>1222</v>
      </c>
      <c r="AT71" s="443">
        <f t="shared" si="128"/>
        <v>0</v>
      </c>
      <c r="AU71" s="443">
        <f t="shared" si="128"/>
        <v>992</v>
      </c>
      <c r="AV71" s="443">
        <f t="shared" si="128"/>
        <v>992</v>
      </c>
      <c r="AW71" s="443">
        <f t="shared" si="128"/>
        <v>165787</v>
      </c>
      <c r="AX71" s="444">
        <f t="shared" si="128"/>
        <v>0</v>
      </c>
      <c r="AY71" s="444">
        <f t="shared" si="128"/>
        <v>0</v>
      </c>
      <c r="AZ71" s="444">
        <f t="shared" si="128"/>
        <v>0</v>
      </c>
      <c r="BA71" s="444">
        <f t="shared" si="128"/>
        <v>0</v>
      </c>
      <c r="BB71" s="444">
        <f t="shared" si="128"/>
        <v>0.37</v>
      </c>
      <c r="BC71" s="947">
        <f t="shared" si="128"/>
        <v>0</v>
      </c>
      <c r="BD71" s="444">
        <f t="shared" si="128"/>
        <v>0</v>
      </c>
      <c r="BE71" s="444">
        <f t="shared" si="128"/>
        <v>0</v>
      </c>
      <c r="BF71" s="444">
        <f t="shared" si="128"/>
        <v>0</v>
      </c>
      <c r="BG71" s="444">
        <f t="shared" si="128"/>
        <v>0.37</v>
      </c>
      <c r="BH71" s="40">
        <f t="shared" si="128"/>
        <v>0.37</v>
      </c>
      <c r="BI71" s="451">
        <f t="shared" si="128"/>
        <v>6842564</v>
      </c>
      <c r="BJ71" s="443">
        <f t="shared" si="128"/>
        <v>4852400</v>
      </c>
      <c r="BK71" s="443">
        <f t="shared" si="128"/>
        <v>4278917</v>
      </c>
      <c r="BL71" s="443">
        <f t="shared" si="128"/>
        <v>573483</v>
      </c>
      <c r="BM71" s="443">
        <f t="shared" si="128"/>
        <v>165800</v>
      </c>
      <c r="BN71" s="443">
        <f t="shared" si="128"/>
        <v>112800</v>
      </c>
      <c r="BO71" s="443">
        <f t="shared" si="128"/>
        <v>53000</v>
      </c>
      <c r="BP71" s="443">
        <f t="shared" si="128"/>
        <v>1696151</v>
      </c>
      <c r="BQ71" s="443">
        <f t="shared" si="128"/>
        <v>48523</v>
      </c>
      <c r="BR71" s="443">
        <f t="shared" si="128"/>
        <v>79690</v>
      </c>
      <c r="BS71" s="444">
        <f t="shared" si="128"/>
        <v>9.5646000000000004</v>
      </c>
      <c r="BT71" s="444">
        <f t="shared" si="128"/>
        <v>7.9344999999999999</v>
      </c>
      <c r="BU71" s="40">
        <f t="shared" si="128"/>
        <v>1.6301000000000001</v>
      </c>
      <c r="BV71" s="831">
        <f t="shared" si="128"/>
        <v>150926</v>
      </c>
      <c r="BW71" s="714">
        <f t="shared" si="128"/>
        <v>0</v>
      </c>
      <c r="BX71" s="714">
        <f t="shared" si="128"/>
        <v>112800</v>
      </c>
      <c r="BY71" s="714">
        <f t="shared" si="128"/>
        <v>38126</v>
      </c>
      <c r="BZ71" s="714">
        <f t="shared" si="128"/>
        <v>0</v>
      </c>
      <c r="CA71" s="832">
        <f t="shared" si="128"/>
        <v>0</v>
      </c>
    </row>
    <row r="72" spans="1:79" x14ac:dyDescent="0.2">
      <c r="A72" s="205">
        <v>13</v>
      </c>
      <c r="B72" s="206">
        <v>3437</v>
      </c>
      <c r="C72" s="206">
        <v>600078051</v>
      </c>
      <c r="D72" s="206">
        <v>70695377</v>
      </c>
      <c r="E72" s="204" t="s">
        <v>109</v>
      </c>
      <c r="F72" s="206">
        <v>3111</v>
      </c>
      <c r="G72" s="207" t="s">
        <v>290</v>
      </c>
      <c r="H72" s="612" t="s">
        <v>271</v>
      </c>
      <c r="I72" s="420">
        <v>10385532</v>
      </c>
      <c r="J72" s="415">
        <v>7660384</v>
      </c>
      <c r="K72" s="415">
        <v>6938776</v>
      </c>
      <c r="L72" s="415">
        <v>721608</v>
      </c>
      <c r="M72" s="415">
        <v>20000</v>
      </c>
      <c r="N72" s="415">
        <v>20000</v>
      </c>
      <c r="O72" s="415">
        <v>0</v>
      </c>
      <c r="P72" s="68">
        <v>2595970</v>
      </c>
      <c r="Q72" s="68">
        <v>76604</v>
      </c>
      <c r="R72" s="415">
        <v>32574</v>
      </c>
      <c r="S72" s="416">
        <v>14.46</v>
      </c>
      <c r="T72" s="417">
        <v>12</v>
      </c>
      <c r="U72" s="423">
        <v>2.46</v>
      </c>
      <c r="V72" s="424">
        <f t="shared" ref="V72:W74" si="129">AG72*-1</f>
        <v>0</v>
      </c>
      <c r="W72" s="418">
        <f t="shared" si="129"/>
        <v>0</v>
      </c>
      <c r="X72" s="418">
        <v>0</v>
      </c>
      <c r="Y72" s="418">
        <v>0</v>
      </c>
      <c r="Z72" s="418">
        <v>0</v>
      </c>
      <c r="AA72" s="415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ref="AO72:AP74" si="130">AD72+AL72</f>
        <v>0</v>
      </c>
      <c r="AP72" s="418">
        <f t="shared" si="130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5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6">
        <v>0</v>
      </c>
      <c r="BC72" s="93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421">
        <f>SUM(BF72:BG72)</f>
        <v>0</v>
      </c>
      <c r="BI72" s="780">
        <f>I72+AW72</f>
        <v>10385532</v>
      </c>
      <c r="BJ72" s="418">
        <f>J72+AF72</f>
        <v>7660384</v>
      </c>
      <c r="BK72" s="418">
        <f t="shared" ref="BK72:BL74" si="131">K72+AD72</f>
        <v>6938776</v>
      </c>
      <c r="BL72" s="418">
        <f t="shared" si="131"/>
        <v>721608</v>
      </c>
      <c r="BM72" s="418">
        <f>M72+AN72</f>
        <v>20000</v>
      </c>
      <c r="BN72" s="418">
        <f t="shared" ref="BN72:BO74" si="132">N72+AL72</f>
        <v>20000</v>
      </c>
      <c r="BO72" s="418">
        <f t="shared" si="132"/>
        <v>0</v>
      </c>
      <c r="BP72" s="418">
        <f t="shared" ref="BP72:BQ74" si="133">P72+AR72</f>
        <v>2595970</v>
      </c>
      <c r="BQ72" s="418">
        <f t="shared" si="133"/>
        <v>76604</v>
      </c>
      <c r="BR72" s="418">
        <f>R72+AV72</f>
        <v>32574</v>
      </c>
      <c r="BS72" s="419">
        <f>S72+BH72</f>
        <v>14.46</v>
      </c>
      <c r="BT72" s="419">
        <f t="shared" ref="BT72:BU74" si="134">T72+BF72</f>
        <v>12</v>
      </c>
      <c r="BU72" s="421">
        <f t="shared" si="134"/>
        <v>2.46</v>
      </c>
      <c r="BV72" s="420"/>
      <c r="BW72" s="415"/>
      <c r="BX72" s="415"/>
      <c r="BY72" s="415"/>
      <c r="BZ72" s="415"/>
      <c r="CA72" s="510"/>
    </row>
    <row r="73" spans="1:79" x14ac:dyDescent="0.2">
      <c r="A73" s="205">
        <v>13</v>
      </c>
      <c r="B73" s="206">
        <v>3437</v>
      </c>
      <c r="C73" s="206">
        <v>600078051</v>
      </c>
      <c r="D73" s="206">
        <v>70695377</v>
      </c>
      <c r="E73" s="204" t="s">
        <v>109</v>
      </c>
      <c r="F73" s="206">
        <v>3111</v>
      </c>
      <c r="G73" s="207" t="s">
        <v>291</v>
      </c>
      <c r="H73" s="612" t="s">
        <v>272</v>
      </c>
      <c r="I73" s="420">
        <v>874721</v>
      </c>
      <c r="J73" s="415">
        <v>648903</v>
      </c>
      <c r="K73" s="415">
        <v>648903</v>
      </c>
      <c r="L73" s="415">
        <v>0</v>
      </c>
      <c r="M73" s="415">
        <v>0</v>
      </c>
      <c r="N73" s="415">
        <v>0</v>
      </c>
      <c r="O73" s="415">
        <v>0</v>
      </c>
      <c r="P73" s="68">
        <v>219329</v>
      </c>
      <c r="Q73" s="68">
        <v>6489</v>
      </c>
      <c r="R73" s="415">
        <v>0</v>
      </c>
      <c r="S73" s="416">
        <v>1.75</v>
      </c>
      <c r="T73" s="417">
        <v>1.75</v>
      </c>
      <c r="U73" s="423">
        <v>0</v>
      </c>
      <c r="V73" s="424">
        <f t="shared" si="129"/>
        <v>0</v>
      </c>
      <c r="W73" s="418">
        <f t="shared" si="129"/>
        <v>0</v>
      </c>
      <c r="X73" s="418">
        <v>0</v>
      </c>
      <c r="Y73" s="418">
        <v>0</v>
      </c>
      <c r="Z73" s="418">
        <v>0</v>
      </c>
      <c r="AA73" s="415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130"/>
        <v>0</v>
      </c>
      <c r="AP73" s="418">
        <f t="shared" si="130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5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6">
        <v>0</v>
      </c>
      <c r="BC73" s="93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421">
        <f>SUM(BF73:BG73)</f>
        <v>0</v>
      </c>
      <c r="BI73" s="780">
        <f>I73+AW73</f>
        <v>874721</v>
      </c>
      <c r="BJ73" s="418">
        <f>J73+AF73</f>
        <v>648903</v>
      </c>
      <c r="BK73" s="418">
        <f t="shared" si="131"/>
        <v>648903</v>
      </c>
      <c r="BL73" s="418">
        <f t="shared" si="131"/>
        <v>0</v>
      </c>
      <c r="BM73" s="418">
        <f>M73+AN73</f>
        <v>0</v>
      </c>
      <c r="BN73" s="418">
        <f t="shared" si="132"/>
        <v>0</v>
      </c>
      <c r="BO73" s="418">
        <f t="shared" si="132"/>
        <v>0</v>
      </c>
      <c r="BP73" s="418">
        <f t="shared" si="133"/>
        <v>219329</v>
      </c>
      <c r="BQ73" s="418">
        <f t="shared" si="133"/>
        <v>6489</v>
      </c>
      <c r="BR73" s="418">
        <f>R73+AV73</f>
        <v>0</v>
      </c>
      <c r="BS73" s="419">
        <f>S73+BH73</f>
        <v>1.75</v>
      </c>
      <c r="BT73" s="419">
        <f t="shared" si="134"/>
        <v>1.75</v>
      </c>
      <c r="BU73" s="421">
        <f t="shared" si="134"/>
        <v>0</v>
      </c>
      <c r="BV73" s="420"/>
      <c r="BW73" s="415"/>
      <c r="BX73" s="415"/>
      <c r="BY73" s="415"/>
      <c r="BZ73" s="415"/>
      <c r="CA73" s="510"/>
    </row>
    <row r="74" spans="1:79" x14ac:dyDescent="0.2">
      <c r="A74" s="205">
        <v>13</v>
      </c>
      <c r="B74" s="206">
        <v>3437</v>
      </c>
      <c r="C74" s="206">
        <v>600078051</v>
      </c>
      <c r="D74" s="206">
        <v>70695377</v>
      </c>
      <c r="E74" s="204" t="s">
        <v>109</v>
      </c>
      <c r="F74" s="206">
        <v>3141</v>
      </c>
      <c r="G74" s="207" t="s">
        <v>294</v>
      </c>
      <c r="H74" s="612" t="s">
        <v>272</v>
      </c>
      <c r="I74" s="420">
        <v>626095</v>
      </c>
      <c r="J74" s="415">
        <v>462437</v>
      </c>
      <c r="K74" s="415">
        <v>0</v>
      </c>
      <c r="L74" s="415">
        <v>462437</v>
      </c>
      <c r="M74" s="415">
        <v>0</v>
      </c>
      <c r="N74" s="415">
        <v>0</v>
      </c>
      <c r="O74" s="415">
        <v>0</v>
      </c>
      <c r="P74" s="68">
        <v>156304</v>
      </c>
      <c r="Q74" s="68">
        <v>4624</v>
      </c>
      <c r="R74" s="415">
        <v>2730</v>
      </c>
      <c r="S74" s="416">
        <v>1.39</v>
      </c>
      <c r="T74" s="417">
        <v>0</v>
      </c>
      <c r="U74" s="423">
        <v>1.39</v>
      </c>
      <c r="V74" s="424">
        <f t="shared" si="129"/>
        <v>0</v>
      </c>
      <c r="W74" s="418">
        <f t="shared" si="129"/>
        <v>0</v>
      </c>
      <c r="X74" s="418">
        <v>0</v>
      </c>
      <c r="Y74" s="418">
        <v>0</v>
      </c>
      <c r="Z74" s="418">
        <v>0</v>
      </c>
      <c r="AA74" s="605">
        <v>231942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231942</v>
      </c>
      <c r="AF74" s="418">
        <f>SUM(AD74:AE74)</f>
        <v>231942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130"/>
        <v>0</v>
      </c>
      <c r="AP74" s="418">
        <f t="shared" si="130"/>
        <v>231942</v>
      </c>
      <c r="AQ74" s="418">
        <f>SUM(AO74:AP74)</f>
        <v>231942</v>
      </c>
      <c r="AR74" s="68">
        <f>ROUND((AF74+AG74+AH74+AI74)*33.8%,0)</f>
        <v>78396</v>
      </c>
      <c r="AS74" s="68">
        <f>ROUND(AF74*1%,0)</f>
        <v>2319</v>
      </c>
      <c r="AT74" s="418">
        <v>0</v>
      </c>
      <c r="AU74" s="605">
        <v>1326</v>
      </c>
      <c r="AV74" s="418">
        <f>AT74+AU74</f>
        <v>1326</v>
      </c>
      <c r="AW74" s="418">
        <f>AQ74+AR74+AS74+AV74</f>
        <v>313983</v>
      </c>
      <c r="AX74" s="419">
        <v>0</v>
      </c>
      <c r="AY74" s="419">
        <v>0</v>
      </c>
      <c r="AZ74" s="419">
        <v>0</v>
      </c>
      <c r="BA74" s="419">
        <v>0</v>
      </c>
      <c r="BB74" s="607">
        <v>0.69</v>
      </c>
      <c r="BC74" s="93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0.69</v>
      </c>
      <c r="BH74" s="421">
        <f>SUM(BF74:BG74)</f>
        <v>0.69</v>
      </c>
      <c r="BI74" s="780">
        <f>I74+AW74</f>
        <v>940078</v>
      </c>
      <c r="BJ74" s="418">
        <f>J74+AF74</f>
        <v>694379</v>
      </c>
      <c r="BK74" s="418">
        <f t="shared" si="131"/>
        <v>0</v>
      </c>
      <c r="BL74" s="418">
        <f t="shared" si="131"/>
        <v>694379</v>
      </c>
      <c r="BM74" s="418">
        <f>M74+AN74</f>
        <v>0</v>
      </c>
      <c r="BN74" s="418">
        <f t="shared" si="132"/>
        <v>0</v>
      </c>
      <c r="BO74" s="418">
        <f t="shared" si="132"/>
        <v>0</v>
      </c>
      <c r="BP74" s="418">
        <f t="shared" si="133"/>
        <v>234700</v>
      </c>
      <c r="BQ74" s="418">
        <f t="shared" si="133"/>
        <v>6943</v>
      </c>
      <c r="BR74" s="418">
        <f>R74+AV74</f>
        <v>4056</v>
      </c>
      <c r="BS74" s="419">
        <f>S74+BH74</f>
        <v>2.08</v>
      </c>
      <c r="BT74" s="419">
        <f t="shared" si="134"/>
        <v>0</v>
      </c>
      <c r="BU74" s="421">
        <f t="shared" si="134"/>
        <v>2.08</v>
      </c>
      <c r="BV74" s="420"/>
      <c r="BW74" s="415"/>
      <c r="BX74" s="415"/>
      <c r="BY74" s="415"/>
      <c r="BZ74" s="415"/>
      <c r="CA74" s="510"/>
    </row>
    <row r="75" spans="1:79" x14ac:dyDescent="0.2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13"/>
      <c r="I75" s="448">
        <v>11886348</v>
      </c>
      <c r="J75" s="445">
        <v>8771724</v>
      </c>
      <c r="K75" s="445">
        <v>7587679</v>
      </c>
      <c r="L75" s="445">
        <v>1184045</v>
      </c>
      <c r="M75" s="445">
        <v>20000</v>
      </c>
      <c r="N75" s="445">
        <v>20000</v>
      </c>
      <c r="O75" s="445">
        <v>0</v>
      </c>
      <c r="P75" s="445">
        <v>2971603</v>
      </c>
      <c r="Q75" s="445">
        <v>87717</v>
      </c>
      <c r="R75" s="445">
        <v>35304</v>
      </c>
      <c r="S75" s="446">
        <v>17.600000000000001</v>
      </c>
      <c r="T75" s="446">
        <v>13.75</v>
      </c>
      <c r="U75" s="450">
        <v>3.8499999999999996</v>
      </c>
      <c r="V75" s="448">
        <f t="shared" ref="V75:CA75" si="135">SUM(V72:V74)</f>
        <v>0</v>
      </c>
      <c r="W75" s="445">
        <f t="shared" si="135"/>
        <v>0</v>
      </c>
      <c r="X75" s="445">
        <f t="shared" si="135"/>
        <v>0</v>
      </c>
      <c r="Y75" s="445">
        <f t="shared" si="135"/>
        <v>0</v>
      </c>
      <c r="Z75" s="445">
        <f t="shared" si="135"/>
        <v>0</v>
      </c>
      <c r="AA75" s="445">
        <f t="shared" si="135"/>
        <v>231942</v>
      </c>
      <c r="AB75" s="445">
        <f t="shared" si="135"/>
        <v>0</v>
      </c>
      <c r="AC75" s="445">
        <f t="shared" si="135"/>
        <v>0</v>
      </c>
      <c r="AD75" s="445">
        <f t="shared" si="135"/>
        <v>0</v>
      </c>
      <c r="AE75" s="445">
        <f t="shared" si="135"/>
        <v>231942</v>
      </c>
      <c r="AF75" s="445">
        <f t="shared" si="135"/>
        <v>231942</v>
      </c>
      <c r="AG75" s="445">
        <f t="shared" si="135"/>
        <v>0</v>
      </c>
      <c r="AH75" s="445">
        <f t="shared" si="135"/>
        <v>0</v>
      </c>
      <c r="AI75" s="445">
        <f t="shared" si="135"/>
        <v>0</v>
      </c>
      <c r="AJ75" s="445">
        <f t="shared" si="135"/>
        <v>0</v>
      </c>
      <c r="AK75" s="445">
        <f t="shared" si="135"/>
        <v>0</v>
      </c>
      <c r="AL75" s="445">
        <f t="shared" si="135"/>
        <v>0</v>
      </c>
      <c r="AM75" s="445">
        <f t="shared" si="135"/>
        <v>0</v>
      </c>
      <c r="AN75" s="445">
        <f t="shared" si="135"/>
        <v>0</v>
      </c>
      <c r="AO75" s="445">
        <f t="shared" si="135"/>
        <v>0</v>
      </c>
      <c r="AP75" s="445">
        <f t="shared" si="135"/>
        <v>231942</v>
      </c>
      <c r="AQ75" s="445">
        <f t="shared" si="135"/>
        <v>231942</v>
      </c>
      <c r="AR75" s="445">
        <f t="shared" si="135"/>
        <v>78396</v>
      </c>
      <c r="AS75" s="445">
        <f t="shared" si="135"/>
        <v>2319</v>
      </c>
      <c r="AT75" s="445">
        <f t="shared" si="135"/>
        <v>0</v>
      </c>
      <c r="AU75" s="445">
        <f t="shared" si="135"/>
        <v>1326</v>
      </c>
      <c r="AV75" s="445">
        <f t="shared" si="135"/>
        <v>1326</v>
      </c>
      <c r="AW75" s="445">
        <f t="shared" si="135"/>
        <v>313983</v>
      </c>
      <c r="AX75" s="446">
        <f t="shared" si="135"/>
        <v>0</v>
      </c>
      <c r="AY75" s="446">
        <f t="shared" si="135"/>
        <v>0</v>
      </c>
      <c r="AZ75" s="446">
        <f t="shared" si="135"/>
        <v>0</v>
      </c>
      <c r="BA75" s="446">
        <f t="shared" si="135"/>
        <v>0</v>
      </c>
      <c r="BB75" s="446">
        <f t="shared" si="135"/>
        <v>0.69</v>
      </c>
      <c r="BC75" s="948">
        <f t="shared" si="135"/>
        <v>0</v>
      </c>
      <c r="BD75" s="446">
        <f t="shared" si="135"/>
        <v>0</v>
      </c>
      <c r="BE75" s="446">
        <f t="shared" si="135"/>
        <v>0</v>
      </c>
      <c r="BF75" s="446">
        <f t="shared" si="135"/>
        <v>0</v>
      </c>
      <c r="BG75" s="446">
        <f t="shared" si="135"/>
        <v>0.69</v>
      </c>
      <c r="BH75" s="39">
        <f t="shared" si="135"/>
        <v>0.69</v>
      </c>
      <c r="BI75" s="452">
        <f t="shared" si="135"/>
        <v>12200331</v>
      </c>
      <c r="BJ75" s="445">
        <f t="shared" si="135"/>
        <v>9003666</v>
      </c>
      <c r="BK75" s="445">
        <f t="shared" si="135"/>
        <v>7587679</v>
      </c>
      <c r="BL75" s="445">
        <f t="shared" si="135"/>
        <v>1415987</v>
      </c>
      <c r="BM75" s="445">
        <f t="shared" si="135"/>
        <v>20000</v>
      </c>
      <c r="BN75" s="445">
        <f t="shared" si="135"/>
        <v>20000</v>
      </c>
      <c r="BO75" s="445">
        <f t="shared" si="135"/>
        <v>0</v>
      </c>
      <c r="BP75" s="445">
        <f t="shared" si="135"/>
        <v>3049999</v>
      </c>
      <c r="BQ75" s="445">
        <f t="shared" si="135"/>
        <v>90036</v>
      </c>
      <c r="BR75" s="445">
        <f t="shared" si="135"/>
        <v>36630</v>
      </c>
      <c r="BS75" s="446">
        <f t="shared" si="135"/>
        <v>18.29</v>
      </c>
      <c r="BT75" s="446">
        <f t="shared" si="135"/>
        <v>13.75</v>
      </c>
      <c r="BU75" s="39">
        <f t="shared" si="135"/>
        <v>4.54</v>
      </c>
      <c r="BV75" s="833">
        <f t="shared" si="135"/>
        <v>0</v>
      </c>
      <c r="BW75" s="715">
        <f t="shared" si="135"/>
        <v>0</v>
      </c>
      <c r="BX75" s="715">
        <f t="shared" si="135"/>
        <v>0</v>
      </c>
      <c r="BY75" s="715">
        <f t="shared" si="135"/>
        <v>0</v>
      </c>
      <c r="BZ75" s="715">
        <f t="shared" si="135"/>
        <v>0</v>
      </c>
      <c r="CA75" s="834">
        <f t="shared" si="135"/>
        <v>0</v>
      </c>
    </row>
    <row r="76" spans="1:79" x14ac:dyDescent="0.2">
      <c r="A76" s="205">
        <v>14</v>
      </c>
      <c r="B76" s="206">
        <v>3436</v>
      </c>
      <c r="C76" s="206">
        <v>600078485</v>
      </c>
      <c r="D76" s="206">
        <v>70695385</v>
      </c>
      <c r="E76" s="204" t="s">
        <v>111</v>
      </c>
      <c r="F76" s="206">
        <v>3113</v>
      </c>
      <c r="G76" s="207" t="s">
        <v>293</v>
      </c>
      <c r="H76" s="612" t="s">
        <v>271</v>
      </c>
      <c r="I76" s="420">
        <v>25264643</v>
      </c>
      <c r="J76" s="415">
        <v>18462566</v>
      </c>
      <c r="K76" s="415">
        <v>17030355</v>
      </c>
      <c r="L76" s="415">
        <v>1432211</v>
      </c>
      <c r="M76" s="415">
        <v>0</v>
      </c>
      <c r="N76" s="415">
        <v>0</v>
      </c>
      <c r="O76" s="415">
        <v>0</v>
      </c>
      <c r="P76" s="68">
        <v>6240347</v>
      </c>
      <c r="Q76" s="68">
        <v>184626</v>
      </c>
      <c r="R76" s="415">
        <v>377104</v>
      </c>
      <c r="S76" s="416">
        <v>29.355699999999999</v>
      </c>
      <c r="T76" s="417">
        <v>25.136299999999999</v>
      </c>
      <c r="U76" s="423">
        <v>4.2194000000000003</v>
      </c>
      <c r="V76" s="424">
        <f t="shared" ref="V76:W80" si="136">AG76*-1</f>
        <v>0</v>
      </c>
      <c r="W76" s="418">
        <f t="shared" si="136"/>
        <v>0</v>
      </c>
      <c r="X76" s="418">
        <v>0</v>
      </c>
      <c r="Y76" s="418">
        <v>0</v>
      </c>
      <c r="Z76" s="418">
        <v>0</v>
      </c>
      <c r="AA76" s="415">
        <v>0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0</v>
      </c>
      <c r="AF76" s="418">
        <f>SUM(AD76:AE76)</f>
        <v>0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ref="AO76:AP80" si="137">AD76+AL76</f>
        <v>0</v>
      </c>
      <c r="AP76" s="418">
        <f t="shared" si="137"/>
        <v>0</v>
      </c>
      <c r="AQ76" s="418">
        <f>SUM(AO76:AP76)</f>
        <v>0</v>
      </c>
      <c r="AR76" s="68">
        <f>ROUND((AF76+AG76+AH76+AI76)*33.8%,0)</f>
        <v>0</v>
      </c>
      <c r="AS76" s="68">
        <f>ROUND(AF76*1%,0)</f>
        <v>0</v>
      </c>
      <c r="AT76" s="418">
        <v>0</v>
      </c>
      <c r="AU76" s="415">
        <v>0</v>
      </c>
      <c r="AV76" s="418">
        <f>AT76+AU76</f>
        <v>0</v>
      </c>
      <c r="AW76" s="418">
        <f>AQ76+AR76+AS76+AV76</f>
        <v>0</v>
      </c>
      <c r="AX76" s="419">
        <v>0</v>
      </c>
      <c r="AY76" s="419">
        <v>0</v>
      </c>
      <c r="AZ76" s="419">
        <v>0</v>
      </c>
      <c r="BA76" s="419">
        <v>0</v>
      </c>
      <c r="BB76" s="416">
        <v>0</v>
      </c>
      <c r="BC76" s="93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</v>
      </c>
      <c r="BH76" s="421">
        <f>SUM(BF76:BG76)</f>
        <v>0</v>
      </c>
      <c r="BI76" s="780">
        <f>I76+AW76</f>
        <v>25264643</v>
      </c>
      <c r="BJ76" s="418">
        <f>J76+AF76</f>
        <v>18462566</v>
      </c>
      <c r="BK76" s="418">
        <f t="shared" ref="BK76:BL80" si="138">K76+AD76</f>
        <v>17030355</v>
      </c>
      <c r="BL76" s="418">
        <f t="shared" si="138"/>
        <v>1432211</v>
      </c>
      <c r="BM76" s="418">
        <f>M76+AN76</f>
        <v>0</v>
      </c>
      <c r="BN76" s="418">
        <f t="shared" ref="BN76:BO80" si="139">N76+AL76</f>
        <v>0</v>
      </c>
      <c r="BO76" s="418">
        <f t="shared" si="139"/>
        <v>0</v>
      </c>
      <c r="BP76" s="418">
        <f t="shared" ref="BP76:BQ80" si="140">P76+AR76</f>
        <v>6240347</v>
      </c>
      <c r="BQ76" s="418">
        <f t="shared" si="140"/>
        <v>184626</v>
      </c>
      <c r="BR76" s="418">
        <f>R76+AV76</f>
        <v>377104</v>
      </c>
      <c r="BS76" s="419">
        <f>S76+BH76</f>
        <v>29.355699999999999</v>
      </c>
      <c r="BT76" s="419">
        <f t="shared" ref="BT76:BU80" si="141">T76+BF76</f>
        <v>25.136299999999999</v>
      </c>
      <c r="BU76" s="421">
        <f t="shared" si="141"/>
        <v>4.2194000000000003</v>
      </c>
      <c r="BV76" s="420"/>
      <c r="BW76" s="415"/>
      <c r="BX76" s="415"/>
      <c r="BY76" s="415"/>
      <c r="BZ76" s="415"/>
      <c r="CA76" s="510"/>
    </row>
    <row r="77" spans="1:79" x14ac:dyDescent="0.2">
      <c r="A77" s="205">
        <v>14</v>
      </c>
      <c r="B77" s="206">
        <v>3436</v>
      </c>
      <c r="C77" s="206">
        <v>600078485</v>
      </c>
      <c r="D77" s="206">
        <v>70695385</v>
      </c>
      <c r="E77" s="204" t="s">
        <v>111</v>
      </c>
      <c r="F77" s="206">
        <v>3113</v>
      </c>
      <c r="G77" s="207" t="s">
        <v>291</v>
      </c>
      <c r="H77" s="612" t="s">
        <v>272</v>
      </c>
      <c r="I77" s="420">
        <v>3068470</v>
      </c>
      <c r="J77" s="415">
        <v>2276313</v>
      </c>
      <c r="K77" s="415">
        <v>2276313</v>
      </c>
      <c r="L77" s="415">
        <v>0</v>
      </c>
      <c r="M77" s="415">
        <v>0</v>
      </c>
      <c r="N77" s="415">
        <v>0</v>
      </c>
      <c r="O77" s="415">
        <v>0</v>
      </c>
      <c r="P77" s="68">
        <v>769394</v>
      </c>
      <c r="Q77" s="68">
        <v>22763</v>
      </c>
      <c r="R77" s="415">
        <v>0</v>
      </c>
      <c r="S77" s="416">
        <v>6.14</v>
      </c>
      <c r="T77" s="417">
        <v>6.14</v>
      </c>
      <c r="U77" s="423">
        <v>0</v>
      </c>
      <c r="V77" s="424">
        <f t="shared" si="136"/>
        <v>0</v>
      </c>
      <c r="W77" s="418">
        <f t="shared" si="136"/>
        <v>0</v>
      </c>
      <c r="X77" s="418">
        <v>0</v>
      </c>
      <c r="Y77" s="418">
        <v>0</v>
      </c>
      <c r="Z77" s="418">
        <v>0</v>
      </c>
      <c r="AA77" s="415">
        <v>0</v>
      </c>
      <c r="AB77" s="418">
        <v>0</v>
      </c>
      <c r="AC77" s="418">
        <v>0</v>
      </c>
      <c r="AD77" s="418">
        <f>V77+X77+Y77+Z77+AB77</f>
        <v>0</v>
      </c>
      <c r="AE77" s="418">
        <f>W77+AA77+AC77</f>
        <v>0</v>
      </c>
      <c r="AF77" s="418">
        <f>SUM(AD77:AE77)</f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>AG77+AI77+AJ77</f>
        <v>0</v>
      </c>
      <c r="AM77" s="418">
        <f>AH77+AK77</f>
        <v>0</v>
      </c>
      <c r="AN77" s="418">
        <f>SUM(AL77:AM77)</f>
        <v>0</v>
      </c>
      <c r="AO77" s="418">
        <f t="shared" si="137"/>
        <v>0</v>
      </c>
      <c r="AP77" s="418">
        <f t="shared" si="137"/>
        <v>0</v>
      </c>
      <c r="AQ77" s="418">
        <f>SUM(AO77:AP77)</f>
        <v>0</v>
      </c>
      <c r="AR77" s="68">
        <f>ROUND((AF77+AG77+AH77+AI77)*33.8%,0)</f>
        <v>0</v>
      </c>
      <c r="AS77" s="68">
        <f>ROUND(AF77*1%,0)</f>
        <v>0</v>
      </c>
      <c r="AT77" s="418">
        <v>0</v>
      </c>
      <c r="AU77" s="415">
        <v>0</v>
      </c>
      <c r="AV77" s="418">
        <f>AT77+AU77</f>
        <v>0</v>
      </c>
      <c r="AW77" s="418">
        <f>AQ77+AR77+AS77+AV77</f>
        <v>0</v>
      </c>
      <c r="AX77" s="419">
        <v>0</v>
      </c>
      <c r="AY77" s="419">
        <v>0</v>
      </c>
      <c r="AZ77" s="419">
        <v>0</v>
      </c>
      <c r="BA77" s="419">
        <v>0</v>
      </c>
      <c r="BB77" s="416">
        <v>0</v>
      </c>
      <c r="BC77" s="939">
        <v>0</v>
      </c>
      <c r="BD77" s="419">
        <v>0</v>
      </c>
      <c r="BE77" s="419">
        <v>0</v>
      </c>
      <c r="BF77" s="419">
        <f>AX77+AZ77+BA77+BC77+BD77</f>
        <v>0</v>
      </c>
      <c r="BG77" s="419">
        <f>AY77+BB77+BE77</f>
        <v>0</v>
      </c>
      <c r="BH77" s="421">
        <f>SUM(BF77:BG77)</f>
        <v>0</v>
      </c>
      <c r="BI77" s="780">
        <f>I77+AW77</f>
        <v>3068470</v>
      </c>
      <c r="BJ77" s="418">
        <f>J77+AF77</f>
        <v>2276313</v>
      </c>
      <c r="BK77" s="418">
        <f t="shared" si="138"/>
        <v>2276313</v>
      </c>
      <c r="BL77" s="418">
        <f t="shared" si="138"/>
        <v>0</v>
      </c>
      <c r="BM77" s="418">
        <f>M77+AN77</f>
        <v>0</v>
      </c>
      <c r="BN77" s="418">
        <f t="shared" si="139"/>
        <v>0</v>
      </c>
      <c r="BO77" s="418">
        <f t="shared" si="139"/>
        <v>0</v>
      </c>
      <c r="BP77" s="418">
        <f t="shared" si="140"/>
        <v>769394</v>
      </c>
      <c r="BQ77" s="418">
        <f t="shared" si="140"/>
        <v>22763</v>
      </c>
      <c r="BR77" s="418">
        <f>R77+AV77</f>
        <v>0</v>
      </c>
      <c r="BS77" s="419">
        <f>S77+BH77</f>
        <v>6.14</v>
      </c>
      <c r="BT77" s="419">
        <f t="shared" si="141"/>
        <v>6.14</v>
      </c>
      <c r="BU77" s="421">
        <f t="shared" si="141"/>
        <v>0</v>
      </c>
      <c r="BV77" s="420"/>
      <c r="BW77" s="415"/>
      <c r="BX77" s="415"/>
      <c r="BY77" s="415"/>
      <c r="BZ77" s="415"/>
      <c r="CA77" s="510"/>
    </row>
    <row r="78" spans="1:79" x14ac:dyDescent="0.2">
      <c r="A78" s="205">
        <v>14</v>
      </c>
      <c r="B78" s="206">
        <v>3436</v>
      </c>
      <c r="C78" s="206">
        <v>600078485</v>
      </c>
      <c r="D78" s="206">
        <v>70695385</v>
      </c>
      <c r="E78" s="204" t="s">
        <v>111</v>
      </c>
      <c r="F78" s="206">
        <v>3141</v>
      </c>
      <c r="G78" s="207" t="s">
        <v>294</v>
      </c>
      <c r="H78" s="612" t="s">
        <v>272</v>
      </c>
      <c r="I78" s="420">
        <v>1970347</v>
      </c>
      <c r="J78" s="415">
        <v>1451738</v>
      </c>
      <c r="K78" s="415">
        <v>0</v>
      </c>
      <c r="L78" s="415">
        <v>1451738</v>
      </c>
      <c r="M78" s="415">
        <v>0</v>
      </c>
      <c r="N78" s="415">
        <v>0</v>
      </c>
      <c r="O78" s="415">
        <v>0</v>
      </c>
      <c r="P78" s="68">
        <v>490687</v>
      </c>
      <c r="Q78" s="68">
        <v>14517</v>
      </c>
      <c r="R78" s="415">
        <v>13405</v>
      </c>
      <c r="S78" s="416">
        <v>4.3499999999999996</v>
      </c>
      <c r="T78" s="417">
        <v>0</v>
      </c>
      <c r="U78" s="423">
        <v>4.3499999999999996</v>
      </c>
      <c r="V78" s="424">
        <f t="shared" si="136"/>
        <v>0</v>
      </c>
      <c r="W78" s="418">
        <f t="shared" si="136"/>
        <v>0</v>
      </c>
      <c r="X78" s="418">
        <v>0</v>
      </c>
      <c r="Y78" s="418">
        <v>0</v>
      </c>
      <c r="Z78" s="418">
        <v>0</v>
      </c>
      <c r="AA78" s="605">
        <v>725151</v>
      </c>
      <c r="AB78" s="418">
        <v>0</v>
      </c>
      <c r="AC78" s="418">
        <v>0</v>
      </c>
      <c r="AD78" s="418">
        <f>V78+X78+Y78+Z78+AB78</f>
        <v>0</v>
      </c>
      <c r="AE78" s="418">
        <f>W78+AA78+AC78</f>
        <v>725151</v>
      </c>
      <c r="AF78" s="418">
        <f>SUM(AD78:AE78)</f>
        <v>725151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>AG78+AI78+AJ78</f>
        <v>0</v>
      </c>
      <c r="AM78" s="418">
        <f>AH78+AK78</f>
        <v>0</v>
      </c>
      <c r="AN78" s="418">
        <f>SUM(AL78:AM78)</f>
        <v>0</v>
      </c>
      <c r="AO78" s="418">
        <f t="shared" si="137"/>
        <v>0</v>
      </c>
      <c r="AP78" s="418">
        <f t="shared" si="137"/>
        <v>725151</v>
      </c>
      <c r="AQ78" s="418">
        <f>SUM(AO78:AP78)</f>
        <v>725151</v>
      </c>
      <c r="AR78" s="68">
        <f>ROUND((AF78+AG78+AH78+AI78)*33.8%,0)</f>
        <v>245101</v>
      </c>
      <c r="AS78" s="68">
        <f>ROUND(AF78*1%,0)</f>
        <v>7252</v>
      </c>
      <c r="AT78" s="418">
        <v>0</v>
      </c>
      <c r="AU78" s="605">
        <v>6511</v>
      </c>
      <c r="AV78" s="418">
        <f>AT78+AU78</f>
        <v>6511</v>
      </c>
      <c r="AW78" s="418">
        <f>AQ78+AR78+AS78+AV78</f>
        <v>984015</v>
      </c>
      <c r="AX78" s="419">
        <v>0</v>
      </c>
      <c r="AY78" s="419">
        <v>0</v>
      </c>
      <c r="AZ78" s="419">
        <v>0</v>
      </c>
      <c r="BA78" s="419">
        <v>0</v>
      </c>
      <c r="BB78" s="607">
        <v>2.1800000000000002</v>
      </c>
      <c r="BC78" s="939">
        <v>0</v>
      </c>
      <c r="BD78" s="419">
        <v>0</v>
      </c>
      <c r="BE78" s="419">
        <v>0</v>
      </c>
      <c r="BF78" s="419">
        <f>AX78+AZ78+BA78+BC78+BD78</f>
        <v>0</v>
      </c>
      <c r="BG78" s="419">
        <f>AY78+BB78+BE78</f>
        <v>2.1800000000000002</v>
      </c>
      <c r="BH78" s="421">
        <f>SUM(BF78:BG78)</f>
        <v>2.1800000000000002</v>
      </c>
      <c r="BI78" s="780">
        <f>I78+AW78</f>
        <v>2954362</v>
      </c>
      <c r="BJ78" s="418">
        <f>J78+AF78</f>
        <v>2176889</v>
      </c>
      <c r="BK78" s="418">
        <f t="shared" si="138"/>
        <v>0</v>
      </c>
      <c r="BL78" s="418">
        <f t="shared" si="138"/>
        <v>2176889</v>
      </c>
      <c r="BM78" s="418">
        <f>M78+AN78</f>
        <v>0</v>
      </c>
      <c r="BN78" s="418">
        <f t="shared" si="139"/>
        <v>0</v>
      </c>
      <c r="BO78" s="418">
        <f t="shared" si="139"/>
        <v>0</v>
      </c>
      <c r="BP78" s="418">
        <f t="shared" si="140"/>
        <v>735788</v>
      </c>
      <c r="BQ78" s="418">
        <f t="shared" si="140"/>
        <v>21769</v>
      </c>
      <c r="BR78" s="418">
        <f>R78+AV78</f>
        <v>19916</v>
      </c>
      <c r="BS78" s="419">
        <f>S78+BH78</f>
        <v>6.5299999999999994</v>
      </c>
      <c r="BT78" s="419">
        <f t="shared" si="141"/>
        <v>0</v>
      </c>
      <c r="BU78" s="421">
        <f t="shared" si="141"/>
        <v>6.5299999999999994</v>
      </c>
      <c r="BV78" s="420"/>
      <c r="BW78" s="415"/>
      <c r="BX78" s="415"/>
      <c r="BY78" s="415"/>
      <c r="BZ78" s="415"/>
      <c r="CA78" s="510"/>
    </row>
    <row r="79" spans="1:79" x14ac:dyDescent="0.2">
      <c r="A79" s="205">
        <v>14</v>
      </c>
      <c r="B79" s="206">
        <v>3436</v>
      </c>
      <c r="C79" s="206">
        <v>600078485</v>
      </c>
      <c r="D79" s="206">
        <v>70695385</v>
      </c>
      <c r="E79" s="204" t="s">
        <v>111</v>
      </c>
      <c r="F79" s="206">
        <v>3143</v>
      </c>
      <c r="G79" s="207" t="s">
        <v>595</v>
      </c>
      <c r="H79" s="614" t="s">
        <v>271</v>
      </c>
      <c r="I79" s="420">
        <v>2120532</v>
      </c>
      <c r="J79" s="415">
        <v>1573095</v>
      </c>
      <c r="K79" s="415">
        <v>1573095</v>
      </c>
      <c r="L79" s="415">
        <v>0</v>
      </c>
      <c r="M79" s="415">
        <v>0</v>
      </c>
      <c r="N79" s="415">
        <v>0</v>
      </c>
      <c r="O79" s="415">
        <v>0</v>
      </c>
      <c r="P79" s="68">
        <v>531706</v>
      </c>
      <c r="Q79" s="68">
        <v>15731</v>
      </c>
      <c r="R79" s="415">
        <v>0</v>
      </c>
      <c r="S79" s="416">
        <v>2.9910999999999999</v>
      </c>
      <c r="T79" s="417">
        <v>2.9910999999999999</v>
      </c>
      <c r="U79" s="423">
        <v>0</v>
      </c>
      <c r="V79" s="424">
        <f t="shared" si="136"/>
        <v>0</v>
      </c>
      <c r="W79" s="418">
        <f t="shared" si="136"/>
        <v>0</v>
      </c>
      <c r="X79" s="418">
        <v>0</v>
      </c>
      <c r="Y79" s="418">
        <v>0</v>
      </c>
      <c r="Z79" s="418">
        <v>0</v>
      </c>
      <c r="AA79" s="415">
        <v>0</v>
      </c>
      <c r="AB79" s="418">
        <v>0</v>
      </c>
      <c r="AC79" s="418">
        <v>0</v>
      </c>
      <c r="AD79" s="418">
        <f>V79+X79+Y79+Z79+AB79</f>
        <v>0</v>
      </c>
      <c r="AE79" s="418">
        <f>W79+AA79+AC79</f>
        <v>0</v>
      </c>
      <c r="AF79" s="418">
        <f>SUM(AD79:AE79)</f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>AG79+AI79+AJ79</f>
        <v>0</v>
      </c>
      <c r="AM79" s="418">
        <f>AH79+AK79</f>
        <v>0</v>
      </c>
      <c r="AN79" s="418">
        <f>SUM(AL79:AM79)</f>
        <v>0</v>
      </c>
      <c r="AO79" s="418">
        <f t="shared" si="137"/>
        <v>0</v>
      </c>
      <c r="AP79" s="418">
        <f t="shared" si="137"/>
        <v>0</v>
      </c>
      <c r="AQ79" s="418">
        <f>SUM(AO79:AP79)</f>
        <v>0</v>
      </c>
      <c r="AR79" s="68">
        <f>ROUND((AF79+AG79+AH79+AI79)*33.8%,0)</f>
        <v>0</v>
      </c>
      <c r="AS79" s="68">
        <f>ROUND(AF79*1%,0)</f>
        <v>0</v>
      </c>
      <c r="AT79" s="418">
        <v>0</v>
      </c>
      <c r="AU79" s="415">
        <v>0</v>
      </c>
      <c r="AV79" s="418">
        <f>AT79+AU79</f>
        <v>0</v>
      </c>
      <c r="AW79" s="418">
        <f>AQ79+AR79+AS79+AV79</f>
        <v>0</v>
      </c>
      <c r="AX79" s="419">
        <v>0</v>
      </c>
      <c r="AY79" s="419">
        <v>0</v>
      </c>
      <c r="AZ79" s="419">
        <v>0</v>
      </c>
      <c r="BA79" s="419">
        <v>0</v>
      </c>
      <c r="BB79" s="416">
        <v>0</v>
      </c>
      <c r="BC79" s="939">
        <v>0</v>
      </c>
      <c r="BD79" s="419">
        <v>0</v>
      </c>
      <c r="BE79" s="419">
        <v>0</v>
      </c>
      <c r="BF79" s="419">
        <f>AX79+AZ79+BA79+BC79+BD79</f>
        <v>0</v>
      </c>
      <c r="BG79" s="419">
        <f>AY79+BB79+BE79</f>
        <v>0</v>
      </c>
      <c r="BH79" s="421">
        <f>SUM(BF79:BG79)</f>
        <v>0</v>
      </c>
      <c r="BI79" s="780">
        <f>I79+AW79</f>
        <v>2120532</v>
      </c>
      <c r="BJ79" s="418">
        <f>J79+AF79</f>
        <v>1573095</v>
      </c>
      <c r="BK79" s="418">
        <f t="shared" si="138"/>
        <v>1573095</v>
      </c>
      <c r="BL79" s="418">
        <f t="shared" si="138"/>
        <v>0</v>
      </c>
      <c r="BM79" s="418">
        <f>M79+AN79</f>
        <v>0</v>
      </c>
      <c r="BN79" s="418">
        <f t="shared" si="139"/>
        <v>0</v>
      </c>
      <c r="BO79" s="418">
        <f t="shared" si="139"/>
        <v>0</v>
      </c>
      <c r="BP79" s="418">
        <f t="shared" si="140"/>
        <v>531706</v>
      </c>
      <c r="BQ79" s="418">
        <f t="shared" si="140"/>
        <v>15731</v>
      </c>
      <c r="BR79" s="418">
        <f>R79+AV79</f>
        <v>0</v>
      </c>
      <c r="BS79" s="419">
        <f>S79+BH79</f>
        <v>2.9910999999999999</v>
      </c>
      <c r="BT79" s="419">
        <f t="shared" si="141"/>
        <v>2.9910999999999999</v>
      </c>
      <c r="BU79" s="421">
        <f t="shared" si="141"/>
        <v>0</v>
      </c>
      <c r="BV79" s="420"/>
      <c r="BW79" s="415"/>
      <c r="BX79" s="415"/>
      <c r="BY79" s="415"/>
      <c r="BZ79" s="415"/>
      <c r="CA79" s="510"/>
    </row>
    <row r="80" spans="1:79" x14ac:dyDescent="0.2">
      <c r="A80" s="205">
        <v>14</v>
      </c>
      <c r="B80" s="206">
        <v>3436</v>
      </c>
      <c r="C80" s="206">
        <v>600078485</v>
      </c>
      <c r="D80" s="206">
        <v>70695385</v>
      </c>
      <c r="E80" s="204" t="s">
        <v>111</v>
      </c>
      <c r="F80" s="206">
        <v>3143</v>
      </c>
      <c r="G80" s="207" t="s">
        <v>596</v>
      </c>
      <c r="H80" s="614" t="s">
        <v>272</v>
      </c>
      <c r="I80" s="420">
        <v>55842</v>
      </c>
      <c r="J80" s="415">
        <v>39970</v>
      </c>
      <c r="K80" s="415">
        <v>0</v>
      </c>
      <c r="L80" s="415">
        <v>39970</v>
      </c>
      <c r="M80" s="415">
        <v>0</v>
      </c>
      <c r="N80" s="415">
        <v>0</v>
      </c>
      <c r="O80" s="415">
        <v>0</v>
      </c>
      <c r="P80" s="68">
        <v>13510</v>
      </c>
      <c r="Q80" s="68">
        <v>400</v>
      </c>
      <c r="R80" s="415">
        <v>1962</v>
      </c>
      <c r="S80" s="416">
        <v>0.15</v>
      </c>
      <c r="T80" s="417">
        <v>0</v>
      </c>
      <c r="U80" s="423">
        <v>0.15</v>
      </c>
      <c r="V80" s="424">
        <f t="shared" si="136"/>
        <v>0</v>
      </c>
      <c r="W80" s="418">
        <f t="shared" si="136"/>
        <v>0</v>
      </c>
      <c r="X80" s="418">
        <v>0</v>
      </c>
      <c r="Y80" s="418">
        <v>0</v>
      </c>
      <c r="Z80" s="418">
        <v>0</v>
      </c>
      <c r="AA80" s="605">
        <v>19980</v>
      </c>
      <c r="AB80" s="418">
        <v>0</v>
      </c>
      <c r="AC80" s="418">
        <v>0</v>
      </c>
      <c r="AD80" s="418">
        <f>V80+X80+Y80+Z80+AB80</f>
        <v>0</v>
      </c>
      <c r="AE80" s="418">
        <f>W80+AA80+AC80</f>
        <v>19980</v>
      </c>
      <c r="AF80" s="418">
        <f>SUM(AD80:AE80)</f>
        <v>19980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>AG80+AI80+AJ80</f>
        <v>0</v>
      </c>
      <c r="AM80" s="418">
        <f>AH80+AK80</f>
        <v>0</v>
      </c>
      <c r="AN80" s="418">
        <f>SUM(AL80:AM80)</f>
        <v>0</v>
      </c>
      <c r="AO80" s="418">
        <f t="shared" si="137"/>
        <v>0</v>
      </c>
      <c r="AP80" s="418">
        <f t="shared" si="137"/>
        <v>19980</v>
      </c>
      <c r="AQ80" s="418">
        <f>SUM(AO80:AP80)</f>
        <v>19980</v>
      </c>
      <c r="AR80" s="68">
        <f>ROUND((AF80+AG80+AH80+AI80)*33.8%,0)</f>
        <v>6753</v>
      </c>
      <c r="AS80" s="68">
        <f>ROUND(AF80*1%,0)</f>
        <v>200</v>
      </c>
      <c r="AT80" s="418">
        <v>0</v>
      </c>
      <c r="AU80" s="606">
        <v>981</v>
      </c>
      <c r="AV80" s="418">
        <f>AT80+AU80</f>
        <v>981</v>
      </c>
      <c r="AW80" s="418">
        <f>AQ80+AR80+AS80+AV80</f>
        <v>27914</v>
      </c>
      <c r="AX80" s="419">
        <v>0</v>
      </c>
      <c r="AY80" s="419">
        <v>0</v>
      </c>
      <c r="AZ80" s="419">
        <v>0</v>
      </c>
      <c r="BA80" s="419">
        <v>0</v>
      </c>
      <c r="BB80" s="607">
        <v>0.08</v>
      </c>
      <c r="BC80" s="939">
        <v>0</v>
      </c>
      <c r="BD80" s="419">
        <v>0</v>
      </c>
      <c r="BE80" s="419">
        <v>0</v>
      </c>
      <c r="BF80" s="419">
        <f>AX80+AZ80+BA80+BC80+BD80</f>
        <v>0</v>
      </c>
      <c r="BG80" s="419">
        <f>AY80+BB80+BE80</f>
        <v>0.08</v>
      </c>
      <c r="BH80" s="421">
        <f>SUM(BF80:BG80)</f>
        <v>0.08</v>
      </c>
      <c r="BI80" s="780">
        <f>I80+AW80</f>
        <v>83756</v>
      </c>
      <c r="BJ80" s="418">
        <f>J80+AF80</f>
        <v>59950</v>
      </c>
      <c r="BK80" s="418">
        <f t="shared" si="138"/>
        <v>0</v>
      </c>
      <c r="BL80" s="418">
        <f t="shared" si="138"/>
        <v>59950</v>
      </c>
      <c r="BM80" s="418">
        <f>M80+AN80</f>
        <v>0</v>
      </c>
      <c r="BN80" s="418">
        <f t="shared" si="139"/>
        <v>0</v>
      </c>
      <c r="BO80" s="418">
        <f t="shared" si="139"/>
        <v>0</v>
      </c>
      <c r="BP80" s="418">
        <f t="shared" si="140"/>
        <v>20263</v>
      </c>
      <c r="BQ80" s="418">
        <f t="shared" si="140"/>
        <v>600</v>
      </c>
      <c r="BR80" s="418">
        <f>R80+AV80</f>
        <v>2943</v>
      </c>
      <c r="BS80" s="419">
        <f>S80+BH80</f>
        <v>0.22999999999999998</v>
      </c>
      <c r="BT80" s="419">
        <f t="shared" si="141"/>
        <v>0</v>
      </c>
      <c r="BU80" s="421">
        <f t="shared" si="141"/>
        <v>0.22999999999999998</v>
      </c>
      <c r="BV80" s="420"/>
      <c r="BW80" s="415"/>
      <c r="BX80" s="415"/>
      <c r="BY80" s="415"/>
      <c r="BZ80" s="415"/>
      <c r="CA80" s="510"/>
    </row>
    <row r="81" spans="1:79" x14ac:dyDescent="0.2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13"/>
      <c r="I81" s="447">
        <v>32479834</v>
      </c>
      <c r="J81" s="443">
        <v>23803682</v>
      </c>
      <c r="K81" s="443">
        <v>20879763</v>
      </c>
      <c r="L81" s="443">
        <v>2923919</v>
      </c>
      <c r="M81" s="443">
        <v>0</v>
      </c>
      <c r="N81" s="443">
        <v>0</v>
      </c>
      <c r="O81" s="443">
        <v>0</v>
      </c>
      <c r="P81" s="443">
        <v>8045644</v>
      </c>
      <c r="Q81" s="443">
        <v>238037</v>
      </c>
      <c r="R81" s="443">
        <v>392471</v>
      </c>
      <c r="S81" s="444">
        <v>42.986800000000002</v>
      </c>
      <c r="T81" s="444">
        <v>34.267400000000002</v>
      </c>
      <c r="U81" s="449">
        <v>8.7194000000000003</v>
      </c>
      <c r="V81" s="447">
        <f t="shared" ref="V81:CA81" si="142">SUM(V76:V80)</f>
        <v>0</v>
      </c>
      <c r="W81" s="443">
        <f t="shared" si="142"/>
        <v>0</v>
      </c>
      <c r="X81" s="443">
        <f t="shared" si="142"/>
        <v>0</v>
      </c>
      <c r="Y81" s="443">
        <f t="shared" si="142"/>
        <v>0</v>
      </c>
      <c r="Z81" s="443">
        <f t="shared" si="142"/>
        <v>0</v>
      </c>
      <c r="AA81" s="443">
        <f t="shared" si="142"/>
        <v>745131</v>
      </c>
      <c r="AB81" s="443">
        <f t="shared" si="142"/>
        <v>0</v>
      </c>
      <c r="AC81" s="443">
        <f t="shared" si="142"/>
        <v>0</v>
      </c>
      <c r="AD81" s="443">
        <f t="shared" si="142"/>
        <v>0</v>
      </c>
      <c r="AE81" s="443">
        <f t="shared" si="142"/>
        <v>745131</v>
      </c>
      <c r="AF81" s="443">
        <f t="shared" si="142"/>
        <v>745131</v>
      </c>
      <c r="AG81" s="443">
        <f t="shared" si="142"/>
        <v>0</v>
      </c>
      <c r="AH81" s="443">
        <f t="shared" si="142"/>
        <v>0</v>
      </c>
      <c r="AI81" s="443">
        <f t="shared" si="142"/>
        <v>0</v>
      </c>
      <c r="AJ81" s="443">
        <f t="shared" si="142"/>
        <v>0</v>
      </c>
      <c r="AK81" s="443">
        <f t="shared" si="142"/>
        <v>0</v>
      </c>
      <c r="AL81" s="443">
        <f t="shared" si="142"/>
        <v>0</v>
      </c>
      <c r="AM81" s="443">
        <f t="shared" si="142"/>
        <v>0</v>
      </c>
      <c r="AN81" s="443">
        <f t="shared" si="142"/>
        <v>0</v>
      </c>
      <c r="AO81" s="443">
        <f t="shared" si="142"/>
        <v>0</v>
      </c>
      <c r="AP81" s="443">
        <f t="shared" si="142"/>
        <v>745131</v>
      </c>
      <c r="AQ81" s="443">
        <f t="shared" si="142"/>
        <v>745131</v>
      </c>
      <c r="AR81" s="443">
        <f t="shared" si="142"/>
        <v>251854</v>
      </c>
      <c r="AS81" s="443">
        <f t="shared" si="142"/>
        <v>7452</v>
      </c>
      <c r="AT81" s="443">
        <f t="shared" si="142"/>
        <v>0</v>
      </c>
      <c r="AU81" s="443">
        <f t="shared" si="142"/>
        <v>7492</v>
      </c>
      <c r="AV81" s="443">
        <f t="shared" si="142"/>
        <v>7492</v>
      </c>
      <c r="AW81" s="443">
        <f t="shared" si="142"/>
        <v>1011929</v>
      </c>
      <c r="AX81" s="444">
        <f t="shared" si="142"/>
        <v>0</v>
      </c>
      <c r="AY81" s="444">
        <f t="shared" si="142"/>
        <v>0</v>
      </c>
      <c r="AZ81" s="444">
        <f t="shared" si="142"/>
        <v>0</v>
      </c>
      <c r="BA81" s="444">
        <f t="shared" si="142"/>
        <v>0</v>
      </c>
      <c r="BB81" s="444">
        <f t="shared" si="142"/>
        <v>2.2600000000000002</v>
      </c>
      <c r="BC81" s="947">
        <f t="shared" si="142"/>
        <v>0</v>
      </c>
      <c r="BD81" s="444">
        <f t="shared" si="142"/>
        <v>0</v>
      </c>
      <c r="BE81" s="444">
        <f t="shared" si="142"/>
        <v>0</v>
      </c>
      <c r="BF81" s="444">
        <f t="shared" si="142"/>
        <v>0</v>
      </c>
      <c r="BG81" s="444">
        <f t="shared" si="142"/>
        <v>2.2600000000000002</v>
      </c>
      <c r="BH81" s="40">
        <f t="shared" si="142"/>
        <v>2.2600000000000002</v>
      </c>
      <c r="BI81" s="451">
        <f t="shared" si="142"/>
        <v>33491763</v>
      </c>
      <c r="BJ81" s="443">
        <f t="shared" si="142"/>
        <v>24548813</v>
      </c>
      <c r="BK81" s="443">
        <f t="shared" si="142"/>
        <v>20879763</v>
      </c>
      <c r="BL81" s="443">
        <f t="shared" si="142"/>
        <v>3669050</v>
      </c>
      <c r="BM81" s="443">
        <f t="shared" si="142"/>
        <v>0</v>
      </c>
      <c r="BN81" s="443">
        <f t="shared" si="142"/>
        <v>0</v>
      </c>
      <c r="BO81" s="443">
        <f t="shared" si="142"/>
        <v>0</v>
      </c>
      <c r="BP81" s="443">
        <f t="shared" si="142"/>
        <v>8297498</v>
      </c>
      <c r="BQ81" s="443">
        <f t="shared" si="142"/>
        <v>245489</v>
      </c>
      <c r="BR81" s="443">
        <f t="shared" si="142"/>
        <v>399963</v>
      </c>
      <c r="BS81" s="444">
        <f t="shared" si="142"/>
        <v>45.2468</v>
      </c>
      <c r="BT81" s="444">
        <f t="shared" si="142"/>
        <v>34.267400000000002</v>
      </c>
      <c r="BU81" s="40">
        <f t="shared" si="142"/>
        <v>10.9794</v>
      </c>
      <c r="BV81" s="831">
        <f t="shared" si="142"/>
        <v>0</v>
      </c>
      <c r="BW81" s="714">
        <f t="shared" si="142"/>
        <v>0</v>
      </c>
      <c r="BX81" s="714">
        <f t="shared" si="142"/>
        <v>0</v>
      </c>
      <c r="BY81" s="714">
        <f t="shared" si="142"/>
        <v>0</v>
      </c>
      <c r="BZ81" s="714">
        <f t="shared" si="142"/>
        <v>0</v>
      </c>
      <c r="CA81" s="832">
        <f t="shared" si="142"/>
        <v>0</v>
      </c>
    </row>
    <row r="82" spans="1:79" x14ac:dyDescent="0.2">
      <c r="A82" s="205">
        <v>15</v>
      </c>
      <c r="B82" s="206">
        <v>3442</v>
      </c>
      <c r="C82" s="206">
        <v>600078205</v>
      </c>
      <c r="D82" s="206">
        <v>72743638</v>
      </c>
      <c r="E82" s="204" t="s">
        <v>828</v>
      </c>
      <c r="F82" s="206">
        <v>3111</v>
      </c>
      <c r="G82" s="207" t="s">
        <v>290</v>
      </c>
      <c r="H82" s="612" t="s">
        <v>271</v>
      </c>
      <c r="I82" s="420">
        <v>8745379</v>
      </c>
      <c r="J82" s="415">
        <v>6407255</v>
      </c>
      <c r="K82" s="415">
        <v>5936414</v>
      </c>
      <c r="L82" s="415">
        <v>470841</v>
      </c>
      <c r="M82" s="415">
        <v>59265</v>
      </c>
      <c r="N82" s="415">
        <v>0</v>
      </c>
      <c r="O82" s="415">
        <v>59265</v>
      </c>
      <c r="P82" s="68">
        <v>2185683</v>
      </c>
      <c r="Q82" s="68">
        <v>64073</v>
      </c>
      <c r="R82" s="415">
        <v>29103</v>
      </c>
      <c r="S82" s="416">
        <v>11.762699999999999</v>
      </c>
      <c r="T82" s="417">
        <v>10.172599999999999</v>
      </c>
      <c r="U82" s="423">
        <v>1.5900999999999998</v>
      </c>
      <c r="V82" s="424">
        <f t="shared" ref="V82:W84" si="143">AG82*-1</f>
        <v>0</v>
      </c>
      <c r="W82" s="418">
        <f t="shared" si="143"/>
        <v>0</v>
      </c>
      <c r="X82" s="418">
        <v>0</v>
      </c>
      <c r="Y82" s="418">
        <v>0</v>
      </c>
      <c r="Z82" s="418">
        <v>0</v>
      </c>
      <c r="AA82" s="415">
        <v>0</v>
      </c>
      <c r="AB82" s="418">
        <v>0</v>
      </c>
      <c r="AC82" s="418">
        <v>0</v>
      </c>
      <c r="AD82" s="418">
        <f>V82+X82+Y82+Z82+AB82</f>
        <v>0</v>
      </c>
      <c r="AE82" s="418">
        <f>W82+AA82+AC82</f>
        <v>0</v>
      </c>
      <c r="AF82" s="418">
        <f>SUM(AD82:AE82)</f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>AG82+AI82+AJ82</f>
        <v>0</v>
      </c>
      <c r="AM82" s="418">
        <f>AH82+AK82</f>
        <v>0</v>
      </c>
      <c r="AN82" s="418">
        <f>SUM(AL82:AM82)</f>
        <v>0</v>
      </c>
      <c r="AO82" s="418">
        <f t="shared" ref="AO82:AP84" si="144">AD82+AL82</f>
        <v>0</v>
      </c>
      <c r="AP82" s="418">
        <f t="shared" si="144"/>
        <v>0</v>
      </c>
      <c r="AQ82" s="418">
        <f>SUM(AO82:AP82)</f>
        <v>0</v>
      </c>
      <c r="AR82" s="68">
        <f>ROUND((AF82+AG82+AH82+AI82)*33.8%,0)</f>
        <v>0</v>
      </c>
      <c r="AS82" s="68">
        <f>ROUND(AF82*1%,0)</f>
        <v>0</v>
      </c>
      <c r="AT82" s="418">
        <v>0</v>
      </c>
      <c r="AU82" s="415">
        <v>0</v>
      </c>
      <c r="AV82" s="418">
        <f>AT82+AU82</f>
        <v>0</v>
      </c>
      <c r="AW82" s="418">
        <f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6">
        <v>0</v>
      </c>
      <c r="BC82" s="939">
        <v>0</v>
      </c>
      <c r="BD82" s="419">
        <v>0</v>
      </c>
      <c r="BE82" s="419">
        <v>0</v>
      </c>
      <c r="BF82" s="419">
        <f>AX82+AZ82+BA82+BC82+BD82</f>
        <v>0</v>
      </c>
      <c r="BG82" s="419">
        <f>AY82+BB82+BE82</f>
        <v>0</v>
      </c>
      <c r="BH82" s="421">
        <f>SUM(BF82:BG82)</f>
        <v>0</v>
      </c>
      <c r="BI82" s="780">
        <f>I82+AW82</f>
        <v>8745379</v>
      </c>
      <c r="BJ82" s="418">
        <f>J82+AF82</f>
        <v>6407255</v>
      </c>
      <c r="BK82" s="418">
        <f t="shared" ref="BK82:BL84" si="145">K82+AD82</f>
        <v>5936414</v>
      </c>
      <c r="BL82" s="418">
        <f t="shared" si="145"/>
        <v>470841</v>
      </c>
      <c r="BM82" s="418">
        <f>M82+AN82</f>
        <v>59265</v>
      </c>
      <c r="BN82" s="418">
        <f t="shared" ref="BN82:BO84" si="146">N82+AL82</f>
        <v>0</v>
      </c>
      <c r="BO82" s="418">
        <f t="shared" si="146"/>
        <v>59265</v>
      </c>
      <c r="BP82" s="418">
        <f t="shared" ref="BP82:BQ84" si="147">P82+AR82</f>
        <v>2185683</v>
      </c>
      <c r="BQ82" s="418">
        <f t="shared" si="147"/>
        <v>64073</v>
      </c>
      <c r="BR82" s="418">
        <f>R82+AV82</f>
        <v>29103</v>
      </c>
      <c r="BS82" s="419">
        <f>S82+BH82</f>
        <v>11.762699999999999</v>
      </c>
      <c r="BT82" s="419">
        <f t="shared" ref="BT82:BU84" si="148">T82+BF82</f>
        <v>10.172599999999999</v>
      </c>
      <c r="BU82" s="421">
        <f t="shared" si="148"/>
        <v>1.5900999999999998</v>
      </c>
      <c r="BV82" s="420"/>
      <c r="BW82" s="415"/>
      <c r="BX82" s="415"/>
      <c r="BY82" s="415"/>
      <c r="BZ82" s="415"/>
      <c r="CA82" s="510"/>
    </row>
    <row r="83" spans="1:79" x14ac:dyDescent="0.2">
      <c r="A83" s="205">
        <v>15</v>
      </c>
      <c r="B83" s="206">
        <v>3442</v>
      </c>
      <c r="C83" s="206">
        <v>600078205</v>
      </c>
      <c r="D83" s="206">
        <v>72743638</v>
      </c>
      <c r="E83" s="204" t="s">
        <v>829</v>
      </c>
      <c r="F83" s="206">
        <v>3111</v>
      </c>
      <c r="G83" s="207" t="s">
        <v>291</v>
      </c>
      <c r="H83" s="612" t="s">
        <v>272</v>
      </c>
      <c r="I83" s="420">
        <v>1850107</v>
      </c>
      <c r="J83" s="415">
        <v>1372483</v>
      </c>
      <c r="K83" s="415">
        <v>1372483</v>
      </c>
      <c r="L83" s="415">
        <v>0</v>
      </c>
      <c r="M83" s="415">
        <v>0</v>
      </c>
      <c r="N83" s="415">
        <v>0</v>
      </c>
      <c r="O83" s="415">
        <v>0</v>
      </c>
      <c r="P83" s="68">
        <v>463899</v>
      </c>
      <c r="Q83" s="68">
        <v>13725</v>
      </c>
      <c r="R83" s="415">
        <v>0</v>
      </c>
      <c r="S83" s="416">
        <v>3.8699999999999997</v>
      </c>
      <c r="T83" s="417">
        <v>3.8699999999999997</v>
      </c>
      <c r="U83" s="423">
        <v>0</v>
      </c>
      <c r="V83" s="424">
        <f t="shared" si="143"/>
        <v>0</v>
      </c>
      <c r="W83" s="418">
        <f t="shared" si="143"/>
        <v>0</v>
      </c>
      <c r="X83" s="418">
        <v>0</v>
      </c>
      <c r="Y83" s="418">
        <v>0</v>
      </c>
      <c r="Z83" s="418">
        <v>0</v>
      </c>
      <c r="AA83" s="415">
        <v>0</v>
      </c>
      <c r="AB83" s="418">
        <v>0</v>
      </c>
      <c r="AC83" s="418">
        <v>0</v>
      </c>
      <c r="AD83" s="418">
        <f>V83+X83+Y83+Z83+AB83</f>
        <v>0</v>
      </c>
      <c r="AE83" s="418">
        <f>W83+AA83+AC83</f>
        <v>0</v>
      </c>
      <c r="AF83" s="418">
        <f>SUM(AD83:AE83)</f>
        <v>0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>AG83+AI83+AJ83</f>
        <v>0</v>
      </c>
      <c r="AM83" s="418">
        <f>AH83+AK83</f>
        <v>0</v>
      </c>
      <c r="AN83" s="418">
        <f>SUM(AL83:AM83)</f>
        <v>0</v>
      </c>
      <c r="AO83" s="418">
        <f t="shared" si="144"/>
        <v>0</v>
      </c>
      <c r="AP83" s="418">
        <f t="shared" si="144"/>
        <v>0</v>
      </c>
      <c r="AQ83" s="418">
        <f>SUM(AO83:AP83)</f>
        <v>0</v>
      </c>
      <c r="AR83" s="68">
        <f>ROUND((AF83+AG83+AH83+AI83)*33.8%,0)</f>
        <v>0</v>
      </c>
      <c r="AS83" s="68">
        <f>ROUND(AF83*1%,0)</f>
        <v>0</v>
      </c>
      <c r="AT83" s="418">
        <v>0</v>
      </c>
      <c r="AU83" s="415">
        <v>0</v>
      </c>
      <c r="AV83" s="418">
        <f>AT83+AU83</f>
        <v>0</v>
      </c>
      <c r="AW83" s="418">
        <f>AQ83+AR83+AS83+AV83</f>
        <v>0</v>
      </c>
      <c r="AX83" s="419">
        <v>0</v>
      </c>
      <c r="AY83" s="419">
        <v>0</v>
      </c>
      <c r="AZ83" s="419">
        <v>0</v>
      </c>
      <c r="BA83" s="419">
        <v>0</v>
      </c>
      <c r="BB83" s="416">
        <v>0</v>
      </c>
      <c r="BC83" s="939">
        <v>0</v>
      </c>
      <c r="BD83" s="419">
        <v>0</v>
      </c>
      <c r="BE83" s="419">
        <v>0</v>
      </c>
      <c r="BF83" s="419">
        <f>AX83+AZ83+BA83+BC83+BD83</f>
        <v>0</v>
      </c>
      <c r="BG83" s="419">
        <f>AY83+BB83+BE83</f>
        <v>0</v>
      </c>
      <c r="BH83" s="421">
        <f>SUM(BF83:BG83)</f>
        <v>0</v>
      </c>
      <c r="BI83" s="780">
        <f>I83+AW83</f>
        <v>1850107</v>
      </c>
      <c r="BJ83" s="418">
        <f>J83+AF83</f>
        <v>1372483</v>
      </c>
      <c r="BK83" s="418">
        <f t="shared" si="145"/>
        <v>1372483</v>
      </c>
      <c r="BL83" s="418">
        <f t="shared" si="145"/>
        <v>0</v>
      </c>
      <c r="BM83" s="418">
        <f>M83+AN83</f>
        <v>0</v>
      </c>
      <c r="BN83" s="418">
        <f t="shared" si="146"/>
        <v>0</v>
      </c>
      <c r="BO83" s="418">
        <f t="shared" si="146"/>
        <v>0</v>
      </c>
      <c r="BP83" s="418">
        <f t="shared" si="147"/>
        <v>463899</v>
      </c>
      <c r="BQ83" s="418">
        <f t="shared" si="147"/>
        <v>13725</v>
      </c>
      <c r="BR83" s="418">
        <f>R83+AV83</f>
        <v>0</v>
      </c>
      <c r="BS83" s="419">
        <f>S83+BH83</f>
        <v>3.8699999999999997</v>
      </c>
      <c r="BT83" s="419">
        <f t="shared" si="148"/>
        <v>3.8699999999999997</v>
      </c>
      <c r="BU83" s="421">
        <f t="shared" si="148"/>
        <v>0</v>
      </c>
      <c r="BV83" s="420"/>
      <c r="BW83" s="415"/>
      <c r="BX83" s="415"/>
      <c r="BY83" s="415"/>
      <c r="BZ83" s="415"/>
      <c r="CA83" s="510"/>
    </row>
    <row r="84" spans="1:79" s="3" customFormat="1" x14ac:dyDescent="0.2">
      <c r="A84" s="205">
        <v>15</v>
      </c>
      <c r="B84" s="206">
        <v>3442</v>
      </c>
      <c r="C84" s="206">
        <v>600078205</v>
      </c>
      <c r="D84" s="206">
        <v>72743638</v>
      </c>
      <c r="E84" s="204" t="s">
        <v>829</v>
      </c>
      <c r="F84" s="206">
        <v>3141</v>
      </c>
      <c r="G84" s="207" t="s">
        <v>294</v>
      </c>
      <c r="H84" s="612" t="s">
        <v>272</v>
      </c>
      <c r="I84" s="420">
        <v>686403</v>
      </c>
      <c r="J84" s="415">
        <v>506890</v>
      </c>
      <c r="K84" s="415">
        <v>0</v>
      </c>
      <c r="L84" s="415">
        <v>506890</v>
      </c>
      <c r="M84" s="415">
        <v>0</v>
      </c>
      <c r="N84" s="415">
        <v>0</v>
      </c>
      <c r="O84" s="415">
        <v>0</v>
      </c>
      <c r="P84" s="68">
        <v>171329</v>
      </c>
      <c r="Q84" s="68">
        <v>5069</v>
      </c>
      <c r="R84" s="415">
        <v>3115</v>
      </c>
      <c r="S84" s="416">
        <v>1.52</v>
      </c>
      <c r="T84" s="417">
        <v>0</v>
      </c>
      <c r="U84" s="423">
        <v>1.52</v>
      </c>
      <c r="V84" s="424">
        <f t="shared" si="143"/>
        <v>0</v>
      </c>
      <c r="W84" s="418">
        <f t="shared" si="143"/>
        <v>0</v>
      </c>
      <c r="X84" s="418">
        <v>0</v>
      </c>
      <c r="Y84" s="418">
        <v>0</v>
      </c>
      <c r="Z84" s="418">
        <v>0</v>
      </c>
      <c r="AA84" s="605">
        <v>253511</v>
      </c>
      <c r="AB84" s="418">
        <v>0</v>
      </c>
      <c r="AC84" s="418">
        <v>0</v>
      </c>
      <c r="AD84" s="418">
        <f>V84+X84+Y84+Z84+AB84</f>
        <v>0</v>
      </c>
      <c r="AE84" s="418">
        <f>W84+AA84+AC84</f>
        <v>253511</v>
      </c>
      <c r="AF84" s="418">
        <f>SUM(AD84:AE84)</f>
        <v>253511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>AG84+AI84+AJ84</f>
        <v>0</v>
      </c>
      <c r="AM84" s="418">
        <f>AH84+AK84</f>
        <v>0</v>
      </c>
      <c r="AN84" s="418">
        <f>SUM(AL84:AM84)</f>
        <v>0</v>
      </c>
      <c r="AO84" s="418">
        <f t="shared" si="144"/>
        <v>0</v>
      </c>
      <c r="AP84" s="418">
        <f t="shared" si="144"/>
        <v>253511</v>
      </c>
      <c r="AQ84" s="418">
        <f>SUM(AO84:AP84)</f>
        <v>253511</v>
      </c>
      <c r="AR84" s="68">
        <f>ROUND((AF84+AG84+AH84+AI84)*33.8%,0)</f>
        <v>85687</v>
      </c>
      <c r="AS84" s="68">
        <f>ROUND(AF84*1%,0)</f>
        <v>2535</v>
      </c>
      <c r="AT84" s="418">
        <v>0</v>
      </c>
      <c r="AU84" s="605">
        <v>1513</v>
      </c>
      <c r="AV84" s="418">
        <f>AT84+AU84</f>
        <v>1513</v>
      </c>
      <c r="AW84" s="418">
        <f>AQ84+AR84+AS84+AV84</f>
        <v>343246</v>
      </c>
      <c r="AX84" s="419">
        <v>0</v>
      </c>
      <c r="AY84" s="419">
        <v>0</v>
      </c>
      <c r="AZ84" s="419">
        <v>0</v>
      </c>
      <c r="BA84" s="419">
        <v>0</v>
      </c>
      <c r="BB84" s="607">
        <v>0.75999999999999979</v>
      </c>
      <c r="BC84" s="939">
        <v>0</v>
      </c>
      <c r="BD84" s="419">
        <v>0</v>
      </c>
      <c r="BE84" s="419">
        <v>0</v>
      </c>
      <c r="BF84" s="419">
        <f>AX84+AZ84+BA84+BC84+BD84</f>
        <v>0</v>
      </c>
      <c r="BG84" s="419">
        <f>AY84+BB84+BE84</f>
        <v>0.75999999999999979</v>
      </c>
      <c r="BH84" s="421">
        <f>SUM(BF84:BG84)</f>
        <v>0.75999999999999979</v>
      </c>
      <c r="BI84" s="780">
        <f>I84+AW84</f>
        <v>1029649</v>
      </c>
      <c r="BJ84" s="418">
        <f>J84+AF84</f>
        <v>760401</v>
      </c>
      <c r="BK84" s="418">
        <f t="shared" si="145"/>
        <v>0</v>
      </c>
      <c r="BL84" s="418">
        <f t="shared" si="145"/>
        <v>760401</v>
      </c>
      <c r="BM84" s="418">
        <f>M84+AN84</f>
        <v>0</v>
      </c>
      <c r="BN84" s="418">
        <f t="shared" si="146"/>
        <v>0</v>
      </c>
      <c r="BO84" s="418">
        <f t="shared" si="146"/>
        <v>0</v>
      </c>
      <c r="BP84" s="418">
        <f t="shared" si="147"/>
        <v>257016</v>
      </c>
      <c r="BQ84" s="418">
        <f t="shared" si="147"/>
        <v>7604</v>
      </c>
      <c r="BR84" s="418">
        <f>R84+AV84</f>
        <v>4628</v>
      </c>
      <c r="BS84" s="419">
        <f>S84+BH84</f>
        <v>2.2799999999999998</v>
      </c>
      <c r="BT84" s="419">
        <f t="shared" si="148"/>
        <v>0</v>
      </c>
      <c r="BU84" s="421">
        <f t="shared" si="148"/>
        <v>2.2799999999999998</v>
      </c>
      <c r="BV84" s="420"/>
      <c r="BW84" s="415"/>
      <c r="BX84" s="415"/>
      <c r="BY84" s="415"/>
      <c r="BZ84" s="415"/>
      <c r="CA84" s="510"/>
    </row>
    <row r="85" spans="1:79" x14ac:dyDescent="0.2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13"/>
      <c r="I85" s="448">
        <v>11281889</v>
      </c>
      <c r="J85" s="445">
        <v>8286628</v>
      </c>
      <c r="K85" s="445">
        <v>7308897</v>
      </c>
      <c r="L85" s="445">
        <v>977731</v>
      </c>
      <c r="M85" s="445">
        <v>59265</v>
      </c>
      <c r="N85" s="445">
        <v>0</v>
      </c>
      <c r="O85" s="445">
        <v>59265</v>
      </c>
      <c r="P85" s="445">
        <v>2820911</v>
      </c>
      <c r="Q85" s="445">
        <v>82867</v>
      </c>
      <c r="R85" s="445">
        <v>32218</v>
      </c>
      <c r="S85" s="446">
        <v>17.152699999999999</v>
      </c>
      <c r="T85" s="446">
        <v>14.042599999999998</v>
      </c>
      <c r="U85" s="450">
        <v>3.1101000000000001</v>
      </c>
      <c r="V85" s="448">
        <f t="shared" ref="V85:CA85" si="149">SUM(V82:V84)</f>
        <v>0</v>
      </c>
      <c r="W85" s="445">
        <f t="shared" si="149"/>
        <v>0</v>
      </c>
      <c r="X85" s="445">
        <f t="shared" si="149"/>
        <v>0</v>
      </c>
      <c r="Y85" s="445">
        <f t="shared" si="149"/>
        <v>0</v>
      </c>
      <c r="Z85" s="445">
        <f t="shared" si="149"/>
        <v>0</v>
      </c>
      <c r="AA85" s="445">
        <f t="shared" si="149"/>
        <v>253511</v>
      </c>
      <c r="AB85" s="445">
        <f t="shared" si="149"/>
        <v>0</v>
      </c>
      <c r="AC85" s="445">
        <f t="shared" si="149"/>
        <v>0</v>
      </c>
      <c r="AD85" s="445">
        <f t="shared" si="149"/>
        <v>0</v>
      </c>
      <c r="AE85" s="445">
        <f t="shared" si="149"/>
        <v>253511</v>
      </c>
      <c r="AF85" s="445">
        <f t="shared" si="149"/>
        <v>253511</v>
      </c>
      <c r="AG85" s="445">
        <f t="shared" si="149"/>
        <v>0</v>
      </c>
      <c r="AH85" s="445">
        <f t="shared" si="149"/>
        <v>0</v>
      </c>
      <c r="AI85" s="445">
        <f t="shared" si="149"/>
        <v>0</v>
      </c>
      <c r="AJ85" s="445">
        <f t="shared" si="149"/>
        <v>0</v>
      </c>
      <c r="AK85" s="445">
        <f t="shared" si="149"/>
        <v>0</v>
      </c>
      <c r="AL85" s="445">
        <f t="shared" si="149"/>
        <v>0</v>
      </c>
      <c r="AM85" s="445">
        <f t="shared" si="149"/>
        <v>0</v>
      </c>
      <c r="AN85" s="445">
        <f t="shared" si="149"/>
        <v>0</v>
      </c>
      <c r="AO85" s="445">
        <f t="shared" si="149"/>
        <v>0</v>
      </c>
      <c r="AP85" s="445">
        <f t="shared" si="149"/>
        <v>253511</v>
      </c>
      <c r="AQ85" s="445">
        <f t="shared" si="149"/>
        <v>253511</v>
      </c>
      <c r="AR85" s="445">
        <f t="shared" si="149"/>
        <v>85687</v>
      </c>
      <c r="AS85" s="445">
        <f t="shared" si="149"/>
        <v>2535</v>
      </c>
      <c r="AT85" s="445">
        <f t="shared" si="149"/>
        <v>0</v>
      </c>
      <c r="AU85" s="445">
        <f t="shared" si="149"/>
        <v>1513</v>
      </c>
      <c r="AV85" s="445">
        <f t="shared" si="149"/>
        <v>1513</v>
      </c>
      <c r="AW85" s="445">
        <f t="shared" si="149"/>
        <v>343246</v>
      </c>
      <c r="AX85" s="446">
        <f t="shared" si="149"/>
        <v>0</v>
      </c>
      <c r="AY85" s="446">
        <f t="shared" si="149"/>
        <v>0</v>
      </c>
      <c r="AZ85" s="446">
        <f t="shared" si="149"/>
        <v>0</v>
      </c>
      <c r="BA85" s="446">
        <f t="shared" si="149"/>
        <v>0</v>
      </c>
      <c r="BB85" s="446">
        <f t="shared" si="149"/>
        <v>0.75999999999999979</v>
      </c>
      <c r="BC85" s="948">
        <f t="shared" si="149"/>
        <v>0</v>
      </c>
      <c r="BD85" s="446">
        <f t="shared" si="149"/>
        <v>0</v>
      </c>
      <c r="BE85" s="446">
        <f t="shared" si="149"/>
        <v>0</v>
      </c>
      <c r="BF85" s="446">
        <f t="shared" si="149"/>
        <v>0</v>
      </c>
      <c r="BG85" s="446">
        <f t="shared" si="149"/>
        <v>0.75999999999999979</v>
      </c>
      <c r="BH85" s="39">
        <f t="shared" si="149"/>
        <v>0.75999999999999979</v>
      </c>
      <c r="BI85" s="452">
        <f t="shared" si="149"/>
        <v>11625135</v>
      </c>
      <c r="BJ85" s="445">
        <f t="shared" si="149"/>
        <v>8540139</v>
      </c>
      <c r="BK85" s="445">
        <f t="shared" si="149"/>
        <v>7308897</v>
      </c>
      <c r="BL85" s="445">
        <f t="shared" si="149"/>
        <v>1231242</v>
      </c>
      <c r="BM85" s="445">
        <f t="shared" si="149"/>
        <v>59265</v>
      </c>
      <c r="BN85" s="445">
        <f t="shared" si="149"/>
        <v>0</v>
      </c>
      <c r="BO85" s="445">
        <f t="shared" si="149"/>
        <v>59265</v>
      </c>
      <c r="BP85" s="445">
        <f t="shared" si="149"/>
        <v>2906598</v>
      </c>
      <c r="BQ85" s="445">
        <f t="shared" si="149"/>
        <v>85402</v>
      </c>
      <c r="BR85" s="445">
        <f t="shared" si="149"/>
        <v>33731</v>
      </c>
      <c r="BS85" s="446">
        <f t="shared" si="149"/>
        <v>17.912699999999997</v>
      </c>
      <c r="BT85" s="446">
        <f t="shared" si="149"/>
        <v>14.042599999999998</v>
      </c>
      <c r="BU85" s="39">
        <f t="shared" si="149"/>
        <v>3.8700999999999999</v>
      </c>
      <c r="BV85" s="833">
        <f t="shared" si="149"/>
        <v>0</v>
      </c>
      <c r="BW85" s="715">
        <f t="shared" si="149"/>
        <v>0</v>
      </c>
      <c r="BX85" s="715">
        <f t="shared" si="149"/>
        <v>0</v>
      </c>
      <c r="BY85" s="715">
        <f t="shared" si="149"/>
        <v>0</v>
      </c>
      <c r="BZ85" s="715">
        <f t="shared" si="149"/>
        <v>0</v>
      </c>
      <c r="CA85" s="834">
        <f t="shared" si="149"/>
        <v>0</v>
      </c>
    </row>
    <row r="86" spans="1:79" s="3" customFormat="1" x14ac:dyDescent="0.2">
      <c r="A86" s="205">
        <v>16</v>
      </c>
      <c r="B86" s="206">
        <v>3452</v>
      </c>
      <c r="C86" s="206">
        <v>600078264</v>
      </c>
      <c r="D86" s="206">
        <v>72743557</v>
      </c>
      <c r="E86" s="204" t="s">
        <v>830</v>
      </c>
      <c r="F86" s="206">
        <v>3111</v>
      </c>
      <c r="G86" s="207" t="s">
        <v>290</v>
      </c>
      <c r="H86" s="612" t="s">
        <v>271</v>
      </c>
      <c r="I86" s="420">
        <v>0</v>
      </c>
      <c r="J86" s="415">
        <v>0</v>
      </c>
      <c r="K86" s="415">
        <v>0</v>
      </c>
      <c r="L86" s="415">
        <v>0</v>
      </c>
      <c r="M86" s="415">
        <v>0</v>
      </c>
      <c r="N86" s="415">
        <v>0</v>
      </c>
      <c r="O86" s="415">
        <v>0</v>
      </c>
      <c r="P86" s="68">
        <v>0</v>
      </c>
      <c r="Q86" s="68">
        <v>0</v>
      </c>
      <c r="R86" s="415">
        <v>0</v>
      </c>
      <c r="S86" s="416">
        <v>4.8000000000003595E-3</v>
      </c>
      <c r="T86" s="417">
        <v>4.7999999999999154E-3</v>
      </c>
      <c r="U86" s="423">
        <v>0</v>
      </c>
      <c r="V86" s="424">
        <f t="shared" ref="V86:W91" si="150">AG86*-1</f>
        <v>0</v>
      </c>
      <c r="W86" s="418">
        <f t="shared" si="150"/>
        <v>0</v>
      </c>
      <c r="X86" s="418">
        <v>0</v>
      </c>
      <c r="Y86" s="418">
        <v>0</v>
      </c>
      <c r="Z86" s="418">
        <v>0</v>
      </c>
      <c r="AA86" s="415">
        <v>0</v>
      </c>
      <c r="AB86" s="418">
        <v>0</v>
      </c>
      <c r="AC86" s="418">
        <v>0</v>
      </c>
      <c r="AD86" s="418">
        <f t="shared" ref="AD86:AD91" si="151">V86+X86+Y86+Z86+AB86</f>
        <v>0</v>
      </c>
      <c r="AE86" s="418">
        <f t="shared" ref="AE86:AE91" si="152">W86+AA86+AC86</f>
        <v>0</v>
      </c>
      <c r="AF86" s="418">
        <f t="shared" ref="AF86:AF91" si="153"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ref="AL86:AL91" si="154">AG86+AI86+AJ86</f>
        <v>0</v>
      </c>
      <c r="AM86" s="418">
        <f t="shared" ref="AM86:AM91" si="155">AH86+AK86</f>
        <v>0</v>
      </c>
      <c r="AN86" s="418">
        <f t="shared" ref="AN86:AN91" si="156">SUM(AL86:AM86)</f>
        <v>0</v>
      </c>
      <c r="AO86" s="418">
        <f t="shared" ref="AO86:AP91" si="157">AD86+AL86</f>
        <v>0</v>
      </c>
      <c r="AP86" s="418">
        <f t="shared" si="157"/>
        <v>0</v>
      </c>
      <c r="AQ86" s="418">
        <f t="shared" ref="AQ86:AQ91" si="158">SUM(AO86:AP86)</f>
        <v>0</v>
      </c>
      <c r="AR86" s="68">
        <f t="shared" ref="AR86:AR91" si="159">ROUND((AF86+AG86+AH86+AI86)*33.8%,0)</f>
        <v>0</v>
      </c>
      <c r="AS86" s="68">
        <f t="shared" ref="AS86:AS91" si="160">ROUND(AF86*1%,0)</f>
        <v>0</v>
      </c>
      <c r="AT86" s="418">
        <v>0</v>
      </c>
      <c r="AU86" s="415">
        <v>0</v>
      </c>
      <c r="AV86" s="418">
        <f t="shared" ref="AV86:AV91" si="161">AT86+AU86</f>
        <v>0</v>
      </c>
      <c r="AW86" s="418">
        <f t="shared" ref="AW86:AW91" si="162">AQ86+AR86+AS86+AV86</f>
        <v>0</v>
      </c>
      <c r="AX86" s="419">
        <v>0</v>
      </c>
      <c r="AY86" s="419">
        <v>0</v>
      </c>
      <c r="AZ86" s="419">
        <v>0</v>
      </c>
      <c r="BA86" s="419">
        <v>0</v>
      </c>
      <c r="BB86" s="416">
        <v>0</v>
      </c>
      <c r="BC86" s="939">
        <v>0</v>
      </c>
      <c r="BD86" s="419">
        <v>0</v>
      </c>
      <c r="BE86" s="419">
        <v>0</v>
      </c>
      <c r="BF86" s="419">
        <f t="shared" ref="BF86:BF91" si="163">AX86+AZ86+BA86+BC86+BD86</f>
        <v>0</v>
      </c>
      <c r="BG86" s="419">
        <f t="shared" ref="BG86:BG91" si="164">AY86+BB86+BE86</f>
        <v>0</v>
      </c>
      <c r="BH86" s="421">
        <f t="shared" ref="BH86:BH91" si="165">SUM(BF86:BG86)</f>
        <v>0</v>
      </c>
      <c r="BI86" s="780">
        <f t="shared" ref="BI86:BI91" si="166">I86+AW86</f>
        <v>0</v>
      </c>
      <c r="BJ86" s="418">
        <f t="shared" ref="BJ86:BJ91" si="167">J86+AF86</f>
        <v>0</v>
      </c>
      <c r="BK86" s="418">
        <f t="shared" ref="BK86:BL91" si="168">K86+AD86</f>
        <v>0</v>
      </c>
      <c r="BL86" s="418">
        <f t="shared" si="168"/>
        <v>0</v>
      </c>
      <c r="BM86" s="418">
        <f t="shared" ref="BM86:BM91" si="169">M86+AN86</f>
        <v>0</v>
      </c>
      <c r="BN86" s="418">
        <f t="shared" ref="BN86:BO91" si="170">N86+AL86</f>
        <v>0</v>
      </c>
      <c r="BO86" s="418">
        <f t="shared" si="170"/>
        <v>0</v>
      </c>
      <c r="BP86" s="418">
        <f t="shared" ref="BP86:BQ91" si="171">P86+AR86</f>
        <v>0</v>
      </c>
      <c r="BQ86" s="418">
        <f t="shared" si="171"/>
        <v>0</v>
      </c>
      <c r="BR86" s="418">
        <f t="shared" ref="BR86:BR91" si="172">R86+AV86</f>
        <v>0</v>
      </c>
      <c r="BS86" s="419">
        <f t="shared" ref="BS86:BS91" si="173">S86+BH86</f>
        <v>4.8000000000003595E-3</v>
      </c>
      <c r="BT86" s="419">
        <f t="shared" ref="BT86:BU91" si="174">T86+BF86</f>
        <v>4.7999999999999154E-3</v>
      </c>
      <c r="BU86" s="421">
        <f t="shared" si="174"/>
        <v>0</v>
      </c>
      <c r="BV86" s="420"/>
      <c r="BW86" s="415"/>
      <c r="BX86" s="415"/>
      <c r="BY86" s="415"/>
      <c r="BZ86" s="415"/>
      <c r="CA86" s="510"/>
    </row>
    <row r="87" spans="1:79" x14ac:dyDescent="0.2">
      <c r="A87" s="205">
        <v>16</v>
      </c>
      <c r="B87" s="206">
        <v>3452</v>
      </c>
      <c r="C87" s="206">
        <v>600078264</v>
      </c>
      <c r="D87" s="206">
        <v>72743557</v>
      </c>
      <c r="E87" s="204" t="s">
        <v>831</v>
      </c>
      <c r="F87" s="206">
        <v>3113</v>
      </c>
      <c r="G87" s="207" t="s">
        <v>293</v>
      </c>
      <c r="H87" s="612" t="s">
        <v>271</v>
      </c>
      <c r="I87" s="420">
        <v>21030758</v>
      </c>
      <c r="J87" s="415">
        <v>15311581</v>
      </c>
      <c r="K87" s="415">
        <v>14069101</v>
      </c>
      <c r="L87" s="415">
        <v>1242480</v>
      </c>
      <c r="M87" s="415">
        <v>110000</v>
      </c>
      <c r="N87" s="415">
        <v>65000</v>
      </c>
      <c r="O87" s="415">
        <v>45000</v>
      </c>
      <c r="P87" s="68">
        <v>5212495</v>
      </c>
      <c r="Q87" s="68">
        <v>153116</v>
      </c>
      <c r="R87" s="415">
        <v>243566</v>
      </c>
      <c r="S87" s="416">
        <v>25.576599999999999</v>
      </c>
      <c r="T87" s="417">
        <v>21.833600000000001</v>
      </c>
      <c r="U87" s="423">
        <v>3.7430000000000003</v>
      </c>
      <c r="V87" s="424">
        <f t="shared" si="150"/>
        <v>0</v>
      </c>
      <c r="W87" s="418">
        <f t="shared" si="150"/>
        <v>0</v>
      </c>
      <c r="X87" s="418">
        <v>0</v>
      </c>
      <c r="Y87" s="418">
        <v>0</v>
      </c>
      <c r="Z87" s="418">
        <v>0</v>
      </c>
      <c r="AA87" s="415">
        <v>0</v>
      </c>
      <c r="AB87" s="418">
        <v>0</v>
      </c>
      <c r="AC87" s="418">
        <v>0</v>
      </c>
      <c r="AD87" s="418">
        <f t="shared" si="151"/>
        <v>0</v>
      </c>
      <c r="AE87" s="418">
        <f t="shared" si="152"/>
        <v>0</v>
      </c>
      <c r="AF87" s="418">
        <f t="shared" si="153"/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si="154"/>
        <v>0</v>
      </c>
      <c r="AM87" s="418">
        <f t="shared" si="155"/>
        <v>0</v>
      </c>
      <c r="AN87" s="418">
        <f t="shared" si="156"/>
        <v>0</v>
      </c>
      <c r="AO87" s="418">
        <f t="shared" si="157"/>
        <v>0</v>
      </c>
      <c r="AP87" s="418">
        <f t="shared" si="157"/>
        <v>0</v>
      </c>
      <c r="AQ87" s="418">
        <f t="shared" si="158"/>
        <v>0</v>
      </c>
      <c r="AR87" s="68">
        <f t="shared" si="159"/>
        <v>0</v>
      </c>
      <c r="AS87" s="68">
        <f t="shared" si="160"/>
        <v>0</v>
      </c>
      <c r="AT87" s="418">
        <v>0</v>
      </c>
      <c r="AU87" s="415">
        <v>0</v>
      </c>
      <c r="AV87" s="418">
        <f t="shared" si="161"/>
        <v>0</v>
      </c>
      <c r="AW87" s="418">
        <f t="shared" si="162"/>
        <v>0</v>
      </c>
      <c r="AX87" s="419">
        <v>0</v>
      </c>
      <c r="AY87" s="419">
        <v>0</v>
      </c>
      <c r="AZ87" s="419">
        <v>0</v>
      </c>
      <c r="BA87" s="419">
        <v>0</v>
      </c>
      <c r="BB87" s="416">
        <v>0</v>
      </c>
      <c r="BC87" s="939">
        <v>0</v>
      </c>
      <c r="BD87" s="419">
        <v>0</v>
      </c>
      <c r="BE87" s="419">
        <v>0</v>
      </c>
      <c r="BF87" s="419">
        <f t="shared" si="163"/>
        <v>0</v>
      </c>
      <c r="BG87" s="419">
        <f t="shared" si="164"/>
        <v>0</v>
      </c>
      <c r="BH87" s="421">
        <f t="shared" si="165"/>
        <v>0</v>
      </c>
      <c r="BI87" s="780">
        <f t="shared" si="166"/>
        <v>21030758</v>
      </c>
      <c r="BJ87" s="418">
        <f t="shared" si="167"/>
        <v>15311581</v>
      </c>
      <c r="BK87" s="418">
        <f t="shared" si="168"/>
        <v>14069101</v>
      </c>
      <c r="BL87" s="418">
        <f t="shared" si="168"/>
        <v>1242480</v>
      </c>
      <c r="BM87" s="418">
        <f t="shared" si="169"/>
        <v>110000</v>
      </c>
      <c r="BN87" s="418">
        <f t="shared" si="170"/>
        <v>65000</v>
      </c>
      <c r="BO87" s="418">
        <f t="shared" si="170"/>
        <v>45000</v>
      </c>
      <c r="BP87" s="418">
        <f t="shared" si="171"/>
        <v>5212495</v>
      </c>
      <c r="BQ87" s="418">
        <f t="shared" si="171"/>
        <v>153116</v>
      </c>
      <c r="BR87" s="418">
        <f t="shared" si="172"/>
        <v>243566</v>
      </c>
      <c r="BS87" s="419">
        <f t="shared" si="173"/>
        <v>25.576599999999999</v>
      </c>
      <c r="BT87" s="419">
        <f t="shared" si="174"/>
        <v>21.833600000000001</v>
      </c>
      <c r="BU87" s="421">
        <f t="shared" si="174"/>
        <v>3.7430000000000003</v>
      </c>
      <c r="BV87" s="420">
        <v>380136</v>
      </c>
      <c r="BW87" s="415">
        <v>282000</v>
      </c>
      <c r="BX87" s="415">
        <v>0</v>
      </c>
      <c r="BY87" s="415">
        <v>95316</v>
      </c>
      <c r="BZ87" s="415">
        <v>2820</v>
      </c>
      <c r="CA87" s="510">
        <v>0.5</v>
      </c>
    </row>
    <row r="88" spans="1:79" x14ac:dyDescent="0.2">
      <c r="A88" s="205">
        <v>16</v>
      </c>
      <c r="B88" s="206">
        <v>3452</v>
      </c>
      <c r="C88" s="206">
        <v>600078264</v>
      </c>
      <c r="D88" s="206">
        <v>72743557</v>
      </c>
      <c r="E88" s="204" t="s">
        <v>831</v>
      </c>
      <c r="F88" s="206">
        <v>3113</v>
      </c>
      <c r="G88" s="207" t="s">
        <v>291</v>
      </c>
      <c r="H88" s="612" t="s">
        <v>272</v>
      </c>
      <c r="I88" s="420">
        <v>4433317</v>
      </c>
      <c r="J88" s="415">
        <v>3288811</v>
      </c>
      <c r="K88" s="415">
        <v>3288811</v>
      </c>
      <c r="L88" s="415">
        <v>0</v>
      </c>
      <c r="M88" s="415">
        <v>0</v>
      </c>
      <c r="N88" s="415">
        <v>0</v>
      </c>
      <c r="O88" s="415">
        <v>0</v>
      </c>
      <c r="P88" s="68">
        <v>1111618</v>
      </c>
      <c r="Q88" s="68">
        <v>32888</v>
      </c>
      <c r="R88" s="415">
        <v>0</v>
      </c>
      <c r="S88" s="416">
        <v>8.64</v>
      </c>
      <c r="T88" s="417">
        <v>8.64</v>
      </c>
      <c r="U88" s="423">
        <v>0</v>
      </c>
      <c r="V88" s="424">
        <f t="shared" si="150"/>
        <v>0</v>
      </c>
      <c r="W88" s="418">
        <f t="shared" si="150"/>
        <v>0</v>
      </c>
      <c r="X88" s="418">
        <v>0</v>
      </c>
      <c r="Y88" s="418">
        <v>0</v>
      </c>
      <c r="Z88" s="418">
        <v>0</v>
      </c>
      <c r="AA88" s="415">
        <v>0</v>
      </c>
      <c r="AB88" s="418">
        <v>0</v>
      </c>
      <c r="AC88" s="418">
        <v>0</v>
      </c>
      <c r="AD88" s="418">
        <f t="shared" si="151"/>
        <v>0</v>
      </c>
      <c r="AE88" s="418">
        <f t="shared" si="152"/>
        <v>0</v>
      </c>
      <c r="AF88" s="418">
        <f t="shared" si="153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54"/>
        <v>0</v>
      </c>
      <c r="AM88" s="418">
        <f t="shared" si="155"/>
        <v>0</v>
      </c>
      <c r="AN88" s="418">
        <f t="shared" si="156"/>
        <v>0</v>
      </c>
      <c r="AO88" s="418">
        <f t="shared" si="157"/>
        <v>0</v>
      </c>
      <c r="AP88" s="418">
        <f t="shared" si="157"/>
        <v>0</v>
      </c>
      <c r="AQ88" s="418">
        <f t="shared" si="158"/>
        <v>0</v>
      </c>
      <c r="AR88" s="68">
        <f t="shared" si="159"/>
        <v>0</v>
      </c>
      <c r="AS88" s="68">
        <f t="shared" si="160"/>
        <v>0</v>
      </c>
      <c r="AT88" s="418">
        <v>0</v>
      </c>
      <c r="AU88" s="415">
        <v>0</v>
      </c>
      <c r="AV88" s="418">
        <f t="shared" si="161"/>
        <v>0</v>
      </c>
      <c r="AW88" s="418">
        <f t="shared" si="162"/>
        <v>0</v>
      </c>
      <c r="AX88" s="419">
        <v>0</v>
      </c>
      <c r="AY88" s="419">
        <v>0</v>
      </c>
      <c r="AZ88" s="419">
        <v>0</v>
      </c>
      <c r="BA88" s="419">
        <v>0</v>
      </c>
      <c r="BB88" s="416">
        <v>0</v>
      </c>
      <c r="BC88" s="939">
        <v>0</v>
      </c>
      <c r="BD88" s="419">
        <v>0</v>
      </c>
      <c r="BE88" s="419">
        <v>0</v>
      </c>
      <c r="BF88" s="419">
        <f t="shared" si="163"/>
        <v>0</v>
      </c>
      <c r="BG88" s="419">
        <f t="shared" si="164"/>
        <v>0</v>
      </c>
      <c r="BH88" s="421">
        <f t="shared" si="165"/>
        <v>0</v>
      </c>
      <c r="BI88" s="780">
        <f t="shared" si="166"/>
        <v>4433317</v>
      </c>
      <c r="BJ88" s="418">
        <f t="shared" si="167"/>
        <v>3288811</v>
      </c>
      <c r="BK88" s="418">
        <f t="shared" si="168"/>
        <v>3288811</v>
      </c>
      <c r="BL88" s="418">
        <f t="shared" si="168"/>
        <v>0</v>
      </c>
      <c r="BM88" s="418">
        <f t="shared" si="169"/>
        <v>0</v>
      </c>
      <c r="BN88" s="418">
        <f t="shared" si="170"/>
        <v>0</v>
      </c>
      <c r="BO88" s="418">
        <f t="shared" si="170"/>
        <v>0</v>
      </c>
      <c r="BP88" s="418">
        <f t="shared" si="171"/>
        <v>1111618</v>
      </c>
      <c r="BQ88" s="418">
        <f t="shared" si="171"/>
        <v>32888</v>
      </c>
      <c r="BR88" s="418">
        <f t="shared" si="172"/>
        <v>0</v>
      </c>
      <c r="BS88" s="419">
        <f t="shared" si="173"/>
        <v>8.64</v>
      </c>
      <c r="BT88" s="419">
        <f t="shared" si="174"/>
        <v>8.64</v>
      </c>
      <c r="BU88" s="421">
        <f t="shared" si="174"/>
        <v>0</v>
      </c>
      <c r="BV88" s="420"/>
      <c r="BW88" s="415"/>
      <c r="BX88" s="415"/>
      <c r="BY88" s="415"/>
      <c r="BZ88" s="415"/>
      <c r="CA88" s="510"/>
    </row>
    <row r="89" spans="1:79" x14ac:dyDescent="0.2">
      <c r="A89" s="205">
        <v>16</v>
      </c>
      <c r="B89" s="206">
        <v>3452</v>
      </c>
      <c r="C89" s="206">
        <v>600078264</v>
      </c>
      <c r="D89" s="206">
        <v>72743557</v>
      </c>
      <c r="E89" s="204" t="s">
        <v>831</v>
      </c>
      <c r="F89" s="206">
        <v>3141</v>
      </c>
      <c r="G89" s="207" t="s">
        <v>294</v>
      </c>
      <c r="H89" s="612" t="s">
        <v>272</v>
      </c>
      <c r="I89" s="420">
        <v>1380612</v>
      </c>
      <c r="J89" s="415">
        <v>998214</v>
      </c>
      <c r="K89" s="415">
        <v>0</v>
      </c>
      <c r="L89" s="415">
        <v>998214</v>
      </c>
      <c r="M89" s="415">
        <v>20000</v>
      </c>
      <c r="N89" s="415">
        <v>0</v>
      </c>
      <c r="O89" s="415">
        <v>20000</v>
      </c>
      <c r="P89" s="68">
        <v>344156</v>
      </c>
      <c r="Q89" s="68">
        <v>9982</v>
      </c>
      <c r="R89" s="415">
        <v>8260</v>
      </c>
      <c r="S89" s="416">
        <v>3.0300000000000002</v>
      </c>
      <c r="T89" s="417">
        <v>0</v>
      </c>
      <c r="U89" s="423">
        <v>3.0300000000000002</v>
      </c>
      <c r="V89" s="424">
        <f t="shared" si="150"/>
        <v>0</v>
      </c>
      <c r="W89" s="418">
        <f t="shared" si="150"/>
        <v>0</v>
      </c>
      <c r="X89" s="418">
        <v>0</v>
      </c>
      <c r="Y89" s="418">
        <v>0</v>
      </c>
      <c r="Z89" s="418">
        <v>0</v>
      </c>
      <c r="AA89" s="415">
        <v>509988</v>
      </c>
      <c r="AB89" s="418">
        <v>0</v>
      </c>
      <c r="AC89" s="418">
        <v>0</v>
      </c>
      <c r="AD89" s="418">
        <f t="shared" si="151"/>
        <v>0</v>
      </c>
      <c r="AE89" s="418">
        <f t="shared" si="152"/>
        <v>509988</v>
      </c>
      <c r="AF89" s="418">
        <f t="shared" si="153"/>
        <v>509988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54"/>
        <v>0</v>
      </c>
      <c r="AM89" s="418">
        <f t="shared" si="155"/>
        <v>0</v>
      </c>
      <c r="AN89" s="418">
        <f t="shared" si="156"/>
        <v>0</v>
      </c>
      <c r="AO89" s="418">
        <f t="shared" si="157"/>
        <v>0</v>
      </c>
      <c r="AP89" s="418">
        <f t="shared" si="157"/>
        <v>509988</v>
      </c>
      <c r="AQ89" s="418">
        <f t="shared" si="158"/>
        <v>509988</v>
      </c>
      <c r="AR89" s="68">
        <f t="shared" si="159"/>
        <v>172376</v>
      </c>
      <c r="AS89" s="68">
        <f t="shared" si="160"/>
        <v>5100</v>
      </c>
      <c r="AT89" s="418">
        <v>0</v>
      </c>
      <c r="AU89" s="415">
        <v>4012</v>
      </c>
      <c r="AV89" s="418">
        <f t="shared" si="161"/>
        <v>4012</v>
      </c>
      <c r="AW89" s="418">
        <f t="shared" si="162"/>
        <v>691476</v>
      </c>
      <c r="AX89" s="419">
        <v>0</v>
      </c>
      <c r="AY89" s="419">
        <v>0</v>
      </c>
      <c r="AZ89" s="419">
        <v>0</v>
      </c>
      <c r="BA89" s="419">
        <v>0</v>
      </c>
      <c r="BB89" s="416">
        <v>1.53</v>
      </c>
      <c r="BC89" s="939">
        <v>0</v>
      </c>
      <c r="BD89" s="419">
        <v>0</v>
      </c>
      <c r="BE89" s="419">
        <v>0</v>
      </c>
      <c r="BF89" s="419">
        <f t="shared" si="163"/>
        <v>0</v>
      </c>
      <c r="BG89" s="419">
        <f t="shared" si="164"/>
        <v>1.53</v>
      </c>
      <c r="BH89" s="421">
        <f t="shared" si="165"/>
        <v>1.53</v>
      </c>
      <c r="BI89" s="780">
        <f t="shared" si="166"/>
        <v>2072088</v>
      </c>
      <c r="BJ89" s="418">
        <f t="shared" si="167"/>
        <v>1508202</v>
      </c>
      <c r="BK89" s="418">
        <f t="shared" si="168"/>
        <v>0</v>
      </c>
      <c r="BL89" s="418">
        <f t="shared" si="168"/>
        <v>1508202</v>
      </c>
      <c r="BM89" s="418">
        <f t="shared" si="169"/>
        <v>20000</v>
      </c>
      <c r="BN89" s="418">
        <f t="shared" si="170"/>
        <v>0</v>
      </c>
      <c r="BO89" s="418">
        <f t="shared" si="170"/>
        <v>20000</v>
      </c>
      <c r="BP89" s="418">
        <f t="shared" si="171"/>
        <v>516532</v>
      </c>
      <c r="BQ89" s="418">
        <f t="shared" si="171"/>
        <v>15082</v>
      </c>
      <c r="BR89" s="418">
        <f t="shared" si="172"/>
        <v>12272</v>
      </c>
      <c r="BS89" s="419">
        <f t="shared" si="173"/>
        <v>4.5600000000000005</v>
      </c>
      <c r="BT89" s="419">
        <f t="shared" si="174"/>
        <v>0</v>
      </c>
      <c r="BU89" s="421">
        <f t="shared" si="174"/>
        <v>4.5600000000000005</v>
      </c>
      <c r="BV89" s="420"/>
      <c r="BW89" s="415"/>
      <c r="BX89" s="415"/>
      <c r="BY89" s="415"/>
      <c r="BZ89" s="415"/>
      <c r="CA89" s="510"/>
    </row>
    <row r="90" spans="1:79" x14ac:dyDescent="0.2">
      <c r="A90" s="205">
        <v>16</v>
      </c>
      <c r="B90" s="206">
        <v>3452</v>
      </c>
      <c r="C90" s="206">
        <v>600078264</v>
      </c>
      <c r="D90" s="206">
        <v>72743557</v>
      </c>
      <c r="E90" s="204" t="s">
        <v>831</v>
      </c>
      <c r="F90" s="206">
        <v>3143</v>
      </c>
      <c r="G90" s="207" t="s">
        <v>595</v>
      </c>
      <c r="H90" s="614" t="s">
        <v>271</v>
      </c>
      <c r="I90" s="420">
        <v>1931282</v>
      </c>
      <c r="J90" s="415">
        <v>1427739</v>
      </c>
      <c r="K90" s="415">
        <v>1427739</v>
      </c>
      <c r="L90" s="415">
        <v>0</v>
      </c>
      <c r="M90" s="415">
        <v>5000</v>
      </c>
      <c r="N90" s="415">
        <v>5000</v>
      </c>
      <c r="O90" s="415">
        <v>0</v>
      </c>
      <c r="P90" s="68">
        <v>484266</v>
      </c>
      <c r="Q90" s="68">
        <v>14277</v>
      </c>
      <c r="R90" s="415">
        <v>0</v>
      </c>
      <c r="S90" s="416">
        <v>2.7757000000000001</v>
      </c>
      <c r="T90" s="417">
        <v>2.7757000000000001</v>
      </c>
      <c r="U90" s="423">
        <v>0</v>
      </c>
      <c r="V90" s="424">
        <f t="shared" si="150"/>
        <v>0</v>
      </c>
      <c r="W90" s="418">
        <f t="shared" si="150"/>
        <v>0</v>
      </c>
      <c r="X90" s="418">
        <v>0</v>
      </c>
      <c r="Y90" s="418">
        <v>0</v>
      </c>
      <c r="Z90" s="418">
        <v>0</v>
      </c>
      <c r="AA90" s="415">
        <v>0</v>
      </c>
      <c r="AB90" s="418">
        <v>0</v>
      </c>
      <c r="AC90" s="418">
        <v>0</v>
      </c>
      <c r="AD90" s="418">
        <f t="shared" si="151"/>
        <v>0</v>
      </c>
      <c r="AE90" s="418">
        <f t="shared" si="152"/>
        <v>0</v>
      </c>
      <c r="AF90" s="418">
        <f t="shared" si="153"/>
        <v>0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54"/>
        <v>0</v>
      </c>
      <c r="AM90" s="418">
        <f t="shared" si="155"/>
        <v>0</v>
      </c>
      <c r="AN90" s="418">
        <f t="shared" si="156"/>
        <v>0</v>
      </c>
      <c r="AO90" s="418">
        <f t="shared" si="157"/>
        <v>0</v>
      </c>
      <c r="AP90" s="418">
        <f t="shared" si="157"/>
        <v>0</v>
      </c>
      <c r="AQ90" s="418">
        <f t="shared" si="158"/>
        <v>0</v>
      </c>
      <c r="AR90" s="68">
        <f t="shared" si="159"/>
        <v>0</v>
      </c>
      <c r="AS90" s="68">
        <f t="shared" si="160"/>
        <v>0</v>
      </c>
      <c r="AT90" s="418">
        <v>0</v>
      </c>
      <c r="AU90" s="415">
        <v>0</v>
      </c>
      <c r="AV90" s="418">
        <f t="shared" si="161"/>
        <v>0</v>
      </c>
      <c r="AW90" s="418">
        <f t="shared" si="162"/>
        <v>0</v>
      </c>
      <c r="AX90" s="419">
        <v>0</v>
      </c>
      <c r="AY90" s="419">
        <v>0</v>
      </c>
      <c r="AZ90" s="419">
        <v>0</v>
      </c>
      <c r="BA90" s="419">
        <v>0</v>
      </c>
      <c r="BB90" s="416">
        <v>0</v>
      </c>
      <c r="BC90" s="939">
        <v>0</v>
      </c>
      <c r="BD90" s="419">
        <v>0</v>
      </c>
      <c r="BE90" s="419">
        <v>0</v>
      </c>
      <c r="BF90" s="419">
        <f t="shared" si="163"/>
        <v>0</v>
      </c>
      <c r="BG90" s="419">
        <f t="shared" si="164"/>
        <v>0</v>
      </c>
      <c r="BH90" s="421">
        <f t="shared" si="165"/>
        <v>0</v>
      </c>
      <c r="BI90" s="780">
        <f t="shared" si="166"/>
        <v>1931282</v>
      </c>
      <c r="BJ90" s="418">
        <f t="shared" si="167"/>
        <v>1427739</v>
      </c>
      <c r="BK90" s="418">
        <f t="shared" si="168"/>
        <v>1427739</v>
      </c>
      <c r="BL90" s="418">
        <f t="shared" si="168"/>
        <v>0</v>
      </c>
      <c r="BM90" s="418">
        <f t="shared" si="169"/>
        <v>5000</v>
      </c>
      <c r="BN90" s="418">
        <f t="shared" si="170"/>
        <v>5000</v>
      </c>
      <c r="BO90" s="418">
        <f t="shared" si="170"/>
        <v>0</v>
      </c>
      <c r="BP90" s="418">
        <f t="shared" si="171"/>
        <v>484266</v>
      </c>
      <c r="BQ90" s="418">
        <f t="shared" si="171"/>
        <v>14277</v>
      </c>
      <c r="BR90" s="418">
        <f t="shared" si="172"/>
        <v>0</v>
      </c>
      <c r="BS90" s="419">
        <f t="shared" si="173"/>
        <v>2.7757000000000001</v>
      </c>
      <c r="BT90" s="419">
        <f t="shared" si="174"/>
        <v>2.7757000000000001</v>
      </c>
      <c r="BU90" s="421">
        <f t="shared" si="174"/>
        <v>0</v>
      </c>
      <c r="BV90" s="420"/>
      <c r="BW90" s="415"/>
      <c r="BX90" s="415"/>
      <c r="BY90" s="415"/>
      <c r="BZ90" s="415"/>
      <c r="CA90" s="510"/>
    </row>
    <row r="91" spans="1:79" x14ac:dyDescent="0.2">
      <c r="A91" s="205">
        <v>16</v>
      </c>
      <c r="B91" s="206">
        <v>3452</v>
      </c>
      <c r="C91" s="206">
        <v>600078264</v>
      </c>
      <c r="D91" s="206">
        <v>72743557</v>
      </c>
      <c r="E91" s="204" t="s">
        <v>831</v>
      </c>
      <c r="F91" s="206">
        <v>3143</v>
      </c>
      <c r="G91" s="207" t="s">
        <v>596</v>
      </c>
      <c r="H91" s="614" t="s">
        <v>272</v>
      </c>
      <c r="I91" s="420">
        <v>35320</v>
      </c>
      <c r="J91" s="415">
        <v>20318</v>
      </c>
      <c r="K91" s="415">
        <v>0</v>
      </c>
      <c r="L91" s="415">
        <v>20318</v>
      </c>
      <c r="M91" s="415">
        <v>5000</v>
      </c>
      <c r="N91" s="415">
        <v>0</v>
      </c>
      <c r="O91" s="415">
        <v>5000</v>
      </c>
      <c r="P91" s="68">
        <v>8557</v>
      </c>
      <c r="Q91" s="68">
        <v>203</v>
      </c>
      <c r="R91" s="415">
        <v>1242</v>
      </c>
      <c r="S91" s="416">
        <v>0.1</v>
      </c>
      <c r="T91" s="417">
        <v>0</v>
      </c>
      <c r="U91" s="423">
        <v>0.1</v>
      </c>
      <c r="V91" s="424">
        <f t="shared" si="150"/>
        <v>0</v>
      </c>
      <c r="W91" s="418">
        <f t="shared" si="150"/>
        <v>0</v>
      </c>
      <c r="X91" s="418">
        <v>0</v>
      </c>
      <c r="Y91" s="418">
        <v>0</v>
      </c>
      <c r="Z91" s="418">
        <v>0</v>
      </c>
      <c r="AA91" s="415">
        <v>12632</v>
      </c>
      <c r="AB91" s="418">
        <v>0</v>
      </c>
      <c r="AC91" s="418">
        <v>0</v>
      </c>
      <c r="AD91" s="418">
        <f t="shared" si="151"/>
        <v>0</v>
      </c>
      <c r="AE91" s="418">
        <f t="shared" si="152"/>
        <v>12632</v>
      </c>
      <c r="AF91" s="418">
        <f t="shared" si="153"/>
        <v>12632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 t="shared" si="154"/>
        <v>0</v>
      </c>
      <c r="AM91" s="418">
        <f t="shared" si="155"/>
        <v>0</v>
      </c>
      <c r="AN91" s="418">
        <f t="shared" si="156"/>
        <v>0</v>
      </c>
      <c r="AO91" s="418">
        <f t="shared" si="157"/>
        <v>0</v>
      </c>
      <c r="AP91" s="418">
        <f t="shared" si="157"/>
        <v>12632</v>
      </c>
      <c r="AQ91" s="418">
        <f t="shared" si="158"/>
        <v>12632</v>
      </c>
      <c r="AR91" s="68">
        <f t="shared" si="159"/>
        <v>4270</v>
      </c>
      <c r="AS91" s="68">
        <f t="shared" si="160"/>
        <v>126</v>
      </c>
      <c r="AT91" s="418">
        <v>0</v>
      </c>
      <c r="AU91" s="415">
        <v>621</v>
      </c>
      <c r="AV91" s="418">
        <f t="shared" si="161"/>
        <v>621</v>
      </c>
      <c r="AW91" s="418">
        <f t="shared" si="162"/>
        <v>17649</v>
      </c>
      <c r="AX91" s="419">
        <v>0</v>
      </c>
      <c r="AY91" s="419">
        <v>0</v>
      </c>
      <c r="AZ91" s="419">
        <v>0</v>
      </c>
      <c r="BA91" s="419">
        <v>0</v>
      </c>
      <c r="BB91" s="416">
        <v>0.05</v>
      </c>
      <c r="BC91" s="939">
        <v>0</v>
      </c>
      <c r="BD91" s="419">
        <v>0</v>
      </c>
      <c r="BE91" s="419">
        <v>0</v>
      </c>
      <c r="BF91" s="419">
        <f t="shared" si="163"/>
        <v>0</v>
      </c>
      <c r="BG91" s="419">
        <f t="shared" si="164"/>
        <v>0.05</v>
      </c>
      <c r="BH91" s="421">
        <f t="shared" si="165"/>
        <v>0.05</v>
      </c>
      <c r="BI91" s="780">
        <f t="shared" si="166"/>
        <v>52969</v>
      </c>
      <c r="BJ91" s="418">
        <f t="shared" si="167"/>
        <v>32950</v>
      </c>
      <c r="BK91" s="418">
        <f t="shared" si="168"/>
        <v>0</v>
      </c>
      <c r="BL91" s="418">
        <f t="shared" si="168"/>
        <v>32950</v>
      </c>
      <c r="BM91" s="418">
        <f t="shared" si="169"/>
        <v>5000</v>
      </c>
      <c r="BN91" s="418">
        <f t="shared" si="170"/>
        <v>0</v>
      </c>
      <c r="BO91" s="418">
        <f t="shared" si="170"/>
        <v>5000</v>
      </c>
      <c r="BP91" s="418">
        <f t="shared" si="171"/>
        <v>12827</v>
      </c>
      <c r="BQ91" s="418">
        <f t="shared" si="171"/>
        <v>329</v>
      </c>
      <c r="BR91" s="418">
        <f t="shared" si="172"/>
        <v>1863</v>
      </c>
      <c r="BS91" s="419">
        <f t="shared" si="173"/>
        <v>0.15000000000000002</v>
      </c>
      <c r="BT91" s="419">
        <f t="shared" si="174"/>
        <v>0</v>
      </c>
      <c r="BU91" s="421">
        <f t="shared" si="174"/>
        <v>0.15000000000000002</v>
      </c>
      <c r="BV91" s="420"/>
      <c r="BW91" s="415"/>
      <c r="BX91" s="415"/>
      <c r="BY91" s="415"/>
      <c r="BZ91" s="415"/>
      <c r="CA91" s="510"/>
    </row>
    <row r="92" spans="1:79" x14ac:dyDescent="0.2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13"/>
      <c r="I92" s="448">
        <v>28811289</v>
      </c>
      <c r="J92" s="445">
        <v>21046663</v>
      </c>
      <c r="K92" s="445">
        <v>18785651</v>
      </c>
      <c r="L92" s="445">
        <v>2261012</v>
      </c>
      <c r="M92" s="445">
        <v>140000</v>
      </c>
      <c r="N92" s="445">
        <v>70000</v>
      </c>
      <c r="O92" s="445">
        <v>70000</v>
      </c>
      <c r="P92" s="445">
        <v>7161092</v>
      </c>
      <c r="Q92" s="445">
        <v>210466</v>
      </c>
      <c r="R92" s="445">
        <v>253068</v>
      </c>
      <c r="S92" s="446">
        <v>40.127100000000006</v>
      </c>
      <c r="T92" s="446">
        <v>33.254100000000001</v>
      </c>
      <c r="U92" s="450">
        <v>6.8730000000000002</v>
      </c>
      <c r="V92" s="448">
        <f t="shared" ref="V92:CA92" si="175">SUM(V86:V91)</f>
        <v>0</v>
      </c>
      <c r="W92" s="445">
        <f t="shared" si="175"/>
        <v>0</v>
      </c>
      <c r="X92" s="445">
        <f t="shared" si="175"/>
        <v>0</v>
      </c>
      <c r="Y92" s="445">
        <f t="shared" si="175"/>
        <v>0</v>
      </c>
      <c r="Z92" s="445">
        <f t="shared" si="175"/>
        <v>0</v>
      </c>
      <c r="AA92" s="445">
        <f t="shared" si="175"/>
        <v>522620</v>
      </c>
      <c r="AB92" s="445">
        <f t="shared" si="175"/>
        <v>0</v>
      </c>
      <c r="AC92" s="445">
        <f t="shared" si="175"/>
        <v>0</v>
      </c>
      <c r="AD92" s="445">
        <f t="shared" si="175"/>
        <v>0</v>
      </c>
      <c r="AE92" s="445">
        <f t="shared" si="175"/>
        <v>522620</v>
      </c>
      <c r="AF92" s="445">
        <f t="shared" si="175"/>
        <v>522620</v>
      </c>
      <c r="AG92" s="445">
        <f t="shared" si="175"/>
        <v>0</v>
      </c>
      <c r="AH92" s="445">
        <f t="shared" si="175"/>
        <v>0</v>
      </c>
      <c r="AI92" s="445">
        <f t="shared" si="175"/>
        <v>0</v>
      </c>
      <c r="AJ92" s="445">
        <f t="shared" si="175"/>
        <v>0</v>
      </c>
      <c r="AK92" s="445">
        <f t="shared" si="175"/>
        <v>0</v>
      </c>
      <c r="AL92" s="445">
        <f t="shared" si="175"/>
        <v>0</v>
      </c>
      <c r="AM92" s="445">
        <f t="shared" si="175"/>
        <v>0</v>
      </c>
      <c r="AN92" s="445">
        <f t="shared" si="175"/>
        <v>0</v>
      </c>
      <c r="AO92" s="445">
        <f t="shared" si="175"/>
        <v>0</v>
      </c>
      <c r="AP92" s="445">
        <f t="shared" si="175"/>
        <v>522620</v>
      </c>
      <c r="AQ92" s="445">
        <f t="shared" si="175"/>
        <v>522620</v>
      </c>
      <c r="AR92" s="445">
        <f t="shared" si="175"/>
        <v>176646</v>
      </c>
      <c r="AS92" s="445">
        <f t="shared" si="175"/>
        <v>5226</v>
      </c>
      <c r="AT92" s="445">
        <f t="shared" si="175"/>
        <v>0</v>
      </c>
      <c r="AU92" s="445">
        <f t="shared" si="175"/>
        <v>4633</v>
      </c>
      <c r="AV92" s="445">
        <f t="shared" si="175"/>
        <v>4633</v>
      </c>
      <c r="AW92" s="445">
        <f t="shared" si="175"/>
        <v>709125</v>
      </c>
      <c r="AX92" s="446">
        <f t="shared" si="175"/>
        <v>0</v>
      </c>
      <c r="AY92" s="446">
        <f t="shared" si="175"/>
        <v>0</v>
      </c>
      <c r="AZ92" s="446">
        <f t="shared" si="175"/>
        <v>0</v>
      </c>
      <c r="BA92" s="446">
        <f t="shared" si="175"/>
        <v>0</v>
      </c>
      <c r="BB92" s="446">
        <f t="shared" si="175"/>
        <v>1.58</v>
      </c>
      <c r="BC92" s="948">
        <f t="shared" si="175"/>
        <v>0</v>
      </c>
      <c r="BD92" s="446">
        <f t="shared" si="175"/>
        <v>0</v>
      </c>
      <c r="BE92" s="446">
        <f t="shared" si="175"/>
        <v>0</v>
      </c>
      <c r="BF92" s="446">
        <f t="shared" si="175"/>
        <v>0</v>
      </c>
      <c r="BG92" s="446">
        <f t="shared" si="175"/>
        <v>1.58</v>
      </c>
      <c r="BH92" s="39">
        <f t="shared" si="175"/>
        <v>1.58</v>
      </c>
      <c r="BI92" s="452">
        <f t="shared" si="175"/>
        <v>29520414</v>
      </c>
      <c r="BJ92" s="445">
        <f t="shared" si="175"/>
        <v>21569283</v>
      </c>
      <c r="BK92" s="445">
        <f t="shared" si="175"/>
        <v>18785651</v>
      </c>
      <c r="BL92" s="445">
        <f t="shared" si="175"/>
        <v>2783632</v>
      </c>
      <c r="BM92" s="445">
        <f t="shared" si="175"/>
        <v>140000</v>
      </c>
      <c r="BN92" s="445">
        <f t="shared" si="175"/>
        <v>70000</v>
      </c>
      <c r="BO92" s="445">
        <f t="shared" si="175"/>
        <v>70000</v>
      </c>
      <c r="BP92" s="445">
        <f t="shared" si="175"/>
        <v>7337738</v>
      </c>
      <c r="BQ92" s="445">
        <f t="shared" si="175"/>
        <v>215692</v>
      </c>
      <c r="BR92" s="445">
        <f t="shared" si="175"/>
        <v>257701</v>
      </c>
      <c r="BS92" s="446">
        <f t="shared" si="175"/>
        <v>41.707100000000004</v>
      </c>
      <c r="BT92" s="446">
        <f t="shared" si="175"/>
        <v>33.254100000000001</v>
      </c>
      <c r="BU92" s="39">
        <f t="shared" si="175"/>
        <v>8.4530000000000012</v>
      </c>
      <c r="BV92" s="833">
        <f t="shared" si="175"/>
        <v>380136</v>
      </c>
      <c r="BW92" s="715">
        <f t="shared" si="175"/>
        <v>282000</v>
      </c>
      <c r="BX92" s="715">
        <f t="shared" si="175"/>
        <v>0</v>
      </c>
      <c r="BY92" s="715">
        <f t="shared" si="175"/>
        <v>95316</v>
      </c>
      <c r="BZ92" s="715">
        <f t="shared" si="175"/>
        <v>2820</v>
      </c>
      <c r="CA92" s="834">
        <f t="shared" si="175"/>
        <v>0.5</v>
      </c>
    </row>
    <row r="93" spans="1:79" x14ac:dyDescent="0.2">
      <c r="A93" s="205">
        <v>17</v>
      </c>
      <c r="B93" s="206">
        <v>3445</v>
      </c>
      <c r="C93" s="206">
        <v>600078604</v>
      </c>
      <c r="D93" s="206">
        <v>70695849</v>
      </c>
      <c r="E93" s="204" t="s">
        <v>115</v>
      </c>
      <c r="F93" s="206">
        <v>3111</v>
      </c>
      <c r="G93" s="207" t="s">
        <v>290</v>
      </c>
      <c r="H93" s="612" t="s">
        <v>271</v>
      </c>
      <c r="I93" s="420">
        <v>1600868</v>
      </c>
      <c r="J93" s="415">
        <v>1144121</v>
      </c>
      <c r="K93" s="415">
        <v>1124217</v>
      </c>
      <c r="L93" s="415">
        <v>19904</v>
      </c>
      <c r="M93" s="415">
        <v>40000</v>
      </c>
      <c r="N93" s="415">
        <v>0</v>
      </c>
      <c r="O93" s="415">
        <v>40000</v>
      </c>
      <c r="P93" s="68">
        <v>400233</v>
      </c>
      <c r="Q93" s="68">
        <v>11441</v>
      </c>
      <c r="R93" s="415">
        <v>5073</v>
      </c>
      <c r="S93" s="416">
        <v>2.08</v>
      </c>
      <c r="T93" s="417">
        <v>2</v>
      </c>
      <c r="U93" s="423">
        <v>7.9999999999999988E-2</v>
      </c>
      <c r="V93" s="424">
        <f t="shared" ref="V93:W98" si="176">AG93*-1</f>
        <v>0</v>
      </c>
      <c r="W93" s="418">
        <f t="shared" si="176"/>
        <v>0</v>
      </c>
      <c r="X93" s="418">
        <v>0</v>
      </c>
      <c r="Y93" s="418">
        <v>0</v>
      </c>
      <c r="Z93" s="418">
        <v>0</v>
      </c>
      <c r="AA93" s="415">
        <v>0</v>
      </c>
      <c r="AB93" s="418">
        <v>0</v>
      </c>
      <c r="AC93" s="418">
        <v>0</v>
      </c>
      <c r="AD93" s="418">
        <f t="shared" ref="AD93:AD98" si="177">V93+X93+Y93+Z93+AB93</f>
        <v>0</v>
      </c>
      <c r="AE93" s="418">
        <f t="shared" ref="AE93:AE98" si="178">W93+AA93+AC93</f>
        <v>0</v>
      </c>
      <c r="AF93" s="418">
        <f t="shared" ref="AF93:AF98" si="179">SUM(AD93:AE93)</f>
        <v>0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 t="shared" ref="AL93:AL98" si="180">AG93+AI93+AJ93</f>
        <v>0</v>
      </c>
      <c r="AM93" s="418">
        <f t="shared" ref="AM93:AM98" si="181">AH93+AK93</f>
        <v>0</v>
      </c>
      <c r="AN93" s="418">
        <f t="shared" ref="AN93:AN98" si="182">SUM(AL93:AM93)</f>
        <v>0</v>
      </c>
      <c r="AO93" s="418">
        <f t="shared" ref="AO93:AP98" si="183">AD93+AL93</f>
        <v>0</v>
      </c>
      <c r="AP93" s="418">
        <f t="shared" si="183"/>
        <v>0</v>
      </c>
      <c r="AQ93" s="418">
        <f t="shared" ref="AQ93:AQ98" si="184">SUM(AO93:AP93)</f>
        <v>0</v>
      </c>
      <c r="AR93" s="68">
        <f t="shared" ref="AR93:AR98" si="185">ROUND((AF93+AG93+AH93+AI93)*33.8%,0)</f>
        <v>0</v>
      </c>
      <c r="AS93" s="68">
        <f t="shared" ref="AS93:AS98" si="186">ROUND(AF93*1%,0)</f>
        <v>0</v>
      </c>
      <c r="AT93" s="418">
        <v>0</v>
      </c>
      <c r="AU93" s="415">
        <v>0</v>
      </c>
      <c r="AV93" s="418">
        <f t="shared" ref="AV93:AV98" si="187">AT93+AU93</f>
        <v>0</v>
      </c>
      <c r="AW93" s="418">
        <f t="shared" ref="AW93:AW98" si="188"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6">
        <v>0</v>
      </c>
      <c r="BC93" s="939">
        <v>0</v>
      </c>
      <c r="BD93" s="419">
        <v>0</v>
      </c>
      <c r="BE93" s="419">
        <v>0</v>
      </c>
      <c r="BF93" s="419">
        <f t="shared" ref="BF93:BF98" si="189">AX93+AZ93+BA93+BC93+BD93</f>
        <v>0</v>
      </c>
      <c r="BG93" s="419">
        <f t="shared" ref="BG93:BG98" si="190">AY93+BB93+BE93</f>
        <v>0</v>
      </c>
      <c r="BH93" s="421">
        <f t="shared" ref="BH93:BH98" si="191">SUM(BF93:BG93)</f>
        <v>0</v>
      </c>
      <c r="BI93" s="780">
        <f t="shared" ref="BI93:BI98" si="192">I93+AW93</f>
        <v>1600868</v>
      </c>
      <c r="BJ93" s="418">
        <f t="shared" ref="BJ93:BJ98" si="193">J93+AF93</f>
        <v>1144121</v>
      </c>
      <c r="BK93" s="418">
        <f t="shared" ref="BK93:BL98" si="194">K93+AD93</f>
        <v>1124217</v>
      </c>
      <c r="BL93" s="418">
        <f t="shared" si="194"/>
        <v>19904</v>
      </c>
      <c r="BM93" s="418">
        <f t="shared" ref="BM93:BM98" si="195">M93+AN93</f>
        <v>40000</v>
      </c>
      <c r="BN93" s="418">
        <f t="shared" ref="BN93:BO98" si="196">N93+AL93</f>
        <v>0</v>
      </c>
      <c r="BO93" s="418">
        <f t="shared" si="196"/>
        <v>40000</v>
      </c>
      <c r="BP93" s="418">
        <f t="shared" ref="BP93:BQ98" si="197">P93+AR93</f>
        <v>400233</v>
      </c>
      <c r="BQ93" s="418">
        <f t="shared" si="197"/>
        <v>11441</v>
      </c>
      <c r="BR93" s="418">
        <f t="shared" ref="BR93:BR98" si="198">R93+AV93</f>
        <v>5073</v>
      </c>
      <c r="BS93" s="419">
        <f t="shared" ref="BS93:BS98" si="199">S93+BH93</f>
        <v>2.08</v>
      </c>
      <c r="BT93" s="419">
        <f t="shared" ref="BT93:BU98" si="200">T93+BF93</f>
        <v>2</v>
      </c>
      <c r="BU93" s="421">
        <f t="shared" si="200"/>
        <v>7.9999999999999988E-2</v>
      </c>
      <c r="BV93" s="420"/>
      <c r="BW93" s="415"/>
      <c r="BX93" s="415"/>
      <c r="BY93" s="415"/>
      <c r="BZ93" s="415"/>
      <c r="CA93" s="510"/>
    </row>
    <row r="94" spans="1:79" x14ac:dyDescent="0.2">
      <c r="A94" s="205">
        <v>17</v>
      </c>
      <c r="B94" s="206">
        <v>3445</v>
      </c>
      <c r="C94" s="206">
        <v>600078604</v>
      </c>
      <c r="D94" s="206">
        <v>70695849</v>
      </c>
      <c r="E94" s="204" t="s">
        <v>115</v>
      </c>
      <c r="F94" s="206">
        <v>3117</v>
      </c>
      <c r="G94" s="207" t="s">
        <v>293</v>
      </c>
      <c r="H94" s="612" t="s">
        <v>271</v>
      </c>
      <c r="I94" s="420">
        <v>2474017</v>
      </c>
      <c r="J94" s="415">
        <v>1790014</v>
      </c>
      <c r="K94" s="415">
        <v>1606719</v>
      </c>
      <c r="L94" s="415">
        <v>183295</v>
      </c>
      <c r="M94" s="415">
        <v>22000</v>
      </c>
      <c r="N94" s="415">
        <v>0</v>
      </c>
      <c r="O94" s="415">
        <v>22000</v>
      </c>
      <c r="P94" s="68">
        <v>612460</v>
      </c>
      <c r="Q94" s="68">
        <v>17901</v>
      </c>
      <c r="R94" s="415">
        <v>31642</v>
      </c>
      <c r="S94" s="416">
        <v>2.9077000000000002</v>
      </c>
      <c r="T94" s="417">
        <v>2.4544999999999999</v>
      </c>
      <c r="U94" s="423">
        <v>0.45320000000000005</v>
      </c>
      <c r="V94" s="424">
        <f t="shared" si="176"/>
        <v>0</v>
      </c>
      <c r="W94" s="418">
        <f t="shared" si="176"/>
        <v>0</v>
      </c>
      <c r="X94" s="418">
        <v>0</v>
      </c>
      <c r="Y94" s="418">
        <v>0</v>
      </c>
      <c r="Z94" s="418">
        <v>0</v>
      </c>
      <c r="AA94" s="415">
        <v>0</v>
      </c>
      <c r="AB94" s="418">
        <v>0</v>
      </c>
      <c r="AC94" s="418">
        <v>0</v>
      </c>
      <c r="AD94" s="418">
        <f t="shared" si="177"/>
        <v>0</v>
      </c>
      <c r="AE94" s="418">
        <f t="shared" si="178"/>
        <v>0</v>
      </c>
      <c r="AF94" s="418">
        <f t="shared" si="179"/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si="180"/>
        <v>0</v>
      </c>
      <c r="AM94" s="418">
        <f t="shared" si="181"/>
        <v>0</v>
      </c>
      <c r="AN94" s="418">
        <f t="shared" si="182"/>
        <v>0</v>
      </c>
      <c r="AO94" s="418">
        <f t="shared" si="183"/>
        <v>0</v>
      </c>
      <c r="AP94" s="418">
        <f t="shared" si="183"/>
        <v>0</v>
      </c>
      <c r="AQ94" s="418">
        <f t="shared" si="184"/>
        <v>0</v>
      </c>
      <c r="AR94" s="68">
        <f t="shared" si="185"/>
        <v>0</v>
      </c>
      <c r="AS94" s="68">
        <f t="shared" si="186"/>
        <v>0</v>
      </c>
      <c r="AT94" s="418">
        <v>0</v>
      </c>
      <c r="AU94" s="415">
        <v>0</v>
      </c>
      <c r="AV94" s="418">
        <f t="shared" si="187"/>
        <v>0</v>
      </c>
      <c r="AW94" s="418">
        <f t="shared" si="188"/>
        <v>0</v>
      </c>
      <c r="AX94" s="419">
        <v>0</v>
      </c>
      <c r="AY94" s="419">
        <v>0</v>
      </c>
      <c r="AZ94" s="419">
        <v>0</v>
      </c>
      <c r="BA94" s="419">
        <v>0</v>
      </c>
      <c r="BB94" s="416">
        <v>0</v>
      </c>
      <c r="BC94" s="939">
        <v>0</v>
      </c>
      <c r="BD94" s="419">
        <v>0</v>
      </c>
      <c r="BE94" s="419">
        <v>0</v>
      </c>
      <c r="BF94" s="419">
        <f t="shared" si="189"/>
        <v>0</v>
      </c>
      <c r="BG94" s="419">
        <f t="shared" si="190"/>
        <v>0</v>
      </c>
      <c r="BH94" s="421">
        <f t="shared" si="191"/>
        <v>0</v>
      </c>
      <c r="BI94" s="780">
        <f t="shared" si="192"/>
        <v>2474017</v>
      </c>
      <c r="BJ94" s="418">
        <f t="shared" si="193"/>
        <v>1790014</v>
      </c>
      <c r="BK94" s="418">
        <f t="shared" si="194"/>
        <v>1606719</v>
      </c>
      <c r="BL94" s="418">
        <f t="shared" si="194"/>
        <v>183295</v>
      </c>
      <c r="BM94" s="418">
        <f t="shared" si="195"/>
        <v>22000</v>
      </c>
      <c r="BN94" s="418">
        <f t="shared" si="196"/>
        <v>0</v>
      </c>
      <c r="BO94" s="418">
        <f t="shared" si="196"/>
        <v>22000</v>
      </c>
      <c r="BP94" s="418">
        <f t="shared" si="197"/>
        <v>612460</v>
      </c>
      <c r="BQ94" s="418">
        <f t="shared" si="197"/>
        <v>17901</v>
      </c>
      <c r="BR94" s="418">
        <f t="shared" si="198"/>
        <v>31642</v>
      </c>
      <c r="BS94" s="419">
        <f t="shared" si="199"/>
        <v>2.9077000000000002</v>
      </c>
      <c r="BT94" s="419">
        <f t="shared" si="200"/>
        <v>2.4544999999999999</v>
      </c>
      <c r="BU94" s="421">
        <f t="shared" si="200"/>
        <v>0.45320000000000005</v>
      </c>
      <c r="BV94" s="420"/>
      <c r="BW94" s="415"/>
      <c r="BX94" s="415"/>
      <c r="BY94" s="415"/>
      <c r="BZ94" s="415"/>
      <c r="CA94" s="510"/>
    </row>
    <row r="95" spans="1:79" x14ac:dyDescent="0.2">
      <c r="A95" s="205">
        <v>17</v>
      </c>
      <c r="B95" s="206">
        <v>3445</v>
      </c>
      <c r="C95" s="206">
        <v>600078604</v>
      </c>
      <c r="D95" s="206">
        <v>70695849</v>
      </c>
      <c r="E95" s="204" t="s">
        <v>115</v>
      </c>
      <c r="F95" s="206">
        <v>3117</v>
      </c>
      <c r="G95" s="207" t="s">
        <v>291</v>
      </c>
      <c r="H95" s="612" t="s">
        <v>272</v>
      </c>
      <c r="I95" s="420">
        <v>100115</v>
      </c>
      <c r="J95" s="415">
        <v>74269</v>
      </c>
      <c r="K95" s="415">
        <v>74269</v>
      </c>
      <c r="L95" s="415">
        <v>0</v>
      </c>
      <c r="M95" s="415">
        <v>0</v>
      </c>
      <c r="N95" s="415">
        <v>0</v>
      </c>
      <c r="O95" s="415">
        <v>0</v>
      </c>
      <c r="P95" s="68">
        <v>25103</v>
      </c>
      <c r="Q95" s="68">
        <v>743</v>
      </c>
      <c r="R95" s="415">
        <v>0</v>
      </c>
      <c r="S95" s="416">
        <v>0.15</v>
      </c>
      <c r="T95" s="417">
        <v>0.15</v>
      </c>
      <c r="U95" s="423">
        <v>0</v>
      </c>
      <c r="V95" s="424">
        <f t="shared" si="176"/>
        <v>0</v>
      </c>
      <c r="W95" s="418">
        <f t="shared" si="176"/>
        <v>0</v>
      </c>
      <c r="X95" s="418">
        <v>0</v>
      </c>
      <c r="Y95" s="418">
        <v>0</v>
      </c>
      <c r="Z95" s="418">
        <v>0</v>
      </c>
      <c r="AA95" s="415">
        <v>0</v>
      </c>
      <c r="AB95" s="418">
        <v>0</v>
      </c>
      <c r="AC95" s="418">
        <v>0</v>
      </c>
      <c r="AD95" s="418">
        <f t="shared" si="177"/>
        <v>0</v>
      </c>
      <c r="AE95" s="418">
        <f t="shared" si="178"/>
        <v>0</v>
      </c>
      <c r="AF95" s="418">
        <f t="shared" si="179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180"/>
        <v>0</v>
      </c>
      <c r="AM95" s="418">
        <f t="shared" si="181"/>
        <v>0</v>
      </c>
      <c r="AN95" s="418">
        <f t="shared" si="182"/>
        <v>0</v>
      </c>
      <c r="AO95" s="418">
        <f t="shared" si="183"/>
        <v>0</v>
      </c>
      <c r="AP95" s="418">
        <f t="shared" si="183"/>
        <v>0</v>
      </c>
      <c r="AQ95" s="418">
        <f t="shared" si="184"/>
        <v>0</v>
      </c>
      <c r="AR95" s="68">
        <f t="shared" si="185"/>
        <v>0</v>
      </c>
      <c r="AS95" s="68">
        <f t="shared" si="186"/>
        <v>0</v>
      </c>
      <c r="AT95" s="418">
        <v>0</v>
      </c>
      <c r="AU95" s="415">
        <v>0</v>
      </c>
      <c r="AV95" s="418">
        <f t="shared" si="187"/>
        <v>0</v>
      </c>
      <c r="AW95" s="418">
        <f t="shared" si="188"/>
        <v>0</v>
      </c>
      <c r="AX95" s="419">
        <v>0</v>
      </c>
      <c r="AY95" s="419">
        <v>0</v>
      </c>
      <c r="AZ95" s="419">
        <v>0</v>
      </c>
      <c r="BA95" s="419">
        <v>0</v>
      </c>
      <c r="BB95" s="416">
        <v>0</v>
      </c>
      <c r="BC95" s="939">
        <v>0</v>
      </c>
      <c r="BD95" s="419">
        <v>0</v>
      </c>
      <c r="BE95" s="419">
        <v>0</v>
      </c>
      <c r="BF95" s="419">
        <f t="shared" si="189"/>
        <v>0</v>
      </c>
      <c r="BG95" s="419">
        <f t="shared" si="190"/>
        <v>0</v>
      </c>
      <c r="BH95" s="421">
        <f t="shared" si="191"/>
        <v>0</v>
      </c>
      <c r="BI95" s="780">
        <f t="shared" si="192"/>
        <v>100115</v>
      </c>
      <c r="BJ95" s="418">
        <f t="shared" si="193"/>
        <v>74269</v>
      </c>
      <c r="BK95" s="418">
        <f t="shared" si="194"/>
        <v>74269</v>
      </c>
      <c r="BL95" s="418">
        <f t="shared" si="194"/>
        <v>0</v>
      </c>
      <c r="BM95" s="418">
        <f t="shared" si="195"/>
        <v>0</v>
      </c>
      <c r="BN95" s="418">
        <f t="shared" si="196"/>
        <v>0</v>
      </c>
      <c r="BO95" s="418">
        <f t="shared" si="196"/>
        <v>0</v>
      </c>
      <c r="BP95" s="418">
        <f t="shared" si="197"/>
        <v>25103</v>
      </c>
      <c r="BQ95" s="418">
        <f t="shared" si="197"/>
        <v>743</v>
      </c>
      <c r="BR95" s="418">
        <f t="shared" si="198"/>
        <v>0</v>
      </c>
      <c r="BS95" s="419">
        <f t="shared" si="199"/>
        <v>0.15</v>
      </c>
      <c r="BT95" s="419">
        <f t="shared" si="200"/>
        <v>0.15</v>
      </c>
      <c r="BU95" s="421">
        <f t="shared" si="200"/>
        <v>0</v>
      </c>
      <c r="BV95" s="420"/>
      <c r="BW95" s="415"/>
      <c r="BX95" s="415"/>
      <c r="BY95" s="415"/>
      <c r="BZ95" s="415"/>
      <c r="CA95" s="510"/>
    </row>
    <row r="96" spans="1:79" x14ac:dyDescent="0.2">
      <c r="A96" s="205">
        <v>17</v>
      </c>
      <c r="B96" s="206">
        <v>3445</v>
      </c>
      <c r="C96" s="206">
        <v>600078604</v>
      </c>
      <c r="D96" s="206">
        <v>70695849</v>
      </c>
      <c r="E96" s="204" t="s">
        <v>115</v>
      </c>
      <c r="F96" s="206">
        <v>3141</v>
      </c>
      <c r="G96" s="207" t="s">
        <v>294</v>
      </c>
      <c r="H96" s="612" t="s">
        <v>272</v>
      </c>
      <c r="I96" s="420">
        <v>439104</v>
      </c>
      <c r="J96" s="415">
        <v>324576</v>
      </c>
      <c r="K96" s="415">
        <v>0</v>
      </c>
      <c r="L96" s="415">
        <v>324576</v>
      </c>
      <c r="M96" s="415">
        <v>0</v>
      </c>
      <c r="N96" s="415">
        <v>0</v>
      </c>
      <c r="O96" s="415">
        <v>0</v>
      </c>
      <c r="P96" s="68">
        <v>109707</v>
      </c>
      <c r="Q96" s="68">
        <v>3246</v>
      </c>
      <c r="R96" s="415">
        <v>1575</v>
      </c>
      <c r="S96" s="416">
        <v>0.97</v>
      </c>
      <c r="T96" s="417">
        <v>0</v>
      </c>
      <c r="U96" s="423">
        <v>0.97</v>
      </c>
      <c r="V96" s="424">
        <f t="shared" si="176"/>
        <v>0</v>
      </c>
      <c r="W96" s="418">
        <f t="shared" si="176"/>
        <v>0</v>
      </c>
      <c r="X96" s="418">
        <v>0</v>
      </c>
      <c r="Y96" s="418">
        <v>0</v>
      </c>
      <c r="Z96" s="418">
        <v>0</v>
      </c>
      <c r="AA96" s="605">
        <v>162853</v>
      </c>
      <c r="AB96" s="418">
        <v>0</v>
      </c>
      <c r="AC96" s="418">
        <v>0</v>
      </c>
      <c r="AD96" s="418">
        <f t="shared" si="177"/>
        <v>0</v>
      </c>
      <c r="AE96" s="418">
        <f t="shared" si="178"/>
        <v>162853</v>
      </c>
      <c r="AF96" s="418">
        <f t="shared" si="179"/>
        <v>162853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180"/>
        <v>0</v>
      </c>
      <c r="AM96" s="418">
        <f t="shared" si="181"/>
        <v>0</v>
      </c>
      <c r="AN96" s="418">
        <f t="shared" si="182"/>
        <v>0</v>
      </c>
      <c r="AO96" s="418">
        <f t="shared" si="183"/>
        <v>0</v>
      </c>
      <c r="AP96" s="418">
        <f t="shared" si="183"/>
        <v>162853</v>
      </c>
      <c r="AQ96" s="418">
        <f t="shared" si="184"/>
        <v>162853</v>
      </c>
      <c r="AR96" s="68">
        <f t="shared" si="185"/>
        <v>55044</v>
      </c>
      <c r="AS96" s="68">
        <f t="shared" si="186"/>
        <v>1629</v>
      </c>
      <c r="AT96" s="418">
        <v>0</v>
      </c>
      <c r="AU96" s="605">
        <v>765</v>
      </c>
      <c r="AV96" s="418">
        <f t="shared" si="187"/>
        <v>765</v>
      </c>
      <c r="AW96" s="418">
        <f t="shared" si="188"/>
        <v>220291</v>
      </c>
      <c r="AX96" s="419">
        <v>0</v>
      </c>
      <c r="AY96" s="419">
        <v>0</v>
      </c>
      <c r="AZ96" s="419">
        <v>0</v>
      </c>
      <c r="BA96" s="419">
        <v>0</v>
      </c>
      <c r="BB96" s="607">
        <v>0.49</v>
      </c>
      <c r="BC96" s="939">
        <v>0</v>
      </c>
      <c r="BD96" s="419">
        <v>0</v>
      </c>
      <c r="BE96" s="419">
        <v>0</v>
      </c>
      <c r="BF96" s="419">
        <f t="shared" si="189"/>
        <v>0</v>
      </c>
      <c r="BG96" s="419">
        <f t="shared" si="190"/>
        <v>0.49</v>
      </c>
      <c r="BH96" s="421">
        <f t="shared" si="191"/>
        <v>0.49</v>
      </c>
      <c r="BI96" s="780">
        <f t="shared" si="192"/>
        <v>659395</v>
      </c>
      <c r="BJ96" s="418">
        <f t="shared" si="193"/>
        <v>487429</v>
      </c>
      <c r="BK96" s="418">
        <f t="shared" si="194"/>
        <v>0</v>
      </c>
      <c r="BL96" s="418">
        <f t="shared" si="194"/>
        <v>487429</v>
      </c>
      <c r="BM96" s="418">
        <f t="shared" si="195"/>
        <v>0</v>
      </c>
      <c r="BN96" s="418">
        <f t="shared" si="196"/>
        <v>0</v>
      </c>
      <c r="BO96" s="418">
        <f t="shared" si="196"/>
        <v>0</v>
      </c>
      <c r="BP96" s="418">
        <f t="shared" si="197"/>
        <v>164751</v>
      </c>
      <c r="BQ96" s="418">
        <f t="shared" si="197"/>
        <v>4875</v>
      </c>
      <c r="BR96" s="418">
        <f t="shared" si="198"/>
        <v>2340</v>
      </c>
      <c r="BS96" s="419">
        <f t="shared" si="199"/>
        <v>1.46</v>
      </c>
      <c r="BT96" s="419">
        <f t="shared" si="200"/>
        <v>0</v>
      </c>
      <c r="BU96" s="421">
        <f t="shared" si="200"/>
        <v>1.46</v>
      </c>
      <c r="BV96" s="420"/>
      <c r="BW96" s="415"/>
      <c r="BX96" s="415"/>
      <c r="BY96" s="415"/>
      <c r="BZ96" s="415"/>
      <c r="CA96" s="510"/>
    </row>
    <row r="97" spans="1:79" s="3" customFormat="1" x14ac:dyDescent="0.2">
      <c r="A97" s="205">
        <v>17</v>
      </c>
      <c r="B97" s="206">
        <v>3445</v>
      </c>
      <c r="C97" s="206">
        <v>600078604</v>
      </c>
      <c r="D97" s="206">
        <v>70695849</v>
      </c>
      <c r="E97" s="204" t="s">
        <v>115</v>
      </c>
      <c r="F97" s="206">
        <v>3143</v>
      </c>
      <c r="G97" s="207" t="s">
        <v>595</v>
      </c>
      <c r="H97" s="614" t="s">
        <v>271</v>
      </c>
      <c r="I97" s="420">
        <v>581589</v>
      </c>
      <c r="J97" s="415">
        <v>431446</v>
      </c>
      <c r="K97" s="415">
        <v>431446</v>
      </c>
      <c r="L97" s="415">
        <v>0</v>
      </c>
      <c r="M97" s="415">
        <v>0</v>
      </c>
      <c r="N97" s="415">
        <v>0</v>
      </c>
      <c r="O97" s="415">
        <v>0</v>
      </c>
      <c r="P97" s="68">
        <v>145829</v>
      </c>
      <c r="Q97" s="68">
        <v>4314</v>
      </c>
      <c r="R97" s="415">
        <v>0</v>
      </c>
      <c r="S97" s="416">
        <v>0.88329999999999997</v>
      </c>
      <c r="T97" s="417">
        <v>0.88329999999999997</v>
      </c>
      <c r="U97" s="423">
        <v>0</v>
      </c>
      <c r="V97" s="424">
        <f t="shared" si="176"/>
        <v>0</v>
      </c>
      <c r="W97" s="418">
        <f t="shared" si="176"/>
        <v>0</v>
      </c>
      <c r="X97" s="418">
        <v>0</v>
      </c>
      <c r="Y97" s="418">
        <v>0</v>
      </c>
      <c r="Z97" s="418">
        <v>0</v>
      </c>
      <c r="AA97" s="415">
        <v>0</v>
      </c>
      <c r="AB97" s="418">
        <v>0</v>
      </c>
      <c r="AC97" s="418">
        <v>0</v>
      </c>
      <c r="AD97" s="418">
        <f t="shared" si="177"/>
        <v>0</v>
      </c>
      <c r="AE97" s="418">
        <f t="shared" si="178"/>
        <v>0</v>
      </c>
      <c r="AF97" s="418">
        <f t="shared" si="179"/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180"/>
        <v>0</v>
      </c>
      <c r="AM97" s="418">
        <f t="shared" si="181"/>
        <v>0</v>
      </c>
      <c r="AN97" s="418">
        <f t="shared" si="182"/>
        <v>0</v>
      </c>
      <c r="AO97" s="418">
        <f t="shared" si="183"/>
        <v>0</v>
      </c>
      <c r="AP97" s="418">
        <f t="shared" si="183"/>
        <v>0</v>
      </c>
      <c r="AQ97" s="418">
        <f t="shared" si="184"/>
        <v>0</v>
      </c>
      <c r="AR97" s="68">
        <f t="shared" si="185"/>
        <v>0</v>
      </c>
      <c r="AS97" s="68">
        <f t="shared" si="186"/>
        <v>0</v>
      </c>
      <c r="AT97" s="418">
        <v>0</v>
      </c>
      <c r="AU97" s="415">
        <v>0</v>
      </c>
      <c r="AV97" s="418">
        <f t="shared" si="187"/>
        <v>0</v>
      </c>
      <c r="AW97" s="418">
        <f t="shared" si="188"/>
        <v>0</v>
      </c>
      <c r="AX97" s="419">
        <v>0</v>
      </c>
      <c r="AY97" s="419">
        <v>0</v>
      </c>
      <c r="AZ97" s="419">
        <v>0</v>
      </c>
      <c r="BA97" s="419">
        <v>0</v>
      </c>
      <c r="BB97" s="416">
        <v>0</v>
      </c>
      <c r="BC97" s="939">
        <v>0</v>
      </c>
      <c r="BD97" s="419">
        <v>0</v>
      </c>
      <c r="BE97" s="419">
        <v>0</v>
      </c>
      <c r="BF97" s="419">
        <f t="shared" si="189"/>
        <v>0</v>
      </c>
      <c r="BG97" s="419">
        <f t="shared" si="190"/>
        <v>0</v>
      </c>
      <c r="BH97" s="421">
        <f t="shared" si="191"/>
        <v>0</v>
      </c>
      <c r="BI97" s="780">
        <f t="shared" si="192"/>
        <v>581589</v>
      </c>
      <c r="BJ97" s="418">
        <f t="shared" si="193"/>
        <v>431446</v>
      </c>
      <c r="BK97" s="418">
        <f t="shared" si="194"/>
        <v>431446</v>
      </c>
      <c r="BL97" s="418">
        <f t="shared" si="194"/>
        <v>0</v>
      </c>
      <c r="BM97" s="418">
        <f t="shared" si="195"/>
        <v>0</v>
      </c>
      <c r="BN97" s="418">
        <f t="shared" si="196"/>
        <v>0</v>
      </c>
      <c r="BO97" s="418">
        <f t="shared" si="196"/>
        <v>0</v>
      </c>
      <c r="BP97" s="418">
        <f t="shared" si="197"/>
        <v>145829</v>
      </c>
      <c r="BQ97" s="418">
        <f t="shared" si="197"/>
        <v>4314</v>
      </c>
      <c r="BR97" s="418">
        <f t="shared" si="198"/>
        <v>0</v>
      </c>
      <c r="BS97" s="419">
        <f t="shared" si="199"/>
        <v>0.88329999999999997</v>
      </c>
      <c r="BT97" s="419">
        <f t="shared" si="200"/>
        <v>0.88329999999999997</v>
      </c>
      <c r="BU97" s="421">
        <f t="shared" si="200"/>
        <v>0</v>
      </c>
      <c r="BV97" s="420"/>
      <c r="BW97" s="415"/>
      <c r="BX97" s="415"/>
      <c r="BY97" s="415"/>
      <c r="BZ97" s="415"/>
      <c r="CA97" s="510"/>
    </row>
    <row r="98" spans="1:79" s="3" customFormat="1" x14ac:dyDescent="0.2">
      <c r="A98" s="205">
        <v>17</v>
      </c>
      <c r="B98" s="206">
        <v>3445</v>
      </c>
      <c r="C98" s="206">
        <v>600078604</v>
      </c>
      <c r="D98" s="206">
        <v>70695849</v>
      </c>
      <c r="E98" s="204" t="s">
        <v>115</v>
      </c>
      <c r="F98" s="206">
        <v>3143</v>
      </c>
      <c r="G98" s="207" t="s">
        <v>596</v>
      </c>
      <c r="H98" s="614" t="s">
        <v>272</v>
      </c>
      <c r="I98" s="420">
        <v>13314</v>
      </c>
      <c r="J98" s="415">
        <v>9530</v>
      </c>
      <c r="K98" s="415">
        <v>0</v>
      </c>
      <c r="L98" s="415">
        <v>9530</v>
      </c>
      <c r="M98" s="415">
        <v>0</v>
      </c>
      <c r="N98" s="415">
        <v>0</v>
      </c>
      <c r="O98" s="415">
        <v>0</v>
      </c>
      <c r="P98" s="68">
        <v>3221</v>
      </c>
      <c r="Q98" s="68">
        <v>95</v>
      </c>
      <c r="R98" s="415">
        <v>468</v>
      </c>
      <c r="S98" s="416">
        <v>0.04</v>
      </c>
      <c r="T98" s="417">
        <v>0</v>
      </c>
      <c r="U98" s="423">
        <v>0.04</v>
      </c>
      <c r="V98" s="424">
        <f t="shared" si="176"/>
        <v>0</v>
      </c>
      <c r="W98" s="418">
        <f t="shared" si="176"/>
        <v>0</v>
      </c>
      <c r="X98" s="418">
        <v>0</v>
      </c>
      <c r="Y98" s="418">
        <v>0</v>
      </c>
      <c r="Z98" s="418">
        <v>0</v>
      </c>
      <c r="AA98" s="605">
        <v>4770</v>
      </c>
      <c r="AB98" s="418">
        <v>0</v>
      </c>
      <c r="AC98" s="418">
        <v>0</v>
      </c>
      <c r="AD98" s="418">
        <f t="shared" si="177"/>
        <v>0</v>
      </c>
      <c r="AE98" s="418">
        <f t="shared" si="178"/>
        <v>4770</v>
      </c>
      <c r="AF98" s="418">
        <f t="shared" si="179"/>
        <v>4770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80"/>
        <v>0</v>
      </c>
      <c r="AM98" s="418">
        <f t="shared" si="181"/>
        <v>0</v>
      </c>
      <c r="AN98" s="418">
        <f t="shared" si="182"/>
        <v>0</v>
      </c>
      <c r="AO98" s="418">
        <f t="shared" si="183"/>
        <v>0</v>
      </c>
      <c r="AP98" s="418">
        <f t="shared" si="183"/>
        <v>4770</v>
      </c>
      <c r="AQ98" s="418">
        <f t="shared" si="184"/>
        <v>4770</v>
      </c>
      <c r="AR98" s="68">
        <f t="shared" si="185"/>
        <v>1612</v>
      </c>
      <c r="AS98" s="68">
        <f t="shared" si="186"/>
        <v>48</v>
      </c>
      <c r="AT98" s="418">
        <v>0</v>
      </c>
      <c r="AU98" s="606">
        <v>234</v>
      </c>
      <c r="AV98" s="418">
        <f t="shared" si="187"/>
        <v>234</v>
      </c>
      <c r="AW98" s="418">
        <f t="shared" si="188"/>
        <v>6664</v>
      </c>
      <c r="AX98" s="419">
        <v>0</v>
      </c>
      <c r="AY98" s="419">
        <v>0</v>
      </c>
      <c r="AZ98" s="419">
        <v>0</v>
      </c>
      <c r="BA98" s="419">
        <v>0</v>
      </c>
      <c r="BB98" s="607">
        <v>0.02</v>
      </c>
      <c r="BC98" s="939">
        <v>0</v>
      </c>
      <c r="BD98" s="419">
        <v>0</v>
      </c>
      <c r="BE98" s="419">
        <v>0</v>
      </c>
      <c r="BF98" s="419">
        <f t="shared" si="189"/>
        <v>0</v>
      </c>
      <c r="BG98" s="419">
        <f t="shared" si="190"/>
        <v>0.02</v>
      </c>
      <c r="BH98" s="421">
        <f t="shared" si="191"/>
        <v>0.02</v>
      </c>
      <c r="BI98" s="780">
        <f t="shared" si="192"/>
        <v>19978</v>
      </c>
      <c r="BJ98" s="418">
        <f t="shared" si="193"/>
        <v>14300</v>
      </c>
      <c r="BK98" s="418">
        <f t="shared" si="194"/>
        <v>0</v>
      </c>
      <c r="BL98" s="418">
        <f t="shared" si="194"/>
        <v>14300</v>
      </c>
      <c r="BM98" s="418">
        <f t="shared" si="195"/>
        <v>0</v>
      </c>
      <c r="BN98" s="418">
        <f t="shared" si="196"/>
        <v>0</v>
      </c>
      <c r="BO98" s="418">
        <f t="shared" si="196"/>
        <v>0</v>
      </c>
      <c r="BP98" s="418">
        <f t="shared" si="197"/>
        <v>4833</v>
      </c>
      <c r="BQ98" s="418">
        <f t="shared" si="197"/>
        <v>143</v>
      </c>
      <c r="BR98" s="418">
        <f t="shared" si="198"/>
        <v>702</v>
      </c>
      <c r="BS98" s="419">
        <f t="shared" si="199"/>
        <v>0.06</v>
      </c>
      <c r="BT98" s="419">
        <f t="shared" si="200"/>
        <v>0</v>
      </c>
      <c r="BU98" s="421">
        <f t="shared" si="200"/>
        <v>0.06</v>
      </c>
      <c r="BV98" s="420"/>
      <c r="BW98" s="415"/>
      <c r="BX98" s="415"/>
      <c r="BY98" s="415"/>
      <c r="BZ98" s="415"/>
      <c r="CA98" s="510"/>
    </row>
    <row r="99" spans="1:79" ht="13.5" thickBot="1" x14ac:dyDescent="0.25">
      <c r="A99" s="159">
        <v>17</v>
      </c>
      <c r="B99" s="33">
        <v>3445</v>
      </c>
      <c r="C99" s="33">
        <v>600078604</v>
      </c>
      <c r="D99" s="33">
        <v>70695849</v>
      </c>
      <c r="E99" s="234" t="s">
        <v>116</v>
      </c>
      <c r="F99" s="33"/>
      <c r="G99" s="160"/>
      <c r="H99" s="615"/>
      <c r="I99" s="453">
        <v>5209007</v>
      </c>
      <c r="J99" s="454">
        <v>3773956</v>
      </c>
      <c r="K99" s="454">
        <v>3236651</v>
      </c>
      <c r="L99" s="454">
        <v>537305</v>
      </c>
      <c r="M99" s="454">
        <v>62000</v>
      </c>
      <c r="N99" s="454">
        <v>0</v>
      </c>
      <c r="O99" s="454">
        <v>62000</v>
      </c>
      <c r="P99" s="454">
        <v>1296553</v>
      </c>
      <c r="Q99" s="454">
        <v>37740</v>
      </c>
      <c r="R99" s="454">
        <v>38758</v>
      </c>
      <c r="S99" s="455">
        <v>7.0310000000000006</v>
      </c>
      <c r="T99" s="455">
        <v>5.4878</v>
      </c>
      <c r="U99" s="766">
        <v>1.5432000000000001</v>
      </c>
      <c r="V99" s="453">
        <f t="shared" ref="V99:CA99" si="201">SUM(V93:V98)</f>
        <v>0</v>
      </c>
      <c r="W99" s="454">
        <f t="shared" si="201"/>
        <v>0</v>
      </c>
      <c r="X99" s="454">
        <f t="shared" si="201"/>
        <v>0</v>
      </c>
      <c r="Y99" s="454">
        <f t="shared" si="201"/>
        <v>0</v>
      </c>
      <c r="Z99" s="454">
        <f t="shared" si="201"/>
        <v>0</v>
      </c>
      <c r="AA99" s="454">
        <f t="shared" si="201"/>
        <v>167623</v>
      </c>
      <c r="AB99" s="454">
        <f t="shared" si="201"/>
        <v>0</v>
      </c>
      <c r="AC99" s="454">
        <f t="shared" si="201"/>
        <v>0</v>
      </c>
      <c r="AD99" s="454">
        <f t="shared" si="201"/>
        <v>0</v>
      </c>
      <c r="AE99" s="454">
        <f t="shared" si="201"/>
        <v>167623</v>
      </c>
      <c r="AF99" s="454">
        <f t="shared" si="201"/>
        <v>167623</v>
      </c>
      <c r="AG99" s="454">
        <f t="shared" si="201"/>
        <v>0</v>
      </c>
      <c r="AH99" s="454">
        <f t="shared" si="201"/>
        <v>0</v>
      </c>
      <c r="AI99" s="454">
        <f t="shared" si="201"/>
        <v>0</v>
      </c>
      <c r="AJ99" s="454">
        <f t="shared" si="201"/>
        <v>0</v>
      </c>
      <c r="AK99" s="454">
        <f t="shared" si="201"/>
        <v>0</v>
      </c>
      <c r="AL99" s="454">
        <f t="shared" si="201"/>
        <v>0</v>
      </c>
      <c r="AM99" s="454">
        <f t="shared" si="201"/>
        <v>0</v>
      </c>
      <c r="AN99" s="454">
        <f t="shared" si="201"/>
        <v>0</v>
      </c>
      <c r="AO99" s="454">
        <f t="shared" si="201"/>
        <v>0</v>
      </c>
      <c r="AP99" s="454">
        <f t="shared" si="201"/>
        <v>167623</v>
      </c>
      <c r="AQ99" s="454">
        <f t="shared" si="201"/>
        <v>167623</v>
      </c>
      <c r="AR99" s="454">
        <f t="shared" si="201"/>
        <v>56656</v>
      </c>
      <c r="AS99" s="454">
        <f t="shared" si="201"/>
        <v>1677</v>
      </c>
      <c r="AT99" s="454">
        <f t="shared" si="201"/>
        <v>0</v>
      </c>
      <c r="AU99" s="454">
        <f t="shared" si="201"/>
        <v>999</v>
      </c>
      <c r="AV99" s="454">
        <f t="shared" si="201"/>
        <v>999</v>
      </c>
      <c r="AW99" s="454">
        <f t="shared" si="201"/>
        <v>226955</v>
      </c>
      <c r="AX99" s="455">
        <f t="shared" si="201"/>
        <v>0</v>
      </c>
      <c r="AY99" s="455">
        <f t="shared" si="201"/>
        <v>0</v>
      </c>
      <c r="AZ99" s="455">
        <f t="shared" si="201"/>
        <v>0</v>
      </c>
      <c r="BA99" s="455">
        <f t="shared" si="201"/>
        <v>0</v>
      </c>
      <c r="BB99" s="455">
        <f t="shared" si="201"/>
        <v>0.51</v>
      </c>
      <c r="BC99" s="949">
        <f t="shared" si="201"/>
        <v>0</v>
      </c>
      <c r="BD99" s="455">
        <f t="shared" si="201"/>
        <v>0</v>
      </c>
      <c r="BE99" s="455">
        <f t="shared" si="201"/>
        <v>0</v>
      </c>
      <c r="BF99" s="455">
        <f t="shared" si="201"/>
        <v>0</v>
      </c>
      <c r="BG99" s="455">
        <f t="shared" si="201"/>
        <v>0.51</v>
      </c>
      <c r="BH99" s="950">
        <f t="shared" si="201"/>
        <v>0.51</v>
      </c>
      <c r="BI99" s="951">
        <f t="shared" si="201"/>
        <v>5435962</v>
      </c>
      <c r="BJ99" s="454">
        <f t="shared" si="201"/>
        <v>3941579</v>
      </c>
      <c r="BK99" s="454">
        <f t="shared" si="201"/>
        <v>3236651</v>
      </c>
      <c r="BL99" s="454">
        <f t="shared" si="201"/>
        <v>704928</v>
      </c>
      <c r="BM99" s="454">
        <f t="shared" si="201"/>
        <v>62000</v>
      </c>
      <c r="BN99" s="454">
        <f t="shared" si="201"/>
        <v>0</v>
      </c>
      <c r="BO99" s="454">
        <f t="shared" si="201"/>
        <v>62000</v>
      </c>
      <c r="BP99" s="454">
        <f t="shared" si="201"/>
        <v>1353209</v>
      </c>
      <c r="BQ99" s="454">
        <f t="shared" si="201"/>
        <v>39417</v>
      </c>
      <c r="BR99" s="454">
        <f t="shared" si="201"/>
        <v>39757</v>
      </c>
      <c r="BS99" s="455">
        <f t="shared" si="201"/>
        <v>7.5410000000000004</v>
      </c>
      <c r="BT99" s="455">
        <f t="shared" si="201"/>
        <v>5.4878</v>
      </c>
      <c r="BU99" s="950">
        <f t="shared" si="201"/>
        <v>2.0531999999999999</v>
      </c>
      <c r="BV99" s="835">
        <f t="shared" si="201"/>
        <v>0</v>
      </c>
      <c r="BW99" s="716">
        <f t="shared" si="201"/>
        <v>0</v>
      </c>
      <c r="BX99" s="716">
        <f t="shared" si="201"/>
        <v>0</v>
      </c>
      <c r="BY99" s="716">
        <f t="shared" si="201"/>
        <v>0</v>
      </c>
      <c r="BZ99" s="716">
        <f t="shared" si="201"/>
        <v>0</v>
      </c>
      <c r="CA99" s="836">
        <f t="shared" si="201"/>
        <v>0</v>
      </c>
    </row>
    <row r="100" spans="1:79" ht="13.5" thickBot="1" x14ac:dyDescent="0.25">
      <c r="A100" s="161"/>
      <c r="B100" s="30"/>
      <c r="C100" s="30"/>
      <c r="D100" s="30"/>
      <c r="E100" s="85" t="s">
        <v>751</v>
      </c>
      <c r="F100" s="30"/>
      <c r="G100" s="162"/>
      <c r="H100" s="616"/>
      <c r="I100" s="456">
        <f t="shared" ref="I100:BT100" si="202">I15+I17+I23+I28+I30+I37+I44+I48+I54+I61+I65+I71+I75+I81+I85+I92+I99</f>
        <v>271999967</v>
      </c>
      <c r="J100" s="457">
        <f t="shared" si="202"/>
        <v>198760243</v>
      </c>
      <c r="K100" s="457">
        <f t="shared" si="202"/>
        <v>178570517</v>
      </c>
      <c r="L100" s="457">
        <f t="shared" si="202"/>
        <v>20189726</v>
      </c>
      <c r="M100" s="457">
        <f t="shared" si="202"/>
        <v>1321905</v>
      </c>
      <c r="N100" s="457">
        <f t="shared" si="202"/>
        <v>760640</v>
      </c>
      <c r="O100" s="457">
        <f t="shared" si="202"/>
        <v>561265</v>
      </c>
      <c r="P100" s="457">
        <f t="shared" si="202"/>
        <v>67627766</v>
      </c>
      <c r="Q100" s="457">
        <f t="shared" si="202"/>
        <v>1987602</v>
      </c>
      <c r="R100" s="457">
        <f t="shared" si="202"/>
        <v>2302451</v>
      </c>
      <c r="S100" s="458">
        <f t="shared" si="202"/>
        <v>373.97060000000005</v>
      </c>
      <c r="T100" s="458">
        <f t="shared" si="202"/>
        <v>312.61439999999999</v>
      </c>
      <c r="U100" s="459">
        <f t="shared" si="202"/>
        <v>61.356200000000008</v>
      </c>
      <c r="V100" s="460">
        <f t="shared" si="202"/>
        <v>0</v>
      </c>
      <c r="W100" s="460">
        <f t="shared" si="202"/>
        <v>0</v>
      </c>
      <c r="X100" s="460">
        <f t="shared" si="202"/>
        <v>0</v>
      </c>
      <c r="Y100" s="460">
        <f t="shared" si="202"/>
        <v>0</v>
      </c>
      <c r="Z100" s="460">
        <f t="shared" si="202"/>
        <v>0</v>
      </c>
      <c r="AA100" s="460">
        <f t="shared" si="202"/>
        <v>4221579</v>
      </c>
      <c r="AB100" s="460">
        <f t="shared" si="202"/>
        <v>0</v>
      </c>
      <c r="AC100" s="460">
        <f t="shared" si="202"/>
        <v>0</v>
      </c>
      <c r="AD100" s="460">
        <f t="shared" si="202"/>
        <v>0</v>
      </c>
      <c r="AE100" s="460">
        <f t="shared" si="202"/>
        <v>4221579</v>
      </c>
      <c r="AF100" s="460">
        <f t="shared" si="202"/>
        <v>4221579</v>
      </c>
      <c r="AG100" s="460">
        <f t="shared" si="202"/>
        <v>0</v>
      </c>
      <c r="AH100" s="460">
        <f t="shared" si="202"/>
        <v>0</v>
      </c>
      <c r="AI100" s="460">
        <f t="shared" si="202"/>
        <v>0</v>
      </c>
      <c r="AJ100" s="460">
        <f t="shared" si="202"/>
        <v>0</v>
      </c>
      <c r="AK100" s="460">
        <f t="shared" si="202"/>
        <v>0</v>
      </c>
      <c r="AL100" s="460">
        <f t="shared" si="202"/>
        <v>0</v>
      </c>
      <c r="AM100" s="460">
        <f t="shared" si="202"/>
        <v>0</v>
      </c>
      <c r="AN100" s="460">
        <f t="shared" si="202"/>
        <v>0</v>
      </c>
      <c r="AO100" s="460">
        <f t="shared" si="202"/>
        <v>0</v>
      </c>
      <c r="AP100" s="460">
        <f t="shared" si="202"/>
        <v>4221579</v>
      </c>
      <c r="AQ100" s="460">
        <f t="shared" si="202"/>
        <v>4221579</v>
      </c>
      <c r="AR100" s="460">
        <f t="shared" si="202"/>
        <v>1426893</v>
      </c>
      <c r="AS100" s="460">
        <f t="shared" si="202"/>
        <v>42216</v>
      </c>
      <c r="AT100" s="460">
        <f t="shared" si="202"/>
        <v>0</v>
      </c>
      <c r="AU100" s="460">
        <f t="shared" si="202"/>
        <v>33312</v>
      </c>
      <c r="AV100" s="460">
        <f t="shared" si="202"/>
        <v>33312</v>
      </c>
      <c r="AW100" s="460">
        <f t="shared" si="202"/>
        <v>5724000</v>
      </c>
      <c r="AX100" s="585">
        <f t="shared" si="202"/>
        <v>0</v>
      </c>
      <c r="AY100" s="585">
        <f t="shared" si="202"/>
        <v>0</v>
      </c>
      <c r="AZ100" s="585">
        <f t="shared" si="202"/>
        <v>0</v>
      </c>
      <c r="BA100" s="585">
        <f t="shared" si="202"/>
        <v>0</v>
      </c>
      <c r="BB100" s="585">
        <f t="shared" si="202"/>
        <v>12.78</v>
      </c>
      <c r="BC100" s="585">
        <f t="shared" si="202"/>
        <v>0</v>
      </c>
      <c r="BD100" s="585">
        <f t="shared" si="202"/>
        <v>0</v>
      </c>
      <c r="BE100" s="585">
        <f t="shared" si="202"/>
        <v>0</v>
      </c>
      <c r="BF100" s="585">
        <f t="shared" si="202"/>
        <v>0</v>
      </c>
      <c r="BG100" s="585">
        <f t="shared" si="202"/>
        <v>12.78</v>
      </c>
      <c r="BH100" s="952">
        <f t="shared" si="202"/>
        <v>12.78</v>
      </c>
      <c r="BI100" s="456">
        <f t="shared" si="202"/>
        <v>277723967</v>
      </c>
      <c r="BJ100" s="460">
        <f t="shared" si="202"/>
        <v>202981822</v>
      </c>
      <c r="BK100" s="460">
        <f t="shared" si="202"/>
        <v>178570517</v>
      </c>
      <c r="BL100" s="460">
        <f t="shared" si="202"/>
        <v>24411305</v>
      </c>
      <c r="BM100" s="460">
        <f t="shared" si="202"/>
        <v>1321905</v>
      </c>
      <c r="BN100" s="460">
        <f t="shared" si="202"/>
        <v>760640</v>
      </c>
      <c r="BO100" s="460">
        <f t="shared" si="202"/>
        <v>561265</v>
      </c>
      <c r="BP100" s="460">
        <f t="shared" si="202"/>
        <v>69054659</v>
      </c>
      <c r="BQ100" s="460">
        <f t="shared" si="202"/>
        <v>2029818</v>
      </c>
      <c r="BR100" s="460">
        <f t="shared" si="202"/>
        <v>2335763</v>
      </c>
      <c r="BS100" s="585">
        <f t="shared" si="202"/>
        <v>386.75060000000002</v>
      </c>
      <c r="BT100" s="585">
        <f t="shared" si="202"/>
        <v>312.61439999999999</v>
      </c>
      <c r="BU100" s="586">
        <f t="shared" ref="BU100:CA100" si="203">BU15+BU17+BU23+BU28+BU30+BU37+BU44+BU48+BU54+BU61+BU65+BU71+BU75+BU81+BU85+BU92+BU99</f>
        <v>74.136200000000002</v>
      </c>
      <c r="BV100" s="717">
        <f t="shared" si="203"/>
        <v>1899552</v>
      </c>
      <c r="BW100" s="718">
        <f t="shared" si="203"/>
        <v>1297200</v>
      </c>
      <c r="BX100" s="718">
        <f t="shared" si="203"/>
        <v>112800</v>
      </c>
      <c r="BY100" s="718">
        <f t="shared" si="203"/>
        <v>476580</v>
      </c>
      <c r="BZ100" s="718">
        <f t="shared" si="203"/>
        <v>12972</v>
      </c>
      <c r="CA100" s="837">
        <f t="shared" si="203"/>
        <v>2.2999999999999998</v>
      </c>
    </row>
    <row r="101" spans="1:79" x14ac:dyDescent="0.2">
      <c r="D101" s="9"/>
      <c r="E101" s="5"/>
      <c r="F101" s="9"/>
      <c r="G101" s="20"/>
      <c r="H101" s="5"/>
      <c r="I101" s="428">
        <f>J100+M100+P100+Q100+R100</f>
        <v>271999967</v>
      </c>
      <c r="J101" s="428">
        <f>SUM(K100:L100)</f>
        <v>198760243</v>
      </c>
      <c r="K101" s="428"/>
      <c r="L101" s="428"/>
      <c r="M101" s="428">
        <f>SUM(N100:O100)</f>
        <v>1321905</v>
      </c>
      <c r="N101" s="428"/>
      <c r="O101" s="428"/>
      <c r="P101" s="428"/>
      <c r="Q101" s="428"/>
      <c r="R101" s="428"/>
      <c r="S101" s="429">
        <f>SUM(T100:U100)</f>
        <v>373.97059999999999</v>
      </c>
      <c r="T101" s="429"/>
      <c r="U101" s="429"/>
      <c r="V101" s="428">
        <f>AG100</f>
        <v>0</v>
      </c>
      <c r="W101" s="428">
        <f>AH100</f>
        <v>0</v>
      </c>
      <c r="X101" s="429"/>
      <c r="Y101" s="429"/>
      <c r="Z101" s="429"/>
      <c r="AA101" s="429"/>
      <c r="AB101" s="429"/>
      <c r="AC101" s="429"/>
      <c r="AD101" s="430"/>
      <c r="AE101" s="430"/>
      <c r="AF101" s="430">
        <f>SUM(AD100:AE100)</f>
        <v>4221579</v>
      </c>
      <c r="AG101" s="430">
        <f>V100</f>
        <v>0</v>
      </c>
      <c r="AH101" s="430">
        <f>W100</f>
        <v>0</v>
      </c>
      <c r="AI101" s="431"/>
      <c r="AJ101" s="431"/>
      <c r="AK101" s="431"/>
      <c r="AL101" s="430"/>
      <c r="AM101" s="430"/>
      <c r="AN101" s="430">
        <f>SUM(AL100:AM100)</f>
        <v>0</v>
      </c>
      <c r="AO101" s="430"/>
      <c r="AP101" s="430"/>
      <c r="AQ101" s="430">
        <f>SUM(AO100:AP100)</f>
        <v>4221579</v>
      </c>
      <c r="AR101" s="432"/>
      <c r="AS101" s="432"/>
      <c r="AT101" s="431"/>
      <c r="AU101" s="431"/>
      <c r="AV101" s="430">
        <f>SUM(AT100:AU100)</f>
        <v>33312</v>
      </c>
      <c r="AW101" s="430">
        <f>AF100+AN100+AR100+AS100+AV100</f>
        <v>5724000</v>
      </c>
      <c r="AX101" s="433"/>
      <c r="AY101" s="433"/>
      <c r="AZ101" s="433"/>
      <c r="BA101" s="433"/>
      <c r="BB101" s="433"/>
      <c r="BC101" s="433"/>
      <c r="BD101" s="433"/>
      <c r="BE101" s="433"/>
      <c r="BF101" s="508">
        <f>AX100+AZ100+BA100+BC100+BD100</f>
        <v>0</v>
      </c>
      <c r="BG101" s="508">
        <f>AY100+BB100+BE100</f>
        <v>12.78</v>
      </c>
      <c r="BH101" s="508">
        <f>SUM(BF100:BG100)</f>
        <v>12.78</v>
      </c>
      <c r="BI101" s="428">
        <f>BJ100+BM100+BP100+BQ100+BR100</f>
        <v>277723967</v>
      </c>
      <c r="BJ101" s="428">
        <f>SUM(BK100:BL100)</f>
        <v>202981822</v>
      </c>
      <c r="BK101" s="430">
        <f>K100+AD100</f>
        <v>178570517</v>
      </c>
      <c r="BL101" s="430">
        <f>L100+AE100</f>
        <v>24411305</v>
      </c>
      <c r="BM101" s="86">
        <f>SUM(BN100:BO100)</f>
        <v>1321905</v>
      </c>
      <c r="BN101" s="430">
        <f>N100+AL100</f>
        <v>760640</v>
      </c>
      <c r="BO101" s="430">
        <f>O100+AM100</f>
        <v>561265</v>
      </c>
      <c r="BP101" s="430">
        <f>P100+AR100</f>
        <v>69054659</v>
      </c>
      <c r="BQ101" s="430">
        <f>Q100+AS100</f>
        <v>2029818</v>
      </c>
      <c r="BR101" s="430">
        <f>R100+AV100</f>
        <v>2335763</v>
      </c>
      <c r="BS101" s="429">
        <f>SUM(BT100:BU100)</f>
        <v>386.75059999999996</v>
      </c>
      <c r="BT101" s="508">
        <f>T100+BF100</f>
        <v>312.61439999999999</v>
      </c>
      <c r="BU101" s="508">
        <f>U100+BG100</f>
        <v>74.136200000000002</v>
      </c>
      <c r="BV101" s="235">
        <f>SUM(BW100:BZ100)</f>
        <v>1899552</v>
      </c>
    </row>
    <row r="102" spans="1:79" ht="13.5" thickBot="1" x14ac:dyDescent="0.25">
      <c r="D102" s="9"/>
      <c r="E102" s="5"/>
      <c r="F102" s="9"/>
      <c r="G102" s="20"/>
      <c r="H102" s="5"/>
      <c r="I102" s="428">
        <f>J103+M103+P103+Q103+R103</f>
        <v>271999967</v>
      </c>
      <c r="J102" s="428">
        <f>SUM(K103:L103)</f>
        <v>198760243</v>
      </c>
      <c r="K102" s="428"/>
      <c r="L102" s="428"/>
      <c r="M102" s="428">
        <f>SUM(N103:O103)</f>
        <v>1321905</v>
      </c>
      <c r="N102" s="428"/>
      <c r="O102" s="428"/>
      <c r="P102" s="428"/>
      <c r="Q102" s="428"/>
      <c r="R102" s="428"/>
      <c r="S102" s="429">
        <f>SUM(T103:U103)</f>
        <v>373.97059999999993</v>
      </c>
      <c r="T102" s="429"/>
      <c r="U102" s="429"/>
      <c r="V102" s="428">
        <f>AG103</f>
        <v>0</v>
      </c>
      <c r="W102" s="428">
        <f>AH103</f>
        <v>0</v>
      </c>
      <c r="X102" s="429"/>
      <c r="Y102" s="429"/>
      <c r="Z102" s="429"/>
      <c r="AA102" s="429"/>
      <c r="AB102" s="429"/>
      <c r="AC102" s="429"/>
      <c r="AD102" s="430"/>
      <c r="AE102" s="430"/>
      <c r="AF102" s="430">
        <f>SUM(AD103:AE103)</f>
        <v>4221579</v>
      </c>
      <c r="AG102" s="430"/>
      <c r="AH102" s="430"/>
      <c r="AI102" s="431"/>
      <c r="AJ102" s="431"/>
      <c r="AK102" s="431"/>
      <c r="AL102" s="430"/>
      <c r="AM102" s="430"/>
      <c r="AN102" s="430">
        <f>SUM(AL103:AM103)</f>
        <v>0</v>
      </c>
      <c r="AO102" s="430"/>
      <c r="AP102" s="430"/>
      <c r="AQ102" s="430">
        <f>SUM(AO103:AP103)</f>
        <v>4221579</v>
      </c>
      <c r="AR102" s="432"/>
      <c r="AS102" s="432"/>
      <c r="AT102" s="431"/>
      <c r="AU102" s="431"/>
      <c r="AV102" s="430">
        <f>SUM(AT103:AU103)</f>
        <v>33312</v>
      </c>
      <c r="AW102" s="430">
        <f>AF103+AN103+AR103+AS103+AV103</f>
        <v>5724000</v>
      </c>
      <c r="AX102" s="433"/>
      <c r="AY102" s="433"/>
      <c r="AZ102" s="433"/>
      <c r="BA102" s="433"/>
      <c r="BB102" s="433"/>
      <c r="BC102" s="433"/>
      <c r="BD102" s="433"/>
      <c r="BE102" s="433"/>
      <c r="BF102" s="508">
        <f>AX103+AZ103+BA103+BC103+BD103</f>
        <v>0</v>
      </c>
      <c r="BG102" s="508">
        <f>AY103+BB103+BE103</f>
        <v>12.779999999999998</v>
      </c>
      <c r="BH102" s="508">
        <f>SUM(BF103:BG103)</f>
        <v>12.779999999999998</v>
      </c>
      <c r="BI102" s="428">
        <f>BJ103+BM103+BP103+BQ103+BR103</f>
        <v>277723967</v>
      </c>
      <c r="BJ102" s="428">
        <f>SUM(BK103:BL103)</f>
        <v>202981822</v>
      </c>
      <c r="BK102" s="53"/>
      <c r="BL102" s="53"/>
      <c r="BM102" s="86">
        <f>SUM(BN103:BO103)</f>
        <v>1321905</v>
      </c>
      <c r="BN102" s="53"/>
      <c r="BO102" s="53"/>
      <c r="BP102" s="53"/>
      <c r="BQ102" s="53"/>
      <c r="BR102" s="53"/>
      <c r="BS102" s="429">
        <f>SUM(BT103:BU103)</f>
        <v>386.75059999999996</v>
      </c>
      <c r="BT102" s="87"/>
      <c r="BU102" s="87"/>
      <c r="BV102" s="235">
        <f>SUM(BW103:BZ103)</f>
        <v>1899552</v>
      </c>
    </row>
    <row r="103" spans="1:79" ht="13.5" thickBot="1" x14ac:dyDescent="0.25">
      <c r="D103" s="9"/>
      <c r="E103" s="5"/>
      <c r="F103" s="9"/>
      <c r="G103" s="20"/>
      <c r="H103" s="475" t="s">
        <v>0</v>
      </c>
      <c r="I103" s="139">
        <f t="shared" ref="I103:BT103" si="204">SUM(I104:I113)</f>
        <v>271999967</v>
      </c>
      <c r="J103" s="34">
        <f t="shared" si="204"/>
        <v>198760243</v>
      </c>
      <c r="K103" s="34">
        <f t="shared" si="204"/>
        <v>178570517</v>
      </c>
      <c r="L103" s="34">
        <f t="shared" si="204"/>
        <v>20189726</v>
      </c>
      <c r="M103" s="34">
        <f t="shared" si="204"/>
        <v>1321905</v>
      </c>
      <c r="N103" s="34">
        <f t="shared" si="204"/>
        <v>760640</v>
      </c>
      <c r="O103" s="34">
        <f t="shared" si="204"/>
        <v>561265</v>
      </c>
      <c r="P103" s="34">
        <f t="shared" si="204"/>
        <v>67627766</v>
      </c>
      <c r="Q103" s="34">
        <f t="shared" si="204"/>
        <v>1987602</v>
      </c>
      <c r="R103" s="34">
        <f t="shared" si="204"/>
        <v>2302451</v>
      </c>
      <c r="S103" s="35">
        <f t="shared" si="204"/>
        <v>373.97059999999999</v>
      </c>
      <c r="T103" s="35">
        <f t="shared" si="204"/>
        <v>312.61439999999993</v>
      </c>
      <c r="U103" s="36">
        <f t="shared" si="204"/>
        <v>61.356200000000022</v>
      </c>
      <c r="V103" s="149">
        <f t="shared" si="204"/>
        <v>0</v>
      </c>
      <c r="W103" s="34">
        <f t="shared" si="204"/>
        <v>0</v>
      </c>
      <c r="X103" s="34">
        <f t="shared" si="204"/>
        <v>0</v>
      </c>
      <c r="Y103" s="34">
        <f t="shared" si="204"/>
        <v>0</v>
      </c>
      <c r="Z103" s="34">
        <f t="shared" si="204"/>
        <v>0</v>
      </c>
      <c r="AA103" s="34">
        <f t="shared" si="204"/>
        <v>4221579</v>
      </c>
      <c r="AB103" s="34">
        <f t="shared" si="204"/>
        <v>0</v>
      </c>
      <c r="AC103" s="34">
        <f t="shared" si="204"/>
        <v>0</v>
      </c>
      <c r="AD103" s="34">
        <f t="shared" si="204"/>
        <v>0</v>
      </c>
      <c r="AE103" s="34">
        <f t="shared" si="204"/>
        <v>4221579</v>
      </c>
      <c r="AF103" s="34">
        <f t="shared" si="204"/>
        <v>4221579</v>
      </c>
      <c r="AG103" s="34">
        <f t="shared" si="204"/>
        <v>0</v>
      </c>
      <c r="AH103" s="34">
        <f t="shared" si="204"/>
        <v>0</v>
      </c>
      <c r="AI103" s="34">
        <f t="shared" si="204"/>
        <v>0</v>
      </c>
      <c r="AJ103" s="34">
        <f t="shared" si="204"/>
        <v>0</v>
      </c>
      <c r="AK103" s="34">
        <f t="shared" si="204"/>
        <v>0</v>
      </c>
      <c r="AL103" s="34">
        <f t="shared" si="204"/>
        <v>0</v>
      </c>
      <c r="AM103" s="34">
        <f t="shared" si="204"/>
        <v>0</v>
      </c>
      <c r="AN103" s="34">
        <f t="shared" si="204"/>
        <v>0</v>
      </c>
      <c r="AO103" s="34">
        <f t="shared" si="204"/>
        <v>0</v>
      </c>
      <c r="AP103" s="34">
        <f t="shared" si="204"/>
        <v>4221579</v>
      </c>
      <c r="AQ103" s="34">
        <f t="shared" si="204"/>
        <v>4221579</v>
      </c>
      <c r="AR103" s="34">
        <f t="shared" si="204"/>
        <v>1426893</v>
      </c>
      <c r="AS103" s="34">
        <f t="shared" si="204"/>
        <v>42216</v>
      </c>
      <c r="AT103" s="34">
        <f t="shared" si="204"/>
        <v>0</v>
      </c>
      <c r="AU103" s="34">
        <f t="shared" si="204"/>
        <v>33312</v>
      </c>
      <c r="AV103" s="34">
        <f t="shared" si="204"/>
        <v>33312</v>
      </c>
      <c r="AW103" s="34">
        <f t="shared" si="204"/>
        <v>5724000</v>
      </c>
      <c r="AX103" s="35">
        <f t="shared" si="204"/>
        <v>0</v>
      </c>
      <c r="AY103" s="35">
        <f t="shared" si="204"/>
        <v>0</v>
      </c>
      <c r="AZ103" s="35">
        <f t="shared" si="204"/>
        <v>0</v>
      </c>
      <c r="BA103" s="35">
        <f t="shared" si="204"/>
        <v>0</v>
      </c>
      <c r="BB103" s="35">
        <f t="shared" si="204"/>
        <v>12.779999999999998</v>
      </c>
      <c r="BC103" s="35">
        <f t="shared" si="204"/>
        <v>0</v>
      </c>
      <c r="BD103" s="35">
        <f t="shared" si="204"/>
        <v>0</v>
      </c>
      <c r="BE103" s="35">
        <f t="shared" si="204"/>
        <v>0</v>
      </c>
      <c r="BF103" s="35">
        <f t="shared" si="204"/>
        <v>0</v>
      </c>
      <c r="BG103" s="35">
        <f t="shared" si="204"/>
        <v>12.779999999999998</v>
      </c>
      <c r="BH103" s="148">
        <f t="shared" si="204"/>
        <v>12.779999999999998</v>
      </c>
      <c r="BI103" s="139">
        <f t="shared" si="204"/>
        <v>277723967</v>
      </c>
      <c r="BJ103" s="34">
        <f t="shared" si="204"/>
        <v>202981822</v>
      </c>
      <c r="BK103" s="34">
        <f t="shared" si="204"/>
        <v>178570517</v>
      </c>
      <c r="BL103" s="34">
        <f t="shared" si="204"/>
        <v>24411305</v>
      </c>
      <c r="BM103" s="34">
        <f t="shared" si="204"/>
        <v>1321905</v>
      </c>
      <c r="BN103" s="34">
        <f t="shared" si="204"/>
        <v>760640</v>
      </c>
      <c r="BO103" s="34">
        <f t="shared" si="204"/>
        <v>561265</v>
      </c>
      <c r="BP103" s="34">
        <f t="shared" si="204"/>
        <v>69054659</v>
      </c>
      <c r="BQ103" s="34">
        <f t="shared" si="204"/>
        <v>2029818</v>
      </c>
      <c r="BR103" s="34">
        <f t="shared" si="204"/>
        <v>2335763</v>
      </c>
      <c r="BS103" s="35">
        <f t="shared" si="204"/>
        <v>386.75059999999996</v>
      </c>
      <c r="BT103" s="35">
        <f t="shared" si="204"/>
        <v>312.61439999999993</v>
      </c>
      <c r="BU103" s="148">
        <f t="shared" ref="BU103:CA103" si="205">SUM(BU104:BU113)</f>
        <v>74.136200000000002</v>
      </c>
      <c r="BV103" s="676">
        <f t="shared" si="205"/>
        <v>1899552</v>
      </c>
      <c r="BW103" s="672">
        <f t="shared" si="205"/>
        <v>1297200</v>
      </c>
      <c r="BX103" s="672">
        <f t="shared" si="205"/>
        <v>112800</v>
      </c>
      <c r="BY103" s="672">
        <f t="shared" si="205"/>
        <v>476580</v>
      </c>
      <c r="BZ103" s="672">
        <f t="shared" si="205"/>
        <v>12972</v>
      </c>
      <c r="CA103" s="677">
        <f t="shared" si="205"/>
        <v>2.2999999999999998</v>
      </c>
    </row>
    <row r="104" spans="1:79" x14ac:dyDescent="0.2">
      <c r="D104" s="9"/>
      <c r="E104" s="5"/>
      <c r="F104" s="9"/>
      <c r="G104" s="20"/>
      <c r="H104" s="474">
        <v>3111</v>
      </c>
      <c r="I104" s="489">
        <f t="shared" ref="I104:BT104" si="206">SUMIF($F$12:$F$446,"=3111",I$12:I$446)</f>
        <v>54392277</v>
      </c>
      <c r="J104" s="490">
        <f t="shared" si="206"/>
        <v>39884546</v>
      </c>
      <c r="K104" s="490">
        <f t="shared" si="206"/>
        <v>36963828</v>
      </c>
      <c r="L104" s="490">
        <f t="shared" si="206"/>
        <v>2920718</v>
      </c>
      <c r="M104" s="490">
        <f t="shared" si="206"/>
        <v>349265</v>
      </c>
      <c r="N104" s="490">
        <f t="shared" si="206"/>
        <v>200000</v>
      </c>
      <c r="O104" s="490">
        <f t="shared" si="206"/>
        <v>149265</v>
      </c>
      <c r="P104" s="490">
        <f t="shared" si="206"/>
        <v>13599028</v>
      </c>
      <c r="Q104" s="490">
        <f t="shared" si="206"/>
        <v>398845</v>
      </c>
      <c r="R104" s="490">
        <f t="shared" si="206"/>
        <v>160593</v>
      </c>
      <c r="S104" s="493">
        <f t="shared" si="206"/>
        <v>78.166800000000009</v>
      </c>
      <c r="T104" s="493">
        <f t="shared" si="206"/>
        <v>67.908000000000015</v>
      </c>
      <c r="U104" s="496">
        <f t="shared" si="206"/>
        <v>10.258799999999999</v>
      </c>
      <c r="V104" s="491">
        <f t="shared" si="206"/>
        <v>0</v>
      </c>
      <c r="W104" s="490">
        <f t="shared" si="206"/>
        <v>0</v>
      </c>
      <c r="X104" s="490">
        <f t="shared" si="206"/>
        <v>0</v>
      </c>
      <c r="Y104" s="490">
        <f t="shared" si="206"/>
        <v>0</v>
      </c>
      <c r="Z104" s="490">
        <f t="shared" si="206"/>
        <v>0</v>
      </c>
      <c r="AA104" s="490">
        <f t="shared" si="206"/>
        <v>0</v>
      </c>
      <c r="AB104" s="490">
        <f t="shared" si="206"/>
        <v>0</v>
      </c>
      <c r="AC104" s="490">
        <f t="shared" si="206"/>
        <v>0</v>
      </c>
      <c r="AD104" s="490">
        <f t="shared" si="206"/>
        <v>0</v>
      </c>
      <c r="AE104" s="490">
        <f t="shared" si="206"/>
        <v>0</v>
      </c>
      <c r="AF104" s="490">
        <f t="shared" si="206"/>
        <v>0</v>
      </c>
      <c r="AG104" s="490">
        <f t="shared" si="206"/>
        <v>0</v>
      </c>
      <c r="AH104" s="490">
        <f t="shared" si="206"/>
        <v>0</v>
      </c>
      <c r="AI104" s="490">
        <f t="shared" si="206"/>
        <v>0</v>
      </c>
      <c r="AJ104" s="490">
        <f t="shared" si="206"/>
        <v>0</v>
      </c>
      <c r="AK104" s="490">
        <f t="shared" si="206"/>
        <v>0</v>
      </c>
      <c r="AL104" s="490">
        <f t="shared" si="206"/>
        <v>0</v>
      </c>
      <c r="AM104" s="490">
        <f t="shared" si="206"/>
        <v>0</v>
      </c>
      <c r="AN104" s="490">
        <f t="shared" si="206"/>
        <v>0</v>
      </c>
      <c r="AO104" s="490">
        <f t="shared" si="206"/>
        <v>0</v>
      </c>
      <c r="AP104" s="490">
        <f t="shared" si="206"/>
        <v>0</v>
      </c>
      <c r="AQ104" s="490">
        <f t="shared" si="206"/>
        <v>0</v>
      </c>
      <c r="AR104" s="490">
        <f t="shared" si="206"/>
        <v>0</v>
      </c>
      <c r="AS104" s="490">
        <f t="shared" si="206"/>
        <v>0</v>
      </c>
      <c r="AT104" s="490">
        <f t="shared" si="206"/>
        <v>0</v>
      </c>
      <c r="AU104" s="490">
        <f t="shared" si="206"/>
        <v>0</v>
      </c>
      <c r="AV104" s="490">
        <f t="shared" si="206"/>
        <v>0</v>
      </c>
      <c r="AW104" s="490">
        <f t="shared" si="206"/>
        <v>0</v>
      </c>
      <c r="AX104" s="493">
        <f t="shared" si="206"/>
        <v>0</v>
      </c>
      <c r="AY104" s="493">
        <f t="shared" si="206"/>
        <v>0</v>
      </c>
      <c r="AZ104" s="493">
        <f t="shared" si="206"/>
        <v>0</v>
      </c>
      <c r="BA104" s="493">
        <f t="shared" si="206"/>
        <v>0</v>
      </c>
      <c r="BB104" s="493">
        <f t="shared" si="206"/>
        <v>0</v>
      </c>
      <c r="BC104" s="493">
        <f t="shared" si="206"/>
        <v>0</v>
      </c>
      <c r="BD104" s="493">
        <f t="shared" si="206"/>
        <v>0</v>
      </c>
      <c r="BE104" s="493">
        <f t="shared" si="206"/>
        <v>0</v>
      </c>
      <c r="BF104" s="493">
        <f t="shared" si="206"/>
        <v>0</v>
      </c>
      <c r="BG104" s="493">
        <f t="shared" si="206"/>
        <v>0</v>
      </c>
      <c r="BH104" s="494">
        <f t="shared" si="206"/>
        <v>0</v>
      </c>
      <c r="BI104" s="489">
        <f t="shared" si="206"/>
        <v>54392277</v>
      </c>
      <c r="BJ104" s="490">
        <f t="shared" si="206"/>
        <v>39884546</v>
      </c>
      <c r="BK104" s="490">
        <f t="shared" si="206"/>
        <v>36963828</v>
      </c>
      <c r="BL104" s="490">
        <f t="shared" si="206"/>
        <v>2920718</v>
      </c>
      <c r="BM104" s="490">
        <f t="shared" si="206"/>
        <v>349265</v>
      </c>
      <c r="BN104" s="490">
        <f t="shared" si="206"/>
        <v>200000</v>
      </c>
      <c r="BO104" s="490">
        <f t="shared" si="206"/>
        <v>149265</v>
      </c>
      <c r="BP104" s="490">
        <f t="shared" si="206"/>
        <v>13599028</v>
      </c>
      <c r="BQ104" s="490">
        <f t="shared" si="206"/>
        <v>398845</v>
      </c>
      <c r="BR104" s="490">
        <f t="shared" si="206"/>
        <v>160593</v>
      </c>
      <c r="BS104" s="493">
        <f t="shared" si="206"/>
        <v>78.166800000000009</v>
      </c>
      <c r="BT104" s="493">
        <f t="shared" si="206"/>
        <v>67.908000000000015</v>
      </c>
      <c r="BU104" s="494">
        <f t="shared" ref="BU104:CA104" si="207">SUMIF($F$12:$F$446,"=3111",BU$12:BU$446)</f>
        <v>10.258799999999999</v>
      </c>
      <c r="BV104" s="489">
        <f t="shared" si="207"/>
        <v>0</v>
      </c>
      <c r="BW104" s="490">
        <f t="shared" si="207"/>
        <v>0</v>
      </c>
      <c r="BX104" s="490">
        <f t="shared" si="207"/>
        <v>0</v>
      </c>
      <c r="BY104" s="490">
        <f t="shared" si="207"/>
        <v>0</v>
      </c>
      <c r="BZ104" s="490">
        <f t="shared" si="207"/>
        <v>0</v>
      </c>
      <c r="CA104" s="496">
        <f t="shared" si="207"/>
        <v>0</v>
      </c>
    </row>
    <row r="105" spans="1:79" x14ac:dyDescent="0.2">
      <c r="D105" s="9"/>
      <c r="E105" s="5"/>
      <c r="F105" s="9"/>
      <c r="G105" s="20"/>
      <c r="H105" s="19">
        <v>3113</v>
      </c>
      <c r="I105" s="167">
        <f t="shared" ref="I105:BT105" si="208">SUMIF($F$12:$F$446,"=3113",I$12:I$446)</f>
        <v>157504314</v>
      </c>
      <c r="J105" s="16">
        <f t="shared" si="208"/>
        <v>114952819</v>
      </c>
      <c r="K105" s="16">
        <f t="shared" si="208"/>
        <v>107476378</v>
      </c>
      <c r="L105" s="16">
        <f t="shared" si="208"/>
        <v>7476441</v>
      </c>
      <c r="M105" s="16">
        <f t="shared" si="208"/>
        <v>520000</v>
      </c>
      <c r="N105" s="16">
        <f t="shared" si="208"/>
        <v>355000</v>
      </c>
      <c r="O105" s="16">
        <f t="shared" si="208"/>
        <v>165000</v>
      </c>
      <c r="P105" s="16">
        <f t="shared" si="208"/>
        <v>39029816</v>
      </c>
      <c r="Q105" s="16">
        <f t="shared" si="208"/>
        <v>1149531</v>
      </c>
      <c r="R105" s="16">
        <f t="shared" si="208"/>
        <v>1852148</v>
      </c>
      <c r="S105" s="13">
        <f t="shared" si="208"/>
        <v>206.83559999999994</v>
      </c>
      <c r="T105" s="13">
        <f t="shared" si="208"/>
        <v>185.04069999999996</v>
      </c>
      <c r="U105" s="17">
        <f t="shared" si="208"/>
        <v>21.794900000000005</v>
      </c>
      <c r="V105" s="168">
        <f t="shared" si="208"/>
        <v>0</v>
      </c>
      <c r="W105" s="16">
        <f t="shared" si="208"/>
        <v>0</v>
      </c>
      <c r="X105" s="16">
        <f t="shared" si="208"/>
        <v>0</v>
      </c>
      <c r="Y105" s="16">
        <f t="shared" si="208"/>
        <v>0</v>
      </c>
      <c r="Z105" s="16">
        <f t="shared" si="208"/>
        <v>0</v>
      </c>
      <c r="AA105" s="16">
        <f t="shared" si="208"/>
        <v>0</v>
      </c>
      <c r="AB105" s="16">
        <f t="shared" si="208"/>
        <v>0</v>
      </c>
      <c r="AC105" s="16">
        <f t="shared" si="208"/>
        <v>0</v>
      </c>
      <c r="AD105" s="16">
        <f t="shared" si="208"/>
        <v>0</v>
      </c>
      <c r="AE105" s="16">
        <f t="shared" si="208"/>
        <v>0</v>
      </c>
      <c r="AF105" s="16">
        <f t="shared" si="208"/>
        <v>0</v>
      </c>
      <c r="AG105" s="16">
        <f t="shared" si="208"/>
        <v>0</v>
      </c>
      <c r="AH105" s="16">
        <f t="shared" si="208"/>
        <v>0</v>
      </c>
      <c r="AI105" s="16">
        <f t="shared" si="208"/>
        <v>0</v>
      </c>
      <c r="AJ105" s="16">
        <f t="shared" si="208"/>
        <v>0</v>
      </c>
      <c r="AK105" s="16">
        <f t="shared" si="208"/>
        <v>0</v>
      </c>
      <c r="AL105" s="16">
        <f t="shared" si="208"/>
        <v>0</v>
      </c>
      <c r="AM105" s="16">
        <f t="shared" si="208"/>
        <v>0</v>
      </c>
      <c r="AN105" s="16">
        <f t="shared" si="208"/>
        <v>0</v>
      </c>
      <c r="AO105" s="16">
        <f t="shared" si="208"/>
        <v>0</v>
      </c>
      <c r="AP105" s="16">
        <f t="shared" si="208"/>
        <v>0</v>
      </c>
      <c r="AQ105" s="16">
        <f t="shared" si="208"/>
        <v>0</v>
      </c>
      <c r="AR105" s="16">
        <f t="shared" si="208"/>
        <v>0</v>
      </c>
      <c r="AS105" s="16">
        <f t="shared" si="208"/>
        <v>0</v>
      </c>
      <c r="AT105" s="16">
        <f t="shared" si="208"/>
        <v>0</v>
      </c>
      <c r="AU105" s="16">
        <f t="shared" si="208"/>
        <v>0</v>
      </c>
      <c r="AV105" s="16">
        <f t="shared" si="208"/>
        <v>0</v>
      </c>
      <c r="AW105" s="16">
        <f t="shared" si="208"/>
        <v>0</v>
      </c>
      <c r="AX105" s="13">
        <f t="shared" si="208"/>
        <v>0</v>
      </c>
      <c r="AY105" s="13">
        <f t="shared" si="208"/>
        <v>0</v>
      </c>
      <c r="AZ105" s="13">
        <f t="shared" si="208"/>
        <v>0</v>
      </c>
      <c r="BA105" s="13">
        <f t="shared" si="208"/>
        <v>0</v>
      </c>
      <c r="BB105" s="13">
        <f t="shared" si="208"/>
        <v>0</v>
      </c>
      <c r="BC105" s="13">
        <f t="shared" si="208"/>
        <v>0</v>
      </c>
      <c r="BD105" s="13">
        <f t="shared" si="208"/>
        <v>0</v>
      </c>
      <c r="BE105" s="13">
        <f t="shared" si="208"/>
        <v>0</v>
      </c>
      <c r="BF105" s="13">
        <f t="shared" si="208"/>
        <v>0</v>
      </c>
      <c r="BG105" s="13">
        <f t="shared" si="208"/>
        <v>0</v>
      </c>
      <c r="BH105" s="169">
        <f t="shared" si="208"/>
        <v>0</v>
      </c>
      <c r="BI105" s="167">
        <f t="shared" si="208"/>
        <v>157504314</v>
      </c>
      <c r="BJ105" s="16">
        <f t="shared" si="208"/>
        <v>114952819</v>
      </c>
      <c r="BK105" s="16">
        <f t="shared" si="208"/>
        <v>107476378</v>
      </c>
      <c r="BL105" s="16">
        <f t="shared" si="208"/>
        <v>7476441</v>
      </c>
      <c r="BM105" s="16">
        <f t="shared" si="208"/>
        <v>520000</v>
      </c>
      <c r="BN105" s="16">
        <f t="shared" si="208"/>
        <v>355000</v>
      </c>
      <c r="BO105" s="16">
        <f t="shared" si="208"/>
        <v>165000</v>
      </c>
      <c r="BP105" s="16">
        <f t="shared" si="208"/>
        <v>39029816</v>
      </c>
      <c r="BQ105" s="16">
        <f t="shared" si="208"/>
        <v>1149531</v>
      </c>
      <c r="BR105" s="16">
        <f t="shared" si="208"/>
        <v>1852148</v>
      </c>
      <c r="BS105" s="13">
        <f t="shared" si="208"/>
        <v>206.83559999999994</v>
      </c>
      <c r="BT105" s="13">
        <f t="shared" si="208"/>
        <v>185.04069999999996</v>
      </c>
      <c r="BU105" s="169">
        <f t="shared" ref="BU105:CA105" si="209">SUMIF($F$12:$F$446,"=3113",BU$12:BU$446)</f>
        <v>21.794900000000005</v>
      </c>
      <c r="BV105" s="167">
        <f t="shared" si="209"/>
        <v>1748626</v>
      </c>
      <c r="BW105" s="16">
        <f t="shared" si="209"/>
        <v>1297200</v>
      </c>
      <c r="BX105" s="16">
        <f t="shared" si="209"/>
        <v>0</v>
      </c>
      <c r="BY105" s="16">
        <f t="shared" si="209"/>
        <v>438454</v>
      </c>
      <c r="BZ105" s="16">
        <f t="shared" si="209"/>
        <v>12972</v>
      </c>
      <c r="CA105" s="17">
        <f t="shared" si="209"/>
        <v>2.2999999999999998</v>
      </c>
    </row>
    <row r="106" spans="1:79" x14ac:dyDescent="0.2">
      <c r="D106" s="9"/>
      <c r="E106" s="5"/>
      <c r="F106" s="9"/>
      <c r="G106" s="20"/>
      <c r="H106" s="19">
        <v>3114</v>
      </c>
      <c r="I106" s="167">
        <f t="shared" ref="I106:BT106" si="210">SUMIF($F$12:$F$446,"=3114",I$12:I$446)</f>
        <v>0</v>
      </c>
      <c r="J106" s="16">
        <f t="shared" si="210"/>
        <v>0</v>
      </c>
      <c r="K106" s="16">
        <f t="shared" si="210"/>
        <v>0</v>
      </c>
      <c r="L106" s="16">
        <f t="shared" si="210"/>
        <v>0</v>
      </c>
      <c r="M106" s="16">
        <f t="shared" si="210"/>
        <v>0</v>
      </c>
      <c r="N106" s="16">
        <f t="shared" si="210"/>
        <v>0</v>
      </c>
      <c r="O106" s="16">
        <f t="shared" si="210"/>
        <v>0</v>
      </c>
      <c r="P106" s="16">
        <f t="shared" si="210"/>
        <v>0</v>
      </c>
      <c r="Q106" s="16">
        <f t="shared" si="210"/>
        <v>0</v>
      </c>
      <c r="R106" s="16">
        <f t="shared" si="210"/>
        <v>0</v>
      </c>
      <c r="S106" s="13">
        <f t="shared" si="210"/>
        <v>0</v>
      </c>
      <c r="T106" s="13">
        <f t="shared" si="210"/>
        <v>0</v>
      </c>
      <c r="U106" s="17">
        <f t="shared" si="210"/>
        <v>0</v>
      </c>
      <c r="V106" s="168">
        <f t="shared" si="210"/>
        <v>0</v>
      </c>
      <c r="W106" s="16">
        <f t="shared" si="210"/>
        <v>0</v>
      </c>
      <c r="X106" s="16">
        <f t="shared" si="210"/>
        <v>0</v>
      </c>
      <c r="Y106" s="16">
        <f t="shared" si="210"/>
        <v>0</v>
      </c>
      <c r="Z106" s="16">
        <f t="shared" si="210"/>
        <v>0</v>
      </c>
      <c r="AA106" s="16">
        <f t="shared" si="210"/>
        <v>0</v>
      </c>
      <c r="AB106" s="16">
        <f t="shared" si="210"/>
        <v>0</v>
      </c>
      <c r="AC106" s="16">
        <f t="shared" si="210"/>
        <v>0</v>
      </c>
      <c r="AD106" s="16">
        <f t="shared" si="210"/>
        <v>0</v>
      </c>
      <c r="AE106" s="16">
        <f t="shared" si="210"/>
        <v>0</v>
      </c>
      <c r="AF106" s="16">
        <f t="shared" si="210"/>
        <v>0</v>
      </c>
      <c r="AG106" s="16">
        <f t="shared" si="210"/>
        <v>0</v>
      </c>
      <c r="AH106" s="16">
        <f t="shared" si="210"/>
        <v>0</v>
      </c>
      <c r="AI106" s="16">
        <f t="shared" si="210"/>
        <v>0</v>
      </c>
      <c r="AJ106" s="16">
        <f t="shared" si="210"/>
        <v>0</v>
      </c>
      <c r="AK106" s="16">
        <f t="shared" si="210"/>
        <v>0</v>
      </c>
      <c r="AL106" s="16">
        <f t="shared" si="210"/>
        <v>0</v>
      </c>
      <c r="AM106" s="16">
        <f t="shared" si="210"/>
        <v>0</v>
      </c>
      <c r="AN106" s="16">
        <f t="shared" si="210"/>
        <v>0</v>
      </c>
      <c r="AO106" s="16">
        <f t="shared" si="210"/>
        <v>0</v>
      </c>
      <c r="AP106" s="16">
        <f t="shared" si="210"/>
        <v>0</v>
      </c>
      <c r="AQ106" s="16">
        <f t="shared" si="210"/>
        <v>0</v>
      </c>
      <c r="AR106" s="16">
        <f t="shared" si="210"/>
        <v>0</v>
      </c>
      <c r="AS106" s="16">
        <f t="shared" si="210"/>
        <v>0</v>
      </c>
      <c r="AT106" s="16">
        <f t="shared" si="210"/>
        <v>0</v>
      </c>
      <c r="AU106" s="16">
        <f t="shared" si="210"/>
        <v>0</v>
      </c>
      <c r="AV106" s="16">
        <f t="shared" si="210"/>
        <v>0</v>
      </c>
      <c r="AW106" s="16">
        <f t="shared" si="210"/>
        <v>0</v>
      </c>
      <c r="AX106" s="13">
        <f t="shared" si="210"/>
        <v>0</v>
      </c>
      <c r="AY106" s="13">
        <f t="shared" si="210"/>
        <v>0</v>
      </c>
      <c r="AZ106" s="13">
        <f t="shared" si="210"/>
        <v>0</v>
      </c>
      <c r="BA106" s="13">
        <f t="shared" si="210"/>
        <v>0</v>
      </c>
      <c r="BB106" s="13">
        <f t="shared" si="210"/>
        <v>0</v>
      </c>
      <c r="BC106" s="13">
        <f t="shared" si="210"/>
        <v>0</v>
      </c>
      <c r="BD106" s="13">
        <f t="shared" si="210"/>
        <v>0</v>
      </c>
      <c r="BE106" s="13">
        <f t="shared" si="210"/>
        <v>0</v>
      </c>
      <c r="BF106" s="13">
        <f t="shared" si="210"/>
        <v>0</v>
      </c>
      <c r="BG106" s="13">
        <f t="shared" si="210"/>
        <v>0</v>
      </c>
      <c r="BH106" s="169">
        <f t="shared" si="210"/>
        <v>0</v>
      </c>
      <c r="BI106" s="167">
        <f t="shared" si="210"/>
        <v>0</v>
      </c>
      <c r="BJ106" s="16">
        <f t="shared" si="210"/>
        <v>0</v>
      </c>
      <c r="BK106" s="16">
        <f t="shared" si="210"/>
        <v>0</v>
      </c>
      <c r="BL106" s="16">
        <f t="shared" si="210"/>
        <v>0</v>
      </c>
      <c r="BM106" s="16">
        <f t="shared" si="210"/>
        <v>0</v>
      </c>
      <c r="BN106" s="16">
        <f t="shared" si="210"/>
        <v>0</v>
      </c>
      <c r="BO106" s="16">
        <f t="shared" si="210"/>
        <v>0</v>
      </c>
      <c r="BP106" s="16">
        <f t="shared" si="210"/>
        <v>0</v>
      </c>
      <c r="BQ106" s="16">
        <f t="shared" si="210"/>
        <v>0</v>
      </c>
      <c r="BR106" s="16">
        <f t="shared" si="210"/>
        <v>0</v>
      </c>
      <c r="BS106" s="13">
        <f t="shared" si="210"/>
        <v>0</v>
      </c>
      <c r="BT106" s="13">
        <f t="shared" si="210"/>
        <v>0</v>
      </c>
      <c r="BU106" s="169">
        <f t="shared" ref="BU106:CA106" si="211">SUMIF($F$12:$F$446,"=3114",BU$12:BU$446)</f>
        <v>0</v>
      </c>
      <c r="BV106" s="167">
        <f t="shared" si="211"/>
        <v>0</v>
      </c>
      <c r="BW106" s="16">
        <f t="shared" si="211"/>
        <v>0</v>
      </c>
      <c r="BX106" s="16">
        <f t="shared" si="211"/>
        <v>0</v>
      </c>
      <c r="BY106" s="16">
        <f t="shared" si="211"/>
        <v>0</v>
      </c>
      <c r="BZ106" s="16">
        <f t="shared" si="211"/>
        <v>0</v>
      </c>
      <c r="CA106" s="17">
        <f t="shared" si="211"/>
        <v>0</v>
      </c>
    </row>
    <row r="107" spans="1:79" x14ac:dyDescent="0.2">
      <c r="D107" s="9"/>
      <c r="E107" s="5"/>
      <c r="F107" s="9"/>
      <c r="G107" s="20"/>
      <c r="H107" s="19">
        <v>3117</v>
      </c>
      <c r="I107" s="167">
        <f t="shared" ref="I107:BT107" si="212">SUMIF($F$12:$F$446,"=3117",I$12:I$446)</f>
        <v>15421378</v>
      </c>
      <c r="J107" s="16">
        <f t="shared" si="212"/>
        <v>11059974</v>
      </c>
      <c r="K107" s="16">
        <f t="shared" si="212"/>
        <v>10034308</v>
      </c>
      <c r="L107" s="16">
        <f t="shared" si="212"/>
        <v>1025666</v>
      </c>
      <c r="M107" s="16">
        <f t="shared" si="212"/>
        <v>234800</v>
      </c>
      <c r="N107" s="16">
        <f t="shared" si="212"/>
        <v>122800</v>
      </c>
      <c r="O107" s="16">
        <f t="shared" si="212"/>
        <v>112000</v>
      </c>
      <c r="P107" s="16">
        <f t="shared" si="212"/>
        <v>3817633</v>
      </c>
      <c r="Q107" s="16">
        <f t="shared" si="212"/>
        <v>110600</v>
      </c>
      <c r="R107" s="16">
        <f t="shared" si="212"/>
        <v>198371</v>
      </c>
      <c r="S107" s="13">
        <f t="shared" si="212"/>
        <v>20.105899999999998</v>
      </c>
      <c r="T107" s="13">
        <f t="shared" si="212"/>
        <v>17.327099999999998</v>
      </c>
      <c r="U107" s="17">
        <f t="shared" si="212"/>
        <v>2.7788000000000004</v>
      </c>
      <c r="V107" s="168">
        <f t="shared" si="212"/>
        <v>0</v>
      </c>
      <c r="W107" s="16">
        <f t="shared" si="212"/>
        <v>0</v>
      </c>
      <c r="X107" s="16">
        <f t="shared" si="212"/>
        <v>0</v>
      </c>
      <c r="Y107" s="16">
        <f t="shared" si="212"/>
        <v>0</v>
      </c>
      <c r="Z107" s="16">
        <f t="shared" si="212"/>
        <v>0</v>
      </c>
      <c r="AA107" s="16">
        <f t="shared" si="212"/>
        <v>0</v>
      </c>
      <c r="AB107" s="16">
        <f t="shared" si="212"/>
        <v>0</v>
      </c>
      <c r="AC107" s="16">
        <f t="shared" si="212"/>
        <v>0</v>
      </c>
      <c r="AD107" s="16">
        <f t="shared" si="212"/>
        <v>0</v>
      </c>
      <c r="AE107" s="16">
        <f t="shared" si="212"/>
        <v>0</v>
      </c>
      <c r="AF107" s="16">
        <f t="shared" si="212"/>
        <v>0</v>
      </c>
      <c r="AG107" s="16">
        <f t="shared" si="212"/>
        <v>0</v>
      </c>
      <c r="AH107" s="16">
        <f t="shared" si="212"/>
        <v>0</v>
      </c>
      <c r="AI107" s="16">
        <f t="shared" si="212"/>
        <v>0</v>
      </c>
      <c r="AJ107" s="16">
        <f t="shared" si="212"/>
        <v>0</v>
      </c>
      <c r="AK107" s="16">
        <f t="shared" si="212"/>
        <v>0</v>
      </c>
      <c r="AL107" s="16">
        <f t="shared" si="212"/>
        <v>0</v>
      </c>
      <c r="AM107" s="16">
        <f t="shared" si="212"/>
        <v>0</v>
      </c>
      <c r="AN107" s="16">
        <f t="shared" si="212"/>
        <v>0</v>
      </c>
      <c r="AO107" s="16">
        <f t="shared" si="212"/>
        <v>0</v>
      </c>
      <c r="AP107" s="16">
        <f t="shared" si="212"/>
        <v>0</v>
      </c>
      <c r="AQ107" s="16">
        <f t="shared" si="212"/>
        <v>0</v>
      </c>
      <c r="AR107" s="16">
        <f t="shared" si="212"/>
        <v>0</v>
      </c>
      <c r="AS107" s="16">
        <f t="shared" si="212"/>
        <v>0</v>
      </c>
      <c r="AT107" s="16">
        <f t="shared" si="212"/>
        <v>0</v>
      </c>
      <c r="AU107" s="16">
        <f t="shared" si="212"/>
        <v>0</v>
      </c>
      <c r="AV107" s="16">
        <f t="shared" si="212"/>
        <v>0</v>
      </c>
      <c r="AW107" s="16">
        <f t="shared" si="212"/>
        <v>0</v>
      </c>
      <c r="AX107" s="13">
        <f t="shared" si="212"/>
        <v>0</v>
      </c>
      <c r="AY107" s="13">
        <f t="shared" si="212"/>
        <v>0</v>
      </c>
      <c r="AZ107" s="13">
        <f t="shared" si="212"/>
        <v>0</v>
      </c>
      <c r="BA107" s="13">
        <f t="shared" si="212"/>
        <v>0</v>
      </c>
      <c r="BB107" s="13">
        <f t="shared" si="212"/>
        <v>0</v>
      </c>
      <c r="BC107" s="13">
        <f t="shared" si="212"/>
        <v>0</v>
      </c>
      <c r="BD107" s="13">
        <f t="shared" si="212"/>
        <v>0</v>
      </c>
      <c r="BE107" s="13">
        <f t="shared" si="212"/>
        <v>0</v>
      </c>
      <c r="BF107" s="13">
        <f t="shared" si="212"/>
        <v>0</v>
      </c>
      <c r="BG107" s="13">
        <f t="shared" si="212"/>
        <v>0</v>
      </c>
      <c r="BH107" s="169">
        <f t="shared" si="212"/>
        <v>0</v>
      </c>
      <c r="BI107" s="167">
        <f t="shared" si="212"/>
        <v>15421378</v>
      </c>
      <c r="BJ107" s="16">
        <f t="shared" si="212"/>
        <v>11059974</v>
      </c>
      <c r="BK107" s="16">
        <f t="shared" si="212"/>
        <v>10034308</v>
      </c>
      <c r="BL107" s="16">
        <f t="shared" si="212"/>
        <v>1025666</v>
      </c>
      <c r="BM107" s="16">
        <f t="shared" si="212"/>
        <v>234800</v>
      </c>
      <c r="BN107" s="16">
        <f t="shared" si="212"/>
        <v>122800</v>
      </c>
      <c r="BO107" s="16">
        <f t="shared" si="212"/>
        <v>112000</v>
      </c>
      <c r="BP107" s="16">
        <f t="shared" si="212"/>
        <v>3817633</v>
      </c>
      <c r="BQ107" s="16">
        <f t="shared" si="212"/>
        <v>110600</v>
      </c>
      <c r="BR107" s="16">
        <f t="shared" si="212"/>
        <v>198371</v>
      </c>
      <c r="BS107" s="13">
        <f t="shared" si="212"/>
        <v>20.105899999999998</v>
      </c>
      <c r="BT107" s="13">
        <f t="shared" si="212"/>
        <v>17.327099999999998</v>
      </c>
      <c r="BU107" s="169">
        <f t="shared" ref="BU107:CA107" si="213">SUMIF($F$12:$F$446,"=3117",BU$12:BU$446)</f>
        <v>2.7788000000000004</v>
      </c>
      <c r="BV107" s="167">
        <f t="shared" si="213"/>
        <v>150926</v>
      </c>
      <c r="BW107" s="16">
        <f t="shared" si="213"/>
        <v>0</v>
      </c>
      <c r="BX107" s="16">
        <f t="shared" si="213"/>
        <v>112800</v>
      </c>
      <c r="BY107" s="16">
        <f t="shared" si="213"/>
        <v>38126</v>
      </c>
      <c r="BZ107" s="16">
        <f t="shared" si="213"/>
        <v>0</v>
      </c>
      <c r="CA107" s="17">
        <f t="shared" si="213"/>
        <v>0</v>
      </c>
    </row>
    <row r="108" spans="1:79" x14ac:dyDescent="0.2">
      <c r="D108" s="9"/>
      <c r="E108" s="5"/>
      <c r="F108" s="9"/>
      <c r="G108" s="20"/>
      <c r="H108" s="19">
        <v>3122</v>
      </c>
      <c r="I108" s="167">
        <f t="shared" ref="I108:BT108" si="214">SUMIF($F$12:$F$446,"=3122",I$12:I$446)</f>
        <v>0</v>
      </c>
      <c r="J108" s="16">
        <f t="shared" si="214"/>
        <v>0</v>
      </c>
      <c r="K108" s="16">
        <f t="shared" si="214"/>
        <v>0</v>
      </c>
      <c r="L108" s="16">
        <f t="shared" si="214"/>
        <v>0</v>
      </c>
      <c r="M108" s="16">
        <f t="shared" si="214"/>
        <v>0</v>
      </c>
      <c r="N108" s="16">
        <f t="shared" si="214"/>
        <v>0</v>
      </c>
      <c r="O108" s="16">
        <f t="shared" si="214"/>
        <v>0</v>
      </c>
      <c r="P108" s="16">
        <f t="shared" si="214"/>
        <v>0</v>
      </c>
      <c r="Q108" s="16">
        <f t="shared" si="214"/>
        <v>0</v>
      </c>
      <c r="R108" s="16">
        <f t="shared" si="214"/>
        <v>0</v>
      </c>
      <c r="S108" s="13">
        <f t="shared" si="214"/>
        <v>0</v>
      </c>
      <c r="T108" s="13">
        <f t="shared" si="214"/>
        <v>0</v>
      </c>
      <c r="U108" s="17">
        <f t="shared" si="214"/>
        <v>0</v>
      </c>
      <c r="V108" s="168">
        <f t="shared" si="214"/>
        <v>0</v>
      </c>
      <c r="W108" s="16">
        <f t="shared" si="214"/>
        <v>0</v>
      </c>
      <c r="X108" s="16">
        <f t="shared" si="214"/>
        <v>0</v>
      </c>
      <c r="Y108" s="16">
        <f t="shared" si="214"/>
        <v>0</v>
      </c>
      <c r="Z108" s="16">
        <f t="shared" si="214"/>
        <v>0</v>
      </c>
      <c r="AA108" s="16">
        <f t="shared" si="214"/>
        <v>0</v>
      </c>
      <c r="AB108" s="16">
        <f t="shared" si="214"/>
        <v>0</v>
      </c>
      <c r="AC108" s="16">
        <f t="shared" si="214"/>
        <v>0</v>
      </c>
      <c r="AD108" s="16">
        <f t="shared" si="214"/>
        <v>0</v>
      </c>
      <c r="AE108" s="16">
        <f t="shared" si="214"/>
        <v>0</v>
      </c>
      <c r="AF108" s="16">
        <f t="shared" si="214"/>
        <v>0</v>
      </c>
      <c r="AG108" s="16">
        <f t="shared" si="214"/>
        <v>0</v>
      </c>
      <c r="AH108" s="16">
        <f t="shared" si="214"/>
        <v>0</v>
      </c>
      <c r="AI108" s="16">
        <f t="shared" si="214"/>
        <v>0</v>
      </c>
      <c r="AJ108" s="16">
        <f t="shared" si="214"/>
        <v>0</v>
      </c>
      <c r="AK108" s="16">
        <f t="shared" si="214"/>
        <v>0</v>
      </c>
      <c r="AL108" s="16">
        <f t="shared" si="214"/>
        <v>0</v>
      </c>
      <c r="AM108" s="16">
        <f t="shared" si="214"/>
        <v>0</v>
      </c>
      <c r="AN108" s="16">
        <f t="shared" si="214"/>
        <v>0</v>
      </c>
      <c r="AO108" s="16">
        <f t="shared" si="214"/>
        <v>0</v>
      </c>
      <c r="AP108" s="16">
        <f t="shared" si="214"/>
        <v>0</v>
      </c>
      <c r="AQ108" s="16">
        <f t="shared" si="214"/>
        <v>0</v>
      </c>
      <c r="AR108" s="16">
        <f t="shared" si="214"/>
        <v>0</v>
      </c>
      <c r="AS108" s="16">
        <f t="shared" si="214"/>
        <v>0</v>
      </c>
      <c r="AT108" s="16">
        <f t="shared" si="214"/>
        <v>0</v>
      </c>
      <c r="AU108" s="16">
        <f t="shared" si="214"/>
        <v>0</v>
      </c>
      <c r="AV108" s="16">
        <f t="shared" si="214"/>
        <v>0</v>
      </c>
      <c r="AW108" s="16">
        <f t="shared" si="214"/>
        <v>0</v>
      </c>
      <c r="AX108" s="13">
        <f t="shared" si="214"/>
        <v>0</v>
      </c>
      <c r="AY108" s="13">
        <f t="shared" si="214"/>
        <v>0</v>
      </c>
      <c r="AZ108" s="13">
        <f t="shared" si="214"/>
        <v>0</v>
      </c>
      <c r="BA108" s="13">
        <f t="shared" si="214"/>
        <v>0</v>
      </c>
      <c r="BB108" s="13">
        <f t="shared" si="214"/>
        <v>0</v>
      </c>
      <c r="BC108" s="13">
        <f t="shared" si="214"/>
        <v>0</v>
      </c>
      <c r="BD108" s="13">
        <f t="shared" si="214"/>
        <v>0</v>
      </c>
      <c r="BE108" s="13">
        <f t="shared" si="214"/>
        <v>0</v>
      </c>
      <c r="BF108" s="13">
        <f t="shared" si="214"/>
        <v>0</v>
      </c>
      <c r="BG108" s="13">
        <f t="shared" si="214"/>
        <v>0</v>
      </c>
      <c r="BH108" s="169">
        <f t="shared" si="214"/>
        <v>0</v>
      </c>
      <c r="BI108" s="167">
        <f t="shared" si="214"/>
        <v>0</v>
      </c>
      <c r="BJ108" s="16">
        <f t="shared" si="214"/>
        <v>0</v>
      </c>
      <c r="BK108" s="16">
        <f t="shared" si="214"/>
        <v>0</v>
      </c>
      <c r="BL108" s="16">
        <f t="shared" si="214"/>
        <v>0</v>
      </c>
      <c r="BM108" s="16">
        <f t="shared" si="214"/>
        <v>0</v>
      </c>
      <c r="BN108" s="16">
        <f t="shared" si="214"/>
        <v>0</v>
      </c>
      <c r="BO108" s="16">
        <f t="shared" si="214"/>
        <v>0</v>
      </c>
      <c r="BP108" s="16">
        <f t="shared" si="214"/>
        <v>0</v>
      </c>
      <c r="BQ108" s="16">
        <f t="shared" si="214"/>
        <v>0</v>
      </c>
      <c r="BR108" s="16">
        <f t="shared" si="214"/>
        <v>0</v>
      </c>
      <c r="BS108" s="13">
        <f t="shared" si="214"/>
        <v>0</v>
      </c>
      <c r="BT108" s="13">
        <f t="shared" si="214"/>
        <v>0</v>
      </c>
      <c r="BU108" s="169">
        <f t="shared" ref="BU108:CA108" si="215">SUMIF($F$12:$F$446,"=3122",BU$12:BU$446)</f>
        <v>0</v>
      </c>
      <c r="BV108" s="167">
        <f t="shared" si="215"/>
        <v>0</v>
      </c>
      <c r="BW108" s="16">
        <f t="shared" si="215"/>
        <v>0</v>
      </c>
      <c r="BX108" s="16">
        <f t="shared" si="215"/>
        <v>0</v>
      </c>
      <c r="BY108" s="16">
        <f t="shared" si="215"/>
        <v>0</v>
      </c>
      <c r="BZ108" s="16">
        <f t="shared" si="215"/>
        <v>0</v>
      </c>
      <c r="CA108" s="17">
        <f t="shared" si="215"/>
        <v>0</v>
      </c>
    </row>
    <row r="109" spans="1:79" x14ac:dyDescent="0.2">
      <c r="D109" s="9"/>
      <c r="E109" s="5"/>
      <c r="F109" s="9"/>
      <c r="G109" s="20"/>
      <c r="H109" s="19">
        <v>3124</v>
      </c>
      <c r="I109" s="167">
        <f t="shared" ref="I109:BT109" si="216">SUMIF($F$12:$F$446,"=3124",I$12:I$446)</f>
        <v>0</v>
      </c>
      <c r="J109" s="16">
        <f t="shared" si="216"/>
        <v>0</v>
      </c>
      <c r="K109" s="16">
        <f t="shared" si="216"/>
        <v>0</v>
      </c>
      <c r="L109" s="16">
        <f t="shared" si="216"/>
        <v>0</v>
      </c>
      <c r="M109" s="16">
        <f t="shared" si="216"/>
        <v>0</v>
      </c>
      <c r="N109" s="16">
        <f t="shared" si="216"/>
        <v>0</v>
      </c>
      <c r="O109" s="16">
        <f t="shared" si="216"/>
        <v>0</v>
      </c>
      <c r="P109" s="16">
        <f t="shared" si="216"/>
        <v>0</v>
      </c>
      <c r="Q109" s="16">
        <f t="shared" si="216"/>
        <v>0</v>
      </c>
      <c r="R109" s="16">
        <f t="shared" si="216"/>
        <v>0</v>
      </c>
      <c r="S109" s="13">
        <f t="shared" si="216"/>
        <v>0</v>
      </c>
      <c r="T109" s="13">
        <f t="shared" si="216"/>
        <v>0</v>
      </c>
      <c r="U109" s="17">
        <f t="shared" si="216"/>
        <v>0</v>
      </c>
      <c r="V109" s="168">
        <f t="shared" si="216"/>
        <v>0</v>
      </c>
      <c r="W109" s="16">
        <f t="shared" si="216"/>
        <v>0</v>
      </c>
      <c r="X109" s="16">
        <f t="shared" si="216"/>
        <v>0</v>
      </c>
      <c r="Y109" s="16">
        <f t="shared" si="216"/>
        <v>0</v>
      </c>
      <c r="Z109" s="16">
        <f t="shared" si="216"/>
        <v>0</v>
      </c>
      <c r="AA109" s="16">
        <f t="shared" si="216"/>
        <v>0</v>
      </c>
      <c r="AB109" s="16">
        <f t="shared" si="216"/>
        <v>0</v>
      </c>
      <c r="AC109" s="16">
        <f t="shared" si="216"/>
        <v>0</v>
      </c>
      <c r="AD109" s="16">
        <f t="shared" si="216"/>
        <v>0</v>
      </c>
      <c r="AE109" s="16">
        <f t="shared" si="216"/>
        <v>0</v>
      </c>
      <c r="AF109" s="16">
        <f t="shared" si="216"/>
        <v>0</v>
      </c>
      <c r="AG109" s="16">
        <f t="shared" si="216"/>
        <v>0</v>
      </c>
      <c r="AH109" s="16">
        <f t="shared" si="216"/>
        <v>0</v>
      </c>
      <c r="AI109" s="16">
        <f t="shared" si="216"/>
        <v>0</v>
      </c>
      <c r="AJ109" s="16">
        <f t="shared" si="216"/>
        <v>0</v>
      </c>
      <c r="AK109" s="16">
        <f t="shared" si="216"/>
        <v>0</v>
      </c>
      <c r="AL109" s="16">
        <f t="shared" si="216"/>
        <v>0</v>
      </c>
      <c r="AM109" s="16">
        <f t="shared" si="216"/>
        <v>0</v>
      </c>
      <c r="AN109" s="16">
        <f t="shared" si="216"/>
        <v>0</v>
      </c>
      <c r="AO109" s="16">
        <f t="shared" si="216"/>
        <v>0</v>
      </c>
      <c r="AP109" s="16">
        <f t="shared" si="216"/>
        <v>0</v>
      </c>
      <c r="AQ109" s="16">
        <f t="shared" si="216"/>
        <v>0</v>
      </c>
      <c r="AR109" s="16">
        <f t="shared" si="216"/>
        <v>0</v>
      </c>
      <c r="AS109" s="16">
        <f t="shared" si="216"/>
        <v>0</v>
      </c>
      <c r="AT109" s="16">
        <f t="shared" si="216"/>
        <v>0</v>
      </c>
      <c r="AU109" s="16">
        <f t="shared" si="216"/>
        <v>0</v>
      </c>
      <c r="AV109" s="16">
        <f t="shared" si="216"/>
        <v>0</v>
      </c>
      <c r="AW109" s="16">
        <f t="shared" si="216"/>
        <v>0</v>
      </c>
      <c r="AX109" s="13">
        <f t="shared" si="216"/>
        <v>0</v>
      </c>
      <c r="AY109" s="13">
        <f t="shared" si="216"/>
        <v>0</v>
      </c>
      <c r="AZ109" s="13">
        <f t="shared" si="216"/>
        <v>0</v>
      </c>
      <c r="BA109" s="13">
        <f t="shared" si="216"/>
        <v>0</v>
      </c>
      <c r="BB109" s="13">
        <f t="shared" si="216"/>
        <v>0</v>
      </c>
      <c r="BC109" s="13">
        <f t="shared" si="216"/>
        <v>0</v>
      </c>
      <c r="BD109" s="13">
        <f t="shared" si="216"/>
        <v>0</v>
      </c>
      <c r="BE109" s="13">
        <f t="shared" si="216"/>
        <v>0</v>
      </c>
      <c r="BF109" s="13">
        <f t="shared" si="216"/>
        <v>0</v>
      </c>
      <c r="BG109" s="13">
        <f t="shared" si="216"/>
        <v>0</v>
      </c>
      <c r="BH109" s="169">
        <f t="shared" si="216"/>
        <v>0</v>
      </c>
      <c r="BI109" s="167">
        <f t="shared" si="216"/>
        <v>0</v>
      </c>
      <c r="BJ109" s="16">
        <f t="shared" si="216"/>
        <v>0</v>
      </c>
      <c r="BK109" s="16">
        <f t="shared" si="216"/>
        <v>0</v>
      </c>
      <c r="BL109" s="16">
        <f t="shared" si="216"/>
        <v>0</v>
      </c>
      <c r="BM109" s="16">
        <f t="shared" si="216"/>
        <v>0</v>
      </c>
      <c r="BN109" s="16">
        <f t="shared" si="216"/>
        <v>0</v>
      </c>
      <c r="BO109" s="16">
        <f t="shared" si="216"/>
        <v>0</v>
      </c>
      <c r="BP109" s="16">
        <f t="shared" si="216"/>
        <v>0</v>
      </c>
      <c r="BQ109" s="16">
        <f t="shared" si="216"/>
        <v>0</v>
      </c>
      <c r="BR109" s="16">
        <f t="shared" si="216"/>
        <v>0</v>
      </c>
      <c r="BS109" s="13">
        <f t="shared" si="216"/>
        <v>0</v>
      </c>
      <c r="BT109" s="13">
        <f t="shared" si="216"/>
        <v>0</v>
      </c>
      <c r="BU109" s="169">
        <f t="shared" ref="BU109:CA109" si="217">SUMIF($F$12:$F$446,"=3124",BU$12:BU$446)</f>
        <v>0</v>
      </c>
      <c r="BV109" s="167">
        <f t="shared" si="217"/>
        <v>0</v>
      </c>
      <c r="BW109" s="16">
        <f t="shared" si="217"/>
        <v>0</v>
      </c>
      <c r="BX109" s="16">
        <f t="shared" si="217"/>
        <v>0</v>
      </c>
      <c r="BY109" s="16">
        <f t="shared" si="217"/>
        <v>0</v>
      </c>
      <c r="BZ109" s="16">
        <f t="shared" si="217"/>
        <v>0</v>
      </c>
      <c r="CA109" s="17">
        <f t="shared" si="217"/>
        <v>0</v>
      </c>
    </row>
    <row r="110" spans="1:79" x14ac:dyDescent="0.2">
      <c r="D110" s="9"/>
      <c r="E110" s="5"/>
      <c r="F110" s="9"/>
      <c r="G110" s="20"/>
      <c r="H110" s="19">
        <v>3141</v>
      </c>
      <c r="I110" s="167">
        <f t="shared" ref="I110:BT110" si="218">SUMIF($F$12:$F$446,"=3141",I$12:I$446)</f>
        <v>10703508</v>
      </c>
      <c r="J110" s="16">
        <f t="shared" si="218"/>
        <v>7819074</v>
      </c>
      <c r="K110" s="16">
        <f t="shared" si="218"/>
        <v>0</v>
      </c>
      <c r="L110" s="16">
        <f t="shared" si="218"/>
        <v>7819074</v>
      </c>
      <c r="M110" s="16">
        <f t="shared" si="218"/>
        <v>80000</v>
      </c>
      <c r="N110" s="16">
        <f t="shared" si="218"/>
        <v>0</v>
      </c>
      <c r="O110" s="16">
        <f t="shared" si="218"/>
        <v>80000</v>
      </c>
      <c r="P110" s="16">
        <f t="shared" si="218"/>
        <v>2669886</v>
      </c>
      <c r="Q110" s="16">
        <f t="shared" si="218"/>
        <v>78190</v>
      </c>
      <c r="R110" s="16">
        <f t="shared" si="218"/>
        <v>56358</v>
      </c>
      <c r="S110" s="13">
        <f t="shared" si="218"/>
        <v>23.540000000000003</v>
      </c>
      <c r="T110" s="13">
        <f t="shared" si="218"/>
        <v>0</v>
      </c>
      <c r="U110" s="17">
        <f t="shared" si="218"/>
        <v>23.540000000000003</v>
      </c>
      <c r="V110" s="168">
        <f t="shared" si="218"/>
        <v>0</v>
      </c>
      <c r="W110" s="16">
        <f t="shared" si="218"/>
        <v>0</v>
      </c>
      <c r="X110" s="16">
        <f t="shared" si="218"/>
        <v>0</v>
      </c>
      <c r="Y110" s="16">
        <f t="shared" si="218"/>
        <v>0</v>
      </c>
      <c r="Z110" s="16">
        <f t="shared" si="218"/>
        <v>0</v>
      </c>
      <c r="AA110" s="16">
        <f t="shared" si="218"/>
        <v>3954271</v>
      </c>
      <c r="AB110" s="16">
        <f t="shared" si="218"/>
        <v>0</v>
      </c>
      <c r="AC110" s="16">
        <f t="shared" si="218"/>
        <v>0</v>
      </c>
      <c r="AD110" s="16">
        <f t="shared" si="218"/>
        <v>0</v>
      </c>
      <c r="AE110" s="16">
        <f t="shared" si="218"/>
        <v>3954271</v>
      </c>
      <c r="AF110" s="16">
        <f t="shared" si="218"/>
        <v>3954271</v>
      </c>
      <c r="AG110" s="16">
        <f t="shared" si="218"/>
        <v>0</v>
      </c>
      <c r="AH110" s="16">
        <f t="shared" si="218"/>
        <v>0</v>
      </c>
      <c r="AI110" s="16">
        <f t="shared" si="218"/>
        <v>0</v>
      </c>
      <c r="AJ110" s="16">
        <f t="shared" si="218"/>
        <v>0</v>
      </c>
      <c r="AK110" s="16">
        <f t="shared" si="218"/>
        <v>0</v>
      </c>
      <c r="AL110" s="16">
        <f t="shared" si="218"/>
        <v>0</v>
      </c>
      <c r="AM110" s="16">
        <f t="shared" si="218"/>
        <v>0</v>
      </c>
      <c r="AN110" s="16">
        <f t="shared" si="218"/>
        <v>0</v>
      </c>
      <c r="AO110" s="16">
        <f t="shared" si="218"/>
        <v>0</v>
      </c>
      <c r="AP110" s="16">
        <f t="shared" si="218"/>
        <v>3954271</v>
      </c>
      <c r="AQ110" s="16">
        <f t="shared" si="218"/>
        <v>3954271</v>
      </c>
      <c r="AR110" s="16">
        <f t="shared" si="218"/>
        <v>1336543</v>
      </c>
      <c r="AS110" s="16">
        <f t="shared" si="218"/>
        <v>39543</v>
      </c>
      <c r="AT110" s="16">
        <f t="shared" si="218"/>
        <v>0</v>
      </c>
      <c r="AU110" s="16">
        <f t="shared" si="218"/>
        <v>27330</v>
      </c>
      <c r="AV110" s="16">
        <f t="shared" si="218"/>
        <v>27330</v>
      </c>
      <c r="AW110" s="16">
        <f t="shared" si="218"/>
        <v>5357687</v>
      </c>
      <c r="AX110" s="13">
        <f t="shared" si="218"/>
        <v>0</v>
      </c>
      <c r="AY110" s="13">
        <f t="shared" si="218"/>
        <v>0</v>
      </c>
      <c r="AZ110" s="13">
        <f t="shared" si="218"/>
        <v>0</v>
      </c>
      <c r="BA110" s="13">
        <f t="shared" si="218"/>
        <v>0</v>
      </c>
      <c r="BB110" s="13">
        <f t="shared" si="218"/>
        <v>11.839999999999998</v>
      </c>
      <c r="BC110" s="13">
        <f t="shared" si="218"/>
        <v>0</v>
      </c>
      <c r="BD110" s="13">
        <f t="shared" si="218"/>
        <v>0</v>
      </c>
      <c r="BE110" s="13">
        <f t="shared" si="218"/>
        <v>0</v>
      </c>
      <c r="BF110" s="13">
        <f t="shared" si="218"/>
        <v>0</v>
      </c>
      <c r="BG110" s="13">
        <f t="shared" si="218"/>
        <v>11.839999999999998</v>
      </c>
      <c r="BH110" s="169">
        <f t="shared" si="218"/>
        <v>11.839999999999998</v>
      </c>
      <c r="BI110" s="167">
        <f t="shared" si="218"/>
        <v>16061195</v>
      </c>
      <c r="BJ110" s="16">
        <f t="shared" si="218"/>
        <v>11773345</v>
      </c>
      <c r="BK110" s="16">
        <f t="shared" si="218"/>
        <v>0</v>
      </c>
      <c r="BL110" s="16">
        <f t="shared" si="218"/>
        <v>11773345</v>
      </c>
      <c r="BM110" s="16">
        <f t="shared" si="218"/>
        <v>80000</v>
      </c>
      <c r="BN110" s="16">
        <f t="shared" si="218"/>
        <v>0</v>
      </c>
      <c r="BO110" s="16">
        <f t="shared" si="218"/>
        <v>80000</v>
      </c>
      <c r="BP110" s="16">
        <f t="shared" si="218"/>
        <v>4006429</v>
      </c>
      <c r="BQ110" s="16">
        <f t="shared" si="218"/>
        <v>117733</v>
      </c>
      <c r="BR110" s="16">
        <f t="shared" si="218"/>
        <v>83688</v>
      </c>
      <c r="BS110" s="13">
        <f t="shared" si="218"/>
        <v>35.380000000000003</v>
      </c>
      <c r="BT110" s="13">
        <f t="shared" si="218"/>
        <v>0</v>
      </c>
      <c r="BU110" s="169">
        <f t="shared" ref="BU110:CA110" si="219">SUMIF($F$12:$F$446,"=3141",BU$12:BU$446)</f>
        <v>35.380000000000003</v>
      </c>
      <c r="BV110" s="167">
        <f t="shared" si="219"/>
        <v>0</v>
      </c>
      <c r="BW110" s="16">
        <f t="shared" si="219"/>
        <v>0</v>
      </c>
      <c r="BX110" s="16">
        <f t="shared" si="219"/>
        <v>0</v>
      </c>
      <c r="BY110" s="16">
        <f t="shared" si="219"/>
        <v>0</v>
      </c>
      <c r="BZ110" s="16">
        <f t="shared" si="219"/>
        <v>0</v>
      </c>
      <c r="CA110" s="17">
        <f t="shared" si="219"/>
        <v>0</v>
      </c>
    </row>
    <row r="111" spans="1:79" x14ac:dyDescent="0.2">
      <c r="D111" s="9"/>
      <c r="E111" s="5"/>
      <c r="F111" s="9"/>
      <c r="G111" s="20"/>
      <c r="H111" s="19">
        <v>3143</v>
      </c>
      <c r="I111" s="167">
        <f t="shared" ref="I111:BT111" si="220">SUMIF($F$12:$F$446,"=3143",I$12:I$446)</f>
        <v>13890371</v>
      </c>
      <c r="J111" s="16">
        <f t="shared" si="220"/>
        <v>10229440</v>
      </c>
      <c r="K111" s="16">
        <f t="shared" si="220"/>
        <v>10019940</v>
      </c>
      <c r="L111" s="16">
        <f t="shared" si="220"/>
        <v>209500</v>
      </c>
      <c r="M111" s="16">
        <f t="shared" si="220"/>
        <v>67840</v>
      </c>
      <c r="N111" s="16">
        <f t="shared" si="220"/>
        <v>62840</v>
      </c>
      <c r="O111" s="16">
        <f t="shared" si="220"/>
        <v>5000</v>
      </c>
      <c r="P111" s="16">
        <f t="shared" si="220"/>
        <v>3480479</v>
      </c>
      <c r="Q111" s="16">
        <f t="shared" si="220"/>
        <v>102292</v>
      </c>
      <c r="R111" s="16">
        <f t="shared" si="220"/>
        <v>10320</v>
      </c>
      <c r="S111" s="13">
        <f t="shared" si="220"/>
        <v>20.479899999999997</v>
      </c>
      <c r="T111" s="13">
        <f t="shared" si="220"/>
        <v>19.669899999999998</v>
      </c>
      <c r="U111" s="17">
        <f t="shared" si="220"/>
        <v>0.81</v>
      </c>
      <c r="V111" s="168">
        <f t="shared" si="220"/>
        <v>0</v>
      </c>
      <c r="W111" s="16">
        <f t="shared" si="220"/>
        <v>0</v>
      </c>
      <c r="X111" s="16">
        <f t="shared" si="220"/>
        <v>0</v>
      </c>
      <c r="Y111" s="16">
        <f t="shared" si="220"/>
        <v>0</v>
      </c>
      <c r="Z111" s="16">
        <f t="shared" si="220"/>
        <v>0</v>
      </c>
      <c r="AA111" s="16">
        <f t="shared" si="220"/>
        <v>107250</v>
      </c>
      <c r="AB111" s="16">
        <f t="shared" si="220"/>
        <v>0</v>
      </c>
      <c r="AC111" s="16">
        <f t="shared" si="220"/>
        <v>0</v>
      </c>
      <c r="AD111" s="16">
        <f t="shared" si="220"/>
        <v>0</v>
      </c>
      <c r="AE111" s="16">
        <f t="shared" si="220"/>
        <v>107250</v>
      </c>
      <c r="AF111" s="16">
        <f t="shared" si="220"/>
        <v>107250</v>
      </c>
      <c r="AG111" s="16">
        <f t="shared" si="220"/>
        <v>0</v>
      </c>
      <c r="AH111" s="16">
        <f t="shared" si="220"/>
        <v>0</v>
      </c>
      <c r="AI111" s="16">
        <f t="shared" si="220"/>
        <v>0</v>
      </c>
      <c r="AJ111" s="16">
        <f t="shared" si="220"/>
        <v>0</v>
      </c>
      <c r="AK111" s="16">
        <f t="shared" si="220"/>
        <v>0</v>
      </c>
      <c r="AL111" s="16">
        <f t="shared" si="220"/>
        <v>0</v>
      </c>
      <c r="AM111" s="16">
        <f t="shared" si="220"/>
        <v>0</v>
      </c>
      <c r="AN111" s="16">
        <f t="shared" si="220"/>
        <v>0</v>
      </c>
      <c r="AO111" s="16">
        <f t="shared" si="220"/>
        <v>0</v>
      </c>
      <c r="AP111" s="16">
        <f t="shared" si="220"/>
        <v>107250</v>
      </c>
      <c r="AQ111" s="16">
        <f t="shared" si="220"/>
        <v>107250</v>
      </c>
      <c r="AR111" s="16">
        <f t="shared" si="220"/>
        <v>36250</v>
      </c>
      <c r="AS111" s="16">
        <f t="shared" si="220"/>
        <v>1072</v>
      </c>
      <c r="AT111" s="16">
        <f t="shared" si="220"/>
        <v>0</v>
      </c>
      <c r="AU111" s="16">
        <f t="shared" si="220"/>
        <v>5160</v>
      </c>
      <c r="AV111" s="16">
        <f t="shared" si="220"/>
        <v>5160</v>
      </c>
      <c r="AW111" s="16">
        <f t="shared" si="220"/>
        <v>149732</v>
      </c>
      <c r="AX111" s="13">
        <f t="shared" si="220"/>
        <v>0</v>
      </c>
      <c r="AY111" s="13">
        <f t="shared" si="220"/>
        <v>0</v>
      </c>
      <c r="AZ111" s="13">
        <f t="shared" si="220"/>
        <v>0</v>
      </c>
      <c r="BA111" s="13">
        <f t="shared" si="220"/>
        <v>0</v>
      </c>
      <c r="BB111" s="13">
        <f t="shared" si="220"/>
        <v>0.42000000000000004</v>
      </c>
      <c r="BC111" s="13">
        <f t="shared" si="220"/>
        <v>0</v>
      </c>
      <c r="BD111" s="13">
        <f t="shared" si="220"/>
        <v>0</v>
      </c>
      <c r="BE111" s="13">
        <f t="shared" si="220"/>
        <v>0</v>
      </c>
      <c r="BF111" s="13">
        <f t="shared" si="220"/>
        <v>0</v>
      </c>
      <c r="BG111" s="13">
        <f t="shared" si="220"/>
        <v>0.42000000000000004</v>
      </c>
      <c r="BH111" s="169">
        <f t="shared" si="220"/>
        <v>0.42000000000000004</v>
      </c>
      <c r="BI111" s="167">
        <f t="shared" si="220"/>
        <v>14040103</v>
      </c>
      <c r="BJ111" s="16">
        <f t="shared" si="220"/>
        <v>10336690</v>
      </c>
      <c r="BK111" s="16">
        <f t="shared" si="220"/>
        <v>10019940</v>
      </c>
      <c r="BL111" s="16">
        <f t="shared" si="220"/>
        <v>316750</v>
      </c>
      <c r="BM111" s="16">
        <f t="shared" si="220"/>
        <v>67840</v>
      </c>
      <c r="BN111" s="16">
        <f t="shared" si="220"/>
        <v>62840</v>
      </c>
      <c r="BO111" s="16">
        <f t="shared" si="220"/>
        <v>5000</v>
      </c>
      <c r="BP111" s="16">
        <f t="shared" si="220"/>
        <v>3516729</v>
      </c>
      <c r="BQ111" s="16">
        <f t="shared" si="220"/>
        <v>103364</v>
      </c>
      <c r="BR111" s="16">
        <f t="shared" si="220"/>
        <v>15480</v>
      </c>
      <c r="BS111" s="13">
        <f t="shared" si="220"/>
        <v>20.899899999999999</v>
      </c>
      <c r="BT111" s="13">
        <f t="shared" si="220"/>
        <v>19.669899999999998</v>
      </c>
      <c r="BU111" s="169">
        <f t="shared" ref="BU111:CA111" si="221">SUMIF($F$12:$F$446,"=3143",BU$12:BU$446)</f>
        <v>1.23</v>
      </c>
      <c r="BV111" s="167">
        <f t="shared" si="221"/>
        <v>0</v>
      </c>
      <c r="BW111" s="16">
        <f t="shared" si="221"/>
        <v>0</v>
      </c>
      <c r="BX111" s="16">
        <f t="shared" si="221"/>
        <v>0</v>
      </c>
      <c r="BY111" s="16">
        <f t="shared" si="221"/>
        <v>0</v>
      </c>
      <c r="BZ111" s="16">
        <f t="shared" si="221"/>
        <v>0</v>
      </c>
      <c r="CA111" s="17">
        <f t="shared" si="221"/>
        <v>0</v>
      </c>
    </row>
    <row r="112" spans="1:79" x14ac:dyDescent="0.2">
      <c r="D112" s="9"/>
      <c r="E112" s="5"/>
      <c r="F112" s="9"/>
      <c r="G112" s="20"/>
      <c r="H112" s="19">
        <v>3231</v>
      </c>
      <c r="I112" s="167">
        <f t="shared" ref="I112:BT112" si="222">SUMIF($F$12:$F$446,"=3231",I$12:I$446)</f>
        <v>17361486</v>
      </c>
      <c r="J112" s="16">
        <f t="shared" si="222"/>
        <v>12793190</v>
      </c>
      <c r="K112" s="16">
        <f t="shared" si="222"/>
        <v>12375019</v>
      </c>
      <c r="L112" s="16">
        <f t="shared" si="222"/>
        <v>418171</v>
      </c>
      <c r="M112" s="16">
        <f t="shared" si="222"/>
        <v>70000</v>
      </c>
      <c r="N112" s="16">
        <f t="shared" si="222"/>
        <v>20000</v>
      </c>
      <c r="O112" s="16">
        <f t="shared" si="222"/>
        <v>50000</v>
      </c>
      <c r="P112" s="16">
        <f t="shared" si="222"/>
        <v>4347758</v>
      </c>
      <c r="Q112" s="16">
        <f t="shared" si="222"/>
        <v>127932</v>
      </c>
      <c r="R112" s="16">
        <f t="shared" si="222"/>
        <v>22606</v>
      </c>
      <c r="S112" s="13">
        <f t="shared" si="222"/>
        <v>20.732400000000002</v>
      </c>
      <c r="T112" s="13">
        <f t="shared" si="222"/>
        <v>19.588699999999999</v>
      </c>
      <c r="U112" s="17">
        <f t="shared" si="222"/>
        <v>1.1436999999999999</v>
      </c>
      <c r="V112" s="168">
        <f t="shared" si="222"/>
        <v>0</v>
      </c>
      <c r="W112" s="16">
        <f t="shared" si="222"/>
        <v>0</v>
      </c>
      <c r="X112" s="16">
        <f t="shared" si="222"/>
        <v>0</v>
      </c>
      <c r="Y112" s="16">
        <f t="shared" si="222"/>
        <v>0</v>
      </c>
      <c r="Z112" s="16">
        <f t="shared" si="222"/>
        <v>0</v>
      </c>
      <c r="AA112" s="16">
        <f t="shared" si="222"/>
        <v>0</v>
      </c>
      <c r="AB112" s="16">
        <f t="shared" si="222"/>
        <v>0</v>
      </c>
      <c r="AC112" s="16">
        <f t="shared" si="222"/>
        <v>0</v>
      </c>
      <c r="AD112" s="16">
        <f t="shared" si="222"/>
        <v>0</v>
      </c>
      <c r="AE112" s="16">
        <f t="shared" si="222"/>
        <v>0</v>
      </c>
      <c r="AF112" s="16">
        <f t="shared" si="222"/>
        <v>0</v>
      </c>
      <c r="AG112" s="16">
        <f t="shared" si="222"/>
        <v>0</v>
      </c>
      <c r="AH112" s="16">
        <f t="shared" si="222"/>
        <v>0</v>
      </c>
      <c r="AI112" s="16">
        <f t="shared" si="222"/>
        <v>0</v>
      </c>
      <c r="AJ112" s="16">
        <f t="shared" si="222"/>
        <v>0</v>
      </c>
      <c r="AK112" s="16">
        <f t="shared" si="222"/>
        <v>0</v>
      </c>
      <c r="AL112" s="16">
        <f t="shared" si="222"/>
        <v>0</v>
      </c>
      <c r="AM112" s="16">
        <f t="shared" si="222"/>
        <v>0</v>
      </c>
      <c r="AN112" s="16">
        <f t="shared" si="222"/>
        <v>0</v>
      </c>
      <c r="AO112" s="16">
        <f t="shared" si="222"/>
        <v>0</v>
      </c>
      <c r="AP112" s="16">
        <f t="shared" si="222"/>
        <v>0</v>
      </c>
      <c r="AQ112" s="16">
        <f t="shared" si="222"/>
        <v>0</v>
      </c>
      <c r="AR112" s="16">
        <f t="shared" si="222"/>
        <v>0</v>
      </c>
      <c r="AS112" s="16">
        <f t="shared" si="222"/>
        <v>0</v>
      </c>
      <c r="AT112" s="16">
        <f t="shared" si="222"/>
        <v>0</v>
      </c>
      <c r="AU112" s="16">
        <f t="shared" si="222"/>
        <v>0</v>
      </c>
      <c r="AV112" s="16">
        <f t="shared" si="222"/>
        <v>0</v>
      </c>
      <c r="AW112" s="16">
        <f t="shared" si="222"/>
        <v>0</v>
      </c>
      <c r="AX112" s="13">
        <f t="shared" si="222"/>
        <v>0</v>
      </c>
      <c r="AY112" s="13">
        <f t="shared" si="222"/>
        <v>0</v>
      </c>
      <c r="AZ112" s="13">
        <f t="shared" si="222"/>
        <v>0</v>
      </c>
      <c r="BA112" s="13">
        <f t="shared" si="222"/>
        <v>0</v>
      </c>
      <c r="BB112" s="13">
        <f t="shared" si="222"/>
        <v>0</v>
      </c>
      <c r="BC112" s="13">
        <f t="shared" si="222"/>
        <v>0</v>
      </c>
      <c r="BD112" s="13">
        <f t="shared" si="222"/>
        <v>0</v>
      </c>
      <c r="BE112" s="13">
        <f t="shared" si="222"/>
        <v>0</v>
      </c>
      <c r="BF112" s="13">
        <f t="shared" si="222"/>
        <v>0</v>
      </c>
      <c r="BG112" s="13">
        <f t="shared" si="222"/>
        <v>0</v>
      </c>
      <c r="BH112" s="169">
        <f t="shared" si="222"/>
        <v>0</v>
      </c>
      <c r="BI112" s="167">
        <f t="shared" si="222"/>
        <v>17361486</v>
      </c>
      <c r="BJ112" s="16">
        <f t="shared" si="222"/>
        <v>12793190</v>
      </c>
      <c r="BK112" s="16">
        <f t="shared" si="222"/>
        <v>12375019</v>
      </c>
      <c r="BL112" s="16">
        <f t="shared" si="222"/>
        <v>418171</v>
      </c>
      <c r="BM112" s="16">
        <f t="shared" si="222"/>
        <v>70000</v>
      </c>
      <c r="BN112" s="16">
        <f t="shared" si="222"/>
        <v>20000</v>
      </c>
      <c r="BO112" s="16">
        <f t="shared" si="222"/>
        <v>50000</v>
      </c>
      <c r="BP112" s="16">
        <f t="shared" si="222"/>
        <v>4347758</v>
      </c>
      <c r="BQ112" s="16">
        <f t="shared" si="222"/>
        <v>127932</v>
      </c>
      <c r="BR112" s="16">
        <f t="shared" si="222"/>
        <v>22606</v>
      </c>
      <c r="BS112" s="13">
        <f t="shared" si="222"/>
        <v>20.732400000000002</v>
      </c>
      <c r="BT112" s="13">
        <f t="shared" si="222"/>
        <v>19.588699999999999</v>
      </c>
      <c r="BU112" s="169">
        <f t="shared" ref="BU112:CA112" si="223">SUMIF($F$12:$F$446,"=3231",BU$12:BU$446)</f>
        <v>1.1436999999999999</v>
      </c>
      <c r="BV112" s="167">
        <f t="shared" si="223"/>
        <v>0</v>
      </c>
      <c r="BW112" s="16">
        <f t="shared" si="223"/>
        <v>0</v>
      </c>
      <c r="BX112" s="16">
        <f t="shared" si="223"/>
        <v>0</v>
      </c>
      <c r="BY112" s="16">
        <f t="shared" si="223"/>
        <v>0</v>
      </c>
      <c r="BZ112" s="16">
        <f t="shared" si="223"/>
        <v>0</v>
      </c>
      <c r="CA112" s="17">
        <f t="shared" si="223"/>
        <v>0</v>
      </c>
    </row>
    <row r="113" spans="4:79" ht="13.5" thickBot="1" x14ac:dyDescent="0.25">
      <c r="D113" s="9"/>
      <c r="E113" s="5"/>
      <c r="F113" s="9"/>
      <c r="G113" s="20"/>
      <c r="H113" s="138">
        <v>3233</v>
      </c>
      <c r="I113" s="170">
        <f t="shared" ref="I113:BT113" si="224">SUMIF($F$12:$F$446,"=3233",I$12:I$446)</f>
        <v>2726633</v>
      </c>
      <c r="J113" s="171">
        <f t="shared" si="224"/>
        <v>2021200</v>
      </c>
      <c r="K113" s="171">
        <f t="shared" si="224"/>
        <v>1701044</v>
      </c>
      <c r="L113" s="171">
        <f t="shared" si="224"/>
        <v>320156</v>
      </c>
      <c r="M113" s="171">
        <f t="shared" si="224"/>
        <v>0</v>
      </c>
      <c r="N113" s="171">
        <f t="shared" si="224"/>
        <v>0</v>
      </c>
      <c r="O113" s="171">
        <f t="shared" si="224"/>
        <v>0</v>
      </c>
      <c r="P113" s="171">
        <f t="shared" si="224"/>
        <v>683166</v>
      </c>
      <c r="Q113" s="171">
        <f t="shared" si="224"/>
        <v>20212</v>
      </c>
      <c r="R113" s="171">
        <f t="shared" si="224"/>
        <v>2055</v>
      </c>
      <c r="S113" s="172">
        <f t="shared" si="224"/>
        <v>4.1100000000000003</v>
      </c>
      <c r="T113" s="172">
        <f t="shared" si="224"/>
        <v>3.08</v>
      </c>
      <c r="U113" s="173">
        <f t="shared" si="224"/>
        <v>1.03</v>
      </c>
      <c r="V113" s="174">
        <f t="shared" si="224"/>
        <v>0</v>
      </c>
      <c r="W113" s="171">
        <f t="shared" si="224"/>
        <v>0</v>
      </c>
      <c r="X113" s="171">
        <f t="shared" si="224"/>
        <v>0</v>
      </c>
      <c r="Y113" s="171">
        <f t="shared" si="224"/>
        <v>0</v>
      </c>
      <c r="Z113" s="171">
        <f t="shared" si="224"/>
        <v>0</v>
      </c>
      <c r="AA113" s="171">
        <f t="shared" si="224"/>
        <v>160058</v>
      </c>
      <c r="AB113" s="171">
        <f t="shared" si="224"/>
        <v>0</v>
      </c>
      <c r="AC113" s="171">
        <f t="shared" si="224"/>
        <v>0</v>
      </c>
      <c r="AD113" s="171">
        <f t="shared" si="224"/>
        <v>0</v>
      </c>
      <c r="AE113" s="171">
        <f t="shared" si="224"/>
        <v>160058</v>
      </c>
      <c r="AF113" s="171">
        <f t="shared" si="224"/>
        <v>160058</v>
      </c>
      <c r="AG113" s="171">
        <f t="shared" si="224"/>
        <v>0</v>
      </c>
      <c r="AH113" s="171">
        <f t="shared" si="224"/>
        <v>0</v>
      </c>
      <c r="AI113" s="171">
        <f t="shared" si="224"/>
        <v>0</v>
      </c>
      <c r="AJ113" s="171">
        <f t="shared" si="224"/>
        <v>0</v>
      </c>
      <c r="AK113" s="171">
        <f t="shared" si="224"/>
        <v>0</v>
      </c>
      <c r="AL113" s="171">
        <f t="shared" si="224"/>
        <v>0</v>
      </c>
      <c r="AM113" s="171">
        <f t="shared" si="224"/>
        <v>0</v>
      </c>
      <c r="AN113" s="171">
        <f t="shared" si="224"/>
        <v>0</v>
      </c>
      <c r="AO113" s="171">
        <f t="shared" si="224"/>
        <v>0</v>
      </c>
      <c r="AP113" s="171">
        <f t="shared" si="224"/>
        <v>160058</v>
      </c>
      <c r="AQ113" s="171">
        <f t="shared" si="224"/>
        <v>160058</v>
      </c>
      <c r="AR113" s="171">
        <f t="shared" si="224"/>
        <v>54100</v>
      </c>
      <c r="AS113" s="171">
        <f t="shared" si="224"/>
        <v>1601</v>
      </c>
      <c r="AT113" s="171">
        <f t="shared" si="224"/>
        <v>0</v>
      </c>
      <c r="AU113" s="171">
        <f t="shared" si="224"/>
        <v>822</v>
      </c>
      <c r="AV113" s="171">
        <f t="shared" si="224"/>
        <v>822</v>
      </c>
      <c r="AW113" s="171">
        <f t="shared" si="224"/>
        <v>216581</v>
      </c>
      <c r="AX113" s="172">
        <f t="shared" si="224"/>
        <v>0</v>
      </c>
      <c r="AY113" s="172">
        <f t="shared" si="224"/>
        <v>0</v>
      </c>
      <c r="AZ113" s="172">
        <f t="shared" si="224"/>
        <v>0</v>
      </c>
      <c r="BA113" s="172">
        <f t="shared" si="224"/>
        <v>0</v>
      </c>
      <c r="BB113" s="172">
        <f t="shared" si="224"/>
        <v>0.52</v>
      </c>
      <c r="BC113" s="172">
        <f t="shared" si="224"/>
        <v>0</v>
      </c>
      <c r="BD113" s="172">
        <f t="shared" si="224"/>
        <v>0</v>
      </c>
      <c r="BE113" s="172">
        <f t="shared" si="224"/>
        <v>0</v>
      </c>
      <c r="BF113" s="172">
        <f t="shared" si="224"/>
        <v>0</v>
      </c>
      <c r="BG113" s="172">
        <f t="shared" si="224"/>
        <v>0.52</v>
      </c>
      <c r="BH113" s="175">
        <f t="shared" si="224"/>
        <v>0.52</v>
      </c>
      <c r="BI113" s="170">
        <f t="shared" si="224"/>
        <v>2943214</v>
      </c>
      <c r="BJ113" s="171">
        <f t="shared" si="224"/>
        <v>2181258</v>
      </c>
      <c r="BK113" s="171">
        <f t="shared" si="224"/>
        <v>1701044</v>
      </c>
      <c r="BL113" s="171">
        <f t="shared" si="224"/>
        <v>480214</v>
      </c>
      <c r="BM113" s="171">
        <f t="shared" si="224"/>
        <v>0</v>
      </c>
      <c r="BN113" s="171">
        <f t="shared" si="224"/>
        <v>0</v>
      </c>
      <c r="BO113" s="171">
        <f t="shared" si="224"/>
        <v>0</v>
      </c>
      <c r="BP113" s="171">
        <f t="shared" si="224"/>
        <v>737266</v>
      </c>
      <c r="BQ113" s="171">
        <f t="shared" si="224"/>
        <v>21813</v>
      </c>
      <c r="BR113" s="171">
        <f t="shared" si="224"/>
        <v>2877</v>
      </c>
      <c r="BS113" s="172">
        <f t="shared" si="224"/>
        <v>4.6300000000000008</v>
      </c>
      <c r="BT113" s="172">
        <f t="shared" si="224"/>
        <v>3.08</v>
      </c>
      <c r="BU113" s="175">
        <f t="shared" ref="BU113:CA113" si="225">SUMIF($F$12:$F$446,"=3233",BU$12:BU$446)</f>
        <v>1.55</v>
      </c>
      <c r="BV113" s="170">
        <f t="shared" si="225"/>
        <v>0</v>
      </c>
      <c r="BW113" s="171">
        <f t="shared" si="225"/>
        <v>0</v>
      </c>
      <c r="BX113" s="171">
        <f t="shared" si="225"/>
        <v>0</v>
      </c>
      <c r="BY113" s="171">
        <f t="shared" si="225"/>
        <v>0</v>
      </c>
      <c r="BZ113" s="171">
        <f t="shared" si="225"/>
        <v>0</v>
      </c>
      <c r="CA113" s="173">
        <f t="shared" si="225"/>
        <v>0</v>
      </c>
    </row>
    <row r="114" spans="4:79" x14ac:dyDescent="0.2">
      <c r="D114" s="5"/>
      <c r="E114" s="5"/>
      <c r="F114" s="5"/>
      <c r="G114" s="20"/>
      <c r="H114" s="5"/>
    </row>
  </sheetData>
  <mergeCells count="54"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T8:BU9"/>
    <mergeCell ref="BQ9:BQ10"/>
    <mergeCell ref="BI8:BI10"/>
    <mergeCell ref="AD9:AE9"/>
    <mergeCell ref="BJ9:BJ10"/>
    <mergeCell ref="BK9:BL9"/>
    <mergeCell ref="AW7:AW10"/>
    <mergeCell ref="AJ9:AK9"/>
    <mergeCell ref="AO7:AQ9"/>
    <mergeCell ref="AR7:AR10"/>
    <mergeCell ref="AS7:AS10"/>
    <mergeCell ref="AT7:AV9"/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Z9:AA9"/>
    <mergeCell ref="AG7:AN8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A131"/>
  <sheetViews>
    <sheetView zoomScaleNormal="100" workbookViewId="0">
      <pane xSplit="8" ySplit="11" topLeftCell="BG60" activePane="bottomRight" state="frozen"/>
      <selection activeCell="E477" sqref="E477"/>
      <selection pane="topRight" activeCell="E477" sqref="E477"/>
      <selection pane="bottomLeft" activeCell="E477" sqref="E477"/>
      <selection pane="bottomRight" activeCell="BI6" sqref="BI6:BU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4" width="10.28515625" style="8" customWidth="1"/>
    <col min="45" max="45" width="10.28515625" style="7" customWidth="1"/>
    <col min="46" max="46" width="9.28515625" style="7" customWidth="1"/>
    <col min="47" max="47" width="12.5703125" style="7" customWidth="1"/>
    <col min="48" max="48" width="9.140625" style="8" customWidth="1"/>
    <col min="49" max="49" width="9.7109375" style="8" customWidth="1"/>
    <col min="50" max="50" width="10.140625" style="7" customWidth="1"/>
    <col min="51" max="51" width="9.140625" style="7" customWidth="1"/>
    <col min="52" max="52" width="9.7109375" style="7" customWidth="1"/>
    <col min="53" max="55" width="9.140625" style="7" customWidth="1"/>
    <col min="56" max="56" width="10.140625" style="7" customWidth="1"/>
    <col min="57" max="60" width="9.28515625" style="7" customWidth="1"/>
    <col min="61" max="70" width="10.85546875" style="8" customWidth="1"/>
    <col min="71" max="73" width="9.28515625" style="7" customWidth="1"/>
    <col min="74" max="78" width="9.7109375" style="8" customWidth="1"/>
    <col min="79" max="79" width="9.7109375" style="7" customWidth="1"/>
    <col min="189" max="189" width="7" customWidth="1"/>
    <col min="190" max="190" width="33.140625" customWidth="1"/>
    <col min="191" max="191" width="6.42578125" customWidth="1"/>
    <col min="192" max="192" width="29" customWidth="1"/>
    <col min="193" max="193" width="11.42578125" customWidth="1"/>
    <col min="194" max="194" width="10.7109375" customWidth="1"/>
    <col min="195" max="195" width="10.85546875" customWidth="1"/>
    <col min="196" max="196" width="11.28515625" customWidth="1"/>
    <col min="198" max="198" width="9.7109375" customWidth="1"/>
    <col min="201" max="201" width="10.42578125" customWidth="1"/>
    <col min="445" max="445" width="7" customWidth="1"/>
    <col min="446" max="446" width="33.140625" customWidth="1"/>
    <col min="447" max="447" width="6.42578125" customWidth="1"/>
    <col min="448" max="448" width="29" customWidth="1"/>
    <col min="449" max="449" width="11.42578125" customWidth="1"/>
    <col min="450" max="450" width="10.7109375" customWidth="1"/>
    <col min="451" max="451" width="10.85546875" customWidth="1"/>
    <col min="452" max="452" width="11.28515625" customWidth="1"/>
    <col min="454" max="454" width="9.7109375" customWidth="1"/>
    <col min="457" max="457" width="10.42578125" customWidth="1"/>
    <col min="701" max="701" width="7" customWidth="1"/>
    <col min="702" max="702" width="33.140625" customWidth="1"/>
    <col min="703" max="703" width="6.42578125" customWidth="1"/>
    <col min="704" max="704" width="29" customWidth="1"/>
    <col min="705" max="705" width="11.42578125" customWidth="1"/>
    <col min="706" max="706" width="10.7109375" customWidth="1"/>
    <col min="707" max="707" width="10.85546875" customWidth="1"/>
    <col min="708" max="708" width="11.28515625" customWidth="1"/>
    <col min="710" max="710" width="9.7109375" customWidth="1"/>
    <col min="713" max="713" width="10.42578125" customWidth="1"/>
    <col min="957" max="957" width="7" customWidth="1"/>
    <col min="958" max="958" width="33.140625" customWidth="1"/>
    <col min="959" max="959" width="6.42578125" customWidth="1"/>
    <col min="960" max="960" width="29" customWidth="1"/>
    <col min="961" max="961" width="11.42578125" customWidth="1"/>
    <col min="962" max="962" width="10.7109375" customWidth="1"/>
    <col min="963" max="963" width="10.85546875" customWidth="1"/>
    <col min="964" max="964" width="11.28515625" customWidth="1"/>
    <col min="966" max="966" width="9.7109375" customWidth="1"/>
    <col min="969" max="969" width="10.42578125" customWidth="1"/>
    <col min="1213" max="1213" width="7" customWidth="1"/>
    <col min="1214" max="1214" width="33.140625" customWidth="1"/>
    <col min="1215" max="1215" width="6.42578125" customWidth="1"/>
    <col min="1216" max="1216" width="29" customWidth="1"/>
    <col min="1217" max="1217" width="11.42578125" customWidth="1"/>
    <col min="1218" max="1218" width="10.7109375" customWidth="1"/>
    <col min="1219" max="1219" width="10.85546875" customWidth="1"/>
    <col min="1220" max="1220" width="11.28515625" customWidth="1"/>
    <col min="1222" max="1222" width="9.7109375" customWidth="1"/>
    <col min="1225" max="1225" width="10.42578125" customWidth="1"/>
    <col min="1469" max="1469" width="7" customWidth="1"/>
    <col min="1470" max="1470" width="33.140625" customWidth="1"/>
    <col min="1471" max="1471" width="6.42578125" customWidth="1"/>
    <col min="1472" max="1472" width="29" customWidth="1"/>
    <col min="1473" max="1473" width="11.42578125" customWidth="1"/>
    <col min="1474" max="1474" width="10.7109375" customWidth="1"/>
    <col min="1475" max="1475" width="10.85546875" customWidth="1"/>
    <col min="1476" max="1476" width="11.28515625" customWidth="1"/>
    <col min="1478" max="1478" width="9.7109375" customWidth="1"/>
    <col min="1481" max="1481" width="10.42578125" customWidth="1"/>
    <col min="1725" max="1725" width="7" customWidth="1"/>
    <col min="1726" max="1726" width="33.140625" customWidth="1"/>
    <col min="1727" max="1727" width="6.42578125" customWidth="1"/>
    <col min="1728" max="1728" width="29" customWidth="1"/>
    <col min="1729" max="1729" width="11.42578125" customWidth="1"/>
    <col min="1730" max="1730" width="10.7109375" customWidth="1"/>
    <col min="1731" max="1731" width="10.85546875" customWidth="1"/>
    <col min="1732" max="1732" width="11.28515625" customWidth="1"/>
    <col min="1734" max="1734" width="9.7109375" customWidth="1"/>
    <col min="1737" max="1737" width="10.42578125" customWidth="1"/>
    <col min="1981" max="1981" width="7" customWidth="1"/>
    <col min="1982" max="1982" width="33.140625" customWidth="1"/>
    <col min="1983" max="1983" width="6.42578125" customWidth="1"/>
    <col min="1984" max="1984" width="29" customWidth="1"/>
    <col min="1985" max="1985" width="11.42578125" customWidth="1"/>
    <col min="1986" max="1986" width="10.7109375" customWidth="1"/>
    <col min="1987" max="1987" width="10.85546875" customWidth="1"/>
    <col min="1988" max="1988" width="11.28515625" customWidth="1"/>
    <col min="1990" max="1990" width="9.7109375" customWidth="1"/>
    <col min="1993" max="1993" width="10.42578125" customWidth="1"/>
    <col min="2237" max="2237" width="7" customWidth="1"/>
    <col min="2238" max="2238" width="33.140625" customWidth="1"/>
    <col min="2239" max="2239" width="6.42578125" customWidth="1"/>
    <col min="2240" max="2240" width="29" customWidth="1"/>
    <col min="2241" max="2241" width="11.42578125" customWidth="1"/>
    <col min="2242" max="2242" width="10.7109375" customWidth="1"/>
    <col min="2243" max="2243" width="10.85546875" customWidth="1"/>
    <col min="2244" max="2244" width="11.28515625" customWidth="1"/>
    <col min="2246" max="2246" width="9.7109375" customWidth="1"/>
    <col min="2249" max="2249" width="10.42578125" customWidth="1"/>
    <col min="2493" max="2493" width="7" customWidth="1"/>
    <col min="2494" max="2494" width="33.140625" customWidth="1"/>
    <col min="2495" max="2495" width="6.42578125" customWidth="1"/>
    <col min="2496" max="2496" width="29" customWidth="1"/>
    <col min="2497" max="2497" width="11.42578125" customWidth="1"/>
    <col min="2498" max="2498" width="10.7109375" customWidth="1"/>
    <col min="2499" max="2499" width="10.85546875" customWidth="1"/>
    <col min="2500" max="2500" width="11.28515625" customWidth="1"/>
    <col min="2502" max="2502" width="9.7109375" customWidth="1"/>
    <col min="2505" max="2505" width="10.42578125" customWidth="1"/>
    <col min="2749" max="2749" width="7" customWidth="1"/>
    <col min="2750" max="2750" width="33.140625" customWidth="1"/>
    <col min="2751" max="2751" width="6.42578125" customWidth="1"/>
    <col min="2752" max="2752" width="29" customWidth="1"/>
    <col min="2753" max="2753" width="11.42578125" customWidth="1"/>
    <col min="2754" max="2754" width="10.7109375" customWidth="1"/>
    <col min="2755" max="2755" width="10.85546875" customWidth="1"/>
    <col min="2756" max="2756" width="11.28515625" customWidth="1"/>
    <col min="2758" max="2758" width="9.7109375" customWidth="1"/>
    <col min="2761" max="2761" width="10.42578125" customWidth="1"/>
    <col min="3005" max="3005" width="7" customWidth="1"/>
    <col min="3006" max="3006" width="33.140625" customWidth="1"/>
    <col min="3007" max="3007" width="6.42578125" customWidth="1"/>
    <col min="3008" max="3008" width="29" customWidth="1"/>
    <col min="3009" max="3009" width="11.42578125" customWidth="1"/>
    <col min="3010" max="3010" width="10.7109375" customWidth="1"/>
    <col min="3011" max="3011" width="10.85546875" customWidth="1"/>
    <col min="3012" max="3012" width="11.28515625" customWidth="1"/>
    <col min="3014" max="3014" width="9.7109375" customWidth="1"/>
    <col min="3017" max="3017" width="10.42578125" customWidth="1"/>
    <col min="3261" max="3261" width="7" customWidth="1"/>
    <col min="3262" max="3262" width="33.140625" customWidth="1"/>
    <col min="3263" max="3263" width="6.42578125" customWidth="1"/>
    <col min="3264" max="3264" width="29" customWidth="1"/>
    <col min="3265" max="3265" width="11.42578125" customWidth="1"/>
    <col min="3266" max="3266" width="10.7109375" customWidth="1"/>
    <col min="3267" max="3267" width="10.85546875" customWidth="1"/>
    <col min="3268" max="3268" width="11.28515625" customWidth="1"/>
    <col min="3270" max="3270" width="9.7109375" customWidth="1"/>
    <col min="3273" max="3273" width="10.42578125" customWidth="1"/>
    <col min="3517" max="3517" width="7" customWidth="1"/>
    <col min="3518" max="3518" width="33.140625" customWidth="1"/>
    <col min="3519" max="3519" width="6.42578125" customWidth="1"/>
    <col min="3520" max="3520" width="29" customWidth="1"/>
    <col min="3521" max="3521" width="11.42578125" customWidth="1"/>
    <col min="3522" max="3522" width="10.7109375" customWidth="1"/>
    <col min="3523" max="3523" width="10.85546875" customWidth="1"/>
    <col min="3524" max="3524" width="11.28515625" customWidth="1"/>
    <col min="3526" max="3526" width="9.7109375" customWidth="1"/>
    <col min="3529" max="3529" width="10.42578125" customWidth="1"/>
    <col min="3773" max="3773" width="7" customWidth="1"/>
    <col min="3774" max="3774" width="33.140625" customWidth="1"/>
    <col min="3775" max="3775" width="6.42578125" customWidth="1"/>
    <col min="3776" max="3776" width="29" customWidth="1"/>
    <col min="3777" max="3777" width="11.42578125" customWidth="1"/>
    <col min="3778" max="3778" width="10.7109375" customWidth="1"/>
    <col min="3779" max="3779" width="10.85546875" customWidth="1"/>
    <col min="3780" max="3780" width="11.28515625" customWidth="1"/>
    <col min="3782" max="3782" width="9.7109375" customWidth="1"/>
    <col min="3785" max="3785" width="10.42578125" customWidth="1"/>
    <col min="4029" max="4029" width="7" customWidth="1"/>
    <col min="4030" max="4030" width="33.140625" customWidth="1"/>
    <col min="4031" max="4031" width="6.42578125" customWidth="1"/>
    <col min="4032" max="4032" width="29" customWidth="1"/>
    <col min="4033" max="4033" width="11.42578125" customWidth="1"/>
    <col min="4034" max="4034" width="10.7109375" customWidth="1"/>
    <col min="4035" max="4035" width="10.85546875" customWidth="1"/>
    <col min="4036" max="4036" width="11.28515625" customWidth="1"/>
    <col min="4038" max="4038" width="9.7109375" customWidth="1"/>
    <col min="4041" max="4041" width="10.42578125" customWidth="1"/>
    <col min="4285" max="4285" width="7" customWidth="1"/>
    <col min="4286" max="4286" width="33.140625" customWidth="1"/>
    <col min="4287" max="4287" width="6.42578125" customWidth="1"/>
    <col min="4288" max="4288" width="29" customWidth="1"/>
    <col min="4289" max="4289" width="11.42578125" customWidth="1"/>
    <col min="4290" max="4290" width="10.7109375" customWidth="1"/>
    <col min="4291" max="4291" width="10.85546875" customWidth="1"/>
    <col min="4292" max="4292" width="11.28515625" customWidth="1"/>
    <col min="4294" max="4294" width="9.7109375" customWidth="1"/>
    <col min="4297" max="4297" width="10.42578125" customWidth="1"/>
    <col min="4541" max="4541" width="7" customWidth="1"/>
    <col min="4542" max="4542" width="33.140625" customWidth="1"/>
    <col min="4543" max="4543" width="6.42578125" customWidth="1"/>
    <col min="4544" max="4544" width="29" customWidth="1"/>
    <col min="4545" max="4545" width="11.42578125" customWidth="1"/>
    <col min="4546" max="4546" width="10.7109375" customWidth="1"/>
    <col min="4547" max="4547" width="10.85546875" customWidth="1"/>
    <col min="4548" max="4548" width="11.28515625" customWidth="1"/>
    <col min="4550" max="4550" width="9.7109375" customWidth="1"/>
    <col min="4553" max="4553" width="10.42578125" customWidth="1"/>
    <col min="4797" max="4797" width="7" customWidth="1"/>
    <col min="4798" max="4798" width="33.140625" customWidth="1"/>
    <col min="4799" max="4799" width="6.42578125" customWidth="1"/>
    <col min="4800" max="4800" width="29" customWidth="1"/>
    <col min="4801" max="4801" width="11.42578125" customWidth="1"/>
    <col min="4802" max="4802" width="10.7109375" customWidth="1"/>
    <col min="4803" max="4803" width="10.85546875" customWidth="1"/>
    <col min="4804" max="4804" width="11.28515625" customWidth="1"/>
    <col min="4806" max="4806" width="9.7109375" customWidth="1"/>
    <col min="4809" max="4809" width="10.42578125" customWidth="1"/>
    <col min="5053" max="5053" width="7" customWidth="1"/>
    <col min="5054" max="5054" width="33.140625" customWidth="1"/>
    <col min="5055" max="5055" width="6.42578125" customWidth="1"/>
    <col min="5056" max="5056" width="29" customWidth="1"/>
    <col min="5057" max="5057" width="11.42578125" customWidth="1"/>
    <col min="5058" max="5058" width="10.7109375" customWidth="1"/>
    <col min="5059" max="5059" width="10.85546875" customWidth="1"/>
    <col min="5060" max="5060" width="11.28515625" customWidth="1"/>
    <col min="5062" max="5062" width="9.7109375" customWidth="1"/>
    <col min="5065" max="5065" width="10.42578125" customWidth="1"/>
    <col min="5309" max="5309" width="7" customWidth="1"/>
    <col min="5310" max="5310" width="33.140625" customWidth="1"/>
    <col min="5311" max="5311" width="6.42578125" customWidth="1"/>
    <col min="5312" max="5312" width="29" customWidth="1"/>
    <col min="5313" max="5313" width="11.42578125" customWidth="1"/>
    <col min="5314" max="5314" width="10.7109375" customWidth="1"/>
    <col min="5315" max="5315" width="10.85546875" customWidth="1"/>
    <col min="5316" max="5316" width="11.28515625" customWidth="1"/>
    <col min="5318" max="5318" width="9.7109375" customWidth="1"/>
    <col min="5321" max="5321" width="10.42578125" customWidth="1"/>
    <col min="5565" max="5565" width="7" customWidth="1"/>
    <col min="5566" max="5566" width="33.140625" customWidth="1"/>
    <col min="5567" max="5567" width="6.42578125" customWidth="1"/>
    <col min="5568" max="5568" width="29" customWidth="1"/>
    <col min="5569" max="5569" width="11.42578125" customWidth="1"/>
    <col min="5570" max="5570" width="10.7109375" customWidth="1"/>
    <col min="5571" max="5571" width="10.85546875" customWidth="1"/>
    <col min="5572" max="5572" width="11.28515625" customWidth="1"/>
    <col min="5574" max="5574" width="9.7109375" customWidth="1"/>
    <col min="5577" max="5577" width="10.42578125" customWidth="1"/>
    <col min="5821" max="5821" width="7" customWidth="1"/>
    <col min="5822" max="5822" width="33.140625" customWidth="1"/>
    <col min="5823" max="5823" width="6.42578125" customWidth="1"/>
    <col min="5824" max="5824" width="29" customWidth="1"/>
    <col min="5825" max="5825" width="11.42578125" customWidth="1"/>
    <col min="5826" max="5826" width="10.7109375" customWidth="1"/>
    <col min="5827" max="5827" width="10.85546875" customWidth="1"/>
    <col min="5828" max="5828" width="11.28515625" customWidth="1"/>
    <col min="5830" max="5830" width="9.7109375" customWidth="1"/>
    <col min="5833" max="5833" width="10.42578125" customWidth="1"/>
    <col min="6077" max="6077" width="7" customWidth="1"/>
    <col min="6078" max="6078" width="33.140625" customWidth="1"/>
    <col min="6079" max="6079" width="6.42578125" customWidth="1"/>
    <col min="6080" max="6080" width="29" customWidth="1"/>
    <col min="6081" max="6081" width="11.42578125" customWidth="1"/>
    <col min="6082" max="6082" width="10.7109375" customWidth="1"/>
    <col min="6083" max="6083" width="10.85546875" customWidth="1"/>
    <col min="6084" max="6084" width="11.28515625" customWidth="1"/>
    <col min="6086" max="6086" width="9.7109375" customWidth="1"/>
    <col min="6089" max="6089" width="10.42578125" customWidth="1"/>
    <col min="6333" max="6333" width="7" customWidth="1"/>
    <col min="6334" max="6334" width="33.140625" customWidth="1"/>
    <col min="6335" max="6335" width="6.42578125" customWidth="1"/>
    <col min="6336" max="6336" width="29" customWidth="1"/>
    <col min="6337" max="6337" width="11.42578125" customWidth="1"/>
    <col min="6338" max="6338" width="10.7109375" customWidth="1"/>
    <col min="6339" max="6339" width="10.85546875" customWidth="1"/>
    <col min="6340" max="6340" width="11.28515625" customWidth="1"/>
    <col min="6342" max="6342" width="9.7109375" customWidth="1"/>
    <col min="6345" max="6345" width="10.42578125" customWidth="1"/>
    <col min="6589" max="6589" width="7" customWidth="1"/>
    <col min="6590" max="6590" width="33.140625" customWidth="1"/>
    <col min="6591" max="6591" width="6.42578125" customWidth="1"/>
    <col min="6592" max="6592" width="29" customWidth="1"/>
    <col min="6593" max="6593" width="11.42578125" customWidth="1"/>
    <col min="6594" max="6594" width="10.7109375" customWidth="1"/>
    <col min="6595" max="6595" width="10.85546875" customWidth="1"/>
    <col min="6596" max="6596" width="11.28515625" customWidth="1"/>
    <col min="6598" max="6598" width="9.7109375" customWidth="1"/>
    <col min="6601" max="6601" width="10.42578125" customWidth="1"/>
    <col min="6845" max="6845" width="7" customWidth="1"/>
    <col min="6846" max="6846" width="33.140625" customWidth="1"/>
    <col min="6847" max="6847" width="6.42578125" customWidth="1"/>
    <col min="6848" max="6848" width="29" customWidth="1"/>
    <col min="6849" max="6849" width="11.42578125" customWidth="1"/>
    <col min="6850" max="6850" width="10.7109375" customWidth="1"/>
    <col min="6851" max="6851" width="10.85546875" customWidth="1"/>
    <col min="6852" max="6852" width="11.28515625" customWidth="1"/>
    <col min="6854" max="6854" width="9.7109375" customWidth="1"/>
    <col min="6857" max="6857" width="10.42578125" customWidth="1"/>
    <col min="7101" max="7101" width="7" customWidth="1"/>
    <col min="7102" max="7102" width="33.140625" customWidth="1"/>
    <col min="7103" max="7103" width="6.42578125" customWidth="1"/>
    <col min="7104" max="7104" width="29" customWidth="1"/>
    <col min="7105" max="7105" width="11.42578125" customWidth="1"/>
    <col min="7106" max="7106" width="10.7109375" customWidth="1"/>
    <col min="7107" max="7107" width="10.85546875" customWidth="1"/>
    <col min="7108" max="7108" width="11.28515625" customWidth="1"/>
    <col min="7110" max="7110" width="9.7109375" customWidth="1"/>
    <col min="7113" max="7113" width="10.42578125" customWidth="1"/>
    <col min="7357" max="7357" width="7" customWidth="1"/>
    <col min="7358" max="7358" width="33.140625" customWidth="1"/>
    <col min="7359" max="7359" width="6.42578125" customWidth="1"/>
    <col min="7360" max="7360" width="29" customWidth="1"/>
    <col min="7361" max="7361" width="11.42578125" customWidth="1"/>
    <col min="7362" max="7362" width="10.7109375" customWidth="1"/>
    <col min="7363" max="7363" width="10.85546875" customWidth="1"/>
    <col min="7364" max="7364" width="11.28515625" customWidth="1"/>
    <col min="7366" max="7366" width="9.7109375" customWidth="1"/>
    <col min="7369" max="7369" width="10.42578125" customWidth="1"/>
    <col min="7613" max="7613" width="7" customWidth="1"/>
    <col min="7614" max="7614" width="33.140625" customWidth="1"/>
    <col min="7615" max="7615" width="6.42578125" customWidth="1"/>
    <col min="7616" max="7616" width="29" customWidth="1"/>
    <col min="7617" max="7617" width="11.42578125" customWidth="1"/>
    <col min="7618" max="7618" width="10.7109375" customWidth="1"/>
    <col min="7619" max="7619" width="10.85546875" customWidth="1"/>
    <col min="7620" max="7620" width="11.28515625" customWidth="1"/>
    <col min="7622" max="7622" width="9.7109375" customWidth="1"/>
    <col min="7625" max="7625" width="10.42578125" customWidth="1"/>
    <col min="7869" max="7869" width="7" customWidth="1"/>
    <col min="7870" max="7870" width="33.140625" customWidth="1"/>
    <col min="7871" max="7871" width="6.42578125" customWidth="1"/>
    <col min="7872" max="7872" width="29" customWidth="1"/>
    <col min="7873" max="7873" width="11.42578125" customWidth="1"/>
    <col min="7874" max="7874" width="10.7109375" customWidth="1"/>
    <col min="7875" max="7875" width="10.85546875" customWidth="1"/>
    <col min="7876" max="7876" width="11.28515625" customWidth="1"/>
    <col min="7878" max="7878" width="9.7109375" customWidth="1"/>
    <col min="7881" max="7881" width="10.42578125" customWidth="1"/>
    <col min="8125" max="8125" width="7" customWidth="1"/>
    <col min="8126" max="8126" width="33.140625" customWidth="1"/>
    <col min="8127" max="8127" width="6.42578125" customWidth="1"/>
    <col min="8128" max="8128" width="29" customWidth="1"/>
    <col min="8129" max="8129" width="11.42578125" customWidth="1"/>
    <col min="8130" max="8130" width="10.7109375" customWidth="1"/>
    <col min="8131" max="8131" width="10.85546875" customWidth="1"/>
    <col min="8132" max="8132" width="11.28515625" customWidth="1"/>
    <col min="8134" max="8134" width="9.7109375" customWidth="1"/>
    <col min="8137" max="8137" width="10.42578125" customWidth="1"/>
    <col min="8381" max="8381" width="7" customWidth="1"/>
    <col min="8382" max="8382" width="33.140625" customWidth="1"/>
    <col min="8383" max="8383" width="6.42578125" customWidth="1"/>
    <col min="8384" max="8384" width="29" customWidth="1"/>
    <col min="8385" max="8385" width="11.42578125" customWidth="1"/>
    <col min="8386" max="8386" width="10.7109375" customWidth="1"/>
    <col min="8387" max="8387" width="10.85546875" customWidth="1"/>
    <col min="8388" max="8388" width="11.28515625" customWidth="1"/>
    <col min="8390" max="8390" width="9.7109375" customWidth="1"/>
    <col min="8393" max="8393" width="10.42578125" customWidth="1"/>
    <col min="8637" max="8637" width="7" customWidth="1"/>
    <col min="8638" max="8638" width="33.140625" customWidth="1"/>
    <col min="8639" max="8639" width="6.42578125" customWidth="1"/>
    <col min="8640" max="8640" width="29" customWidth="1"/>
    <col min="8641" max="8641" width="11.42578125" customWidth="1"/>
    <col min="8642" max="8642" width="10.7109375" customWidth="1"/>
    <col min="8643" max="8643" width="10.85546875" customWidth="1"/>
    <col min="8644" max="8644" width="11.28515625" customWidth="1"/>
    <col min="8646" max="8646" width="9.7109375" customWidth="1"/>
    <col min="8649" max="8649" width="10.42578125" customWidth="1"/>
    <col min="8893" max="8893" width="7" customWidth="1"/>
    <col min="8894" max="8894" width="33.140625" customWidth="1"/>
    <col min="8895" max="8895" width="6.42578125" customWidth="1"/>
    <col min="8896" max="8896" width="29" customWidth="1"/>
    <col min="8897" max="8897" width="11.42578125" customWidth="1"/>
    <col min="8898" max="8898" width="10.7109375" customWidth="1"/>
    <col min="8899" max="8899" width="10.85546875" customWidth="1"/>
    <col min="8900" max="8900" width="11.28515625" customWidth="1"/>
    <col min="8902" max="8902" width="9.7109375" customWidth="1"/>
    <col min="8905" max="8905" width="10.42578125" customWidth="1"/>
    <col min="9149" max="9149" width="7" customWidth="1"/>
    <col min="9150" max="9150" width="33.140625" customWidth="1"/>
    <col min="9151" max="9151" width="6.42578125" customWidth="1"/>
    <col min="9152" max="9152" width="29" customWidth="1"/>
    <col min="9153" max="9153" width="11.42578125" customWidth="1"/>
    <col min="9154" max="9154" width="10.7109375" customWidth="1"/>
    <col min="9155" max="9155" width="10.85546875" customWidth="1"/>
    <col min="9156" max="9156" width="11.28515625" customWidth="1"/>
    <col min="9158" max="9158" width="9.7109375" customWidth="1"/>
    <col min="9161" max="9161" width="10.42578125" customWidth="1"/>
    <col min="9405" max="9405" width="7" customWidth="1"/>
    <col min="9406" max="9406" width="33.140625" customWidth="1"/>
    <col min="9407" max="9407" width="6.42578125" customWidth="1"/>
    <col min="9408" max="9408" width="29" customWidth="1"/>
    <col min="9409" max="9409" width="11.42578125" customWidth="1"/>
    <col min="9410" max="9410" width="10.7109375" customWidth="1"/>
    <col min="9411" max="9411" width="10.85546875" customWidth="1"/>
    <col min="9412" max="9412" width="11.28515625" customWidth="1"/>
    <col min="9414" max="9414" width="9.7109375" customWidth="1"/>
    <col min="9417" max="9417" width="10.42578125" customWidth="1"/>
    <col min="9661" max="9661" width="7" customWidth="1"/>
    <col min="9662" max="9662" width="33.140625" customWidth="1"/>
    <col min="9663" max="9663" width="6.42578125" customWidth="1"/>
    <col min="9664" max="9664" width="29" customWidth="1"/>
    <col min="9665" max="9665" width="11.42578125" customWidth="1"/>
    <col min="9666" max="9666" width="10.7109375" customWidth="1"/>
    <col min="9667" max="9667" width="10.85546875" customWidth="1"/>
    <col min="9668" max="9668" width="11.28515625" customWidth="1"/>
    <col min="9670" max="9670" width="9.7109375" customWidth="1"/>
    <col min="9673" max="9673" width="10.42578125" customWidth="1"/>
    <col min="9917" max="9917" width="7" customWidth="1"/>
    <col min="9918" max="9918" width="33.140625" customWidth="1"/>
    <col min="9919" max="9919" width="6.42578125" customWidth="1"/>
    <col min="9920" max="9920" width="29" customWidth="1"/>
    <col min="9921" max="9921" width="11.42578125" customWidth="1"/>
    <col min="9922" max="9922" width="10.7109375" customWidth="1"/>
    <col min="9923" max="9923" width="10.85546875" customWidth="1"/>
    <col min="9924" max="9924" width="11.28515625" customWidth="1"/>
    <col min="9926" max="9926" width="9.7109375" customWidth="1"/>
    <col min="9929" max="9929" width="10.42578125" customWidth="1"/>
    <col min="10173" max="10173" width="7" customWidth="1"/>
    <col min="10174" max="10174" width="33.140625" customWidth="1"/>
    <col min="10175" max="10175" width="6.42578125" customWidth="1"/>
    <col min="10176" max="10176" width="29" customWidth="1"/>
    <col min="10177" max="10177" width="11.42578125" customWidth="1"/>
    <col min="10178" max="10178" width="10.7109375" customWidth="1"/>
    <col min="10179" max="10179" width="10.85546875" customWidth="1"/>
    <col min="10180" max="10180" width="11.28515625" customWidth="1"/>
    <col min="10182" max="10182" width="9.7109375" customWidth="1"/>
    <col min="10185" max="10185" width="10.42578125" customWidth="1"/>
    <col min="10429" max="10429" width="7" customWidth="1"/>
    <col min="10430" max="10430" width="33.140625" customWidth="1"/>
    <col min="10431" max="10431" width="6.42578125" customWidth="1"/>
    <col min="10432" max="10432" width="29" customWidth="1"/>
    <col min="10433" max="10433" width="11.42578125" customWidth="1"/>
    <col min="10434" max="10434" width="10.7109375" customWidth="1"/>
    <col min="10435" max="10435" width="10.85546875" customWidth="1"/>
    <col min="10436" max="10436" width="11.28515625" customWidth="1"/>
    <col min="10438" max="10438" width="9.7109375" customWidth="1"/>
    <col min="10441" max="10441" width="10.42578125" customWidth="1"/>
    <col min="10685" max="10685" width="7" customWidth="1"/>
    <col min="10686" max="10686" width="33.140625" customWidth="1"/>
    <col min="10687" max="10687" width="6.42578125" customWidth="1"/>
    <col min="10688" max="10688" width="29" customWidth="1"/>
    <col min="10689" max="10689" width="11.42578125" customWidth="1"/>
    <col min="10690" max="10690" width="10.7109375" customWidth="1"/>
    <col min="10691" max="10691" width="10.85546875" customWidth="1"/>
    <col min="10692" max="10692" width="11.28515625" customWidth="1"/>
    <col min="10694" max="10694" width="9.7109375" customWidth="1"/>
    <col min="10697" max="10697" width="10.42578125" customWidth="1"/>
    <col min="10941" max="10941" width="7" customWidth="1"/>
    <col min="10942" max="10942" width="33.140625" customWidth="1"/>
    <col min="10943" max="10943" width="6.42578125" customWidth="1"/>
    <col min="10944" max="10944" width="29" customWidth="1"/>
    <col min="10945" max="10945" width="11.42578125" customWidth="1"/>
    <col min="10946" max="10946" width="10.7109375" customWidth="1"/>
    <col min="10947" max="10947" width="10.85546875" customWidth="1"/>
    <col min="10948" max="10948" width="11.28515625" customWidth="1"/>
    <col min="10950" max="10950" width="9.7109375" customWidth="1"/>
    <col min="10953" max="10953" width="10.42578125" customWidth="1"/>
    <col min="11197" max="11197" width="7" customWidth="1"/>
    <col min="11198" max="11198" width="33.140625" customWidth="1"/>
    <col min="11199" max="11199" width="6.42578125" customWidth="1"/>
    <col min="11200" max="11200" width="29" customWidth="1"/>
    <col min="11201" max="11201" width="11.42578125" customWidth="1"/>
    <col min="11202" max="11202" width="10.7109375" customWidth="1"/>
    <col min="11203" max="11203" width="10.85546875" customWidth="1"/>
    <col min="11204" max="11204" width="11.28515625" customWidth="1"/>
    <col min="11206" max="11206" width="9.7109375" customWidth="1"/>
    <col min="11209" max="11209" width="10.42578125" customWidth="1"/>
    <col min="11453" max="11453" width="7" customWidth="1"/>
    <col min="11454" max="11454" width="33.140625" customWidth="1"/>
    <col min="11455" max="11455" width="6.42578125" customWidth="1"/>
    <col min="11456" max="11456" width="29" customWidth="1"/>
    <col min="11457" max="11457" width="11.42578125" customWidth="1"/>
    <col min="11458" max="11458" width="10.7109375" customWidth="1"/>
    <col min="11459" max="11459" width="10.85546875" customWidth="1"/>
    <col min="11460" max="11460" width="11.28515625" customWidth="1"/>
    <col min="11462" max="11462" width="9.7109375" customWidth="1"/>
    <col min="11465" max="11465" width="10.42578125" customWidth="1"/>
    <col min="11709" max="11709" width="7" customWidth="1"/>
    <col min="11710" max="11710" width="33.140625" customWidth="1"/>
    <col min="11711" max="11711" width="6.42578125" customWidth="1"/>
    <col min="11712" max="11712" width="29" customWidth="1"/>
    <col min="11713" max="11713" width="11.42578125" customWidth="1"/>
    <col min="11714" max="11714" width="10.7109375" customWidth="1"/>
    <col min="11715" max="11715" width="10.85546875" customWidth="1"/>
    <col min="11716" max="11716" width="11.28515625" customWidth="1"/>
    <col min="11718" max="11718" width="9.7109375" customWidth="1"/>
    <col min="11721" max="11721" width="10.42578125" customWidth="1"/>
    <col min="11965" max="11965" width="7" customWidth="1"/>
    <col min="11966" max="11966" width="33.140625" customWidth="1"/>
    <col min="11967" max="11967" width="6.42578125" customWidth="1"/>
    <col min="11968" max="11968" width="29" customWidth="1"/>
    <col min="11969" max="11969" width="11.42578125" customWidth="1"/>
    <col min="11970" max="11970" width="10.7109375" customWidth="1"/>
    <col min="11971" max="11971" width="10.85546875" customWidth="1"/>
    <col min="11972" max="11972" width="11.28515625" customWidth="1"/>
    <col min="11974" max="11974" width="9.7109375" customWidth="1"/>
    <col min="11977" max="11977" width="10.42578125" customWidth="1"/>
    <col min="12221" max="12221" width="7" customWidth="1"/>
    <col min="12222" max="12222" width="33.140625" customWidth="1"/>
    <col min="12223" max="12223" width="6.42578125" customWidth="1"/>
    <col min="12224" max="12224" width="29" customWidth="1"/>
    <col min="12225" max="12225" width="11.42578125" customWidth="1"/>
    <col min="12226" max="12226" width="10.7109375" customWidth="1"/>
    <col min="12227" max="12227" width="10.85546875" customWidth="1"/>
    <col min="12228" max="12228" width="11.28515625" customWidth="1"/>
    <col min="12230" max="12230" width="9.7109375" customWidth="1"/>
    <col min="12233" max="12233" width="10.42578125" customWidth="1"/>
    <col min="12477" max="12477" width="7" customWidth="1"/>
    <col min="12478" max="12478" width="33.140625" customWidth="1"/>
    <col min="12479" max="12479" width="6.42578125" customWidth="1"/>
    <col min="12480" max="12480" width="29" customWidth="1"/>
    <col min="12481" max="12481" width="11.42578125" customWidth="1"/>
    <col min="12482" max="12482" width="10.7109375" customWidth="1"/>
    <col min="12483" max="12483" width="10.85546875" customWidth="1"/>
    <col min="12484" max="12484" width="11.28515625" customWidth="1"/>
    <col min="12486" max="12486" width="9.7109375" customWidth="1"/>
    <col min="12489" max="12489" width="10.42578125" customWidth="1"/>
    <col min="12733" max="12733" width="7" customWidth="1"/>
    <col min="12734" max="12734" width="33.140625" customWidth="1"/>
    <col min="12735" max="12735" width="6.42578125" customWidth="1"/>
    <col min="12736" max="12736" width="29" customWidth="1"/>
    <col min="12737" max="12737" width="11.42578125" customWidth="1"/>
    <col min="12738" max="12738" width="10.7109375" customWidth="1"/>
    <col min="12739" max="12739" width="10.85546875" customWidth="1"/>
    <col min="12740" max="12740" width="11.28515625" customWidth="1"/>
    <col min="12742" max="12742" width="9.7109375" customWidth="1"/>
    <col min="12745" max="12745" width="10.42578125" customWidth="1"/>
    <col min="12989" max="12989" width="7" customWidth="1"/>
    <col min="12990" max="12990" width="33.140625" customWidth="1"/>
    <col min="12991" max="12991" width="6.42578125" customWidth="1"/>
    <col min="12992" max="12992" width="29" customWidth="1"/>
    <col min="12993" max="12993" width="11.42578125" customWidth="1"/>
    <col min="12994" max="12994" width="10.7109375" customWidth="1"/>
    <col min="12995" max="12995" width="10.85546875" customWidth="1"/>
    <col min="12996" max="12996" width="11.28515625" customWidth="1"/>
    <col min="12998" max="12998" width="9.7109375" customWidth="1"/>
    <col min="13001" max="13001" width="10.42578125" customWidth="1"/>
    <col min="13245" max="13245" width="7" customWidth="1"/>
    <col min="13246" max="13246" width="33.140625" customWidth="1"/>
    <col min="13247" max="13247" width="6.42578125" customWidth="1"/>
    <col min="13248" max="13248" width="29" customWidth="1"/>
    <col min="13249" max="13249" width="11.42578125" customWidth="1"/>
    <col min="13250" max="13250" width="10.7109375" customWidth="1"/>
    <col min="13251" max="13251" width="10.85546875" customWidth="1"/>
    <col min="13252" max="13252" width="11.28515625" customWidth="1"/>
    <col min="13254" max="13254" width="9.7109375" customWidth="1"/>
    <col min="13257" max="13257" width="10.42578125" customWidth="1"/>
    <col min="13501" max="13501" width="7" customWidth="1"/>
    <col min="13502" max="13502" width="33.140625" customWidth="1"/>
    <col min="13503" max="13503" width="6.42578125" customWidth="1"/>
    <col min="13504" max="13504" width="29" customWidth="1"/>
    <col min="13505" max="13505" width="11.42578125" customWidth="1"/>
    <col min="13506" max="13506" width="10.7109375" customWidth="1"/>
    <col min="13507" max="13507" width="10.85546875" customWidth="1"/>
    <col min="13508" max="13508" width="11.28515625" customWidth="1"/>
    <col min="13510" max="13510" width="9.7109375" customWidth="1"/>
    <col min="13513" max="13513" width="10.42578125" customWidth="1"/>
    <col min="13757" max="13757" width="7" customWidth="1"/>
    <col min="13758" max="13758" width="33.140625" customWidth="1"/>
    <col min="13759" max="13759" width="6.42578125" customWidth="1"/>
    <col min="13760" max="13760" width="29" customWidth="1"/>
    <col min="13761" max="13761" width="11.42578125" customWidth="1"/>
    <col min="13762" max="13762" width="10.7109375" customWidth="1"/>
    <col min="13763" max="13763" width="10.85546875" customWidth="1"/>
    <col min="13764" max="13764" width="11.28515625" customWidth="1"/>
    <col min="13766" max="13766" width="9.7109375" customWidth="1"/>
    <col min="13769" max="13769" width="10.42578125" customWidth="1"/>
    <col min="14013" max="14013" width="7" customWidth="1"/>
    <col min="14014" max="14014" width="33.140625" customWidth="1"/>
    <col min="14015" max="14015" width="6.42578125" customWidth="1"/>
    <col min="14016" max="14016" width="29" customWidth="1"/>
    <col min="14017" max="14017" width="11.42578125" customWidth="1"/>
    <col min="14018" max="14018" width="10.7109375" customWidth="1"/>
    <col min="14019" max="14019" width="10.85546875" customWidth="1"/>
    <col min="14020" max="14020" width="11.28515625" customWidth="1"/>
    <col min="14022" max="14022" width="9.7109375" customWidth="1"/>
    <col min="14025" max="14025" width="10.42578125" customWidth="1"/>
    <col min="14269" max="14269" width="7" customWidth="1"/>
    <col min="14270" max="14270" width="33.140625" customWidth="1"/>
    <col min="14271" max="14271" width="6.42578125" customWidth="1"/>
    <col min="14272" max="14272" width="29" customWidth="1"/>
    <col min="14273" max="14273" width="11.42578125" customWidth="1"/>
    <col min="14274" max="14274" width="10.7109375" customWidth="1"/>
    <col min="14275" max="14275" width="10.85546875" customWidth="1"/>
    <col min="14276" max="14276" width="11.28515625" customWidth="1"/>
    <col min="14278" max="14278" width="9.7109375" customWidth="1"/>
    <col min="14281" max="14281" width="10.42578125" customWidth="1"/>
    <col min="14525" max="14525" width="7" customWidth="1"/>
    <col min="14526" max="14526" width="33.140625" customWidth="1"/>
    <col min="14527" max="14527" width="6.42578125" customWidth="1"/>
    <col min="14528" max="14528" width="29" customWidth="1"/>
    <col min="14529" max="14529" width="11.42578125" customWidth="1"/>
    <col min="14530" max="14530" width="10.7109375" customWidth="1"/>
    <col min="14531" max="14531" width="10.85546875" customWidth="1"/>
    <col min="14532" max="14532" width="11.28515625" customWidth="1"/>
    <col min="14534" max="14534" width="9.7109375" customWidth="1"/>
    <col min="14537" max="14537" width="10.42578125" customWidth="1"/>
    <col min="14781" max="14781" width="7" customWidth="1"/>
    <col min="14782" max="14782" width="33.140625" customWidth="1"/>
    <col min="14783" max="14783" width="6.42578125" customWidth="1"/>
    <col min="14784" max="14784" width="29" customWidth="1"/>
    <col min="14785" max="14785" width="11.42578125" customWidth="1"/>
    <col min="14786" max="14786" width="10.7109375" customWidth="1"/>
    <col min="14787" max="14787" width="10.85546875" customWidth="1"/>
    <col min="14788" max="14788" width="11.28515625" customWidth="1"/>
    <col min="14790" max="14790" width="9.7109375" customWidth="1"/>
    <col min="14793" max="14793" width="10.42578125" customWidth="1"/>
    <col min="15037" max="15037" width="7" customWidth="1"/>
    <col min="15038" max="15038" width="33.140625" customWidth="1"/>
    <col min="15039" max="15039" width="6.42578125" customWidth="1"/>
    <col min="15040" max="15040" width="29" customWidth="1"/>
    <col min="15041" max="15041" width="11.42578125" customWidth="1"/>
    <col min="15042" max="15042" width="10.7109375" customWidth="1"/>
    <col min="15043" max="15043" width="10.85546875" customWidth="1"/>
    <col min="15044" max="15044" width="11.28515625" customWidth="1"/>
    <col min="15046" max="15046" width="9.7109375" customWidth="1"/>
    <col min="15049" max="15049" width="10.42578125" customWidth="1"/>
    <col min="15293" max="15293" width="7" customWidth="1"/>
    <col min="15294" max="15294" width="33.140625" customWidth="1"/>
    <col min="15295" max="15295" width="6.42578125" customWidth="1"/>
    <col min="15296" max="15296" width="29" customWidth="1"/>
    <col min="15297" max="15297" width="11.42578125" customWidth="1"/>
    <col min="15298" max="15298" width="10.7109375" customWidth="1"/>
    <col min="15299" max="15299" width="10.85546875" customWidth="1"/>
    <col min="15300" max="15300" width="11.28515625" customWidth="1"/>
    <col min="15302" max="15302" width="9.7109375" customWidth="1"/>
    <col min="15305" max="15305" width="10.42578125" customWidth="1"/>
    <col min="15549" max="15549" width="7" customWidth="1"/>
    <col min="15550" max="15550" width="33.140625" customWidth="1"/>
    <col min="15551" max="15551" width="6.42578125" customWidth="1"/>
    <col min="15552" max="15552" width="29" customWidth="1"/>
    <col min="15553" max="15553" width="11.42578125" customWidth="1"/>
    <col min="15554" max="15554" width="10.7109375" customWidth="1"/>
    <col min="15555" max="15555" width="10.85546875" customWidth="1"/>
    <col min="15556" max="15556" width="11.28515625" customWidth="1"/>
    <col min="15558" max="15558" width="9.7109375" customWidth="1"/>
    <col min="15561" max="15561" width="10.42578125" customWidth="1"/>
    <col min="15805" max="15805" width="7" customWidth="1"/>
    <col min="15806" max="15806" width="33.140625" customWidth="1"/>
    <col min="15807" max="15807" width="6.42578125" customWidth="1"/>
    <col min="15808" max="15808" width="29" customWidth="1"/>
    <col min="15809" max="15809" width="11.42578125" customWidth="1"/>
    <col min="15810" max="15810" width="10.7109375" customWidth="1"/>
    <col min="15811" max="15811" width="10.85546875" customWidth="1"/>
    <col min="15812" max="15812" width="11.28515625" customWidth="1"/>
    <col min="15814" max="15814" width="9.7109375" customWidth="1"/>
    <col min="15817" max="15817" width="10.42578125" customWidth="1"/>
    <col min="16061" max="16061" width="7" customWidth="1"/>
    <col min="16062" max="16062" width="33.140625" customWidth="1"/>
    <col min="16063" max="16063" width="6.42578125" customWidth="1"/>
    <col min="16064" max="16064" width="29" customWidth="1"/>
    <col min="16065" max="16065" width="11.42578125" customWidth="1"/>
    <col min="16066" max="16066" width="10.7109375" customWidth="1"/>
    <col min="16067" max="16067" width="10.85546875" customWidth="1"/>
    <col min="16068" max="16068" width="11.28515625" customWidth="1"/>
    <col min="16070" max="16070" width="9.7109375" customWidth="1"/>
    <col min="16073" max="16073" width="10.42578125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45" t="s">
        <v>4</v>
      </c>
      <c r="B3" s="1045"/>
      <c r="C3" s="1045"/>
      <c r="D3" s="1045"/>
      <c r="E3" s="1045"/>
      <c r="F3" s="90"/>
      <c r="G3" s="90"/>
      <c r="H3" s="90"/>
      <c r="AX3" s="570"/>
      <c r="AY3" s="570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X4" s="903" t="s">
        <v>855</v>
      </c>
      <c r="AX4" s="571"/>
      <c r="AY4" s="571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52"/>
      <c r="X5" s="903" t="s">
        <v>856</v>
      </c>
      <c r="AX5" s="571"/>
      <c r="AY5" s="571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90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thickBot="1" x14ac:dyDescent="0.3">
      <c r="A7" s="89"/>
      <c r="B7" s="6"/>
      <c r="D7" s="10"/>
      <c r="E7" s="6"/>
      <c r="F7" s="90"/>
      <c r="G7" s="90"/>
      <c r="H7" s="90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35.25" customHeight="1" x14ac:dyDescent="0.25">
      <c r="A8" s="117"/>
      <c r="B8" s="91"/>
      <c r="C8" s="91"/>
      <c r="D8" s="91"/>
      <c r="E8" s="91"/>
      <c r="F8" s="91"/>
      <c r="G8" s="91"/>
      <c r="H8" s="91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2" t="s">
        <v>851</v>
      </c>
      <c r="BB8" s="1083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4.75" customHeight="1" thickBot="1" x14ac:dyDescent="0.25">
      <c r="A9" s="12" t="s">
        <v>771</v>
      </c>
      <c r="D9" s="12"/>
      <c r="F9" s="59"/>
      <c r="G9" s="60"/>
      <c r="H9" s="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763" t="s">
        <v>805</v>
      </c>
      <c r="BB9" s="763" t="s">
        <v>806</v>
      </c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25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122" customFormat="1" ht="12" thickBot="1" x14ac:dyDescent="0.25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604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37" t="s">
        <v>815</v>
      </c>
      <c r="AC11" s="137" t="s">
        <v>816</v>
      </c>
      <c r="AD11" s="137" t="s">
        <v>815</v>
      </c>
      <c r="AE11" s="137" t="s">
        <v>816</v>
      </c>
      <c r="AF11" s="137" t="s">
        <v>824</v>
      </c>
      <c r="AG11" s="137" t="s">
        <v>817</v>
      </c>
      <c r="AH11" s="137" t="s">
        <v>818</v>
      </c>
      <c r="AI11" s="137" t="s">
        <v>817</v>
      </c>
      <c r="AJ11" s="137" t="s">
        <v>817</v>
      </c>
      <c r="AK11" s="137" t="s">
        <v>818</v>
      </c>
      <c r="AL11" s="137" t="s">
        <v>817</v>
      </c>
      <c r="AM11" s="137" t="s">
        <v>818</v>
      </c>
      <c r="AN11" s="137" t="s">
        <v>825</v>
      </c>
      <c r="AO11" s="604" t="s">
        <v>819</v>
      </c>
      <c r="AP11" s="604" t="s">
        <v>820</v>
      </c>
      <c r="AQ11" s="137" t="s">
        <v>821</v>
      </c>
      <c r="AR11" s="137" t="s">
        <v>282</v>
      </c>
      <c r="AS11" s="137" t="s">
        <v>283</v>
      </c>
      <c r="AT11" s="137" t="s">
        <v>284</v>
      </c>
      <c r="AU11" s="137" t="s">
        <v>284</v>
      </c>
      <c r="AV11" s="137" t="s">
        <v>284</v>
      </c>
      <c r="AW11" s="137" t="s">
        <v>289</v>
      </c>
      <c r="AX11" s="503" t="s">
        <v>285</v>
      </c>
      <c r="AY11" s="187" t="s">
        <v>286</v>
      </c>
      <c r="AZ11" s="187" t="s">
        <v>285</v>
      </c>
      <c r="BA11" s="187" t="s">
        <v>285</v>
      </c>
      <c r="BB11" s="187" t="s">
        <v>286</v>
      </c>
      <c r="BC11" s="187" t="s">
        <v>285</v>
      </c>
      <c r="BD11" s="187" t="s">
        <v>285</v>
      </c>
      <c r="BE11" s="187" t="s">
        <v>286</v>
      </c>
      <c r="BF11" s="187" t="s">
        <v>285</v>
      </c>
      <c r="BG11" s="187" t="s">
        <v>286</v>
      </c>
      <c r="BH11" s="934" t="s">
        <v>287</v>
      </c>
      <c r="BI11" s="136" t="s">
        <v>262</v>
      </c>
      <c r="BJ11" s="137" t="s">
        <v>263</v>
      </c>
      <c r="BK11" s="137" t="s">
        <v>801</v>
      </c>
      <c r="BL11" s="137" t="s">
        <v>802</v>
      </c>
      <c r="BM11" s="137" t="s">
        <v>269</v>
      </c>
      <c r="BN11" s="137" t="s">
        <v>803</v>
      </c>
      <c r="BO11" s="137" t="s">
        <v>804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532</v>
      </c>
      <c r="BU11" s="188" t="s">
        <v>533</v>
      </c>
      <c r="BV11" s="705" t="s">
        <v>843</v>
      </c>
      <c r="BW11" s="663" t="s">
        <v>837</v>
      </c>
      <c r="BX11" s="663" t="s">
        <v>838</v>
      </c>
      <c r="BY11" s="663" t="s">
        <v>844</v>
      </c>
      <c r="BZ11" s="663" t="s">
        <v>845</v>
      </c>
      <c r="CA11" s="709" t="s">
        <v>839</v>
      </c>
    </row>
    <row r="12" spans="1:79" ht="14.1" customHeight="1" x14ac:dyDescent="0.2">
      <c r="A12" s="617">
        <v>1</v>
      </c>
      <c r="B12" s="618">
        <v>3475</v>
      </c>
      <c r="C12" s="618">
        <v>691008604</v>
      </c>
      <c r="D12" s="618">
        <v>4624548</v>
      </c>
      <c r="E12" s="619" t="s">
        <v>117</v>
      </c>
      <c r="F12" s="618">
        <v>3111</v>
      </c>
      <c r="G12" s="620" t="s">
        <v>290</v>
      </c>
      <c r="H12" s="621" t="s">
        <v>271</v>
      </c>
      <c r="I12" s="953">
        <v>3560303</v>
      </c>
      <c r="J12" s="566">
        <v>2630630</v>
      </c>
      <c r="K12" s="566">
        <v>2395510</v>
      </c>
      <c r="L12" s="566">
        <v>235120</v>
      </c>
      <c r="M12" s="566">
        <v>0</v>
      </c>
      <c r="N12" s="566">
        <v>0</v>
      </c>
      <c r="O12" s="566">
        <v>0</v>
      </c>
      <c r="P12" s="627">
        <v>889153</v>
      </c>
      <c r="Q12" s="627">
        <v>26306</v>
      </c>
      <c r="R12" s="566">
        <v>14214</v>
      </c>
      <c r="S12" s="542">
        <v>4.8645999999999994</v>
      </c>
      <c r="T12" s="545">
        <v>4.0644999999999998</v>
      </c>
      <c r="U12" s="765">
        <v>0.80010000000000003</v>
      </c>
      <c r="V12" s="879">
        <f t="shared" ref="V12:W42" si="0">AG12*-1</f>
        <v>0</v>
      </c>
      <c r="W12" s="880">
        <f t="shared" si="0"/>
        <v>0</v>
      </c>
      <c r="X12" s="880">
        <v>0</v>
      </c>
      <c r="Y12" s="880">
        <v>0</v>
      </c>
      <c r="Z12" s="880">
        <v>0</v>
      </c>
      <c r="AA12" s="566">
        <v>0</v>
      </c>
      <c r="AB12" s="880">
        <v>0</v>
      </c>
      <c r="AC12" s="880">
        <v>0</v>
      </c>
      <c r="AD12" s="880">
        <f t="shared" ref="AD12:AD72" si="1">V12+X12+Y12+Z12+AB12</f>
        <v>0</v>
      </c>
      <c r="AE12" s="880">
        <f t="shared" ref="AE12:AE72" si="2">W12+AA12+AC12</f>
        <v>0</v>
      </c>
      <c r="AF12" s="880">
        <f t="shared" ref="AF12:AF72" si="3">SUM(AD12:AE12)</f>
        <v>0</v>
      </c>
      <c r="AG12" s="880">
        <v>0</v>
      </c>
      <c r="AH12" s="880">
        <v>0</v>
      </c>
      <c r="AI12" s="880">
        <v>0</v>
      </c>
      <c r="AJ12" s="880">
        <v>0</v>
      </c>
      <c r="AK12" s="880">
        <v>0</v>
      </c>
      <c r="AL12" s="880">
        <f t="shared" ref="AL12:AL72" si="4">AG12+AI12+AJ12</f>
        <v>0</v>
      </c>
      <c r="AM12" s="880">
        <f t="shared" ref="AM12:AM72" si="5">AH12+AK12</f>
        <v>0</v>
      </c>
      <c r="AN12" s="880">
        <f t="shared" ref="AN12:AN72" si="6">SUM(AL12:AM12)</f>
        <v>0</v>
      </c>
      <c r="AO12" s="880">
        <f t="shared" ref="AO12:AP42" si="7">AD12+AL12</f>
        <v>0</v>
      </c>
      <c r="AP12" s="880">
        <f t="shared" si="7"/>
        <v>0</v>
      </c>
      <c r="AQ12" s="880">
        <f t="shared" ref="AQ12:AQ72" si="8">SUM(AO12:AP12)</f>
        <v>0</v>
      </c>
      <c r="AR12" s="627">
        <f t="shared" ref="AR12:AR72" si="9">ROUND((AF12+AG12+AH12+AI12)*33.8%,0)</f>
        <v>0</v>
      </c>
      <c r="AS12" s="627">
        <f t="shared" ref="AS12:AS72" si="10">ROUND(AF12*1%,0)</f>
        <v>0</v>
      </c>
      <c r="AT12" s="880">
        <v>0</v>
      </c>
      <c r="AU12" s="566">
        <v>0</v>
      </c>
      <c r="AV12" s="880">
        <f t="shared" ref="AV12:AV72" si="11">AT12+AU12</f>
        <v>0</v>
      </c>
      <c r="AW12" s="880">
        <f t="shared" ref="AW12:AW72" si="12">AQ12+AR12+AS12+AV12</f>
        <v>0</v>
      </c>
      <c r="AX12" s="883">
        <v>0</v>
      </c>
      <c r="AY12" s="883">
        <v>0</v>
      </c>
      <c r="AZ12" s="883">
        <v>0</v>
      </c>
      <c r="BA12" s="883">
        <v>0</v>
      </c>
      <c r="BB12" s="542">
        <v>0</v>
      </c>
      <c r="BC12" s="936">
        <v>0</v>
      </c>
      <c r="BD12" s="883">
        <v>0</v>
      </c>
      <c r="BE12" s="883">
        <v>0</v>
      </c>
      <c r="BF12" s="883">
        <f t="shared" ref="BF12:BF72" si="13">AX12+AZ12+BA12+BC12+BD12</f>
        <v>0</v>
      </c>
      <c r="BG12" s="883">
        <f t="shared" ref="BG12:BG72" si="14">AY12+BB12+BE12</f>
        <v>0</v>
      </c>
      <c r="BH12" s="937">
        <f t="shared" ref="BH12:BH72" si="15">SUM(BF12:BG12)</f>
        <v>0</v>
      </c>
      <c r="BI12" s="882">
        <f>I12+AW12</f>
        <v>3560303</v>
      </c>
      <c r="BJ12" s="880">
        <f>J12+AF12</f>
        <v>2630630</v>
      </c>
      <c r="BK12" s="880">
        <f t="shared" ref="BK12:BL14" si="16">K12+AD12</f>
        <v>2395510</v>
      </c>
      <c r="BL12" s="880">
        <f t="shared" si="16"/>
        <v>235120</v>
      </c>
      <c r="BM12" s="880">
        <f>M12+AN12</f>
        <v>0</v>
      </c>
      <c r="BN12" s="880">
        <f t="shared" ref="BN12:BO14" si="17">N12+AL12</f>
        <v>0</v>
      </c>
      <c r="BO12" s="880">
        <f t="shared" si="17"/>
        <v>0</v>
      </c>
      <c r="BP12" s="880">
        <f t="shared" ref="BP12:BQ14" si="18">P12+AR12</f>
        <v>889153</v>
      </c>
      <c r="BQ12" s="880">
        <f t="shared" si="18"/>
        <v>26306</v>
      </c>
      <c r="BR12" s="880">
        <f>R12+AV12</f>
        <v>14214</v>
      </c>
      <c r="BS12" s="883">
        <f>S12+BH12</f>
        <v>4.8645999999999994</v>
      </c>
      <c r="BT12" s="883">
        <f t="shared" ref="BT12:BU14" si="19">T12+BF12</f>
        <v>4.0644999999999998</v>
      </c>
      <c r="BU12" s="937">
        <f t="shared" si="19"/>
        <v>0.80010000000000003</v>
      </c>
      <c r="BV12" s="406"/>
      <c r="BW12" s="407"/>
      <c r="BX12" s="407"/>
      <c r="BY12" s="407"/>
      <c r="BZ12" s="407"/>
      <c r="CA12" s="495"/>
    </row>
    <row r="13" spans="1:79" ht="13.5" customHeight="1" x14ac:dyDescent="0.2">
      <c r="A13" s="205">
        <v>1</v>
      </c>
      <c r="B13" s="206">
        <v>3475</v>
      </c>
      <c r="C13" s="206">
        <v>691008604</v>
      </c>
      <c r="D13" s="206">
        <v>4624548</v>
      </c>
      <c r="E13" s="204" t="s">
        <v>118</v>
      </c>
      <c r="F13" s="206">
        <v>3111</v>
      </c>
      <c r="G13" s="207" t="s">
        <v>291</v>
      </c>
      <c r="H13" s="612" t="s">
        <v>272</v>
      </c>
      <c r="I13" s="511">
        <v>749760</v>
      </c>
      <c r="J13" s="566">
        <v>556202</v>
      </c>
      <c r="K13" s="566">
        <v>556202</v>
      </c>
      <c r="L13" s="566">
        <v>0</v>
      </c>
      <c r="M13" s="566">
        <v>0</v>
      </c>
      <c r="N13" s="566">
        <v>0</v>
      </c>
      <c r="O13" s="566">
        <v>0</v>
      </c>
      <c r="P13" s="68">
        <v>187996</v>
      </c>
      <c r="Q13" s="68">
        <v>5562</v>
      </c>
      <c r="R13" s="566">
        <v>0</v>
      </c>
      <c r="S13" s="542">
        <v>1.5</v>
      </c>
      <c r="T13" s="545">
        <v>1.5</v>
      </c>
      <c r="U13" s="765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5">
        <v>0</v>
      </c>
      <c r="AB13" s="418">
        <v>0</v>
      </c>
      <c r="AC13" s="418">
        <v>0</v>
      </c>
      <c r="AD13" s="418">
        <f t="shared" si="1"/>
        <v>0</v>
      </c>
      <c r="AE13" s="418">
        <f t="shared" si="2"/>
        <v>0</v>
      </c>
      <c r="AF13" s="418">
        <f t="shared" si="3"/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 t="shared" si="4"/>
        <v>0</v>
      </c>
      <c r="AM13" s="418">
        <f t="shared" si="5"/>
        <v>0</v>
      </c>
      <c r="AN13" s="418">
        <f t="shared" si="6"/>
        <v>0</v>
      </c>
      <c r="AO13" s="418">
        <f t="shared" si="7"/>
        <v>0</v>
      </c>
      <c r="AP13" s="418">
        <f t="shared" si="7"/>
        <v>0</v>
      </c>
      <c r="AQ13" s="418">
        <f t="shared" si="8"/>
        <v>0</v>
      </c>
      <c r="AR13" s="68">
        <f t="shared" si="9"/>
        <v>0</v>
      </c>
      <c r="AS13" s="68">
        <f t="shared" si="10"/>
        <v>0</v>
      </c>
      <c r="AT13" s="418">
        <v>0</v>
      </c>
      <c r="AU13" s="415">
        <v>0</v>
      </c>
      <c r="AV13" s="418">
        <f t="shared" si="11"/>
        <v>0</v>
      </c>
      <c r="AW13" s="418">
        <f t="shared" si="12"/>
        <v>0</v>
      </c>
      <c r="AX13" s="419">
        <v>0</v>
      </c>
      <c r="AY13" s="419">
        <v>0</v>
      </c>
      <c r="AZ13" s="419">
        <v>0</v>
      </c>
      <c r="BA13" s="419">
        <v>0</v>
      </c>
      <c r="BB13" s="416">
        <v>0</v>
      </c>
      <c r="BC13" s="939">
        <v>0</v>
      </c>
      <c r="BD13" s="419">
        <v>0</v>
      </c>
      <c r="BE13" s="419">
        <v>0</v>
      </c>
      <c r="BF13" s="419">
        <f t="shared" si="13"/>
        <v>0</v>
      </c>
      <c r="BG13" s="419">
        <f t="shared" si="14"/>
        <v>0</v>
      </c>
      <c r="BH13" s="421">
        <f t="shared" si="15"/>
        <v>0</v>
      </c>
      <c r="BI13" s="780">
        <f>I13+AW13</f>
        <v>749760</v>
      </c>
      <c r="BJ13" s="418">
        <f>J13+AF13</f>
        <v>556202</v>
      </c>
      <c r="BK13" s="418">
        <f t="shared" si="16"/>
        <v>556202</v>
      </c>
      <c r="BL13" s="418">
        <f t="shared" si="16"/>
        <v>0</v>
      </c>
      <c r="BM13" s="418">
        <f>M13+AN13</f>
        <v>0</v>
      </c>
      <c r="BN13" s="418">
        <f t="shared" si="17"/>
        <v>0</v>
      </c>
      <c r="BO13" s="418">
        <f t="shared" si="17"/>
        <v>0</v>
      </c>
      <c r="BP13" s="418">
        <f t="shared" si="18"/>
        <v>187996</v>
      </c>
      <c r="BQ13" s="418">
        <f t="shared" si="18"/>
        <v>5562</v>
      </c>
      <c r="BR13" s="418">
        <f>R13+AV13</f>
        <v>0</v>
      </c>
      <c r="BS13" s="419">
        <f>S13+BH13</f>
        <v>1.5</v>
      </c>
      <c r="BT13" s="419">
        <f t="shared" si="19"/>
        <v>1.5</v>
      </c>
      <c r="BU13" s="421">
        <f t="shared" si="19"/>
        <v>0</v>
      </c>
      <c r="BV13" s="420"/>
      <c r="BW13" s="415"/>
      <c r="BX13" s="415"/>
      <c r="BY13" s="415"/>
      <c r="BZ13" s="415"/>
      <c r="CA13" s="510"/>
    </row>
    <row r="14" spans="1:79" ht="13.5" customHeight="1" x14ac:dyDescent="0.2">
      <c r="A14" s="205">
        <v>1</v>
      </c>
      <c r="B14" s="206">
        <v>3475</v>
      </c>
      <c r="C14" s="206">
        <v>691008604</v>
      </c>
      <c r="D14" s="206">
        <v>4624548</v>
      </c>
      <c r="E14" s="204" t="s">
        <v>118</v>
      </c>
      <c r="F14" s="206">
        <v>3141</v>
      </c>
      <c r="G14" s="207" t="s">
        <v>294</v>
      </c>
      <c r="H14" s="612" t="s">
        <v>272</v>
      </c>
      <c r="I14" s="511">
        <v>403002</v>
      </c>
      <c r="J14" s="415">
        <v>297898</v>
      </c>
      <c r="K14" s="415">
        <v>0</v>
      </c>
      <c r="L14" s="415">
        <v>297898</v>
      </c>
      <c r="M14" s="415">
        <v>0</v>
      </c>
      <c r="N14" s="415">
        <v>0</v>
      </c>
      <c r="O14" s="415">
        <v>0</v>
      </c>
      <c r="P14" s="68">
        <v>100690</v>
      </c>
      <c r="Q14" s="68">
        <v>2979</v>
      </c>
      <c r="R14" s="415">
        <v>1435</v>
      </c>
      <c r="S14" s="416">
        <v>0.89</v>
      </c>
      <c r="T14" s="417">
        <v>0</v>
      </c>
      <c r="U14" s="423">
        <v>0.89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605">
        <v>150474</v>
      </c>
      <c r="AB14" s="418">
        <v>0</v>
      </c>
      <c r="AC14" s="418">
        <v>0</v>
      </c>
      <c r="AD14" s="418">
        <f t="shared" si="1"/>
        <v>0</v>
      </c>
      <c r="AE14" s="418">
        <f t="shared" si="2"/>
        <v>150474</v>
      </c>
      <c r="AF14" s="418">
        <f t="shared" si="3"/>
        <v>150474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 t="shared" si="4"/>
        <v>0</v>
      </c>
      <c r="AM14" s="418">
        <f t="shared" si="5"/>
        <v>0</v>
      </c>
      <c r="AN14" s="418">
        <f t="shared" si="6"/>
        <v>0</v>
      </c>
      <c r="AO14" s="418">
        <f t="shared" si="7"/>
        <v>0</v>
      </c>
      <c r="AP14" s="418">
        <f t="shared" si="7"/>
        <v>150474</v>
      </c>
      <c r="AQ14" s="418">
        <f t="shared" si="8"/>
        <v>150474</v>
      </c>
      <c r="AR14" s="68">
        <f t="shared" si="9"/>
        <v>50860</v>
      </c>
      <c r="AS14" s="68">
        <f t="shared" si="10"/>
        <v>1505</v>
      </c>
      <c r="AT14" s="418">
        <v>0</v>
      </c>
      <c r="AU14" s="605">
        <v>697</v>
      </c>
      <c r="AV14" s="418">
        <f t="shared" si="11"/>
        <v>697</v>
      </c>
      <c r="AW14" s="418">
        <f t="shared" si="12"/>
        <v>203536</v>
      </c>
      <c r="AX14" s="419">
        <v>0</v>
      </c>
      <c r="AY14" s="419">
        <v>0</v>
      </c>
      <c r="AZ14" s="419">
        <v>0</v>
      </c>
      <c r="BA14" s="419">
        <v>0</v>
      </c>
      <c r="BB14" s="607">
        <v>0.45</v>
      </c>
      <c r="BC14" s="939">
        <v>0</v>
      </c>
      <c r="BD14" s="419">
        <v>0</v>
      </c>
      <c r="BE14" s="419">
        <v>0</v>
      </c>
      <c r="BF14" s="419">
        <f t="shared" si="13"/>
        <v>0</v>
      </c>
      <c r="BG14" s="419">
        <f t="shared" si="14"/>
        <v>0.45</v>
      </c>
      <c r="BH14" s="421">
        <f t="shared" si="15"/>
        <v>0.45</v>
      </c>
      <c r="BI14" s="780">
        <f>I14+AW14</f>
        <v>606538</v>
      </c>
      <c r="BJ14" s="418">
        <f>J14+AF14</f>
        <v>448372</v>
      </c>
      <c r="BK14" s="418">
        <f t="shared" si="16"/>
        <v>0</v>
      </c>
      <c r="BL14" s="418">
        <f t="shared" si="16"/>
        <v>448372</v>
      </c>
      <c r="BM14" s="418">
        <f>M14+AN14</f>
        <v>0</v>
      </c>
      <c r="BN14" s="418">
        <f t="shared" si="17"/>
        <v>0</v>
      </c>
      <c r="BO14" s="418">
        <f t="shared" si="17"/>
        <v>0</v>
      </c>
      <c r="BP14" s="418">
        <f t="shared" si="18"/>
        <v>151550</v>
      </c>
      <c r="BQ14" s="418">
        <f t="shared" si="18"/>
        <v>4484</v>
      </c>
      <c r="BR14" s="418">
        <f>R14+AV14</f>
        <v>2132</v>
      </c>
      <c r="BS14" s="419">
        <f>S14+BH14</f>
        <v>1.34</v>
      </c>
      <c r="BT14" s="419">
        <f t="shared" si="19"/>
        <v>0</v>
      </c>
      <c r="BU14" s="421">
        <f t="shared" si="19"/>
        <v>1.34</v>
      </c>
      <c r="BV14" s="420"/>
      <c r="BW14" s="415"/>
      <c r="BX14" s="415"/>
      <c r="BY14" s="415"/>
      <c r="BZ14" s="415"/>
      <c r="CA14" s="510"/>
    </row>
    <row r="15" spans="1:79" ht="13.5" customHeight="1" x14ac:dyDescent="0.2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13"/>
      <c r="I15" s="452">
        <v>4713065</v>
      </c>
      <c r="J15" s="445">
        <v>3484730</v>
      </c>
      <c r="K15" s="445">
        <v>2951712</v>
      </c>
      <c r="L15" s="445">
        <v>533018</v>
      </c>
      <c r="M15" s="445">
        <v>0</v>
      </c>
      <c r="N15" s="445">
        <v>0</v>
      </c>
      <c r="O15" s="445">
        <v>0</v>
      </c>
      <c r="P15" s="445">
        <v>1177839</v>
      </c>
      <c r="Q15" s="445">
        <v>34847</v>
      </c>
      <c r="R15" s="445">
        <v>15649</v>
      </c>
      <c r="S15" s="446">
        <v>7.254599999999999</v>
      </c>
      <c r="T15" s="446">
        <v>5.5644999999999998</v>
      </c>
      <c r="U15" s="450">
        <v>1.6901000000000002</v>
      </c>
      <c r="V15" s="448">
        <f t="shared" ref="V15:CA15" si="20">SUM(V12:V14)</f>
        <v>0</v>
      </c>
      <c r="W15" s="445">
        <f t="shared" si="20"/>
        <v>0</v>
      </c>
      <c r="X15" s="445">
        <f t="shared" si="20"/>
        <v>0</v>
      </c>
      <c r="Y15" s="445">
        <f t="shared" si="20"/>
        <v>0</v>
      </c>
      <c r="Z15" s="445">
        <f t="shared" si="20"/>
        <v>0</v>
      </c>
      <c r="AA15" s="445">
        <f t="shared" si="20"/>
        <v>150474</v>
      </c>
      <c r="AB15" s="445">
        <f t="shared" si="20"/>
        <v>0</v>
      </c>
      <c r="AC15" s="445">
        <f t="shared" si="20"/>
        <v>0</v>
      </c>
      <c r="AD15" s="445">
        <f t="shared" si="20"/>
        <v>0</v>
      </c>
      <c r="AE15" s="445">
        <f t="shared" si="20"/>
        <v>150474</v>
      </c>
      <c r="AF15" s="445">
        <f t="shared" si="20"/>
        <v>150474</v>
      </c>
      <c r="AG15" s="445">
        <f t="shared" si="20"/>
        <v>0</v>
      </c>
      <c r="AH15" s="445">
        <f t="shared" si="20"/>
        <v>0</v>
      </c>
      <c r="AI15" s="445">
        <f t="shared" si="20"/>
        <v>0</v>
      </c>
      <c r="AJ15" s="445">
        <f t="shared" si="20"/>
        <v>0</v>
      </c>
      <c r="AK15" s="445">
        <f t="shared" si="20"/>
        <v>0</v>
      </c>
      <c r="AL15" s="445">
        <f t="shared" si="20"/>
        <v>0</v>
      </c>
      <c r="AM15" s="445">
        <f t="shared" si="20"/>
        <v>0</v>
      </c>
      <c r="AN15" s="445">
        <f t="shared" si="20"/>
        <v>0</v>
      </c>
      <c r="AO15" s="445">
        <f t="shared" si="20"/>
        <v>0</v>
      </c>
      <c r="AP15" s="445">
        <f t="shared" si="20"/>
        <v>150474</v>
      </c>
      <c r="AQ15" s="445">
        <f t="shared" si="20"/>
        <v>150474</v>
      </c>
      <c r="AR15" s="445">
        <f t="shared" si="20"/>
        <v>50860</v>
      </c>
      <c r="AS15" s="445">
        <f t="shared" si="20"/>
        <v>1505</v>
      </c>
      <c r="AT15" s="445">
        <f t="shared" si="20"/>
        <v>0</v>
      </c>
      <c r="AU15" s="445">
        <f t="shared" si="20"/>
        <v>697</v>
      </c>
      <c r="AV15" s="445">
        <f t="shared" si="20"/>
        <v>697</v>
      </c>
      <c r="AW15" s="445">
        <f t="shared" si="20"/>
        <v>203536</v>
      </c>
      <c r="AX15" s="446">
        <f t="shared" si="20"/>
        <v>0</v>
      </c>
      <c r="AY15" s="446">
        <f t="shared" si="20"/>
        <v>0</v>
      </c>
      <c r="AZ15" s="446">
        <f t="shared" si="20"/>
        <v>0</v>
      </c>
      <c r="BA15" s="446">
        <f t="shared" si="20"/>
        <v>0</v>
      </c>
      <c r="BB15" s="446">
        <f t="shared" si="20"/>
        <v>0.45</v>
      </c>
      <c r="BC15" s="948">
        <f t="shared" si="20"/>
        <v>0</v>
      </c>
      <c r="BD15" s="446">
        <f t="shared" si="20"/>
        <v>0</v>
      </c>
      <c r="BE15" s="446">
        <f t="shared" si="20"/>
        <v>0</v>
      </c>
      <c r="BF15" s="446">
        <f t="shared" si="20"/>
        <v>0</v>
      </c>
      <c r="BG15" s="446">
        <f t="shared" si="20"/>
        <v>0.45</v>
      </c>
      <c r="BH15" s="39">
        <f t="shared" si="20"/>
        <v>0.45</v>
      </c>
      <c r="BI15" s="452">
        <f t="shared" si="20"/>
        <v>4916601</v>
      </c>
      <c r="BJ15" s="445">
        <f t="shared" si="20"/>
        <v>3635204</v>
      </c>
      <c r="BK15" s="445">
        <f t="shared" si="20"/>
        <v>2951712</v>
      </c>
      <c r="BL15" s="445">
        <f t="shared" si="20"/>
        <v>683492</v>
      </c>
      <c r="BM15" s="445">
        <f t="shared" si="20"/>
        <v>0</v>
      </c>
      <c r="BN15" s="445">
        <f t="shared" si="20"/>
        <v>0</v>
      </c>
      <c r="BO15" s="445">
        <f t="shared" si="20"/>
        <v>0</v>
      </c>
      <c r="BP15" s="445">
        <f t="shared" si="20"/>
        <v>1228699</v>
      </c>
      <c r="BQ15" s="445">
        <f t="shared" si="20"/>
        <v>36352</v>
      </c>
      <c r="BR15" s="445">
        <f t="shared" si="20"/>
        <v>16346</v>
      </c>
      <c r="BS15" s="446">
        <f t="shared" si="20"/>
        <v>7.7045999999999992</v>
      </c>
      <c r="BT15" s="446">
        <f t="shared" si="20"/>
        <v>5.5644999999999998</v>
      </c>
      <c r="BU15" s="39">
        <f t="shared" si="20"/>
        <v>2.1401000000000003</v>
      </c>
      <c r="BV15" s="833">
        <f t="shared" si="20"/>
        <v>0</v>
      </c>
      <c r="BW15" s="715">
        <f t="shared" si="20"/>
        <v>0</v>
      </c>
      <c r="BX15" s="715">
        <f t="shared" si="20"/>
        <v>0</v>
      </c>
      <c r="BY15" s="715">
        <f t="shared" si="20"/>
        <v>0</v>
      </c>
      <c r="BZ15" s="715">
        <f t="shared" si="20"/>
        <v>0</v>
      </c>
      <c r="CA15" s="834">
        <f t="shared" si="20"/>
        <v>0</v>
      </c>
    </row>
    <row r="16" spans="1:79" ht="13.5" customHeight="1" x14ac:dyDescent="0.2">
      <c r="A16" s="205">
        <v>2</v>
      </c>
      <c r="B16" s="206">
        <v>3449</v>
      </c>
      <c r="C16" s="206">
        <v>600078116</v>
      </c>
      <c r="D16" s="206">
        <v>70695016</v>
      </c>
      <c r="E16" s="204" t="s">
        <v>120</v>
      </c>
      <c r="F16" s="206">
        <v>3111</v>
      </c>
      <c r="G16" s="207" t="s">
        <v>290</v>
      </c>
      <c r="H16" s="612" t="s">
        <v>271</v>
      </c>
      <c r="I16" s="511">
        <v>4974048</v>
      </c>
      <c r="J16" s="415">
        <v>3606752</v>
      </c>
      <c r="K16" s="415">
        <v>3284083</v>
      </c>
      <c r="L16" s="415">
        <v>322669</v>
      </c>
      <c r="M16" s="415">
        <v>70000</v>
      </c>
      <c r="N16" s="415">
        <v>60000</v>
      </c>
      <c r="O16" s="415">
        <v>10000</v>
      </c>
      <c r="P16" s="68">
        <v>1242742</v>
      </c>
      <c r="Q16" s="68">
        <v>36068</v>
      </c>
      <c r="R16" s="415">
        <v>18486</v>
      </c>
      <c r="S16" s="416">
        <v>7.12</v>
      </c>
      <c r="T16" s="417">
        <v>6</v>
      </c>
      <c r="U16" s="423">
        <v>1.1200000000000001</v>
      </c>
      <c r="V16" s="424">
        <f t="shared" si="0"/>
        <v>0</v>
      </c>
      <c r="W16" s="418">
        <f t="shared" si="0"/>
        <v>0</v>
      </c>
      <c r="X16" s="418">
        <v>0</v>
      </c>
      <c r="Y16" s="418">
        <v>0</v>
      </c>
      <c r="Z16" s="418">
        <v>0</v>
      </c>
      <c r="AA16" s="415">
        <v>0</v>
      </c>
      <c r="AB16" s="418">
        <v>0</v>
      </c>
      <c r="AC16" s="418">
        <v>0</v>
      </c>
      <c r="AD16" s="418">
        <f t="shared" si="1"/>
        <v>0</v>
      </c>
      <c r="AE16" s="418">
        <f t="shared" si="2"/>
        <v>0</v>
      </c>
      <c r="AF16" s="418">
        <f t="shared" si="3"/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 t="shared" si="4"/>
        <v>0</v>
      </c>
      <c r="AM16" s="418">
        <f t="shared" si="5"/>
        <v>0</v>
      </c>
      <c r="AN16" s="418">
        <f t="shared" si="6"/>
        <v>0</v>
      </c>
      <c r="AO16" s="418">
        <f t="shared" si="7"/>
        <v>0</v>
      </c>
      <c r="AP16" s="418">
        <f t="shared" si="7"/>
        <v>0</v>
      </c>
      <c r="AQ16" s="418">
        <f t="shared" si="8"/>
        <v>0</v>
      </c>
      <c r="AR16" s="68">
        <f t="shared" si="9"/>
        <v>0</v>
      </c>
      <c r="AS16" s="68">
        <f t="shared" si="10"/>
        <v>0</v>
      </c>
      <c r="AT16" s="418">
        <v>0</v>
      </c>
      <c r="AU16" s="415">
        <v>0</v>
      </c>
      <c r="AV16" s="418">
        <f t="shared" si="11"/>
        <v>0</v>
      </c>
      <c r="AW16" s="418">
        <f t="shared" si="12"/>
        <v>0</v>
      </c>
      <c r="AX16" s="419">
        <v>0</v>
      </c>
      <c r="AY16" s="419">
        <v>0</v>
      </c>
      <c r="AZ16" s="419">
        <v>0</v>
      </c>
      <c r="BA16" s="419">
        <v>0</v>
      </c>
      <c r="BB16" s="416">
        <v>0</v>
      </c>
      <c r="BC16" s="939">
        <v>0</v>
      </c>
      <c r="BD16" s="419">
        <v>0</v>
      </c>
      <c r="BE16" s="419">
        <v>0</v>
      </c>
      <c r="BF16" s="419">
        <f t="shared" si="13"/>
        <v>0</v>
      </c>
      <c r="BG16" s="419">
        <f t="shared" si="14"/>
        <v>0</v>
      </c>
      <c r="BH16" s="421">
        <f t="shared" si="15"/>
        <v>0</v>
      </c>
      <c r="BI16" s="780">
        <f>I16+AW16</f>
        <v>4974048</v>
      </c>
      <c r="BJ16" s="418">
        <f>J16+AF16</f>
        <v>3606752</v>
      </c>
      <c r="BK16" s="418">
        <f t="shared" ref="BK16:BL18" si="21">K16+AD16</f>
        <v>3284083</v>
      </c>
      <c r="BL16" s="418">
        <f t="shared" si="21"/>
        <v>322669</v>
      </c>
      <c r="BM16" s="418">
        <f>M16+AN16</f>
        <v>70000</v>
      </c>
      <c r="BN16" s="418">
        <f t="shared" ref="BN16:BO18" si="22">N16+AL16</f>
        <v>60000</v>
      </c>
      <c r="BO16" s="418">
        <f t="shared" si="22"/>
        <v>10000</v>
      </c>
      <c r="BP16" s="418">
        <f t="shared" ref="BP16:BQ18" si="23">P16+AR16</f>
        <v>1242742</v>
      </c>
      <c r="BQ16" s="418">
        <f t="shared" si="23"/>
        <v>36068</v>
      </c>
      <c r="BR16" s="418">
        <f>R16+AV16</f>
        <v>18486</v>
      </c>
      <c r="BS16" s="419">
        <f>S16+BH16</f>
        <v>7.12</v>
      </c>
      <c r="BT16" s="419">
        <f t="shared" ref="BT16:BU18" si="24">T16+BF16</f>
        <v>6</v>
      </c>
      <c r="BU16" s="421">
        <f t="shared" si="24"/>
        <v>1.1200000000000001</v>
      </c>
      <c r="BV16" s="420"/>
      <c r="BW16" s="415"/>
      <c r="BX16" s="415"/>
      <c r="BY16" s="415"/>
      <c r="BZ16" s="415"/>
      <c r="CA16" s="510"/>
    </row>
    <row r="17" spans="1:79" ht="13.5" customHeight="1" x14ac:dyDescent="0.2">
      <c r="A17" s="205">
        <v>2</v>
      </c>
      <c r="B17" s="206">
        <v>3449</v>
      </c>
      <c r="C17" s="206">
        <v>600078116</v>
      </c>
      <c r="D17" s="206">
        <v>70695016</v>
      </c>
      <c r="E17" s="204" t="s">
        <v>120</v>
      </c>
      <c r="F17" s="206">
        <v>3111</v>
      </c>
      <c r="G17" s="207" t="s">
        <v>291</v>
      </c>
      <c r="H17" s="612" t="s">
        <v>272</v>
      </c>
      <c r="I17" s="511">
        <v>1249600</v>
      </c>
      <c r="J17" s="415">
        <v>927003</v>
      </c>
      <c r="K17" s="415">
        <v>927003</v>
      </c>
      <c r="L17" s="415">
        <v>0</v>
      </c>
      <c r="M17" s="415">
        <v>0</v>
      </c>
      <c r="N17" s="415">
        <v>0</v>
      </c>
      <c r="O17" s="415">
        <v>0</v>
      </c>
      <c r="P17" s="68">
        <v>313327</v>
      </c>
      <c r="Q17" s="68">
        <v>9270</v>
      </c>
      <c r="R17" s="415">
        <v>0</v>
      </c>
      <c r="S17" s="416">
        <v>2.5</v>
      </c>
      <c r="T17" s="417">
        <v>2.5</v>
      </c>
      <c r="U17" s="423">
        <v>0</v>
      </c>
      <c r="V17" s="424">
        <f t="shared" si="0"/>
        <v>0</v>
      </c>
      <c r="W17" s="418">
        <f t="shared" si="0"/>
        <v>0</v>
      </c>
      <c r="X17" s="418">
        <v>0</v>
      </c>
      <c r="Y17" s="418">
        <v>0</v>
      </c>
      <c r="Z17" s="418">
        <v>0</v>
      </c>
      <c r="AA17" s="415">
        <v>0</v>
      </c>
      <c r="AB17" s="418">
        <v>0</v>
      </c>
      <c r="AC17" s="418">
        <v>0</v>
      </c>
      <c r="AD17" s="418">
        <f t="shared" si="1"/>
        <v>0</v>
      </c>
      <c r="AE17" s="418">
        <f t="shared" si="2"/>
        <v>0</v>
      </c>
      <c r="AF17" s="418">
        <f t="shared" si="3"/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 t="shared" si="4"/>
        <v>0</v>
      </c>
      <c r="AM17" s="418">
        <f t="shared" si="5"/>
        <v>0</v>
      </c>
      <c r="AN17" s="418">
        <f t="shared" si="6"/>
        <v>0</v>
      </c>
      <c r="AO17" s="418">
        <f t="shared" si="7"/>
        <v>0</v>
      </c>
      <c r="AP17" s="418">
        <f t="shared" si="7"/>
        <v>0</v>
      </c>
      <c r="AQ17" s="418">
        <f t="shared" si="8"/>
        <v>0</v>
      </c>
      <c r="AR17" s="68">
        <f t="shared" si="9"/>
        <v>0</v>
      </c>
      <c r="AS17" s="68">
        <f t="shared" si="10"/>
        <v>0</v>
      </c>
      <c r="AT17" s="418">
        <v>0</v>
      </c>
      <c r="AU17" s="415">
        <v>0</v>
      </c>
      <c r="AV17" s="418">
        <f t="shared" si="11"/>
        <v>0</v>
      </c>
      <c r="AW17" s="418">
        <f t="shared" si="12"/>
        <v>0</v>
      </c>
      <c r="AX17" s="419">
        <v>0</v>
      </c>
      <c r="AY17" s="419">
        <v>0</v>
      </c>
      <c r="AZ17" s="419">
        <v>0</v>
      </c>
      <c r="BA17" s="419">
        <v>0</v>
      </c>
      <c r="BB17" s="416">
        <v>0</v>
      </c>
      <c r="BC17" s="939">
        <v>0</v>
      </c>
      <c r="BD17" s="419">
        <v>0</v>
      </c>
      <c r="BE17" s="419">
        <v>0</v>
      </c>
      <c r="BF17" s="419">
        <f t="shared" si="13"/>
        <v>0</v>
      </c>
      <c r="BG17" s="419">
        <f t="shared" si="14"/>
        <v>0</v>
      </c>
      <c r="BH17" s="421">
        <f t="shared" si="15"/>
        <v>0</v>
      </c>
      <c r="BI17" s="780">
        <f>I17+AW17</f>
        <v>1249600</v>
      </c>
      <c r="BJ17" s="418">
        <f>J17+AF17</f>
        <v>927003</v>
      </c>
      <c r="BK17" s="418">
        <f t="shared" si="21"/>
        <v>927003</v>
      </c>
      <c r="BL17" s="418">
        <f t="shared" si="21"/>
        <v>0</v>
      </c>
      <c r="BM17" s="418">
        <f>M17+AN17</f>
        <v>0</v>
      </c>
      <c r="BN17" s="418">
        <f t="shared" si="22"/>
        <v>0</v>
      </c>
      <c r="BO17" s="418">
        <f t="shared" si="22"/>
        <v>0</v>
      </c>
      <c r="BP17" s="418">
        <f t="shared" si="23"/>
        <v>313327</v>
      </c>
      <c r="BQ17" s="418">
        <f t="shared" si="23"/>
        <v>9270</v>
      </c>
      <c r="BR17" s="418">
        <f>R17+AV17</f>
        <v>0</v>
      </c>
      <c r="BS17" s="419">
        <f>S17+BH17</f>
        <v>2.5</v>
      </c>
      <c r="BT17" s="419">
        <f t="shared" si="24"/>
        <v>2.5</v>
      </c>
      <c r="BU17" s="421">
        <f t="shared" si="24"/>
        <v>0</v>
      </c>
      <c r="BV17" s="420"/>
      <c r="BW17" s="415"/>
      <c r="BX17" s="415"/>
      <c r="BY17" s="415"/>
      <c r="BZ17" s="415"/>
      <c r="CA17" s="510"/>
    </row>
    <row r="18" spans="1:79" ht="13.5" customHeight="1" x14ac:dyDescent="0.2">
      <c r="A18" s="205">
        <v>2</v>
      </c>
      <c r="B18" s="206">
        <v>3449</v>
      </c>
      <c r="C18" s="206">
        <v>600078116</v>
      </c>
      <c r="D18" s="206">
        <v>70695016</v>
      </c>
      <c r="E18" s="204" t="s">
        <v>120</v>
      </c>
      <c r="F18" s="206">
        <v>3141</v>
      </c>
      <c r="G18" s="207" t="s">
        <v>294</v>
      </c>
      <c r="H18" s="612" t="s">
        <v>272</v>
      </c>
      <c r="I18" s="511">
        <v>508381</v>
      </c>
      <c r="J18" s="415">
        <v>365732</v>
      </c>
      <c r="K18" s="415">
        <v>0</v>
      </c>
      <c r="L18" s="415">
        <v>365732</v>
      </c>
      <c r="M18" s="415">
        <v>10000</v>
      </c>
      <c r="N18" s="415">
        <v>0</v>
      </c>
      <c r="O18" s="415">
        <v>10000</v>
      </c>
      <c r="P18" s="68">
        <v>126997</v>
      </c>
      <c r="Q18" s="68">
        <v>3657</v>
      </c>
      <c r="R18" s="415">
        <v>1995</v>
      </c>
      <c r="S18" s="416">
        <v>1.0999999999999999</v>
      </c>
      <c r="T18" s="417">
        <v>0</v>
      </c>
      <c r="U18" s="423">
        <v>1.0999999999999999</v>
      </c>
      <c r="V18" s="424">
        <f t="shared" si="0"/>
        <v>0</v>
      </c>
      <c r="W18" s="418">
        <f t="shared" si="0"/>
        <v>0</v>
      </c>
      <c r="X18" s="418">
        <v>0</v>
      </c>
      <c r="Y18" s="418">
        <v>0</v>
      </c>
      <c r="Z18" s="418">
        <v>0</v>
      </c>
      <c r="AA18" s="605">
        <v>186245</v>
      </c>
      <c r="AB18" s="418">
        <v>0</v>
      </c>
      <c r="AC18" s="418">
        <v>0</v>
      </c>
      <c r="AD18" s="418">
        <f t="shared" si="1"/>
        <v>0</v>
      </c>
      <c r="AE18" s="418">
        <f t="shared" si="2"/>
        <v>186245</v>
      </c>
      <c r="AF18" s="418">
        <f t="shared" si="3"/>
        <v>186245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 t="shared" si="4"/>
        <v>0</v>
      </c>
      <c r="AM18" s="418">
        <f t="shared" si="5"/>
        <v>0</v>
      </c>
      <c r="AN18" s="418">
        <f t="shared" si="6"/>
        <v>0</v>
      </c>
      <c r="AO18" s="418">
        <f t="shared" si="7"/>
        <v>0</v>
      </c>
      <c r="AP18" s="418">
        <f t="shared" si="7"/>
        <v>186245</v>
      </c>
      <c r="AQ18" s="418">
        <f t="shared" si="8"/>
        <v>186245</v>
      </c>
      <c r="AR18" s="68">
        <f t="shared" si="9"/>
        <v>62951</v>
      </c>
      <c r="AS18" s="68">
        <f t="shared" si="10"/>
        <v>1862</v>
      </c>
      <c r="AT18" s="418">
        <v>0</v>
      </c>
      <c r="AU18" s="605">
        <v>969</v>
      </c>
      <c r="AV18" s="418">
        <f t="shared" si="11"/>
        <v>969</v>
      </c>
      <c r="AW18" s="418">
        <f t="shared" si="12"/>
        <v>252027</v>
      </c>
      <c r="AX18" s="419">
        <v>0</v>
      </c>
      <c r="AY18" s="419">
        <v>0</v>
      </c>
      <c r="AZ18" s="419">
        <v>0</v>
      </c>
      <c r="BA18" s="419">
        <v>0</v>
      </c>
      <c r="BB18" s="607">
        <v>0.56000000000000005</v>
      </c>
      <c r="BC18" s="939">
        <v>0</v>
      </c>
      <c r="BD18" s="419">
        <v>0</v>
      </c>
      <c r="BE18" s="419">
        <v>0</v>
      </c>
      <c r="BF18" s="419">
        <f t="shared" si="13"/>
        <v>0</v>
      </c>
      <c r="BG18" s="419">
        <f t="shared" si="14"/>
        <v>0.56000000000000005</v>
      </c>
      <c r="BH18" s="421">
        <f t="shared" si="15"/>
        <v>0.56000000000000005</v>
      </c>
      <c r="BI18" s="780">
        <f>I18+AW18</f>
        <v>760408</v>
      </c>
      <c r="BJ18" s="418">
        <f>J18+AF18</f>
        <v>551977</v>
      </c>
      <c r="BK18" s="418">
        <f t="shared" si="21"/>
        <v>0</v>
      </c>
      <c r="BL18" s="418">
        <f t="shared" si="21"/>
        <v>551977</v>
      </c>
      <c r="BM18" s="418">
        <f>M18+AN18</f>
        <v>10000</v>
      </c>
      <c r="BN18" s="418">
        <f t="shared" si="22"/>
        <v>0</v>
      </c>
      <c r="BO18" s="418">
        <f t="shared" si="22"/>
        <v>10000</v>
      </c>
      <c r="BP18" s="418">
        <f t="shared" si="23"/>
        <v>189948</v>
      </c>
      <c r="BQ18" s="418">
        <f t="shared" si="23"/>
        <v>5519</v>
      </c>
      <c r="BR18" s="418">
        <f>R18+AV18</f>
        <v>2964</v>
      </c>
      <c r="BS18" s="419">
        <f>S18+BH18</f>
        <v>1.66</v>
      </c>
      <c r="BT18" s="419">
        <f t="shared" si="24"/>
        <v>0</v>
      </c>
      <c r="BU18" s="421">
        <f t="shared" si="24"/>
        <v>1.66</v>
      </c>
      <c r="BV18" s="420"/>
      <c r="BW18" s="415"/>
      <c r="BX18" s="415"/>
      <c r="BY18" s="415"/>
      <c r="BZ18" s="415"/>
      <c r="CA18" s="510"/>
    </row>
    <row r="19" spans="1:79" ht="13.5" customHeight="1" x14ac:dyDescent="0.2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13"/>
      <c r="I19" s="452">
        <v>6732029</v>
      </c>
      <c r="J19" s="445">
        <v>4899487</v>
      </c>
      <c r="K19" s="445">
        <v>4211086</v>
      </c>
      <c r="L19" s="445">
        <v>688401</v>
      </c>
      <c r="M19" s="445">
        <v>80000</v>
      </c>
      <c r="N19" s="445">
        <v>60000</v>
      </c>
      <c r="O19" s="445">
        <v>20000</v>
      </c>
      <c r="P19" s="445">
        <v>1683066</v>
      </c>
      <c r="Q19" s="445">
        <v>48995</v>
      </c>
      <c r="R19" s="445">
        <v>20481</v>
      </c>
      <c r="S19" s="446">
        <v>10.72</v>
      </c>
      <c r="T19" s="446">
        <v>8.5</v>
      </c>
      <c r="U19" s="450">
        <v>2.2199999999999998</v>
      </c>
      <c r="V19" s="448">
        <f t="shared" ref="V19:CA19" si="25">SUM(V16:V18)</f>
        <v>0</v>
      </c>
      <c r="W19" s="445">
        <f t="shared" si="25"/>
        <v>0</v>
      </c>
      <c r="X19" s="445">
        <f t="shared" si="25"/>
        <v>0</v>
      </c>
      <c r="Y19" s="445">
        <f t="shared" si="25"/>
        <v>0</v>
      </c>
      <c r="Z19" s="445">
        <f t="shared" si="25"/>
        <v>0</v>
      </c>
      <c r="AA19" s="445">
        <f t="shared" si="25"/>
        <v>186245</v>
      </c>
      <c r="AB19" s="445">
        <f t="shared" si="25"/>
        <v>0</v>
      </c>
      <c r="AC19" s="445">
        <f t="shared" si="25"/>
        <v>0</v>
      </c>
      <c r="AD19" s="445">
        <f t="shared" si="25"/>
        <v>0</v>
      </c>
      <c r="AE19" s="445">
        <f t="shared" si="25"/>
        <v>186245</v>
      </c>
      <c r="AF19" s="445">
        <f t="shared" si="25"/>
        <v>186245</v>
      </c>
      <c r="AG19" s="445">
        <f t="shared" si="25"/>
        <v>0</v>
      </c>
      <c r="AH19" s="445">
        <f t="shared" si="25"/>
        <v>0</v>
      </c>
      <c r="AI19" s="445">
        <f t="shared" si="25"/>
        <v>0</v>
      </c>
      <c r="AJ19" s="445">
        <f t="shared" si="25"/>
        <v>0</v>
      </c>
      <c r="AK19" s="445">
        <f t="shared" si="25"/>
        <v>0</v>
      </c>
      <c r="AL19" s="445">
        <f t="shared" si="25"/>
        <v>0</v>
      </c>
      <c r="AM19" s="445">
        <f t="shared" si="25"/>
        <v>0</v>
      </c>
      <c r="AN19" s="445">
        <f t="shared" si="25"/>
        <v>0</v>
      </c>
      <c r="AO19" s="445">
        <f t="shared" si="25"/>
        <v>0</v>
      </c>
      <c r="AP19" s="445">
        <f t="shared" si="25"/>
        <v>186245</v>
      </c>
      <c r="AQ19" s="445">
        <f t="shared" si="25"/>
        <v>186245</v>
      </c>
      <c r="AR19" s="445">
        <f t="shared" si="25"/>
        <v>62951</v>
      </c>
      <c r="AS19" s="445">
        <f t="shared" si="25"/>
        <v>1862</v>
      </c>
      <c r="AT19" s="445">
        <f t="shared" si="25"/>
        <v>0</v>
      </c>
      <c r="AU19" s="445">
        <f t="shared" si="25"/>
        <v>969</v>
      </c>
      <c r="AV19" s="445">
        <f t="shared" si="25"/>
        <v>969</v>
      </c>
      <c r="AW19" s="445">
        <f t="shared" si="25"/>
        <v>252027</v>
      </c>
      <c r="AX19" s="446">
        <f t="shared" si="25"/>
        <v>0</v>
      </c>
      <c r="AY19" s="446">
        <f t="shared" si="25"/>
        <v>0</v>
      </c>
      <c r="AZ19" s="446">
        <f t="shared" si="25"/>
        <v>0</v>
      </c>
      <c r="BA19" s="446">
        <f t="shared" si="25"/>
        <v>0</v>
      </c>
      <c r="BB19" s="446">
        <f t="shared" si="25"/>
        <v>0.56000000000000005</v>
      </c>
      <c r="BC19" s="948">
        <f t="shared" si="25"/>
        <v>0</v>
      </c>
      <c r="BD19" s="446">
        <f t="shared" si="25"/>
        <v>0</v>
      </c>
      <c r="BE19" s="446">
        <f t="shared" si="25"/>
        <v>0</v>
      </c>
      <c r="BF19" s="446">
        <f t="shared" si="25"/>
        <v>0</v>
      </c>
      <c r="BG19" s="446">
        <f t="shared" si="25"/>
        <v>0.56000000000000005</v>
      </c>
      <c r="BH19" s="39">
        <f t="shared" si="25"/>
        <v>0.56000000000000005</v>
      </c>
      <c r="BI19" s="452">
        <f t="shared" si="25"/>
        <v>6984056</v>
      </c>
      <c r="BJ19" s="445">
        <f t="shared" si="25"/>
        <v>5085732</v>
      </c>
      <c r="BK19" s="445">
        <f t="shared" si="25"/>
        <v>4211086</v>
      </c>
      <c r="BL19" s="445">
        <f t="shared" si="25"/>
        <v>874646</v>
      </c>
      <c r="BM19" s="445">
        <f t="shared" si="25"/>
        <v>80000</v>
      </c>
      <c r="BN19" s="445">
        <f t="shared" si="25"/>
        <v>60000</v>
      </c>
      <c r="BO19" s="445">
        <f t="shared" si="25"/>
        <v>20000</v>
      </c>
      <c r="BP19" s="445">
        <f t="shared" si="25"/>
        <v>1746017</v>
      </c>
      <c r="BQ19" s="445">
        <f t="shared" si="25"/>
        <v>50857</v>
      </c>
      <c r="BR19" s="445">
        <f t="shared" si="25"/>
        <v>21450</v>
      </c>
      <c r="BS19" s="446">
        <f t="shared" si="25"/>
        <v>11.280000000000001</v>
      </c>
      <c r="BT19" s="446">
        <f t="shared" si="25"/>
        <v>8.5</v>
      </c>
      <c r="BU19" s="39">
        <f t="shared" si="25"/>
        <v>2.7800000000000002</v>
      </c>
      <c r="BV19" s="833">
        <f t="shared" si="25"/>
        <v>0</v>
      </c>
      <c r="BW19" s="715">
        <f t="shared" si="25"/>
        <v>0</v>
      </c>
      <c r="BX19" s="715">
        <f t="shared" si="25"/>
        <v>0</v>
      </c>
      <c r="BY19" s="715">
        <f t="shared" si="25"/>
        <v>0</v>
      </c>
      <c r="BZ19" s="715">
        <f t="shared" si="25"/>
        <v>0</v>
      </c>
      <c r="CA19" s="834">
        <f t="shared" si="25"/>
        <v>0</v>
      </c>
    </row>
    <row r="20" spans="1:79" ht="13.5" customHeight="1" x14ac:dyDescent="0.2">
      <c r="A20" s="205">
        <v>3</v>
      </c>
      <c r="B20" s="206">
        <v>3451</v>
      </c>
      <c r="C20" s="206">
        <v>600078621</v>
      </c>
      <c r="D20" s="206">
        <v>70694991</v>
      </c>
      <c r="E20" s="204" t="s">
        <v>122</v>
      </c>
      <c r="F20" s="206">
        <v>3111</v>
      </c>
      <c r="G20" s="207" t="s">
        <v>290</v>
      </c>
      <c r="H20" s="612" t="s">
        <v>271</v>
      </c>
      <c r="I20" s="511">
        <v>5264955</v>
      </c>
      <c r="J20" s="415">
        <v>3887561</v>
      </c>
      <c r="K20" s="415">
        <v>3521596</v>
      </c>
      <c r="L20" s="415">
        <v>365965</v>
      </c>
      <c r="M20" s="415">
        <v>0</v>
      </c>
      <c r="N20" s="415">
        <v>0</v>
      </c>
      <c r="O20" s="415">
        <v>0</v>
      </c>
      <c r="P20" s="68">
        <v>1313996</v>
      </c>
      <c r="Q20" s="68">
        <v>38876</v>
      </c>
      <c r="R20" s="415">
        <v>24522</v>
      </c>
      <c r="S20" s="416">
        <v>7.2534000000000001</v>
      </c>
      <c r="T20" s="417">
        <v>6</v>
      </c>
      <c r="U20" s="423">
        <v>1.2534000000000001</v>
      </c>
      <c r="V20" s="424">
        <f t="shared" si="0"/>
        <v>0</v>
      </c>
      <c r="W20" s="418">
        <f t="shared" si="0"/>
        <v>0</v>
      </c>
      <c r="X20" s="418">
        <v>0</v>
      </c>
      <c r="Y20" s="418">
        <v>0</v>
      </c>
      <c r="Z20" s="418">
        <v>0</v>
      </c>
      <c r="AA20" s="415">
        <v>0</v>
      </c>
      <c r="AB20" s="418">
        <v>0</v>
      </c>
      <c r="AC20" s="418">
        <v>0</v>
      </c>
      <c r="AD20" s="418">
        <f t="shared" si="1"/>
        <v>0</v>
      </c>
      <c r="AE20" s="418">
        <f t="shared" si="2"/>
        <v>0</v>
      </c>
      <c r="AF20" s="418">
        <f t="shared" si="3"/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 t="shared" si="4"/>
        <v>0</v>
      </c>
      <c r="AM20" s="418">
        <f t="shared" si="5"/>
        <v>0</v>
      </c>
      <c r="AN20" s="418">
        <f t="shared" si="6"/>
        <v>0</v>
      </c>
      <c r="AO20" s="418">
        <f t="shared" si="7"/>
        <v>0</v>
      </c>
      <c r="AP20" s="418">
        <f t="shared" si="7"/>
        <v>0</v>
      </c>
      <c r="AQ20" s="418">
        <f t="shared" si="8"/>
        <v>0</v>
      </c>
      <c r="AR20" s="68">
        <f t="shared" si="9"/>
        <v>0</v>
      </c>
      <c r="AS20" s="68">
        <f t="shared" si="10"/>
        <v>0</v>
      </c>
      <c r="AT20" s="418">
        <v>0</v>
      </c>
      <c r="AU20" s="415">
        <v>0</v>
      </c>
      <c r="AV20" s="418">
        <f t="shared" si="11"/>
        <v>0</v>
      </c>
      <c r="AW20" s="418">
        <f t="shared" si="12"/>
        <v>0</v>
      </c>
      <c r="AX20" s="419">
        <v>0</v>
      </c>
      <c r="AY20" s="419">
        <v>0</v>
      </c>
      <c r="AZ20" s="419">
        <v>0</v>
      </c>
      <c r="BA20" s="419">
        <v>0</v>
      </c>
      <c r="BB20" s="416">
        <v>0</v>
      </c>
      <c r="BC20" s="939">
        <v>0</v>
      </c>
      <c r="BD20" s="419">
        <v>0</v>
      </c>
      <c r="BE20" s="419">
        <v>0</v>
      </c>
      <c r="BF20" s="419">
        <f t="shared" si="13"/>
        <v>0</v>
      </c>
      <c r="BG20" s="419">
        <f t="shared" si="14"/>
        <v>0</v>
      </c>
      <c r="BH20" s="421">
        <f t="shared" si="15"/>
        <v>0</v>
      </c>
      <c r="BI20" s="780">
        <f>I20+AW20</f>
        <v>5264955</v>
      </c>
      <c r="BJ20" s="418">
        <f>J20+AF20</f>
        <v>3887561</v>
      </c>
      <c r="BK20" s="418">
        <f t="shared" ref="BK20:BL22" si="26">K20+AD20</f>
        <v>3521596</v>
      </c>
      <c r="BL20" s="418">
        <f t="shared" si="26"/>
        <v>365965</v>
      </c>
      <c r="BM20" s="418">
        <f>M20+AN20</f>
        <v>0</v>
      </c>
      <c r="BN20" s="418">
        <f t="shared" ref="BN20:BO22" si="27">N20+AL20</f>
        <v>0</v>
      </c>
      <c r="BO20" s="418">
        <f t="shared" si="27"/>
        <v>0</v>
      </c>
      <c r="BP20" s="418">
        <f t="shared" ref="BP20:BQ22" si="28">P20+AR20</f>
        <v>1313996</v>
      </c>
      <c r="BQ20" s="418">
        <f t="shared" si="28"/>
        <v>38876</v>
      </c>
      <c r="BR20" s="418">
        <f>R20+AV20</f>
        <v>24522</v>
      </c>
      <c r="BS20" s="419">
        <f>S20+BH20</f>
        <v>7.2534000000000001</v>
      </c>
      <c r="BT20" s="419">
        <f t="shared" ref="BT20:BU22" si="29">T20+BF20</f>
        <v>6</v>
      </c>
      <c r="BU20" s="421">
        <f t="shared" si="29"/>
        <v>1.2534000000000001</v>
      </c>
      <c r="BV20" s="420"/>
      <c r="BW20" s="415"/>
      <c r="BX20" s="415"/>
      <c r="BY20" s="415"/>
      <c r="BZ20" s="415"/>
      <c r="CA20" s="510"/>
    </row>
    <row r="21" spans="1:79" ht="13.5" customHeight="1" x14ac:dyDescent="0.2">
      <c r="A21" s="205">
        <v>3</v>
      </c>
      <c r="B21" s="206">
        <v>3451</v>
      </c>
      <c r="C21" s="206">
        <v>600078621</v>
      </c>
      <c r="D21" s="206">
        <v>70694991</v>
      </c>
      <c r="E21" s="204" t="s">
        <v>122</v>
      </c>
      <c r="F21" s="206">
        <v>3111</v>
      </c>
      <c r="G21" s="207" t="s">
        <v>291</v>
      </c>
      <c r="H21" s="612" t="s">
        <v>272</v>
      </c>
      <c r="I21" s="511">
        <v>874720</v>
      </c>
      <c r="J21" s="415">
        <v>648902</v>
      </c>
      <c r="K21" s="415">
        <v>648902</v>
      </c>
      <c r="L21" s="415">
        <v>0</v>
      </c>
      <c r="M21" s="415">
        <v>0</v>
      </c>
      <c r="N21" s="415">
        <v>0</v>
      </c>
      <c r="O21" s="415">
        <v>0</v>
      </c>
      <c r="P21" s="68">
        <v>219329</v>
      </c>
      <c r="Q21" s="68">
        <v>6489</v>
      </c>
      <c r="R21" s="415">
        <v>0</v>
      </c>
      <c r="S21" s="416">
        <v>1.75</v>
      </c>
      <c r="T21" s="417">
        <v>1.75</v>
      </c>
      <c r="U21" s="423">
        <v>0</v>
      </c>
      <c r="V21" s="424">
        <f t="shared" si="0"/>
        <v>0</v>
      </c>
      <c r="W21" s="418">
        <f t="shared" si="0"/>
        <v>0</v>
      </c>
      <c r="X21" s="418">
        <v>0</v>
      </c>
      <c r="Y21" s="418">
        <v>0</v>
      </c>
      <c r="Z21" s="418">
        <v>0</v>
      </c>
      <c r="AA21" s="415">
        <v>0</v>
      </c>
      <c r="AB21" s="418">
        <v>0</v>
      </c>
      <c r="AC21" s="418">
        <v>0</v>
      </c>
      <c r="AD21" s="418">
        <f t="shared" si="1"/>
        <v>0</v>
      </c>
      <c r="AE21" s="418">
        <f t="shared" si="2"/>
        <v>0</v>
      </c>
      <c r="AF21" s="418">
        <f t="shared" si="3"/>
        <v>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 t="shared" si="4"/>
        <v>0</v>
      </c>
      <c r="AM21" s="418">
        <f t="shared" si="5"/>
        <v>0</v>
      </c>
      <c r="AN21" s="418">
        <f t="shared" si="6"/>
        <v>0</v>
      </c>
      <c r="AO21" s="418">
        <f t="shared" si="7"/>
        <v>0</v>
      </c>
      <c r="AP21" s="418">
        <f t="shared" si="7"/>
        <v>0</v>
      </c>
      <c r="AQ21" s="418">
        <f t="shared" si="8"/>
        <v>0</v>
      </c>
      <c r="AR21" s="68">
        <f t="shared" si="9"/>
        <v>0</v>
      </c>
      <c r="AS21" s="68">
        <f t="shared" si="10"/>
        <v>0</v>
      </c>
      <c r="AT21" s="418">
        <v>0</v>
      </c>
      <c r="AU21" s="415">
        <v>0</v>
      </c>
      <c r="AV21" s="418">
        <f t="shared" si="11"/>
        <v>0</v>
      </c>
      <c r="AW21" s="418">
        <f t="shared" si="12"/>
        <v>0</v>
      </c>
      <c r="AX21" s="419">
        <v>0</v>
      </c>
      <c r="AY21" s="419">
        <v>0</v>
      </c>
      <c r="AZ21" s="419">
        <v>0</v>
      </c>
      <c r="BA21" s="419">
        <v>0</v>
      </c>
      <c r="BB21" s="416">
        <v>0</v>
      </c>
      <c r="BC21" s="939">
        <v>0</v>
      </c>
      <c r="BD21" s="419">
        <v>0</v>
      </c>
      <c r="BE21" s="419">
        <v>0</v>
      </c>
      <c r="BF21" s="419">
        <f t="shared" si="13"/>
        <v>0</v>
      </c>
      <c r="BG21" s="419">
        <f t="shared" si="14"/>
        <v>0</v>
      </c>
      <c r="BH21" s="421">
        <f t="shared" si="15"/>
        <v>0</v>
      </c>
      <c r="BI21" s="780">
        <f>I21+AW21</f>
        <v>874720</v>
      </c>
      <c r="BJ21" s="418">
        <f>J21+AF21</f>
        <v>648902</v>
      </c>
      <c r="BK21" s="418">
        <f t="shared" si="26"/>
        <v>648902</v>
      </c>
      <c r="BL21" s="418">
        <f t="shared" si="26"/>
        <v>0</v>
      </c>
      <c r="BM21" s="418">
        <f>M21+AN21</f>
        <v>0</v>
      </c>
      <c r="BN21" s="418">
        <f t="shared" si="27"/>
        <v>0</v>
      </c>
      <c r="BO21" s="418">
        <f t="shared" si="27"/>
        <v>0</v>
      </c>
      <c r="BP21" s="418">
        <f t="shared" si="28"/>
        <v>219329</v>
      </c>
      <c r="BQ21" s="418">
        <f t="shared" si="28"/>
        <v>6489</v>
      </c>
      <c r="BR21" s="418">
        <f>R21+AV21</f>
        <v>0</v>
      </c>
      <c r="BS21" s="419">
        <f>S21+BH21</f>
        <v>1.75</v>
      </c>
      <c r="BT21" s="419">
        <f t="shared" si="29"/>
        <v>1.75</v>
      </c>
      <c r="BU21" s="421">
        <f t="shared" si="29"/>
        <v>0</v>
      </c>
      <c r="BV21" s="420"/>
      <c r="BW21" s="415"/>
      <c r="BX21" s="415"/>
      <c r="BY21" s="415"/>
      <c r="BZ21" s="415"/>
      <c r="CA21" s="510"/>
    </row>
    <row r="22" spans="1:79" ht="13.5" customHeight="1" x14ac:dyDescent="0.2">
      <c r="A22" s="205">
        <v>3</v>
      </c>
      <c r="B22" s="206">
        <v>3451</v>
      </c>
      <c r="C22" s="206">
        <v>600078621</v>
      </c>
      <c r="D22" s="206">
        <v>70694991</v>
      </c>
      <c r="E22" s="204" t="s">
        <v>122</v>
      </c>
      <c r="F22" s="206">
        <v>3141</v>
      </c>
      <c r="G22" s="207" t="s">
        <v>294</v>
      </c>
      <c r="H22" s="612" t="s">
        <v>272</v>
      </c>
      <c r="I22" s="511">
        <v>523056</v>
      </c>
      <c r="J22" s="415">
        <v>336837</v>
      </c>
      <c r="K22" s="415">
        <v>0</v>
      </c>
      <c r="L22" s="415">
        <v>336837</v>
      </c>
      <c r="M22" s="415">
        <v>50000</v>
      </c>
      <c r="N22" s="415">
        <v>0</v>
      </c>
      <c r="O22" s="415">
        <v>50000</v>
      </c>
      <c r="P22" s="68">
        <v>130751</v>
      </c>
      <c r="Q22" s="68">
        <v>3368</v>
      </c>
      <c r="R22" s="415">
        <v>2100</v>
      </c>
      <c r="S22" s="416">
        <v>0.98</v>
      </c>
      <c r="T22" s="417">
        <v>0</v>
      </c>
      <c r="U22" s="423">
        <v>0.98</v>
      </c>
      <c r="V22" s="424">
        <f t="shared" si="0"/>
        <v>0</v>
      </c>
      <c r="W22" s="418">
        <f t="shared" si="0"/>
        <v>0</v>
      </c>
      <c r="X22" s="418">
        <v>0</v>
      </c>
      <c r="Y22" s="418">
        <v>0</v>
      </c>
      <c r="Z22" s="418">
        <v>0</v>
      </c>
      <c r="AA22" s="605">
        <v>194906</v>
      </c>
      <c r="AB22" s="418">
        <v>0</v>
      </c>
      <c r="AC22" s="418">
        <v>0</v>
      </c>
      <c r="AD22" s="418">
        <f t="shared" si="1"/>
        <v>0</v>
      </c>
      <c r="AE22" s="418">
        <f t="shared" si="2"/>
        <v>194906</v>
      </c>
      <c r="AF22" s="418">
        <f t="shared" si="3"/>
        <v>194906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 t="shared" si="4"/>
        <v>0</v>
      </c>
      <c r="AM22" s="418">
        <f t="shared" si="5"/>
        <v>0</v>
      </c>
      <c r="AN22" s="418">
        <f t="shared" si="6"/>
        <v>0</v>
      </c>
      <c r="AO22" s="418">
        <f t="shared" si="7"/>
        <v>0</v>
      </c>
      <c r="AP22" s="418">
        <f t="shared" si="7"/>
        <v>194906</v>
      </c>
      <c r="AQ22" s="418">
        <f t="shared" si="8"/>
        <v>194906</v>
      </c>
      <c r="AR22" s="68">
        <f t="shared" si="9"/>
        <v>65878</v>
      </c>
      <c r="AS22" s="68">
        <f t="shared" si="10"/>
        <v>1949</v>
      </c>
      <c r="AT22" s="418">
        <v>0</v>
      </c>
      <c r="AU22" s="605">
        <v>1020</v>
      </c>
      <c r="AV22" s="418">
        <f t="shared" si="11"/>
        <v>1020</v>
      </c>
      <c r="AW22" s="418">
        <f t="shared" si="12"/>
        <v>263753</v>
      </c>
      <c r="AX22" s="419">
        <v>0</v>
      </c>
      <c r="AY22" s="419">
        <v>0</v>
      </c>
      <c r="AZ22" s="419">
        <v>0</v>
      </c>
      <c r="BA22" s="419">
        <v>0</v>
      </c>
      <c r="BB22" s="607">
        <v>0.58000000000000007</v>
      </c>
      <c r="BC22" s="939">
        <v>0</v>
      </c>
      <c r="BD22" s="419">
        <v>0</v>
      </c>
      <c r="BE22" s="419">
        <v>0</v>
      </c>
      <c r="BF22" s="419">
        <f t="shared" si="13"/>
        <v>0</v>
      </c>
      <c r="BG22" s="419">
        <f t="shared" si="14"/>
        <v>0.58000000000000007</v>
      </c>
      <c r="BH22" s="421">
        <f t="shared" si="15"/>
        <v>0.58000000000000007</v>
      </c>
      <c r="BI22" s="780">
        <f>I22+AW22</f>
        <v>786809</v>
      </c>
      <c r="BJ22" s="418">
        <f>J22+AF22</f>
        <v>531743</v>
      </c>
      <c r="BK22" s="418">
        <f t="shared" si="26"/>
        <v>0</v>
      </c>
      <c r="BL22" s="418">
        <f t="shared" si="26"/>
        <v>531743</v>
      </c>
      <c r="BM22" s="418">
        <f>M22+AN22</f>
        <v>50000</v>
      </c>
      <c r="BN22" s="418">
        <f t="shared" si="27"/>
        <v>0</v>
      </c>
      <c r="BO22" s="418">
        <f t="shared" si="27"/>
        <v>50000</v>
      </c>
      <c r="BP22" s="418">
        <f t="shared" si="28"/>
        <v>196629</v>
      </c>
      <c r="BQ22" s="418">
        <f t="shared" si="28"/>
        <v>5317</v>
      </c>
      <c r="BR22" s="418">
        <f>R22+AV22</f>
        <v>3120</v>
      </c>
      <c r="BS22" s="419">
        <f>S22+BH22</f>
        <v>1.56</v>
      </c>
      <c r="BT22" s="419">
        <f t="shared" si="29"/>
        <v>0</v>
      </c>
      <c r="BU22" s="421">
        <f t="shared" si="29"/>
        <v>1.56</v>
      </c>
      <c r="BV22" s="420"/>
      <c r="BW22" s="415"/>
      <c r="BX22" s="415"/>
      <c r="BY22" s="415"/>
      <c r="BZ22" s="415"/>
      <c r="CA22" s="510"/>
    </row>
    <row r="23" spans="1:79" ht="13.5" customHeight="1" x14ac:dyDescent="0.2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13"/>
      <c r="I23" s="452">
        <v>6662731</v>
      </c>
      <c r="J23" s="445">
        <v>4873300</v>
      </c>
      <c r="K23" s="445">
        <v>4170498</v>
      </c>
      <c r="L23" s="445">
        <v>702802</v>
      </c>
      <c r="M23" s="445">
        <v>50000</v>
      </c>
      <c r="N23" s="445">
        <v>0</v>
      </c>
      <c r="O23" s="445">
        <v>50000</v>
      </c>
      <c r="P23" s="445">
        <v>1664076</v>
      </c>
      <c r="Q23" s="445">
        <v>48733</v>
      </c>
      <c r="R23" s="445">
        <v>26622</v>
      </c>
      <c r="S23" s="446">
        <v>9.9833999999999996</v>
      </c>
      <c r="T23" s="446">
        <v>7.75</v>
      </c>
      <c r="U23" s="450">
        <v>2.2334000000000001</v>
      </c>
      <c r="V23" s="448">
        <f t="shared" ref="V23:CA23" si="30">SUM(V20:V22)</f>
        <v>0</v>
      </c>
      <c r="W23" s="445">
        <f t="shared" si="30"/>
        <v>0</v>
      </c>
      <c r="X23" s="445">
        <f t="shared" si="30"/>
        <v>0</v>
      </c>
      <c r="Y23" s="445">
        <f t="shared" si="30"/>
        <v>0</v>
      </c>
      <c r="Z23" s="445">
        <f t="shared" si="30"/>
        <v>0</v>
      </c>
      <c r="AA23" s="445">
        <f t="shared" si="30"/>
        <v>194906</v>
      </c>
      <c r="AB23" s="445">
        <f t="shared" si="30"/>
        <v>0</v>
      </c>
      <c r="AC23" s="445">
        <f t="shared" si="30"/>
        <v>0</v>
      </c>
      <c r="AD23" s="445">
        <f t="shared" si="30"/>
        <v>0</v>
      </c>
      <c r="AE23" s="445">
        <f t="shared" si="30"/>
        <v>194906</v>
      </c>
      <c r="AF23" s="445">
        <f t="shared" si="30"/>
        <v>194906</v>
      </c>
      <c r="AG23" s="445">
        <f t="shared" si="30"/>
        <v>0</v>
      </c>
      <c r="AH23" s="445">
        <f t="shared" si="30"/>
        <v>0</v>
      </c>
      <c r="AI23" s="445">
        <f t="shared" si="30"/>
        <v>0</v>
      </c>
      <c r="AJ23" s="445">
        <f t="shared" si="30"/>
        <v>0</v>
      </c>
      <c r="AK23" s="445">
        <f t="shared" si="30"/>
        <v>0</v>
      </c>
      <c r="AL23" s="445">
        <f t="shared" si="30"/>
        <v>0</v>
      </c>
      <c r="AM23" s="445">
        <f t="shared" si="30"/>
        <v>0</v>
      </c>
      <c r="AN23" s="445">
        <f t="shared" si="30"/>
        <v>0</v>
      </c>
      <c r="AO23" s="445">
        <f t="shared" si="30"/>
        <v>0</v>
      </c>
      <c r="AP23" s="445">
        <f t="shared" si="30"/>
        <v>194906</v>
      </c>
      <c r="AQ23" s="445">
        <f t="shared" si="30"/>
        <v>194906</v>
      </c>
      <c r="AR23" s="445">
        <f t="shared" si="30"/>
        <v>65878</v>
      </c>
      <c r="AS23" s="445">
        <f t="shared" si="30"/>
        <v>1949</v>
      </c>
      <c r="AT23" s="445">
        <f t="shared" si="30"/>
        <v>0</v>
      </c>
      <c r="AU23" s="445">
        <f t="shared" si="30"/>
        <v>1020</v>
      </c>
      <c r="AV23" s="445">
        <f t="shared" si="30"/>
        <v>1020</v>
      </c>
      <c r="AW23" s="445">
        <f t="shared" si="30"/>
        <v>263753</v>
      </c>
      <c r="AX23" s="446">
        <f t="shared" si="30"/>
        <v>0</v>
      </c>
      <c r="AY23" s="446">
        <f t="shared" si="30"/>
        <v>0</v>
      </c>
      <c r="AZ23" s="446">
        <f t="shared" si="30"/>
        <v>0</v>
      </c>
      <c r="BA23" s="446">
        <f t="shared" si="30"/>
        <v>0</v>
      </c>
      <c r="BB23" s="446">
        <f t="shared" si="30"/>
        <v>0.58000000000000007</v>
      </c>
      <c r="BC23" s="948">
        <f t="shared" si="30"/>
        <v>0</v>
      </c>
      <c r="BD23" s="446">
        <f t="shared" si="30"/>
        <v>0</v>
      </c>
      <c r="BE23" s="446">
        <f t="shared" si="30"/>
        <v>0</v>
      </c>
      <c r="BF23" s="446">
        <f t="shared" si="30"/>
        <v>0</v>
      </c>
      <c r="BG23" s="446">
        <f t="shared" si="30"/>
        <v>0.58000000000000007</v>
      </c>
      <c r="BH23" s="39">
        <f t="shared" si="30"/>
        <v>0.58000000000000007</v>
      </c>
      <c r="BI23" s="452">
        <f t="shared" si="30"/>
        <v>6926484</v>
      </c>
      <c r="BJ23" s="445">
        <f t="shared" si="30"/>
        <v>5068206</v>
      </c>
      <c r="BK23" s="445">
        <f t="shared" si="30"/>
        <v>4170498</v>
      </c>
      <c r="BL23" s="445">
        <f t="shared" si="30"/>
        <v>897708</v>
      </c>
      <c r="BM23" s="445">
        <f t="shared" si="30"/>
        <v>50000</v>
      </c>
      <c r="BN23" s="445">
        <f t="shared" si="30"/>
        <v>0</v>
      </c>
      <c r="BO23" s="445">
        <f t="shared" si="30"/>
        <v>50000</v>
      </c>
      <c r="BP23" s="445">
        <f t="shared" si="30"/>
        <v>1729954</v>
      </c>
      <c r="BQ23" s="445">
        <f t="shared" si="30"/>
        <v>50682</v>
      </c>
      <c r="BR23" s="445">
        <f t="shared" si="30"/>
        <v>27642</v>
      </c>
      <c r="BS23" s="446">
        <f t="shared" si="30"/>
        <v>10.5634</v>
      </c>
      <c r="BT23" s="446">
        <f t="shared" si="30"/>
        <v>7.75</v>
      </c>
      <c r="BU23" s="39">
        <f t="shared" si="30"/>
        <v>2.8134000000000001</v>
      </c>
      <c r="BV23" s="833">
        <f t="shared" si="30"/>
        <v>0</v>
      </c>
      <c r="BW23" s="715">
        <f t="shared" si="30"/>
        <v>0</v>
      </c>
      <c r="BX23" s="715">
        <f t="shared" si="30"/>
        <v>0</v>
      </c>
      <c r="BY23" s="715">
        <f t="shared" si="30"/>
        <v>0</v>
      </c>
      <c r="BZ23" s="715">
        <f t="shared" si="30"/>
        <v>0</v>
      </c>
      <c r="CA23" s="834">
        <f t="shared" si="30"/>
        <v>0</v>
      </c>
    </row>
    <row r="24" spans="1:79" ht="13.5" customHeight="1" x14ac:dyDescent="0.2">
      <c r="A24" s="205">
        <v>4</v>
      </c>
      <c r="B24" s="206">
        <v>3456</v>
      </c>
      <c r="C24" s="206">
        <v>600029051</v>
      </c>
      <c r="D24" s="206">
        <v>75125439</v>
      </c>
      <c r="E24" s="204" t="s">
        <v>124</v>
      </c>
      <c r="F24" s="206">
        <v>3233</v>
      </c>
      <c r="G24" s="207" t="s">
        <v>297</v>
      </c>
      <c r="H24" s="612" t="s">
        <v>272</v>
      </c>
      <c r="I24" s="511">
        <v>2588200</v>
      </c>
      <c r="J24" s="415">
        <v>1739440</v>
      </c>
      <c r="K24" s="415">
        <v>1448822</v>
      </c>
      <c r="L24" s="415">
        <v>290618</v>
      </c>
      <c r="M24" s="415">
        <v>180000</v>
      </c>
      <c r="N24" s="415">
        <v>160000</v>
      </c>
      <c r="O24" s="415">
        <v>20000</v>
      </c>
      <c r="P24" s="68">
        <v>648771</v>
      </c>
      <c r="Q24" s="68">
        <v>17394</v>
      </c>
      <c r="R24" s="415">
        <v>2595</v>
      </c>
      <c r="S24" s="416">
        <v>3.56</v>
      </c>
      <c r="T24" s="417">
        <v>2.62</v>
      </c>
      <c r="U24" s="423">
        <v>0.94</v>
      </c>
      <c r="V24" s="424">
        <f t="shared" si="0"/>
        <v>0</v>
      </c>
      <c r="W24" s="418">
        <f t="shared" si="0"/>
        <v>0</v>
      </c>
      <c r="X24" s="418">
        <v>0</v>
      </c>
      <c r="Y24" s="418">
        <v>0</v>
      </c>
      <c r="Z24" s="418">
        <v>0</v>
      </c>
      <c r="AA24" s="606">
        <v>155323</v>
      </c>
      <c r="AB24" s="418">
        <v>0</v>
      </c>
      <c r="AC24" s="418">
        <v>0</v>
      </c>
      <c r="AD24" s="418">
        <f t="shared" si="1"/>
        <v>0</v>
      </c>
      <c r="AE24" s="418">
        <f t="shared" si="2"/>
        <v>155323</v>
      </c>
      <c r="AF24" s="418">
        <f t="shared" si="3"/>
        <v>155323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 t="shared" si="4"/>
        <v>0</v>
      </c>
      <c r="AM24" s="418">
        <f t="shared" si="5"/>
        <v>0</v>
      </c>
      <c r="AN24" s="418">
        <f t="shared" si="6"/>
        <v>0</v>
      </c>
      <c r="AO24" s="418">
        <f t="shared" si="7"/>
        <v>0</v>
      </c>
      <c r="AP24" s="418">
        <f t="shared" si="7"/>
        <v>155323</v>
      </c>
      <c r="AQ24" s="418">
        <f t="shared" si="8"/>
        <v>155323</v>
      </c>
      <c r="AR24" s="68">
        <f t="shared" si="9"/>
        <v>52499</v>
      </c>
      <c r="AS24" s="68">
        <f t="shared" si="10"/>
        <v>1553</v>
      </c>
      <c r="AT24" s="418">
        <v>0</v>
      </c>
      <c r="AU24" s="898">
        <v>1038</v>
      </c>
      <c r="AV24" s="418">
        <f t="shared" si="11"/>
        <v>1038</v>
      </c>
      <c r="AW24" s="418">
        <f t="shared" si="12"/>
        <v>210413</v>
      </c>
      <c r="AX24" s="419">
        <v>0</v>
      </c>
      <c r="AY24" s="419">
        <v>0</v>
      </c>
      <c r="AZ24" s="419">
        <v>0</v>
      </c>
      <c r="BA24" s="419">
        <v>0</v>
      </c>
      <c r="BB24" s="609">
        <v>0.5</v>
      </c>
      <c r="BC24" s="939">
        <v>0</v>
      </c>
      <c r="BD24" s="419">
        <v>0</v>
      </c>
      <c r="BE24" s="419">
        <v>0</v>
      </c>
      <c r="BF24" s="419">
        <f t="shared" si="13"/>
        <v>0</v>
      </c>
      <c r="BG24" s="419">
        <f t="shared" si="14"/>
        <v>0.5</v>
      </c>
      <c r="BH24" s="421">
        <f t="shared" si="15"/>
        <v>0.5</v>
      </c>
      <c r="BI24" s="780">
        <f>I24+AW24</f>
        <v>2798613</v>
      </c>
      <c r="BJ24" s="418">
        <f>J24+AF24</f>
        <v>1894763</v>
      </c>
      <c r="BK24" s="418">
        <f>K24+AD24</f>
        <v>1448822</v>
      </c>
      <c r="BL24" s="418">
        <f>L24+AE24</f>
        <v>445941</v>
      </c>
      <c r="BM24" s="418">
        <f>M24+AN24</f>
        <v>180000</v>
      </c>
      <c r="BN24" s="418">
        <f>N24+AL24</f>
        <v>160000</v>
      </c>
      <c r="BO24" s="418">
        <f>O24+AM24</f>
        <v>20000</v>
      </c>
      <c r="BP24" s="418">
        <f>P24+AR24</f>
        <v>701270</v>
      </c>
      <c r="BQ24" s="418">
        <f>Q24+AS24</f>
        <v>18947</v>
      </c>
      <c r="BR24" s="418">
        <f>R24+AV24</f>
        <v>3633</v>
      </c>
      <c r="BS24" s="419">
        <f>S24+BH24</f>
        <v>4.0600000000000005</v>
      </c>
      <c r="BT24" s="419">
        <f>T24+BF24</f>
        <v>2.62</v>
      </c>
      <c r="BU24" s="421">
        <f>U24+BG24</f>
        <v>1.44</v>
      </c>
      <c r="BV24" s="420"/>
      <c r="BW24" s="415"/>
      <c r="BX24" s="415"/>
      <c r="BY24" s="415"/>
      <c r="BZ24" s="415"/>
      <c r="CA24" s="510"/>
    </row>
    <row r="25" spans="1:79" ht="13.5" customHeight="1" x14ac:dyDescent="0.2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13"/>
      <c r="I25" s="452">
        <v>2588200</v>
      </c>
      <c r="J25" s="445">
        <v>1739440</v>
      </c>
      <c r="K25" s="445">
        <v>1448822</v>
      </c>
      <c r="L25" s="445">
        <v>290618</v>
      </c>
      <c r="M25" s="445">
        <v>180000</v>
      </c>
      <c r="N25" s="445">
        <v>160000</v>
      </c>
      <c r="O25" s="445">
        <v>20000</v>
      </c>
      <c r="P25" s="445">
        <v>648771</v>
      </c>
      <c r="Q25" s="445">
        <v>17394</v>
      </c>
      <c r="R25" s="445">
        <v>2595</v>
      </c>
      <c r="S25" s="446">
        <v>3.56</v>
      </c>
      <c r="T25" s="446">
        <v>2.62</v>
      </c>
      <c r="U25" s="450">
        <v>0.94</v>
      </c>
      <c r="V25" s="448">
        <f t="shared" ref="V25:CA25" si="31">SUM(V24)</f>
        <v>0</v>
      </c>
      <c r="W25" s="445">
        <f t="shared" si="31"/>
        <v>0</v>
      </c>
      <c r="X25" s="445">
        <f t="shared" si="31"/>
        <v>0</v>
      </c>
      <c r="Y25" s="445">
        <f t="shared" si="31"/>
        <v>0</v>
      </c>
      <c r="Z25" s="445">
        <f t="shared" si="31"/>
        <v>0</v>
      </c>
      <c r="AA25" s="445">
        <f t="shared" si="31"/>
        <v>155323</v>
      </c>
      <c r="AB25" s="445">
        <f t="shared" si="31"/>
        <v>0</v>
      </c>
      <c r="AC25" s="445">
        <f t="shared" si="31"/>
        <v>0</v>
      </c>
      <c r="AD25" s="445">
        <f t="shared" si="31"/>
        <v>0</v>
      </c>
      <c r="AE25" s="445">
        <f t="shared" si="31"/>
        <v>155323</v>
      </c>
      <c r="AF25" s="445">
        <f t="shared" si="31"/>
        <v>155323</v>
      </c>
      <c r="AG25" s="445">
        <f t="shared" si="31"/>
        <v>0</v>
      </c>
      <c r="AH25" s="445">
        <f t="shared" si="31"/>
        <v>0</v>
      </c>
      <c r="AI25" s="445">
        <f t="shared" si="31"/>
        <v>0</v>
      </c>
      <c r="AJ25" s="445">
        <f t="shared" si="31"/>
        <v>0</v>
      </c>
      <c r="AK25" s="445">
        <f t="shared" si="31"/>
        <v>0</v>
      </c>
      <c r="AL25" s="445">
        <f t="shared" si="31"/>
        <v>0</v>
      </c>
      <c r="AM25" s="445">
        <f t="shared" si="31"/>
        <v>0</v>
      </c>
      <c r="AN25" s="445">
        <f t="shared" si="31"/>
        <v>0</v>
      </c>
      <c r="AO25" s="445">
        <f t="shared" si="31"/>
        <v>0</v>
      </c>
      <c r="AP25" s="445">
        <f t="shared" si="31"/>
        <v>155323</v>
      </c>
      <c r="AQ25" s="445">
        <f t="shared" si="31"/>
        <v>155323</v>
      </c>
      <c r="AR25" s="445">
        <f t="shared" si="31"/>
        <v>52499</v>
      </c>
      <c r="AS25" s="445">
        <f t="shared" si="31"/>
        <v>1553</v>
      </c>
      <c r="AT25" s="445">
        <f t="shared" si="31"/>
        <v>0</v>
      </c>
      <c r="AU25" s="445">
        <f t="shared" si="31"/>
        <v>1038</v>
      </c>
      <c r="AV25" s="445">
        <f t="shared" si="31"/>
        <v>1038</v>
      </c>
      <c r="AW25" s="445">
        <f t="shared" si="31"/>
        <v>210413</v>
      </c>
      <c r="AX25" s="446">
        <f t="shared" si="31"/>
        <v>0</v>
      </c>
      <c r="AY25" s="446">
        <f t="shared" si="31"/>
        <v>0</v>
      </c>
      <c r="AZ25" s="446">
        <f t="shared" si="31"/>
        <v>0</v>
      </c>
      <c r="BA25" s="446">
        <f t="shared" si="31"/>
        <v>0</v>
      </c>
      <c r="BB25" s="446">
        <f t="shared" si="31"/>
        <v>0.5</v>
      </c>
      <c r="BC25" s="948">
        <f t="shared" si="31"/>
        <v>0</v>
      </c>
      <c r="BD25" s="446">
        <f t="shared" si="31"/>
        <v>0</v>
      </c>
      <c r="BE25" s="446">
        <f t="shared" si="31"/>
        <v>0</v>
      </c>
      <c r="BF25" s="446">
        <f t="shared" si="31"/>
        <v>0</v>
      </c>
      <c r="BG25" s="446">
        <f t="shared" si="31"/>
        <v>0.5</v>
      </c>
      <c r="BH25" s="39">
        <f t="shared" si="31"/>
        <v>0.5</v>
      </c>
      <c r="BI25" s="452">
        <f t="shared" si="31"/>
        <v>2798613</v>
      </c>
      <c r="BJ25" s="445">
        <f t="shared" si="31"/>
        <v>1894763</v>
      </c>
      <c r="BK25" s="445">
        <f t="shared" si="31"/>
        <v>1448822</v>
      </c>
      <c r="BL25" s="445">
        <f t="shared" si="31"/>
        <v>445941</v>
      </c>
      <c r="BM25" s="445">
        <f t="shared" si="31"/>
        <v>180000</v>
      </c>
      <c r="BN25" s="445">
        <f t="shared" si="31"/>
        <v>160000</v>
      </c>
      <c r="BO25" s="445">
        <f t="shared" si="31"/>
        <v>20000</v>
      </c>
      <c r="BP25" s="445">
        <f t="shared" si="31"/>
        <v>701270</v>
      </c>
      <c r="BQ25" s="445">
        <f t="shared" si="31"/>
        <v>18947</v>
      </c>
      <c r="BR25" s="445">
        <f t="shared" si="31"/>
        <v>3633</v>
      </c>
      <c r="BS25" s="446">
        <f t="shared" si="31"/>
        <v>4.0600000000000005</v>
      </c>
      <c r="BT25" s="446">
        <f t="shared" si="31"/>
        <v>2.62</v>
      </c>
      <c r="BU25" s="39">
        <f t="shared" si="31"/>
        <v>1.44</v>
      </c>
      <c r="BV25" s="833">
        <f t="shared" si="31"/>
        <v>0</v>
      </c>
      <c r="BW25" s="715">
        <f t="shared" si="31"/>
        <v>0</v>
      </c>
      <c r="BX25" s="715">
        <f t="shared" si="31"/>
        <v>0</v>
      </c>
      <c r="BY25" s="715">
        <f t="shared" si="31"/>
        <v>0</v>
      </c>
      <c r="BZ25" s="715">
        <f t="shared" si="31"/>
        <v>0</v>
      </c>
      <c r="CA25" s="834">
        <f t="shared" si="31"/>
        <v>0</v>
      </c>
    </row>
    <row r="26" spans="1:79" ht="13.5" customHeight="1" x14ac:dyDescent="0.2">
      <c r="A26" s="205">
        <v>5</v>
      </c>
      <c r="B26" s="206">
        <v>3447</v>
      </c>
      <c r="C26" s="206">
        <v>600078531</v>
      </c>
      <c r="D26" s="206">
        <v>70694982</v>
      </c>
      <c r="E26" s="204" t="s">
        <v>126</v>
      </c>
      <c r="F26" s="206">
        <v>3113</v>
      </c>
      <c r="G26" s="207" t="s">
        <v>293</v>
      </c>
      <c r="H26" s="612" t="s">
        <v>271</v>
      </c>
      <c r="I26" s="511">
        <v>20803848</v>
      </c>
      <c r="J26" s="415">
        <v>15246761</v>
      </c>
      <c r="K26" s="415">
        <v>14105347</v>
      </c>
      <c r="L26" s="415">
        <v>1141414</v>
      </c>
      <c r="M26" s="415">
        <v>0</v>
      </c>
      <c r="N26" s="415">
        <v>0</v>
      </c>
      <c r="O26" s="415">
        <v>0</v>
      </c>
      <c r="P26" s="68">
        <v>5153406</v>
      </c>
      <c r="Q26" s="68">
        <v>152468</v>
      </c>
      <c r="R26" s="415">
        <v>251213</v>
      </c>
      <c r="S26" s="416">
        <v>23.4041</v>
      </c>
      <c r="T26" s="417">
        <v>20.091100000000001</v>
      </c>
      <c r="U26" s="423">
        <v>3.3129999999999997</v>
      </c>
      <c r="V26" s="424">
        <f t="shared" si="0"/>
        <v>0</v>
      </c>
      <c r="W26" s="418">
        <f t="shared" si="0"/>
        <v>0</v>
      </c>
      <c r="X26" s="418">
        <v>0</v>
      </c>
      <c r="Y26" s="418">
        <v>0</v>
      </c>
      <c r="Z26" s="418">
        <v>0</v>
      </c>
      <c r="AA26" s="415">
        <v>0</v>
      </c>
      <c r="AB26" s="418">
        <v>0</v>
      </c>
      <c r="AC26" s="418">
        <v>0</v>
      </c>
      <c r="AD26" s="418">
        <f t="shared" si="1"/>
        <v>0</v>
      </c>
      <c r="AE26" s="418">
        <f t="shared" si="2"/>
        <v>0</v>
      </c>
      <c r="AF26" s="418">
        <f t="shared" si="3"/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si="4"/>
        <v>0</v>
      </c>
      <c r="AM26" s="418">
        <f t="shared" si="5"/>
        <v>0</v>
      </c>
      <c r="AN26" s="418">
        <f t="shared" si="6"/>
        <v>0</v>
      </c>
      <c r="AO26" s="418">
        <f t="shared" si="7"/>
        <v>0</v>
      </c>
      <c r="AP26" s="418">
        <f t="shared" si="7"/>
        <v>0</v>
      </c>
      <c r="AQ26" s="418">
        <f t="shared" si="8"/>
        <v>0</v>
      </c>
      <c r="AR26" s="68">
        <f t="shared" si="9"/>
        <v>0</v>
      </c>
      <c r="AS26" s="68">
        <f t="shared" si="10"/>
        <v>0</v>
      </c>
      <c r="AT26" s="418">
        <v>0</v>
      </c>
      <c r="AU26" s="415">
        <v>0</v>
      </c>
      <c r="AV26" s="418">
        <f t="shared" si="11"/>
        <v>0</v>
      </c>
      <c r="AW26" s="418">
        <f t="shared" si="12"/>
        <v>0</v>
      </c>
      <c r="AX26" s="419">
        <v>0</v>
      </c>
      <c r="AY26" s="419">
        <v>0</v>
      </c>
      <c r="AZ26" s="419">
        <v>0</v>
      </c>
      <c r="BA26" s="419">
        <v>0</v>
      </c>
      <c r="BB26" s="416">
        <v>0</v>
      </c>
      <c r="BC26" s="939">
        <v>0</v>
      </c>
      <c r="BD26" s="419">
        <v>0</v>
      </c>
      <c r="BE26" s="419">
        <v>0</v>
      </c>
      <c r="BF26" s="419">
        <f t="shared" si="13"/>
        <v>0</v>
      </c>
      <c r="BG26" s="419">
        <f t="shared" si="14"/>
        <v>0</v>
      </c>
      <c r="BH26" s="421">
        <f t="shared" si="15"/>
        <v>0</v>
      </c>
      <c r="BI26" s="780">
        <f t="shared" ref="BI26:BI31" si="32">I26+AW26</f>
        <v>20803848</v>
      </c>
      <c r="BJ26" s="418">
        <f t="shared" ref="BJ26:BJ31" si="33">J26+AF26</f>
        <v>15246761</v>
      </c>
      <c r="BK26" s="418">
        <f t="shared" ref="BK26:BL31" si="34">K26+AD26</f>
        <v>14105347</v>
      </c>
      <c r="BL26" s="418">
        <f t="shared" si="34"/>
        <v>1141414</v>
      </c>
      <c r="BM26" s="418">
        <f t="shared" ref="BM26:BM31" si="35">M26+AN26</f>
        <v>0</v>
      </c>
      <c r="BN26" s="418">
        <f t="shared" ref="BN26:BO31" si="36">N26+AL26</f>
        <v>0</v>
      </c>
      <c r="BO26" s="418">
        <f t="shared" si="36"/>
        <v>0</v>
      </c>
      <c r="BP26" s="418">
        <f t="shared" ref="BP26:BQ31" si="37">P26+AR26</f>
        <v>5153406</v>
      </c>
      <c r="BQ26" s="418">
        <f t="shared" si="37"/>
        <v>152468</v>
      </c>
      <c r="BR26" s="418">
        <f t="shared" ref="BR26:BR31" si="38">R26+AV26</f>
        <v>251213</v>
      </c>
      <c r="BS26" s="419">
        <f t="shared" ref="BS26:BS31" si="39">S26+BH26</f>
        <v>23.4041</v>
      </c>
      <c r="BT26" s="419">
        <f t="shared" ref="BT26:BU31" si="40">T26+BF26</f>
        <v>20.091100000000001</v>
      </c>
      <c r="BU26" s="421">
        <f t="shared" si="40"/>
        <v>3.3129999999999997</v>
      </c>
      <c r="BV26" s="420">
        <v>380136</v>
      </c>
      <c r="BW26" s="415">
        <v>282000</v>
      </c>
      <c r="BX26" s="415">
        <v>0</v>
      </c>
      <c r="BY26" s="415">
        <v>95316</v>
      </c>
      <c r="BZ26" s="415">
        <v>2820</v>
      </c>
      <c r="CA26" s="510">
        <v>0.5</v>
      </c>
    </row>
    <row r="27" spans="1:79" ht="13.5" customHeight="1" x14ac:dyDescent="0.2">
      <c r="A27" s="205">
        <v>5</v>
      </c>
      <c r="B27" s="206">
        <v>3447</v>
      </c>
      <c r="C27" s="206">
        <v>600078531</v>
      </c>
      <c r="D27" s="206">
        <v>70694982</v>
      </c>
      <c r="E27" s="204" t="s">
        <v>126</v>
      </c>
      <c r="F27" s="206">
        <v>3113</v>
      </c>
      <c r="G27" s="207" t="s">
        <v>292</v>
      </c>
      <c r="H27" s="612" t="s">
        <v>271</v>
      </c>
      <c r="I27" s="511">
        <v>463685</v>
      </c>
      <c r="J27" s="415">
        <v>343980</v>
      </c>
      <c r="K27" s="415">
        <v>343980</v>
      </c>
      <c r="L27" s="415">
        <v>0</v>
      </c>
      <c r="M27" s="415">
        <v>0</v>
      </c>
      <c r="N27" s="415">
        <v>0</v>
      </c>
      <c r="O27" s="415">
        <v>0</v>
      </c>
      <c r="P27" s="68">
        <v>116265</v>
      </c>
      <c r="Q27" s="68">
        <v>3440</v>
      </c>
      <c r="R27" s="415">
        <v>0</v>
      </c>
      <c r="S27" s="416">
        <v>0.75</v>
      </c>
      <c r="T27" s="417">
        <v>0.75</v>
      </c>
      <c r="U27" s="423">
        <v>0</v>
      </c>
      <c r="V27" s="424">
        <f t="shared" si="0"/>
        <v>0</v>
      </c>
      <c r="W27" s="418">
        <f t="shared" si="0"/>
        <v>0</v>
      </c>
      <c r="X27" s="418">
        <v>0</v>
      </c>
      <c r="Y27" s="418">
        <v>0</v>
      </c>
      <c r="Z27" s="418">
        <v>0</v>
      </c>
      <c r="AA27" s="415">
        <v>0</v>
      </c>
      <c r="AB27" s="418">
        <v>0</v>
      </c>
      <c r="AC27" s="418">
        <v>0</v>
      </c>
      <c r="AD27" s="418">
        <f t="shared" si="1"/>
        <v>0</v>
      </c>
      <c r="AE27" s="418">
        <f t="shared" si="2"/>
        <v>0</v>
      </c>
      <c r="AF27" s="418">
        <f t="shared" si="3"/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4"/>
        <v>0</v>
      </c>
      <c r="AM27" s="418">
        <f t="shared" si="5"/>
        <v>0</v>
      </c>
      <c r="AN27" s="418">
        <f t="shared" si="6"/>
        <v>0</v>
      </c>
      <c r="AO27" s="418">
        <f t="shared" si="7"/>
        <v>0</v>
      </c>
      <c r="AP27" s="418">
        <f t="shared" si="7"/>
        <v>0</v>
      </c>
      <c r="AQ27" s="418">
        <f t="shared" si="8"/>
        <v>0</v>
      </c>
      <c r="AR27" s="68">
        <f t="shared" si="9"/>
        <v>0</v>
      </c>
      <c r="AS27" s="68">
        <f t="shared" si="10"/>
        <v>0</v>
      </c>
      <c r="AT27" s="418">
        <v>0</v>
      </c>
      <c r="AU27" s="415">
        <v>0</v>
      </c>
      <c r="AV27" s="418">
        <f t="shared" si="11"/>
        <v>0</v>
      </c>
      <c r="AW27" s="418">
        <f t="shared" si="12"/>
        <v>0</v>
      </c>
      <c r="AX27" s="419">
        <v>0</v>
      </c>
      <c r="AY27" s="419">
        <v>0</v>
      </c>
      <c r="AZ27" s="419">
        <v>0</v>
      </c>
      <c r="BA27" s="419">
        <v>0</v>
      </c>
      <c r="BB27" s="416">
        <v>0</v>
      </c>
      <c r="BC27" s="939">
        <v>0</v>
      </c>
      <c r="BD27" s="419">
        <v>0</v>
      </c>
      <c r="BE27" s="419">
        <v>0</v>
      </c>
      <c r="BF27" s="419">
        <f t="shared" si="13"/>
        <v>0</v>
      </c>
      <c r="BG27" s="419">
        <f t="shared" si="14"/>
        <v>0</v>
      </c>
      <c r="BH27" s="421">
        <f t="shared" si="15"/>
        <v>0</v>
      </c>
      <c r="BI27" s="780">
        <f t="shared" si="32"/>
        <v>463685</v>
      </c>
      <c r="BJ27" s="418">
        <f t="shared" si="33"/>
        <v>343980</v>
      </c>
      <c r="BK27" s="418">
        <f t="shared" si="34"/>
        <v>343980</v>
      </c>
      <c r="BL27" s="418">
        <f t="shared" si="34"/>
        <v>0</v>
      </c>
      <c r="BM27" s="418">
        <f t="shared" si="35"/>
        <v>0</v>
      </c>
      <c r="BN27" s="418">
        <f t="shared" si="36"/>
        <v>0</v>
      </c>
      <c r="BO27" s="418">
        <f t="shared" si="36"/>
        <v>0</v>
      </c>
      <c r="BP27" s="418">
        <f t="shared" si="37"/>
        <v>116265</v>
      </c>
      <c r="BQ27" s="418">
        <f t="shared" si="37"/>
        <v>3440</v>
      </c>
      <c r="BR27" s="418">
        <f t="shared" si="38"/>
        <v>0</v>
      </c>
      <c r="BS27" s="419">
        <f t="shared" si="39"/>
        <v>0.75</v>
      </c>
      <c r="BT27" s="419">
        <f t="shared" si="40"/>
        <v>0.75</v>
      </c>
      <c r="BU27" s="421">
        <f t="shared" si="40"/>
        <v>0</v>
      </c>
      <c r="BV27" s="420"/>
      <c r="BW27" s="415"/>
      <c r="BX27" s="415"/>
      <c r="BY27" s="415"/>
      <c r="BZ27" s="415"/>
      <c r="CA27" s="510"/>
    </row>
    <row r="28" spans="1:79" ht="13.5" customHeight="1" x14ac:dyDescent="0.2">
      <c r="A28" s="205">
        <v>5</v>
      </c>
      <c r="B28" s="206">
        <v>3447</v>
      </c>
      <c r="C28" s="206">
        <v>600078531</v>
      </c>
      <c r="D28" s="206">
        <v>70694982</v>
      </c>
      <c r="E28" s="204" t="s">
        <v>126</v>
      </c>
      <c r="F28" s="206">
        <v>3113</v>
      </c>
      <c r="G28" s="207" t="s">
        <v>298</v>
      </c>
      <c r="H28" s="612" t="s">
        <v>272</v>
      </c>
      <c r="I28" s="511">
        <v>2282979</v>
      </c>
      <c r="J28" s="415">
        <v>1689710</v>
      </c>
      <c r="K28" s="415">
        <v>1689710</v>
      </c>
      <c r="L28" s="415">
        <v>0</v>
      </c>
      <c r="M28" s="415">
        <v>0</v>
      </c>
      <c r="N28" s="415">
        <v>0</v>
      </c>
      <c r="O28" s="415">
        <v>0</v>
      </c>
      <c r="P28" s="68">
        <v>571122</v>
      </c>
      <c r="Q28" s="68">
        <v>16897</v>
      </c>
      <c r="R28" s="415">
        <v>5250</v>
      </c>
      <c r="S28" s="416">
        <v>4.34</v>
      </c>
      <c r="T28" s="417">
        <v>4.34</v>
      </c>
      <c r="U28" s="423">
        <v>0</v>
      </c>
      <c r="V28" s="424">
        <f t="shared" si="0"/>
        <v>0</v>
      </c>
      <c r="W28" s="418">
        <f t="shared" si="0"/>
        <v>0</v>
      </c>
      <c r="X28" s="418">
        <v>-12379</v>
      </c>
      <c r="Y28" s="418">
        <v>0</v>
      </c>
      <c r="Z28" s="418">
        <v>0</v>
      </c>
      <c r="AA28" s="415">
        <v>0</v>
      </c>
      <c r="AB28" s="418">
        <v>0</v>
      </c>
      <c r="AC28" s="418">
        <v>0</v>
      </c>
      <c r="AD28" s="418">
        <f t="shared" si="1"/>
        <v>-12379</v>
      </c>
      <c r="AE28" s="418">
        <f t="shared" si="2"/>
        <v>0</v>
      </c>
      <c r="AF28" s="418">
        <f t="shared" si="3"/>
        <v>-12379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4"/>
        <v>0</v>
      </c>
      <c r="AM28" s="418">
        <f t="shared" si="5"/>
        <v>0</v>
      </c>
      <c r="AN28" s="418">
        <f t="shared" si="6"/>
        <v>0</v>
      </c>
      <c r="AO28" s="418">
        <f t="shared" si="7"/>
        <v>-12379</v>
      </c>
      <c r="AP28" s="418">
        <f t="shared" si="7"/>
        <v>0</v>
      </c>
      <c r="AQ28" s="418">
        <f t="shared" si="8"/>
        <v>-12379</v>
      </c>
      <c r="AR28" s="68">
        <f t="shared" si="9"/>
        <v>-4184</v>
      </c>
      <c r="AS28" s="68">
        <f t="shared" si="10"/>
        <v>-124</v>
      </c>
      <c r="AT28" s="418">
        <v>0</v>
      </c>
      <c r="AU28" s="415">
        <v>0</v>
      </c>
      <c r="AV28" s="418">
        <f t="shared" si="11"/>
        <v>0</v>
      </c>
      <c r="AW28" s="418">
        <f t="shared" si="12"/>
        <v>-16687</v>
      </c>
      <c r="AX28" s="419">
        <v>0</v>
      </c>
      <c r="AY28" s="419">
        <v>0</v>
      </c>
      <c r="AZ28" s="419">
        <v>-0.03</v>
      </c>
      <c r="BA28" s="419">
        <v>0</v>
      </c>
      <c r="BB28" s="416">
        <v>0</v>
      </c>
      <c r="BC28" s="939">
        <v>0</v>
      </c>
      <c r="BD28" s="419">
        <v>0</v>
      </c>
      <c r="BE28" s="419">
        <v>0</v>
      </c>
      <c r="BF28" s="419">
        <f t="shared" si="13"/>
        <v>-0.03</v>
      </c>
      <c r="BG28" s="419">
        <f t="shared" si="14"/>
        <v>0</v>
      </c>
      <c r="BH28" s="421">
        <f t="shared" si="15"/>
        <v>-0.03</v>
      </c>
      <c r="BI28" s="780">
        <f t="shared" si="32"/>
        <v>2266292</v>
      </c>
      <c r="BJ28" s="418">
        <f t="shared" si="33"/>
        <v>1677331</v>
      </c>
      <c r="BK28" s="418">
        <f t="shared" si="34"/>
        <v>1677331</v>
      </c>
      <c r="BL28" s="418">
        <f t="shared" si="34"/>
        <v>0</v>
      </c>
      <c r="BM28" s="418">
        <f t="shared" si="35"/>
        <v>0</v>
      </c>
      <c r="BN28" s="418">
        <f t="shared" si="36"/>
        <v>0</v>
      </c>
      <c r="BO28" s="418">
        <f t="shared" si="36"/>
        <v>0</v>
      </c>
      <c r="BP28" s="418">
        <f t="shared" si="37"/>
        <v>566938</v>
      </c>
      <c r="BQ28" s="418">
        <f t="shared" si="37"/>
        <v>16773</v>
      </c>
      <c r="BR28" s="418">
        <f t="shared" si="38"/>
        <v>5250</v>
      </c>
      <c r="BS28" s="419">
        <f t="shared" si="39"/>
        <v>4.3099999999999996</v>
      </c>
      <c r="BT28" s="419">
        <f t="shared" si="40"/>
        <v>4.3099999999999996</v>
      </c>
      <c r="BU28" s="421">
        <f t="shared" si="40"/>
        <v>0</v>
      </c>
      <c r="BV28" s="420"/>
      <c r="BW28" s="415"/>
      <c r="BX28" s="415"/>
      <c r="BY28" s="415"/>
      <c r="BZ28" s="415"/>
      <c r="CA28" s="510"/>
    </row>
    <row r="29" spans="1:79" ht="13.5" customHeight="1" x14ac:dyDescent="0.2">
      <c r="A29" s="205">
        <v>5</v>
      </c>
      <c r="B29" s="206">
        <v>3447</v>
      </c>
      <c r="C29" s="206">
        <v>600078531</v>
      </c>
      <c r="D29" s="206">
        <v>70694982</v>
      </c>
      <c r="E29" s="204" t="s">
        <v>126</v>
      </c>
      <c r="F29" s="206">
        <v>3141</v>
      </c>
      <c r="G29" s="207" t="s">
        <v>294</v>
      </c>
      <c r="H29" s="612" t="s">
        <v>272</v>
      </c>
      <c r="I29" s="511">
        <v>1168055</v>
      </c>
      <c r="J29" s="415">
        <v>857378</v>
      </c>
      <c r="K29" s="415">
        <v>0</v>
      </c>
      <c r="L29" s="415">
        <v>857378</v>
      </c>
      <c r="M29" s="415">
        <v>3000</v>
      </c>
      <c r="N29" s="415">
        <v>0</v>
      </c>
      <c r="O29" s="415">
        <v>3000</v>
      </c>
      <c r="P29" s="68">
        <v>290808</v>
      </c>
      <c r="Q29" s="68">
        <v>8574</v>
      </c>
      <c r="R29" s="415">
        <v>8295</v>
      </c>
      <c r="S29" s="416">
        <v>2.58</v>
      </c>
      <c r="T29" s="417">
        <v>0</v>
      </c>
      <c r="U29" s="423">
        <v>2.58</v>
      </c>
      <c r="V29" s="424">
        <f t="shared" si="0"/>
        <v>0</v>
      </c>
      <c r="W29" s="418">
        <f t="shared" si="0"/>
        <v>0</v>
      </c>
      <c r="X29" s="418">
        <v>0</v>
      </c>
      <c r="Y29" s="418">
        <v>0</v>
      </c>
      <c r="Z29" s="418">
        <v>0</v>
      </c>
      <c r="AA29" s="605">
        <v>430398</v>
      </c>
      <c r="AB29" s="418">
        <v>0</v>
      </c>
      <c r="AC29" s="418">
        <v>0</v>
      </c>
      <c r="AD29" s="418">
        <f t="shared" si="1"/>
        <v>0</v>
      </c>
      <c r="AE29" s="418">
        <f t="shared" si="2"/>
        <v>430398</v>
      </c>
      <c r="AF29" s="418">
        <f t="shared" si="3"/>
        <v>430398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4"/>
        <v>0</v>
      </c>
      <c r="AM29" s="418">
        <f t="shared" si="5"/>
        <v>0</v>
      </c>
      <c r="AN29" s="418">
        <f t="shared" si="6"/>
        <v>0</v>
      </c>
      <c r="AO29" s="418">
        <f t="shared" si="7"/>
        <v>0</v>
      </c>
      <c r="AP29" s="418">
        <f t="shared" si="7"/>
        <v>430398</v>
      </c>
      <c r="AQ29" s="418">
        <f t="shared" si="8"/>
        <v>430398</v>
      </c>
      <c r="AR29" s="68">
        <f t="shared" si="9"/>
        <v>145475</v>
      </c>
      <c r="AS29" s="68">
        <f t="shared" si="10"/>
        <v>4304</v>
      </c>
      <c r="AT29" s="418">
        <v>0</v>
      </c>
      <c r="AU29" s="605">
        <v>4029</v>
      </c>
      <c r="AV29" s="418">
        <f t="shared" si="11"/>
        <v>4029</v>
      </c>
      <c r="AW29" s="418">
        <f t="shared" si="12"/>
        <v>584206</v>
      </c>
      <c r="AX29" s="419">
        <v>0</v>
      </c>
      <c r="AY29" s="419">
        <v>0</v>
      </c>
      <c r="AZ29" s="419">
        <v>0</v>
      </c>
      <c r="BA29" s="419">
        <v>0</v>
      </c>
      <c r="BB29" s="607">
        <v>1.29</v>
      </c>
      <c r="BC29" s="939">
        <v>0</v>
      </c>
      <c r="BD29" s="419">
        <v>0</v>
      </c>
      <c r="BE29" s="419">
        <v>0</v>
      </c>
      <c r="BF29" s="419">
        <f t="shared" si="13"/>
        <v>0</v>
      </c>
      <c r="BG29" s="419">
        <f t="shared" si="14"/>
        <v>1.29</v>
      </c>
      <c r="BH29" s="421">
        <f t="shared" si="15"/>
        <v>1.29</v>
      </c>
      <c r="BI29" s="780">
        <f t="shared" si="32"/>
        <v>1752261</v>
      </c>
      <c r="BJ29" s="418">
        <f t="shared" si="33"/>
        <v>1287776</v>
      </c>
      <c r="BK29" s="418">
        <f t="shared" si="34"/>
        <v>0</v>
      </c>
      <c r="BL29" s="418">
        <f t="shared" si="34"/>
        <v>1287776</v>
      </c>
      <c r="BM29" s="418">
        <f t="shared" si="35"/>
        <v>3000</v>
      </c>
      <c r="BN29" s="418">
        <f t="shared" si="36"/>
        <v>0</v>
      </c>
      <c r="BO29" s="418">
        <f t="shared" si="36"/>
        <v>3000</v>
      </c>
      <c r="BP29" s="418">
        <f t="shared" si="37"/>
        <v>436283</v>
      </c>
      <c r="BQ29" s="418">
        <f t="shared" si="37"/>
        <v>12878</v>
      </c>
      <c r="BR29" s="418">
        <f t="shared" si="38"/>
        <v>12324</v>
      </c>
      <c r="BS29" s="419">
        <f t="shared" si="39"/>
        <v>3.87</v>
      </c>
      <c r="BT29" s="419">
        <f t="shared" si="40"/>
        <v>0</v>
      </c>
      <c r="BU29" s="421">
        <f t="shared" si="40"/>
        <v>3.87</v>
      </c>
      <c r="BV29" s="420"/>
      <c r="BW29" s="415"/>
      <c r="BX29" s="415"/>
      <c r="BY29" s="415"/>
      <c r="BZ29" s="415"/>
      <c r="CA29" s="510"/>
    </row>
    <row r="30" spans="1:79" ht="13.5" customHeight="1" x14ac:dyDescent="0.2">
      <c r="A30" s="205">
        <v>5</v>
      </c>
      <c r="B30" s="206">
        <v>3447</v>
      </c>
      <c r="C30" s="206">
        <v>600078531</v>
      </c>
      <c r="D30" s="206">
        <v>70694982</v>
      </c>
      <c r="E30" s="204" t="s">
        <v>126</v>
      </c>
      <c r="F30" s="206">
        <v>3143</v>
      </c>
      <c r="G30" s="207" t="s">
        <v>595</v>
      </c>
      <c r="H30" s="614" t="s">
        <v>271</v>
      </c>
      <c r="I30" s="511">
        <v>1794654</v>
      </c>
      <c r="J30" s="415">
        <v>1320924</v>
      </c>
      <c r="K30" s="415">
        <v>1320924</v>
      </c>
      <c r="L30" s="415">
        <v>0</v>
      </c>
      <c r="M30" s="415">
        <v>10500</v>
      </c>
      <c r="N30" s="415">
        <v>10500</v>
      </c>
      <c r="O30" s="415">
        <v>0</v>
      </c>
      <c r="P30" s="68">
        <v>450021</v>
      </c>
      <c r="Q30" s="68">
        <v>13209</v>
      </c>
      <c r="R30" s="415">
        <v>0</v>
      </c>
      <c r="S30" s="416">
        <v>2.75</v>
      </c>
      <c r="T30" s="417">
        <v>2.75</v>
      </c>
      <c r="U30" s="423">
        <v>0</v>
      </c>
      <c r="V30" s="424">
        <f t="shared" si="0"/>
        <v>0</v>
      </c>
      <c r="W30" s="418">
        <f t="shared" si="0"/>
        <v>0</v>
      </c>
      <c r="X30" s="418">
        <v>0</v>
      </c>
      <c r="Y30" s="418">
        <v>0</v>
      </c>
      <c r="Z30" s="418">
        <v>0</v>
      </c>
      <c r="AA30" s="415">
        <v>0</v>
      </c>
      <c r="AB30" s="418">
        <v>0</v>
      </c>
      <c r="AC30" s="418">
        <v>0</v>
      </c>
      <c r="AD30" s="418">
        <f t="shared" si="1"/>
        <v>0</v>
      </c>
      <c r="AE30" s="418">
        <f t="shared" si="2"/>
        <v>0</v>
      </c>
      <c r="AF30" s="418">
        <f t="shared" si="3"/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4"/>
        <v>0</v>
      </c>
      <c r="AM30" s="418">
        <f t="shared" si="5"/>
        <v>0</v>
      </c>
      <c r="AN30" s="418">
        <f t="shared" si="6"/>
        <v>0</v>
      </c>
      <c r="AO30" s="418">
        <f t="shared" si="7"/>
        <v>0</v>
      </c>
      <c r="AP30" s="418">
        <f t="shared" si="7"/>
        <v>0</v>
      </c>
      <c r="AQ30" s="418">
        <f t="shared" si="8"/>
        <v>0</v>
      </c>
      <c r="AR30" s="68">
        <f t="shared" si="9"/>
        <v>0</v>
      </c>
      <c r="AS30" s="68">
        <f t="shared" si="10"/>
        <v>0</v>
      </c>
      <c r="AT30" s="418">
        <v>0</v>
      </c>
      <c r="AU30" s="415">
        <v>0</v>
      </c>
      <c r="AV30" s="418">
        <f t="shared" si="11"/>
        <v>0</v>
      </c>
      <c r="AW30" s="418">
        <f t="shared" si="12"/>
        <v>0</v>
      </c>
      <c r="AX30" s="419">
        <v>0</v>
      </c>
      <c r="AY30" s="419">
        <v>0</v>
      </c>
      <c r="AZ30" s="419">
        <v>0</v>
      </c>
      <c r="BA30" s="419">
        <v>0</v>
      </c>
      <c r="BB30" s="416">
        <v>0</v>
      </c>
      <c r="BC30" s="939">
        <v>0</v>
      </c>
      <c r="BD30" s="419">
        <v>0</v>
      </c>
      <c r="BE30" s="419">
        <v>0</v>
      </c>
      <c r="BF30" s="419">
        <f t="shared" si="13"/>
        <v>0</v>
      </c>
      <c r="BG30" s="419">
        <f t="shared" si="14"/>
        <v>0</v>
      </c>
      <c r="BH30" s="421">
        <f t="shared" si="15"/>
        <v>0</v>
      </c>
      <c r="BI30" s="780">
        <f t="shared" si="32"/>
        <v>1794654</v>
      </c>
      <c r="BJ30" s="418">
        <f t="shared" si="33"/>
        <v>1320924</v>
      </c>
      <c r="BK30" s="418">
        <f t="shared" si="34"/>
        <v>1320924</v>
      </c>
      <c r="BL30" s="418">
        <f t="shared" si="34"/>
        <v>0</v>
      </c>
      <c r="BM30" s="418">
        <f t="shared" si="35"/>
        <v>10500</v>
      </c>
      <c r="BN30" s="418">
        <f t="shared" si="36"/>
        <v>10500</v>
      </c>
      <c r="BO30" s="418">
        <f t="shared" si="36"/>
        <v>0</v>
      </c>
      <c r="BP30" s="418">
        <f t="shared" si="37"/>
        <v>450021</v>
      </c>
      <c r="BQ30" s="418">
        <f t="shared" si="37"/>
        <v>13209</v>
      </c>
      <c r="BR30" s="418">
        <f t="shared" si="38"/>
        <v>0</v>
      </c>
      <c r="BS30" s="419">
        <f t="shared" si="39"/>
        <v>2.75</v>
      </c>
      <c r="BT30" s="419">
        <f t="shared" si="40"/>
        <v>2.75</v>
      </c>
      <c r="BU30" s="421">
        <f t="shared" si="40"/>
        <v>0</v>
      </c>
      <c r="BV30" s="420"/>
      <c r="BW30" s="415"/>
      <c r="BX30" s="415"/>
      <c r="BY30" s="415"/>
      <c r="BZ30" s="415"/>
      <c r="CA30" s="510"/>
    </row>
    <row r="31" spans="1:79" ht="13.5" customHeight="1" x14ac:dyDescent="0.2">
      <c r="A31" s="205">
        <v>5</v>
      </c>
      <c r="B31" s="206">
        <v>3447</v>
      </c>
      <c r="C31" s="206">
        <v>600078531</v>
      </c>
      <c r="D31" s="206">
        <v>70694982</v>
      </c>
      <c r="E31" s="204" t="s">
        <v>126</v>
      </c>
      <c r="F31" s="206">
        <v>3143</v>
      </c>
      <c r="G31" s="207" t="s">
        <v>596</v>
      </c>
      <c r="H31" s="614" t="s">
        <v>272</v>
      </c>
      <c r="I31" s="511">
        <v>30724</v>
      </c>
      <c r="J31" s="415">
        <v>21991</v>
      </c>
      <c r="K31" s="415">
        <v>0</v>
      </c>
      <c r="L31" s="415">
        <v>21991</v>
      </c>
      <c r="M31" s="415">
        <v>0</v>
      </c>
      <c r="N31" s="415">
        <v>0</v>
      </c>
      <c r="O31" s="415">
        <v>0</v>
      </c>
      <c r="P31" s="68">
        <v>7433</v>
      </c>
      <c r="Q31" s="68">
        <v>220</v>
      </c>
      <c r="R31" s="415">
        <v>1080</v>
      </c>
      <c r="S31" s="416">
        <v>0.08</v>
      </c>
      <c r="T31" s="417">
        <v>0</v>
      </c>
      <c r="U31" s="423">
        <v>0.08</v>
      </c>
      <c r="V31" s="424">
        <f t="shared" si="0"/>
        <v>0</v>
      </c>
      <c r="W31" s="418">
        <f t="shared" si="0"/>
        <v>0</v>
      </c>
      <c r="X31" s="418">
        <v>0</v>
      </c>
      <c r="Y31" s="418">
        <v>0</v>
      </c>
      <c r="Z31" s="418">
        <v>0</v>
      </c>
      <c r="AA31" s="605">
        <v>11009</v>
      </c>
      <c r="AB31" s="418">
        <v>0</v>
      </c>
      <c r="AC31" s="418">
        <v>0</v>
      </c>
      <c r="AD31" s="418">
        <f t="shared" si="1"/>
        <v>0</v>
      </c>
      <c r="AE31" s="418">
        <f t="shared" si="2"/>
        <v>11009</v>
      </c>
      <c r="AF31" s="418">
        <f t="shared" si="3"/>
        <v>11009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4"/>
        <v>0</v>
      </c>
      <c r="AM31" s="418">
        <f t="shared" si="5"/>
        <v>0</v>
      </c>
      <c r="AN31" s="418">
        <f t="shared" si="6"/>
        <v>0</v>
      </c>
      <c r="AO31" s="418">
        <f t="shared" si="7"/>
        <v>0</v>
      </c>
      <c r="AP31" s="418">
        <f t="shared" si="7"/>
        <v>11009</v>
      </c>
      <c r="AQ31" s="418">
        <f t="shared" si="8"/>
        <v>11009</v>
      </c>
      <c r="AR31" s="68">
        <f t="shared" si="9"/>
        <v>3721</v>
      </c>
      <c r="AS31" s="68">
        <f t="shared" si="10"/>
        <v>110</v>
      </c>
      <c r="AT31" s="418">
        <v>0</v>
      </c>
      <c r="AU31" s="606">
        <v>540</v>
      </c>
      <c r="AV31" s="418">
        <f t="shared" si="11"/>
        <v>540</v>
      </c>
      <c r="AW31" s="418">
        <f t="shared" si="12"/>
        <v>15380</v>
      </c>
      <c r="AX31" s="419">
        <v>0</v>
      </c>
      <c r="AY31" s="419">
        <v>0</v>
      </c>
      <c r="AZ31" s="419">
        <v>0</v>
      </c>
      <c r="BA31" s="419">
        <v>0</v>
      </c>
      <c r="BB31" s="607">
        <v>0.04</v>
      </c>
      <c r="BC31" s="939">
        <v>0</v>
      </c>
      <c r="BD31" s="419">
        <v>0</v>
      </c>
      <c r="BE31" s="419">
        <v>0</v>
      </c>
      <c r="BF31" s="419">
        <f t="shared" si="13"/>
        <v>0</v>
      </c>
      <c r="BG31" s="419">
        <f t="shared" si="14"/>
        <v>0.04</v>
      </c>
      <c r="BH31" s="421">
        <f t="shared" si="15"/>
        <v>0.04</v>
      </c>
      <c r="BI31" s="780">
        <f t="shared" si="32"/>
        <v>46104</v>
      </c>
      <c r="BJ31" s="418">
        <f t="shared" si="33"/>
        <v>33000</v>
      </c>
      <c r="BK31" s="418">
        <f t="shared" si="34"/>
        <v>0</v>
      </c>
      <c r="BL31" s="418">
        <f t="shared" si="34"/>
        <v>33000</v>
      </c>
      <c r="BM31" s="418">
        <f t="shared" si="35"/>
        <v>0</v>
      </c>
      <c r="BN31" s="418">
        <f t="shared" si="36"/>
        <v>0</v>
      </c>
      <c r="BO31" s="418">
        <f t="shared" si="36"/>
        <v>0</v>
      </c>
      <c r="BP31" s="418">
        <f t="shared" si="37"/>
        <v>11154</v>
      </c>
      <c r="BQ31" s="418">
        <f t="shared" si="37"/>
        <v>330</v>
      </c>
      <c r="BR31" s="418">
        <f t="shared" si="38"/>
        <v>1620</v>
      </c>
      <c r="BS31" s="419">
        <f t="shared" si="39"/>
        <v>0.12</v>
      </c>
      <c r="BT31" s="419">
        <f t="shared" si="40"/>
        <v>0</v>
      </c>
      <c r="BU31" s="421">
        <f t="shared" si="40"/>
        <v>0.12</v>
      </c>
      <c r="BV31" s="420"/>
      <c r="BW31" s="415"/>
      <c r="BX31" s="415"/>
      <c r="BY31" s="415"/>
      <c r="BZ31" s="415"/>
      <c r="CA31" s="510"/>
    </row>
    <row r="32" spans="1:79" ht="13.5" customHeight="1" x14ac:dyDescent="0.2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13"/>
      <c r="I32" s="452">
        <v>26543945</v>
      </c>
      <c r="J32" s="445">
        <v>19480744</v>
      </c>
      <c r="K32" s="445">
        <v>17459961</v>
      </c>
      <c r="L32" s="445">
        <v>2020783</v>
      </c>
      <c r="M32" s="445">
        <v>13500</v>
      </c>
      <c r="N32" s="445">
        <v>10500</v>
      </c>
      <c r="O32" s="445">
        <v>3000</v>
      </c>
      <c r="P32" s="445">
        <v>6589055</v>
      </c>
      <c r="Q32" s="445">
        <v>194808</v>
      </c>
      <c r="R32" s="445">
        <v>265838</v>
      </c>
      <c r="S32" s="446">
        <v>33.9041</v>
      </c>
      <c r="T32" s="446">
        <v>27.931100000000001</v>
      </c>
      <c r="U32" s="450">
        <v>5.9729999999999999</v>
      </c>
      <c r="V32" s="448">
        <f t="shared" ref="V32:CA32" si="41">SUM(V26:V31)</f>
        <v>0</v>
      </c>
      <c r="W32" s="445">
        <f t="shared" si="41"/>
        <v>0</v>
      </c>
      <c r="X32" s="445">
        <f t="shared" si="41"/>
        <v>-12379</v>
      </c>
      <c r="Y32" s="445">
        <f t="shared" si="41"/>
        <v>0</v>
      </c>
      <c r="Z32" s="445">
        <f t="shared" si="41"/>
        <v>0</v>
      </c>
      <c r="AA32" s="445">
        <f t="shared" si="41"/>
        <v>441407</v>
      </c>
      <c r="AB32" s="445">
        <f t="shared" si="41"/>
        <v>0</v>
      </c>
      <c r="AC32" s="445">
        <f t="shared" si="41"/>
        <v>0</v>
      </c>
      <c r="AD32" s="445">
        <f t="shared" si="41"/>
        <v>-12379</v>
      </c>
      <c r="AE32" s="445">
        <f t="shared" si="41"/>
        <v>441407</v>
      </c>
      <c r="AF32" s="445">
        <f t="shared" si="41"/>
        <v>429028</v>
      </c>
      <c r="AG32" s="445">
        <f t="shared" si="41"/>
        <v>0</v>
      </c>
      <c r="AH32" s="445">
        <f t="shared" si="41"/>
        <v>0</v>
      </c>
      <c r="AI32" s="445">
        <f t="shared" si="41"/>
        <v>0</v>
      </c>
      <c r="AJ32" s="445">
        <f t="shared" si="41"/>
        <v>0</v>
      </c>
      <c r="AK32" s="445">
        <f t="shared" si="41"/>
        <v>0</v>
      </c>
      <c r="AL32" s="445">
        <f t="shared" si="41"/>
        <v>0</v>
      </c>
      <c r="AM32" s="445">
        <f t="shared" si="41"/>
        <v>0</v>
      </c>
      <c r="AN32" s="445">
        <f t="shared" si="41"/>
        <v>0</v>
      </c>
      <c r="AO32" s="445">
        <f t="shared" si="41"/>
        <v>-12379</v>
      </c>
      <c r="AP32" s="445">
        <f t="shared" si="41"/>
        <v>441407</v>
      </c>
      <c r="AQ32" s="445">
        <f t="shared" si="41"/>
        <v>429028</v>
      </c>
      <c r="AR32" s="445">
        <f t="shared" si="41"/>
        <v>145012</v>
      </c>
      <c r="AS32" s="445">
        <f t="shared" si="41"/>
        <v>4290</v>
      </c>
      <c r="AT32" s="445">
        <f t="shared" si="41"/>
        <v>0</v>
      </c>
      <c r="AU32" s="445">
        <f t="shared" si="41"/>
        <v>4569</v>
      </c>
      <c r="AV32" s="445">
        <f t="shared" si="41"/>
        <v>4569</v>
      </c>
      <c r="AW32" s="445">
        <f t="shared" si="41"/>
        <v>582899</v>
      </c>
      <c r="AX32" s="446">
        <f t="shared" si="41"/>
        <v>0</v>
      </c>
      <c r="AY32" s="446">
        <f t="shared" si="41"/>
        <v>0</v>
      </c>
      <c r="AZ32" s="446">
        <f t="shared" si="41"/>
        <v>-0.03</v>
      </c>
      <c r="BA32" s="446">
        <f t="shared" si="41"/>
        <v>0</v>
      </c>
      <c r="BB32" s="446">
        <f t="shared" si="41"/>
        <v>1.33</v>
      </c>
      <c r="BC32" s="948">
        <f t="shared" si="41"/>
        <v>0</v>
      </c>
      <c r="BD32" s="446">
        <f t="shared" si="41"/>
        <v>0</v>
      </c>
      <c r="BE32" s="446">
        <f t="shared" si="41"/>
        <v>0</v>
      </c>
      <c r="BF32" s="446">
        <f t="shared" si="41"/>
        <v>-0.03</v>
      </c>
      <c r="BG32" s="446">
        <f t="shared" si="41"/>
        <v>1.33</v>
      </c>
      <c r="BH32" s="39">
        <f t="shared" si="41"/>
        <v>1.3</v>
      </c>
      <c r="BI32" s="452">
        <f t="shared" si="41"/>
        <v>27126844</v>
      </c>
      <c r="BJ32" s="445">
        <f t="shared" si="41"/>
        <v>19909772</v>
      </c>
      <c r="BK32" s="445">
        <f t="shared" si="41"/>
        <v>17447582</v>
      </c>
      <c r="BL32" s="445">
        <f t="shared" si="41"/>
        <v>2462190</v>
      </c>
      <c r="BM32" s="445">
        <f t="shared" si="41"/>
        <v>13500</v>
      </c>
      <c r="BN32" s="445">
        <f t="shared" si="41"/>
        <v>10500</v>
      </c>
      <c r="BO32" s="445">
        <f t="shared" si="41"/>
        <v>3000</v>
      </c>
      <c r="BP32" s="445">
        <f t="shared" si="41"/>
        <v>6734067</v>
      </c>
      <c r="BQ32" s="445">
        <f t="shared" si="41"/>
        <v>199098</v>
      </c>
      <c r="BR32" s="445">
        <f t="shared" si="41"/>
        <v>270407</v>
      </c>
      <c r="BS32" s="446">
        <f t="shared" si="41"/>
        <v>35.204099999999997</v>
      </c>
      <c r="BT32" s="446">
        <f t="shared" si="41"/>
        <v>27.9011</v>
      </c>
      <c r="BU32" s="39">
        <f t="shared" si="41"/>
        <v>7.3029999999999999</v>
      </c>
      <c r="BV32" s="833">
        <f t="shared" si="41"/>
        <v>380136</v>
      </c>
      <c r="BW32" s="715">
        <f t="shared" si="41"/>
        <v>282000</v>
      </c>
      <c r="BX32" s="715">
        <f t="shared" si="41"/>
        <v>0</v>
      </c>
      <c r="BY32" s="715">
        <f t="shared" si="41"/>
        <v>95316</v>
      </c>
      <c r="BZ32" s="715">
        <f t="shared" si="41"/>
        <v>2820</v>
      </c>
      <c r="CA32" s="834">
        <f t="shared" si="41"/>
        <v>0.5</v>
      </c>
    </row>
    <row r="33" spans="1:79" ht="13.5" customHeight="1" x14ac:dyDescent="0.2">
      <c r="A33" s="205">
        <v>6</v>
      </c>
      <c r="B33" s="206">
        <v>3446</v>
      </c>
      <c r="C33" s="206">
        <v>600078515</v>
      </c>
      <c r="D33" s="206">
        <v>70694974</v>
      </c>
      <c r="E33" s="204" t="s">
        <v>128</v>
      </c>
      <c r="F33" s="206">
        <v>3113</v>
      </c>
      <c r="G33" s="207" t="s">
        <v>293</v>
      </c>
      <c r="H33" s="612" t="s">
        <v>271</v>
      </c>
      <c r="I33" s="511">
        <v>25436168</v>
      </c>
      <c r="J33" s="415">
        <v>18600632</v>
      </c>
      <c r="K33" s="415">
        <v>17222913</v>
      </c>
      <c r="L33" s="415">
        <v>1377719</v>
      </c>
      <c r="M33" s="415">
        <v>5000</v>
      </c>
      <c r="N33" s="415">
        <v>5000</v>
      </c>
      <c r="O33" s="415">
        <v>0</v>
      </c>
      <c r="P33" s="68">
        <v>6288703</v>
      </c>
      <c r="Q33" s="68">
        <v>186007</v>
      </c>
      <c r="R33" s="415">
        <v>355826</v>
      </c>
      <c r="S33" s="416">
        <v>29.5246</v>
      </c>
      <c r="T33" s="417">
        <v>25.4785</v>
      </c>
      <c r="U33" s="423">
        <v>4.0461</v>
      </c>
      <c r="V33" s="424">
        <f t="shared" si="0"/>
        <v>0</v>
      </c>
      <c r="W33" s="418">
        <f t="shared" si="0"/>
        <v>0</v>
      </c>
      <c r="X33" s="418">
        <v>0</v>
      </c>
      <c r="Y33" s="418">
        <v>0</v>
      </c>
      <c r="Z33" s="418">
        <v>0</v>
      </c>
      <c r="AA33" s="415">
        <v>0</v>
      </c>
      <c r="AB33" s="418">
        <v>0</v>
      </c>
      <c r="AC33" s="418">
        <v>0</v>
      </c>
      <c r="AD33" s="418">
        <f t="shared" si="1"/>
        <v>0</v>
      </c>
      <c r="AE33" s="418">
        <f t="shared" si="2"/>
        <v>0</v>
      </c>
      <c r="AF33" s="418">
        <f t="shared" si="3"/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 t="shared" si="4"/>
        <v>0</v>
      </c>
      <c r="AM33" s="418">
        <f t="shared" si="5"/>
        <v>0</v>
      </c>
      <c r="AN33" s="418">
        <f t="shared" si="6"/>
        <v>0</v>
      </c>
      <c r="AO33" s="418">
        <f t="shared" si="7"/>
        <v>0</v>
      </c>
      <c r="AP33" s="418">
        <f t="shared" si="7"/>
        <v>0</v>
      </c>
      <c r="AQ33" s="418">
        <f t="shared" si="8"/>
        <v>0</v>
      </c>
      <c r="AR33" s="68">
        <f t="shared" si="9"/>
        <v>0</v>
      </c>
      <c r="AS33" s="68">
        <f t="shared" si="10"/>
        <v>0</v>
      </c>
      <c r="AT33" s="418">
        <v>0</v>
      </c>
      <c r="AU33" s="415">
        <v>0</v>
      </c>
      <c r="AV33" s="418">
        <f t="shared" si="11"/>
        <v>0</v>
      </c>
      <c r="AW33" s="418">
        <f t="shared" si="12"/>
        <v>0</v>
      </c>
      <c r="AX33" s="419">
        <v>0</v>
      </c>
      <c r="AY33" s="419">
        <v>0</v>
      </c>
      <c r="AZ33" s="419">
        <v>0</v>
      </c>
      <c r="BA33" s="419">
        <v>0</v>
      </c>
      <c r="BB33" s="416">
        <v>0</v>
      </c>
      <c r="BC33" s="939">
        <v>0</v>
      </c>
      <c r="BD33" s="419">
        <v>0</v>
      </c>
      <c r="BE33" s="419">
        <v>0</v>
      </c>
      <c r="BF33" s="419">
        <f t="shared" si="13"/>
        <v>0</v>
      </c>
      <c r="BG33" s="419">
        <f t="shared" si="14"/>
        <v>0</v>
      </c>
      <c r="BH33" s="421">
        <f t="shared" si="15"/>
        <v>0</v>
      </c>
      <c r="BI33" s="780">
        <f>I33+AW33</f>
        <v>25436168</v>
      </c>
      <c r="BJ33" s="418">
        <f>J33+AF33</f>
        <v>18600632</v>
      </c>
      <c r="BK33" s="418">
        <f t="shared" ref="BK33:BL37" si="42">K33+AD33</f>
        <v>17222913</v>
      </c>
      <c r="BL33" s="418">
        <f t="shared" si="42"/>
        <v>1377719</v>
      </c>
      <c r="BM33" s="418">
        <f>M33+AN33</f>
        <v>5000</v>
      </c>
      <c r="BN33" s="418">
        <f t="shared" ref="BN33:BO37" si="43">N33+AL33</f>
        <v>5000</v>
      </c>
      <c r="BO33" s="418">
        <f t="shared" si="43"/>
        <v>0</v>
      </c>
      <c r="BP33" s="418">
        <f t="shared" ref="BP33:BQ37" si="44">P33+AR33</f>
        <v>6288703</v>
      </c>
      <c r="BQ33" s="418">
        <f t="shared" si="44"/>
        <v>186007</v>
      </c>
      <c r="BR33" s="418">
        <f>R33+AV33</f>
        <v>355826</v>
      </c>
      <c r="BS33" s="419">
        <f>S33+BH33</f>
        <v>29.5246</v>
      </c>
      <c r="BT33" s="419">
        <f t="shared" ref="BT33:BU37" si="45">T33+BF33</f>
        <v>25.4785</v>
      </c>
      <c r="BU33" s="421">
        <f t="shared" si="45"/>
        <v>4.0461</v>
      </c>
      <c r="BV33" s="420"/>
      <c r="BW33" s="415"/>
      <c r="BX33" s="415"/>
      <c r="BY33" s="415"/>
      <c r="BZ33" s="415"/>
      <c r="CA33" s="510"/>
    </row>
    <row r="34" spans="1:79" ht="13.5" customHeight="1" x14ac:dyDescent="0.2">
      <c r="A34" s="205">
        <v>6</v>
      </c>
      <c r="B34" s="206">
        <v>3446</v>
      </c>
      <c r="C34" s="206">
        <v>600078515</v>
      </c>
      <c r="D34" s="206">
        <v>70694974</v>
      </c>
      <c r="E34" s="204" t="s">
        <v>128</v>
      </c>
      <c r="F34" s="206">
        <v>3113</v>
      </c>
      <c r="G34" s="207" t="s">
        <v>291</v>
      </c>
      <c r="H34" s="612" t="s">
        <v>272</v>
      </c>
      <c r="I34" s="511">
        <v>1319029</v>
      </c>
      <c r="J34" s="415">
        <v>978508</v>
      </c>
      <c r="K34" s="415">
        <v>978508</v>
      </c>
      <c r="L34" s="415">
        <v>0</v>
      </c>
      <c r="M34" s="415">
        <v>0</v>
      </c>
      <c r="N34" s="415">
        <v>0</v>
      </c>
      <c r="O34" s="415">
        <v>0</v>
      </c>
      <c r="P34" s="68">
        <v>330736</v>
      </c>
      <c r="Q34" s="68">
        <v>9785</v>
      </c>
      <c r="R34" s="415">
        <v>0</v>
      </c>
      <c r="S34" s="416">
        <v>2.64</v>
      </c>
      <c r="T34" s="417">
        <v>2.64</v>
      </c>
      <c r="U34" s="423">
        <v>0</v>
      </c>
      <c r="V34" s="424">
        <f t="shared" si="0"/>
        <v>0</v>
      </c>
      <c r="W34" s="418">
        <f t="shared" si="0"/>
        <v>0</v>
      </c>
      <c r="X34" s="418">
        <v>0</v>
      </c>
      <c r="Y34" s="418">
        <v>0</v>
      </c>
      <c r="Z34" s="418">
        <v>0</v>
      </c>
      <c r="AA34" s="415">
        <v>0</v>
      </c>
      <c r="AB34" s="418">
        <v>0</v>
      </c>
      <c r="AC34" s="418">
        <v>0</v>
      </c>
      <c r="AD34" s="418">
        <f t="shared" si="1"/>
        <v>0</v>
      </c>
      <c r="AE34" s="418">
        <f t="shared" si="2"/>
        <v>0</v>
      </c>
      <c r="AF34" s="418">
        <f t="shared" si="3"/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 t="shared" si="4"/>
        <v>0</v>
      </c>
      <c r="AM34" s="418">
        <f t="shared" si="5"/>
        <v>0</v>
      </c>
      <c r="AN34" s="418">
        <f t="shared" si="6"/>
        <v>0</v>
      </c>
      <c r="AO34" s="418">
        <f t="shared" si="7"/>
        <v>0</v>
      </c>
      <c r="AP34" s="418">
        <f t="shared" si="7"/>
        <v>0</v>
      </c>
      <c r="AQ34" s="418">
        <f t="shared" si="8"/>
        <v>0</v>
      </c>
      <c r="AR34" s="68">
        <f t="shared" si="9"/>
        <v>0</v>
      </c>
      <c r="AS34" s="68">
        <f t="shared" si="10"/>
        <v>0</v>
      </c>
      <c r="AT34" s="418">
        <v>0</v>
      </c>
      <c r="AU34" s="415">
        <v>0</v>
      </c>
      <c r="AV34" s="418">
        <f t="shared" si="11"/>
        <v>0</v>
      </c>
      <c r="AW34" s="418">
        <f t="shared" si="12"/>
        <v>0</v>
      </c>
      <c r="AX34" s="419">
        <v>0</v>
      </c>
      <c r="AY34" s="419">
        <v>0</v>
      </c>
      <c r="AZ34" s="419">
        <v>0</v>
      </c>
      <c r="BA34" s="419">
        <v>0</v>
      </c>
      <c r="BB34" s="416">
        <v>0</v>
      </c>
      <c r="BC34" s="939">
        <v>0</v>
      </c>
      <c r="BD34" s="419">
        <v>0</v>
      </c>
      <c r="BE34" s="419">
        <v>0</v>
      </c>
      <c r="BF34" s="419">
        <f t="shared" si="13"/>
        <v>0</v>
      </c>
      <c r="BG34" s="419">
        <f t="shared" si="14"/>
        <v>0</v>
      </c>
      <c r="BH34" s="421">
        <f t="shared" si="15"/>
        <v>0</v>
      </c>
      <c r="BI34" s="780">
        <f>I34+AW34</f>
        <v>1319029</v>
      </c>
      <c r="BJ34" s="418">
        <f>J34+AF34</f>
        <v>978508</v>
      </c>
      <c r="BK34" s="418">
        <f t="shared" si="42"/>
        <v>978508</v>
      </c>
      <c r="BL34" s="418">
        <f t="shared" si="42"/>
        <v>0</v>
      </c>
      <c r="BM34" s="418">
        <f>M34+AN34</f>
        <v>0</v>
      </c>
      <c r="BN34" s="418">
        <f t="shared" si="43"/>
        <v>0</v>
      </c>
      <c r="BO34" s="418">
        <f t="shared" si="43"/>
        <v>0</v>
      </c>
      <c r="BP34" s="418">
        <f t="shared" si="44"/>
        <v>330736</v>
      </c>
      <c r="BQ34" s="418">
        <f t="shared" si="44"/>
        <v>9785</v>
      </c>
      <c r="BR34" s="418">
        <f>R34+AV34</f>
        <v>0</v>
      </c>
      <c r="BS34" s="419">
        <f>S34+BH34</f>
        <v>2.64</v>
      </c>
      <c r="BT34" s="419">
        <f t="shared" si="45"/>
        <v>2.64</v>
      </c>
      <c r="BU34" s="421">
        <f t="shared" si="45"/>
        <v>0</v>
      </c>
      <c r="BV34" s="420"/>
      <c r="BW34" s="415"/>
      <c r="BX34" s="415"/>
      <c r="BY34" s="415"/>
      <c r="BZ34" s="415"/>
      <c r="CA34" s="510"/>
    </row>
    <row r="35" spans="1:79" ht="13.5" customHeight="1" x14ac:dyDescent="0.2">
      <c r="A35" s="205">
        <v>6</v>
      </c>
      <c r="B35" s="206">
        <v>3446</v>
      </c>
      <c r="C35" s="206">
        <v>600078515</v>
      </c>
      <c r="D35" s="206">
        <v>70694974</v>
      </c>
      <c r="E35" s="204" t="s">
        <v>128</v>
      </c>
      <c r="F35" s="206">
        <v>3141</v>
      </c>
      <c r="G35" s="207" t="s">
        <v>294</v>
      </c>
      <c r="H35" s="612" t="s">
        <v>272</v>
      </c>
      <c r="I35" s="511">
        <v>1530970</v>
      </c>
      <c r="J35" s="415">
        <v>1117162</v>
      </c>
      <c r="K35" s="415">
        <v>0</v>
      </c>
      <c r="L35" s="415">
        <v>1117162</v>
      </c>
      <c r="M35" s="415">
        <v>10000</v>
      </c>
      <c r="N35" s="415">
        <v>0</v>
      </c>
      <c r="O35" s="415">
        <v>10000</v>
      </c>
      <c r="P35" s="68">
        <v>380981</v>
      </c>
      <c r="Q35" s="68">
        <v>11172</v>
      </c>
      <c r="R35" s="415">
        <v>11655</v>
      </c>
      <c r="S35" s="416">
        <v>3.38</v>
      </c>
      <c r="T35" s="417">
        <v>0</v>
      </c>
      <c r="U35" s="423">
        <v>3.38</v>
      </c>
      <c r="V35" s="424">
        <f t="shared" si="0"/>
        <v>0</v>
      </c>
      <c r="W35" s="418">
        <f t="shared" si="0"/>
        <v>0</v>
      </c>
      <c r="X35" s="418">
        <v>0</v>
      </c>
      <c r="Y35" s="418">
        <v>0</v>
      </c>
      <c r="Z35" s="418">
        <v>0</v>
      </c>
      <c r="AA35" s="605">
        <v>564912</v>
      </c>
      <c r="AB35" s="418">
        <v>0</v>
      </c>
      <c r="AC35" s="418">
        <v>0</v>
      </c>
      <c r="AD35" s="418">
        <f t="shared" si="1"/>
        <v>0</v>
      </c>
      <c r="AE35" s="418">
        <f t="shared" si="2"/>
        <v>564912</v>
      </c>
      <c r="AF35" s="418">
        <f t="shared" si="3"/>
        <v>564912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 t="shared" si="4"/>
        <v>0</v>
      </c>
      <c r="AM35" s="418">
        <f t="shared" si="5"/>
        <v>0</v>
      </c>
      <c r="AN35" s="418">
        <f t="shared" si="6"/>
        <v>0</v>
      </c>
      <c r="AO35" s="418">
        <f t="shared" si="7"/>
        <v>0</v>
      </c>
      <c r="AP35" s="418">
        <f t="shared" si="7"/>
        <v>564912</v>
      </c>
      <c r="AQ35" s="418">
        <f t="shared" si="8"/>
        <v>564912</v>
      </c>
      <c r="AR35" s="68">
        <f t="shared" si="9"/>
        <v>190940</v>
      </c>
      <c r="AS35" s="68">
        <f t="shared" si="10"/>
        <v>5649</v>
      </c>
      <c r="AT35" s="418">
        <v>0</v>
      </c>
      <c r="AU35" s="605">
        <v>5661</v>
      </c>
      <c r="AV35" s="418">
        <f t="shared" si="11"/>
        <v>5661</v>
      </c>
      <c r="AW35" s="418">
        <f t="shared" si="12"/>
        <v>767162</v>
      </c>
      <c r="AX35" s="419">
        <v>0</v>
      </c>
      <c r="AY35" s="419">
        <v>0</v>
      </c>
      <c r="AZ35" s="419">
        <v>0</v>
      </c>
      <c r="BA35" s="419">
        <v>0</v>
      </c>
      <c r="BB35" s="607">
        <v>1.6900000000000004</v>
      </c>
      <c r="BC35" s="939">
        <v>0</v>
      </c>
      <c r="BD35" s="419">
        <v>0</v>
      </c>
      <c r="BE35" s="419">
        <v>0</v>
      </c>
      <c r="BF35" s="419">
        <f t="shared" si="13"/>
        <v>0</v>
      </c>
      <c r="BG35" s="419">
        <f t="shared" si="14"/>
        <v>1.6900000000000004</v>
      </c>
      <c r="BH35" s="421">
        <f t="shared" si="15"/>
        <v>1.6900000000000004</v>
      </c>
      <c r="BI35" s="780">
        <f>I35+AW35</f>
        <v>2298132</v>
      </c>
      <c r="BJ35" s="418">
        <f>J35+AF35</f>
        <v>1682074</v>
      </c>
      <c r="BK35" s="418">
        <f t="shared" si="42"/>
        <v>0</v>
      </c>
      <c r="BL35" s="418">
        <f t="shared" si="42"/>
        <v>1682074</v>
      </c>
      <c r="BM35" s="418">
        <f>M35+AN35</f>
        <v>10000</v>
      </c>
      <c r="BN35" s="418">
        <f t="shared" si="43"/>
        <v>0</v>
      </c>
      <c r="BO35" s="418">
        <f t="shared" si="43"/>
        <v>10000</v>
      </c>
      <c r="BP35" s="418">
        <f t="shared" si="44"/>
        <v>571921</v>
      </c>
      <c r="BQ35" s="418">
        <f t="shared" si="44"/>
        <v>16821</v>
      </c>
      <c r="BR35" s="418">
        <f>R35+AV35</f>
        <v>17316</v>
      </c>
      <c r="BS35" s="419">
        <f>S35+BH35</f>
        <v>5.07</v>
      </c>
      <c r="BT35" s="419">
        <f t="shared" si="45"/>
        <v>0</v>
      </c>
      <c r="BU35" s="421">
        <f t="shared" si="45"/>
        <v>5.07</v>
      </c>
      <c r="BV35" s="420"/>
      <c r="BW35" s="415"/>
      <c r="BX35" s="415"/>
      <c r="BY35" s="415"/>
      <c r="BZ35" s="415"/>
      <c r="CA35" s="510"/>
    </row>
    <row r="36" spans="1:79" ht="13.5" customHeight="1" x14ac:dyDescent="0.2">
      <c r="A36" s="205">
        <v>6</v>
      </c>
      <c r="B36" s="206">
        <v>3446</v>
      </c>
      <c r="C36" s="206">
        <v>600078515</v>
      </c>
      <c r="D36" s="206">
        <v>70694974</v>
      </c>
      <c r="E36" s="204" t="s">
        <v>128</v>
      </c>
      <c r="F36" s="206">
        <v>3143</v>
      </c>
      <c r="G36" s="207" t="s">
        <v>595</v>
      </c>
      <c r="H36" s="614" t="s">
        <v>271</v>
      </c>
      <c r="I36" s="511">
        <v>1747589</v>
      </c>
      <c r="J36" s="415">
        <v>1296431</v>
      </c>
      <c r="K36" s="415">
        <v>1296431</v>
      </c>
      <c r="L36" s="415">
        <v>0</v>
      </c>
      <c r="M36" s="415">
        <v>0</v>
      </c>
      <c r="N36" s="415">
        <v>0</v>
      </c>
      <c r="O36" s="415">
        <v>0</v>
      </c>
      <c r="P36" s="68">
        <v>438194</v>
      </c>
      <c r="Q36" s="68">
        <v>12964</v>
      </c>
      <c r="R36" s="415">
        <v>0</v>
      </c>
      <c r="S36" s="416">
        <v>2.75</v>
      </c>
      <c r="T36" s="417">
        <v>2.75</v>
      </c>
      <c r="U36" s="423">
        <v>0</v>
      </c>
      <c r="V36" s="424">
        <f t="shared" si="0"/>
        <v>0</v>
      </c>
      <c r="W36" s="418">
        <f t="shared" si="0"/>
        <v>0</v>
      </c>
      <c r="X36" s="418">
        <v>0</v>
      </c>
      <c r="Y36" s="418">
        <v>0</v>
      </c>
      <c r="Z36" s="418">
        <v>0</v>
      </c>
      <c r="AA36" s="415">
        <v>0</v>
      </c>
      <c r="AB36" s="418">
        <v>0</v>
      </c>
      <c r="AC36" s="418">
        <v>0</v>
      </c>
      <c r="AD36" s="418">
        <f t="shared" si="1"/>
        <v>0</v>
      </c>
      <c r="AE36" s="418">
        <f t="shared" si="2"/>
        <v>0</v>
      </c>
      <c r="AF36" s="418">
        <f t="shared" si="3"/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 t="shared" si="4"/>
        <v>0</v>
      </c>
      <c r="AM36" s="418">
        <f t="shared" si="5"/>
        <v>0</v>
      </c>
      <c r="AN36" s="418">
        <f t="shared" si="6"/>
        <v>0</v>
      </c>
      <c r="AO36" s="418">
        <f t="shared" si="7"/>
        <v>0</v>
      </c>
      <c r="AP36" s="418">
        <f t="shared" si="7"/>
        <v>0</v>
      </c>
      <c r="AQ36" s="418">
        <f t="shared" si="8"/>
        <v>0</v>
      </c>
      <c r="AR36" s="68">
        <f t="shared" si="9"/>
        <v>0</v>
      </c>
      <c r="AS36" s="68">
        <f t="shared" si="10"/>
        <v>0</v>
      </c>
      <c r="AT36" s="418">
        <v>0</v>
      </c>
      <c r="AU36" s="415">
        <v>0</v>
      </c>
      <c r="AV36" s="418">
        <f t="shared" si="11"/>
        <v>0</v>
      </c>
      <c r="AW36" s="418">
        <f t="shared" si="12"/>
        <v>0</v>
      </c>
      <c r="AX36" s="419">
        <v>0</v>
      </c>
      <c r="AY36" s="419">
        <v>0</v>
      </c>
      <c r="AZ36" s="419">
        <v>0</v>
      </c>
      <c r="BA36" s="419">
        <v>0</v>
      </c>
      <c r="BB36" s="416">
        <v>0</v>
      </c>
      <c r="BC36" s="939">
        <v>0</v>
      </c>
      <c r="BD36" s="419">
        <v>0</v>
      </c>
      <c r="BE36" s="419">
        <v>0</v>
      </c>
      <c r="BF36" s="419">
        <f t="shared" si="13"/>
        <v>0</v>
      </c>
      <c r="BG36" s="419">
        <f t="shared" si="14"/>
        <v>0</v>
      </c>
      <c r="BH36" s="421">
        <f t="shared" si="15"/>
        <v>0</v>
      </c>
      <c r="BI36" s="780">
        <f>I36+AW36</f>
        <v>1747589</v>
      </c>
      <c r="BJ36" s="418">
        <f>J36+AF36</f>
        <v>1296431</v>
      </c>
      <c r="BK36" s="418">
        <f t="shared" si="42"/>
        <v>1296431</v>
      </c>
      <c r="BL36" s="418">
        <f t="shared" si="42"/>
        <v>0</v>
      </c>
      <c r="BM36" s="418">
        <f>M36+AN36</f>
        <v>0</v>
      </c>
      <c r="BN36" s="418">
        <f t="shared" si="43"/>
        <v>0</v>
      </c>
      <c r="BO36" s="418">
        <f t="shared" si="43"/>
        <v>0</v>
      </c>
      <c r="BP36" s="418">
        <f t="shared" si="44"/>
        <v>438194</v>
      </c>
      <c r="BQ36" s="418">
        <f t="shared" si="44"/>
        <v>12964</v>
      </c>
      <c r="BR36" s="418">
        <f>R36+AV36</f>
        <v>0</v>
      </c>
      <c r="BS36" s="419">
        <f>S36+BH36</f>
        <v>2.75</v>
      </c>
      <c r="BT36" s="419">
        <f t="shared" si="45"/>
        <v>2.75</v>
      </c>
      <c r="BU36" s="421">
        <f t="shared" si="45"/>
        <v>0</v>
      </c>
      <c r="BV36" s="420"/>
      <c r="BW36" s="415"/>
      <c r="BX36" s="415"/>
      <c r="BY36" s="415"/>
      <c r="BZ36" s="415"/>
      <c r="CA36" s="510"/>
    </row>
    <row r="37" spans="1:79" ht="13.5" customHeight="1" x14ac:dyDescent="0.2">
      <c r="A37" s="205">
        <v>6</v>
      </c>
      <c r="B37" s="206">
        <v>3446</v>
      </c>
      <c r="C37" s="206">
        <v>600078515</v>
      </c>
      <c r="D37" s="206">
        <v>70694974</v>
      </c>
      <c r="E37" s="204" t="s">
        <v>128</v>
      </c>
      <c r="F37" s="206">
        <v>3143</v>
      </c>
      <c r="G37" s="207" t="s">
        <v>596</v>
      </c>
      <c r="H37" s="614" t="s">
        <v>272</v>
      </c>
      <c r="I37" s="511">
        <v>45072</v>
      </c>
      <c r="J37" s="415">
        <v>32261</v>
      </c>
      <c r="K37" s="415">
        <v>0</v>
      </c>
      <c r="L37" s="415">
        <v>32261</v>
      </c>
      <c r="M37" s="415">
        <v>0</v>
      </c>
      <c r="N37" s="415">
        <v>0</v>
      </c>
      <c r="O37" s="415">
        <v>0</v>
      </c>
      <c r="P37" s="68">
        <v>10904</v>
      </c>
      <c r="Q37" s="68">
        <v>323</v>
      </c>
      <c r="R37" s="415">
        <v>1584</v>
      </c>
      <c r="S37" s="416">
        <v>0.12</v>
      </c>
      <c r="T37" s="417">
        <v>0</v>
      </c>
      <c r="U37" s="423">
        <v>0.12</v>
      </c>
      <c r="V37" s="424">
        <f t="shared" si="0"/>
        <v>0</v>
      </c>
      <c r="W37" s="418">
        <f t="shared" si="0"/>
        <v>0</v>
      </c>
      <c r="X37" s="418">
        <v>0</v>
      </c>
      <c r="Y37" s="418">
        <v>0</v>
      </c>
      <c r="Z37" s="418">
        <v>0</v>
      </c>
      <c r="AA37" s="605">
        <v>16139</v>
      </c>
      <c r="AB37" s="418">
        <v>0</v>
      </c>
      <c r="AC37" s="418">
        <v>0</v>
      </c>
      <c r="AD37" s="418">
        <f t="shared" si="1"/>
        <v>0</v>
      </c>
      <c r="AE37" s="418">
        <f t="shared" si="2"/>
        <v>16139</v>
      </c>
      <c r="AF37" s="418">
        <f t="shared" si="3"/>
        <v>16139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 t="shared" si="4"/>
        <v>0</v>
      </c>
      <c r="AM37" s="418">
        <f t="shared" si="5"/>
        <v>0</v>
      </c>
      <c r="AN37" s="418">
        <f t="shared" si="6"/>
        <v>0</v>
      </c>
      <c r="AO37" s="418">
        <f t="shared" si="7"/>
        <v>0</v>
      </c>
      <c r="AP37" s="418">
        <f t="shared" si="7"/>
        <v>16139</v>
      </c>
      <c r="AQ37" s="418">
        <f t="shared" si="8"/>
        <v>16139</v>
      </c>
      <c r="AR37" s="68">
        <f t="shared" si="9"/>
        <v>5455</v>
      </c>
      <c r="AS37" s="68">
        <f t="shared" si="10"/>
        <v>161</v>
      </c>
      <c r="AT37" s="418">
        <v>0</v>
      </c>
      <c r="AU37" s="606">
        <v>792</v>
      </c>
      <c r="AV37" s="418">
        <f t="shared" si="11"/>
        <v>792</v>
      </c>
      <c r="AW37" s="418">
        <f t="shared" si="12"/>
        <v>22547</v>
      </c>
      <c r="AX37" s="419">
        <v>0</v>
      </c>
      <c r="AY37" s="419">
        <v>0</v>
      </c>
      <c r="AZ37" s="419">
        <v>0</v>
      </c>
      <c r="BA37" s="419">
        <v>0</v>
      </c>
      <c r="BB37" s="607">
        <v>0.06</v>
      </c>
      <c r="BC37" s="939">
        <v>0</v>
      </c>
      <c r="BD37" s="419">
        <v>0</v>
      </c>
      <c r="BE37" s="419">
        <v>0</v>
      </c>
      <c r="BF37" s="419">
        <f t="shared" si="13"/>
        <v>0</v>
      </c>
      <c r="BG37" s="419">
        <f t="shared" si="14"/>
        <v>0.06</v>
      </c>
      <c r="BH37" s="421">
        <f t="shared" si="15"/>
        <v>0.06</v>
      </c>
      <c r="BI37" s="780">
        <f>I37+AW37</f>
        <v>67619</v>
      </c>
      <c r="BJ37" s="418">
        <f>J37+AF37</f>
        <v>48400</v>
      </c>
      <c r="BK37" s="418">
        <f t="shared" si="42"/>
        <v>0</v>
      </c>
      <c r="BL37" s="418">
        <f t="shared" si="42"/>
        <v>48400</v>
      </c>
      <c r="BM37" s="418">
        <f>M37+AN37</f>
        <v>0</v>
      </c>
      <c r="BN37" s="418">
        <f t="shared" si="43"/>
        <v>0</v>
      </c>
      <c r="BO37" s="418">
        <f t="shared" si="43"/>
        <v>0</v>
      </c>
      <c r="BP37" s="418">
        <f t="shared" si="44"/>
        <v>16359</v>
      </c>
      <c r="BQ37" s="418">
        <f t="shared" si="44"/>
        <v>484</v>
      </c>
      <c r="BR37" s="418">
        <f>R37+AV37</f>
        <v>2376</v>
      </c>
      <c r="BS37" s="419">
        <f>S37+BH37</f>
        <v>0.18</v>
      </c>
      <c r="BT37" s="419">
        <f t="shared" si="45"/>
        <v>0</v>
      </c>
      <c r="BU37" s="421">
        <f t="shared" si="45"/>
        <v>0.18</v>
      </c>
      <c r="BV37" s="420"/>
      <c r="BW37" s="415"/>
      <c r="BX37" s="415"/>
      <c r="BY37" s="415"/>
      <c r="BZ37" s="415"/>
      <c r="CA37" s="510"/>
    </row>
    <row r="38" spans="1:79" ht="13.5" customHeight="1" x14ac:dyDescent="0.2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13"/>
      <c r="I38" s="452">
        <v>30078828</v>
      </c>
      <c r="J38" s="445">
        <v>22024994</v>
      </c>
      <c r="K38" s="445">
        <v>19497852</v>
      </c>
      <c r="L38" s="445">
        <v>2527142</v>
      </c>
      <c r="M38" s="445">
        <v>15000</v>
      </c>
      <c r="N38" s="445">
        <v>5000</v>
      </c>
      <c r="O38" s="445">
        <v>10000</v>
      </c>
      <c r="P38" s="445">
        <v>7449518</v>
      </c>
      <c r="Q38" s="445">
        <v>220251</v>
      </c>
      <c r="R38" s="445">
        <v>369065</v>
      </c>
      <c r="S38" s="446">
        <v>38.4146</v>
      </c>
      <c r="T38" s="446">
        <v>30.868500000000001</v>
      </c>
      <c r="U38" s="450">
        <v>7.5461</v>
      </c>
      <c r="V38" s="448">
        <f t="shared" ref="V38:CA38" si="46">SUM(V33:V37)</f>
        <v>0</v>
      </c>
      <c r="W38" s="445">
        <f t="shared" si="46"/>
        <v>0</v>
      </c>
      <c r="X38" s="445">
        <f t="shared" si="46"/>
        <v>0</v>
      </c>
      <c r="Y38" s="445">
        <f t="shared" si="46"/>
        <v>0</v>
      </c>
      <c r="Z38" s="445">
        <f t="shared" si="46"/>
        <v>0</v>
      </c>
      <c r="AA38" s="445">
        <f t="shared" si="46"/>
        <v>581051</v>
      </c>
      <c r="AB38" s="445">
        <f t="shared" si="46"/>
        <v>0</v>
      </c>
      <c r="AC38" s="445">
        <f t="shared" si="46"/>
        <v>0</v>
      </c>
      <c r="AD38" s="445">
        <f t="shared" si="46"/>
        <v>0</v>
      </c>
      <c r="AE38" s="445">
        <f t="shared" si="46"/>
        <v>581051</v>
      </c>
      <c r="AF38" s="445">
        <f t="shared" si="46"/>
        <v>581051</v>
      </c>
      <c r="AG38" s="445">
        <f t="shared" si="46"/>
        <v>0</v>
      </c>
      <c r="AH38" s="445">
        <f t="shared" si="46"/>
        <v>0</v>
      </c>
      <c r="AI38" s="445">
        <f t="shared" si="46"/>
        <v>0</v>
      </c>
      <c r="AJ38" s="445">
        <f t="shared" si="46"/>
        <v>0</v>
      </c>
      <c r="AK38" s="445">
        <f t="shared" si="46"/>
        <v>0</v>
      </c>
      <c r="AL38" s="445">
        <f t="shared" si="46"/>
        <v>0</v>
      </c>
      <c r="AM38" s="445">
        <f t="shared" si="46"/>
        <v>0</v>
      </c>
      <c r="AN38" s="445">
        <f t="shared" si="46"/>
        <v>0</v>
      </c>
      <c r="AO38" s="445">
        <f t="shared" si="46"/>
        <v>0</v>
      </c>
      <c r="AP38" s="445">
        <f t="shared" si="46"/>
        <v>581051</v>
      </c>
      <c r="AQ38" s="445">
        <f t="shared" si="46"/>
        <v>581051</v>
      </c>
      <c r="AR38" s="445">
        <f t="shared" si="46"/>
        <v>196395</v>
      </c>
      <c r="AS38" s="445">
        <f t="shared" si="46"/>
        <v>5810</v>
      </c>
      <c r="AT38" s="445">
        <f t="shared" si="46"/>
        <v>0</v>
      </c>
      <c r="AU38" s="445">
        <f t="shared" si="46"/>
        <v>6453</v>
      </c>
      <c r="AV38" s="445">
        <f t="shared" si="46"/>
        <v>6453</v>
      </c>
      <c r="AW38" s="445">
        <f t="shared" si="46"/>
        <v>789709</v>
      </c>
      <c r="AX38" s="446">
        <f t="shared" si="46"/>
        <v>0</v>
      </c>
      <c r="AY38" s="446">
        <f t="shared" si="46"/>
        <v>0</v>
      </c>
      <c r="AZ38" s="446">
        <f t="shared" si="46"/>
        <v>0</v>
      </c>
      <c r="BA38" s="446">
        <f t="shared" si="46"/>
        <v>0</v>
      </c>
      <c r="BB38" s="446">
        <f t="shared" si="46"/>
        <v>1.7500000000000004</v>
      </c>
      <c r="BC38" s="948">
        <f t="shared" si="46"/>
        <v>0</v>
      </c>
      <c r="BD38" s="446">
        <f t="shared" si="46"/>
        <v>0</v>
      </c>
      <c r="BE38" s="446">
        <f t="shared" si="46"/>
        <v>0</v>
      </c>
      <c r="BF38" s="446">
        <f t="shared" si="46"/>
        <v>0</v>
      </c>
      <c r="BG38" s="446">
        <f t="shared" si="46"/>
        <v>1.7500000000000004</v>
      </c>
      <c r="BH38" s="39">
        <f t="shared" si="46"/>
        <v>1.7500000000000004</v>
      </c>
      <c r="BI38" s="452">
        <f t="shared" si="46"/>
        <v>30868537</v>
      </c>
      <c r="BJ38" s="445">
        <f t="shared" si="46"/>
        <v>22606045</v>
      </c>
      <c r="BK38" s="445">
        <f t="shared" si="46"/>
        <v>19497852</v>
      </c>
      <c r="BL38" s="445">
        <f t="shared" si="46"/>
        <v>3108193</v>
      </c>
      <c r="BM38" s="445">
        <f t="shared" si="46"/>
        <v>15000</v>
      </c>
      <c r="BN38" s="445">
        <f t="shared" si="46"/>
        <v>5000</v>
      </c>
      <c r="BO38" s="445">
        <f t="shared" si="46"/>
        <v>10000</v>
      </c>
      <c r="BP38" s="445">
        <f t="shared" si="46"/>
        <v>7645913</v>
      </c>
      <c r="BQ38" s="445">
        <f t="shared" si="46"/>
        <v>226061</v>
      </c>
      <c r="BR38" s="445">
        <f t="shared" si="46"/>
        <v>375518</v>
      </c>
      <c r="BS38" s="446">
        <f t="shared" si="46"/>
        <v>40.1646</v>
      </c>
      <c r="BT38" s="446">
        <f t="shared" si="46"/>
        <v>30.868500000000001</v>
      </c>
      <c r="BU38" s="39">
        <f t="shared" si="46"/>
        <v>9.2960999999999991</v>
      </c>
      <c r="BV38" s="833">
        <f t="shared" si="46"/>
        <v>0</v>
      </c>
      <c r="BW38" s="715">
        <f t="shared" si="46"/>
        <v>0</v>
      </c>
      <c r="BX38" s="715">
        <f t="shared" si="46"/>
        <v>0</v>
      </c>
      <c r="BY38" s="715">
        <f t="shared" si="46"/>
        <v>0</v>
      </c>
      <c r="BZ38" s="715">
        <f t="shared" si="46"/>
        <v>0</v>
      </c>
      <c r="CA38" s="834">
        <f t="shared" si="46"/>
        <v>0</v>
      </c>
    </row>
    <row r="39" spans="1:79" ht="13.5" customHeight="1" x14ac:dyDescent="0.2">
      <c r="A39" s="205">
        <v>7</v>
      </c>
      <c r="B39" s="206">
        <v>3457</v>
      </c>
      <c r="C39" s="206">
        <v>651040230</v>
      </c>
      <c r="D39" s="206">
        <v>75125412</v>
      </c>
      <c r="E39" s="204" t="s">
        <v>130</v>
      </c>
      <c r="F39" s="206">
        <v>3231</v>
      </c>
      <c r="G39" s="207" t="s">
        <v>295</v>
      </c>
      <c r="H39" s="612" t="s">
        <v>271</v>
      </c>
      <c r="I39" s="511">
        <v>12101002</v>
      </c>
      <c r="J39" s="415">
        <v>8926057</v>
      </c>
      <c r="K39" s="415">
        <v>8588349</v>
      </c>
      <c r="L39" s="415">
        <v>337708</v>
      </c>
      <c r="M39" s="415">
        <v>40500</v>
      </c>
      <c r="N39" s="415">
        <v>40500</v>
      </c>
      <c r="O39" s="415">
        <v>0</v>
      </c>
      <c r="P39" s="68">
        <v>3030696</v>
      </c>
      <c r="Q39" s="68">
        <v>89261</v>
      </c>
      <c r="R39" s="415">
        <v>14488</v>
      </c>
      <c r="S39" s="416">
        <v>14.6241</v>
      </c>
      <c r="T39" s="417">
        <v>13.676500000000001</v>
      </c>
      <c r="U39" s="423">
        <v>0.9476</v>
      </c>
      <c r="V39" s="424">
        <f t="shared" si="0"/>
        <v>0</v>
      </c>
      <c r="W39" s="418">
        <f t="shared" si="0"/>
        <v>0</v>
      </c>
      <c r="X39" s="418">
        <v>0</v>
      </c>
      <c r="Y39" s="418">
        <v>0</v>
      </c>
      <c r="Z39" s="418">
        <v>0</v>
      </c>
      <c r="AA39" s="415">
        <v>0</v>
      </c>
      <c r="AB39" s="418">
        <v>0</v>
      </c>
      <c r="AC39" s="418">
        <v>0</v>
      </c>
      <c r="AD39" s="418">
        <f t="shared" si="1"/>
        <v>0</v>
      </c>
      <c r="AE39" s="418">
        <f t="shared" si="2"/>
        <v>0</v>
      </c>
      <c r="AF39" s="418">
        <f t="shared" si="3"/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 t="shared" si="4"/>
        <v>0</v>
      </c>
      <c r="AM39" s="418">
        <f t="shared" si="5"/>
        <v>0</v>
      </c>
      <c r="AN39" s="418">
        <f t="shared" si="6"/>
        <v>0</v>
      </c>
      <c r="AO39" s="418">
        <f t="shared" si="7"/>
        <v>0</v>
      </c>
      <c r="AP39" s="418">
        <f t="shared" si="7"/>
        <v>0</v>
      </c>
      <c r="AQ39" s="418">
        <f t="shared" si="8"/>
        <v>0</v>
      </c>
      <c r="AR39" s="68">
        <f t="shared" si="9"/>
        <v>0</v>
      </c>
      <c r="AS39" s="68">
        <f t="shared" si="10"/>
        <v>0</v>
      </c>
      <c r="AT39" s="418">
        <v>0</v>
      </c>
      <c r="AU39" s="415">
        <v>0</v>
      </c>
      <c r="AV39" s="418">
        <f t="shared" si="11"/>
        <v>0</v>
      </c>
      <c r="AW39" s="418">
        <f t="shared" si="12"/>
        <v>0</v>
      </c>
      <c r="AX39" s="419">
        <v>0</v>
      </c>
      <c r="AY39" s="419">
        <v>0</v>
      </c>
      <c r="AZ39" s="419">
        <v>0</v>
      </c>
      <c r="BA39" s="419">
        <v>0</v>
      </c>
      <c r="BB39" s="416">
        <v>0</v>
      </c>
      <c r="BC39" s="939">
        <v>0</v>
      </c>
      <c r="BD39" s="419">
        <v>0</v>
      </c>
      <c r="BE39" s="419">
        <v>0</v>
      </c>
      <c r="BF39" s="419">
        <f t="shared" si="13"/>
        <v>0</v>
      </c>
      <c r="BG39" s="419">
        <f t="shared" si="14"/>
        <v>0</v>
      </c>
      <c r="BH39" s="421">
        <f t="shared" si="15"/>
        <v>0</v>
      </c>
      <c r="BI39" s="780">
        <f>I39+AW39</f>
        <v>12101002</v>
      </c>
      <c r="BJ39" s="418">
        <f>J39+AF39</f>
        <v>8926057</v>
      </c>
      <c r="BK39" s="418">
        <f>K39+AD39</f>
        <v>8588349</v>
      </c>
      <c r="BL39" s="418">
        <f>L39+AE39</f>
        <v>337708</v>
      </c>
      <c r="BM39" s="418">
        <f>M39+AN39</f>
        <v>40500</v>
      </c>
      <c r="BN39" s="418">
        <f>N39+AL39</f>
        <v>40500</v>
      </c>
      <c r="BO39" s="418">
        <f>O39+AM39</f>
        <v>0</v>
      </c>
      <c r="BP39" s="418">
        <f>P39+AR39</f>
        <v>3030696</v>
      </c>
      <c r="BQ39" s="418">
        <f>Q39+AS39</f>
        <v>89261</v>
      </c>
      <c r="BR39" s="418">
        <f>R39+AV39</f>
        <v>14488</v>
      </c>
      <c r="BS39" s="419">
        <f>S39+BH39</f>
        <v>14.6241</v>
      </c>
      <c r="BT39" s="419">
        <f>T39+BF39</f>
        <v>13.676500000000001</v>
      </c>
      <c r="BU39" s="421">
        <f>U39+BG39</f>
        <v>0.9476</v>
      </c>
      <c r="BV39" s="420"/>
      <c r="BW39" s="415"/>
      <c r="BX39" s="415"/>
      <c r="BY39" s="415"/>
      <c r="BZ39" s="415"/>
      <c r="CA39" s="510"/>
    </row>
    <row r="40" spans="1:79" ht="13.5" customHeight="1" x14ac:dyDescent="0.2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13"/>
      <c r="I40" s="451">
        <v>12101002</v>
      </c>
      <c r="J40" s="443">
        <v>8926057</v>
      </c>
      <c r="K40" s="443">
        <v>8588349</v>
      </c>
      <c r="L40" s="443">
        <v>337708</v>
      </c>
      <c r="M40" s="443">
        <v>40500</v>
      </c>
      <c r="N40" s="443">
        <v>40500</v>
      </c>
      <c r="O40" s="443">
        <v>0</v>
      </c>
      <c r="P40" s="443">
        <v>3030696</v>
      </c>
      <c r="Q40" s="443">
        <v>89261</v>
      </c>
      <c r="R40" s="443">
        <v>14488</v>
      </c>
      <c r="S40" s="444">
        <v>14.6241</v>
      </c>
      <c r="T40" s="444">
        <v>13.676500000000001</v>
      </c>
      <c r="U40" s="449">
        <v>0.9476</v>
      </c>
      <c r="V40" s="447">
        <f t="shared" ref="V40:CA40" si="47">SUM(V39)</f>
        <v>0</v>
      </c>
      <c r="W40" s="443">
        <f t="shared" si="47"/>
        <v>0</v>
      </c>
      <c r="X40" s="443">
        <f t="shared" si="47"/>
        <v>0</v>
      </c>
      <c r="Y40" s="443">
        <f t="shared" si="47"/>
        <v>0</v>
      </c>
      <c r="Z40" s="443">
        <f t="shared" si="47"/>
        <v>0</v>
      </c>
      <c r="AA40" s="443">
        <f t="shared" si="47"/>
        <v>0</v>
      </c>
      <c r="AB40" s="443">
        <f t="shared" si="47"/>
        <v>0</v>
      </c>
      <c r="AC40" s="443">
        <f t="shared" si="47"/>
        <v>0</v>
      </c>
      <c r="AD40" s="443">
        <f t="shared" si="47"/>
        <v>0</v>
      </c>
      <c r="AE40" s="443">
        <f t="shared" si="47"/>
        <v>0</v>
      </c>
      <c r="AF40" s="443">
        <f t="shared" si="47"/>
        <v>0</v>
      </c>
      <c r="AG40" s="443">
        <f t="shared" si="47"/>
        <v>0</v>
      </c>
      <c r="AH40" s="443">
        <f t="shared" si="47"/>
        <v>0</v>
      </c>
      <c r="AI40" s="443">
        <f t="shared" si="47"/>
        <v>0</v>
      </c>
      <c r="AJ40" s="443">
        <f t="shared" si="47"/>
        <v>0</v>
      </c>
      <c r="AK40" s="443">
        <f t="shared" si="47"/>
        <v>0</v>
      </c>
      <c r="AL40" s="443">
        <f t="shared" si="47"/>
        <v>0</v>
      </c>
      <c r="AM40" s="443">
        <f t="shared" si="47"/>
        <v>0</v>
      </c>
      <c r="AN40" s="443">
        <f t="shared" si="47"/>
        <v>0</v>
      </c>
      <c r="AO40" s="443">
        <f t="shared" si="47"/>
        <v>0</v>
      </c>
      <c r="AP40" s="443">
        <f t="shared" si="47"/>
        <v>0</v>
      </c>
      <c r="AQ40" s="443">
        <f t="shared" si="47"/>
        <v>0</v>
      </c>
      <c r="AR40" s="443">
        <f t="shared" si="47"/>
        <v>0</v>
      </c>
      <c r="AS40" s="443">
        <f t="shared" si="47"/>
        <v>0</v>
      </c>
      <c r="AT40" s="443">
        <f t="shared" si="47"/>
        <v>0</v>
      </c>
      <c r="AU40" s="443">
        <f t="shared" si="47"/>
        <v>0</v>
      </c>
      <c r="AV40" s="443">
        <f t="shared" si="47"/>
        <v>0</v>
      </c>
      <c r="AW40" s="443">
        <f t="shared" si="47"/>
        <v>0</v>
      </c>
      <c r="AX40" s="444">
        <f t="shared" si="47"/>
        <v>0</v>
      </c>
      <c r="AY40" s="444">
        <f t="shared" si="47"/>
        <v>0</v>
      </c>
      <c r="AZ40" s="444">
        <f t="shared" si="47"/>
        <v>0</v>
      </c>
      <c r="BA40" s="444">
        <f t="shared" si="47"/>
        <v>0</v>
      </c>
      <c r="BB40" s="444">
        <f t="shared" si="47"/>
        <v>0</v>
      </c>
      <c r="BC40" s="947">
        <f t="shared" si="47"/>
        <v>0</v>
      </c>
      <c r="BD40" s="444">
        <f t="shared" si="47"/>
        <v>0</v>
      </c>
      <c r="BE40" s="444">
        <f t="shared" si="47"/>
        <v>0</v>
      </c>
      <c r="BF40" s="444">
        <f t="shared" si="47"/>
        <v>0</v>
      </c>
      <c r="BG40" s="444">
        <f t="shared" si="47"/>
        <v>0</v>
      </c>
      <c r="BH40" s="40">
        <f t="shared" si="47"/>
        <v>0</v>
      </c>
      <c r="BI40" s="451">
        <f t="shared" si="47"/>
        <v>12101002</v>
      </c>
      <c r="BJ40" s="443">
        <f t="shared" si="47"/>
        <v>8926057</v>
      </c>
      <c r="BK40" s="443">
        <f t="shared" si="47"/>
        <v>8588349</v>
      </c>
      <c r="BL40" s="443">
        <f t="shared" si="47"/>
        <v>337708</v>
      </c>
      <c r="BM40" s="443">
        <f t="shared" si="47"/>
        <v>40500</v>
      </c>
      <c r="BN40" s="443">
        <f t="shared" si="47"/>
        <v>40500</v>
      </c>
      <c r="BO40" s="443">
        <f t="shared" si="47"/>
        <v>0</v>
      </c>
      <c r="BP40" s="443">
        <f t="shared" si="47"/>
        <v>3030696</v>
      </c>
      <c r="BQ40" s="443">
        <f t="shared" si="47"/>
        <v>89261</v>
      </c>
      <c r="BR40" s="443">
        <f t="shared" si="47"/>
        <v>14488</v>
      </c>
      <c r="BS40" s="444">
        <f t="shared" si="47"/>
        <v>14.6241</v>
      </c>
      <c r="BT40" s="444">
        <f t="shared" si="47"/>
        <v>13.676500000000001</v>
      </c>
      <c r="BU40" s="40">
        <f t="shared" si="47"/>
        <v>0.9476</v>
      </c>
      <c r="BV40" s="831">
        <f t="shared" si="47"/>
        <v>0</v>
      </c>
      <c r="BW40" s="714">
        <f t="shared" si="47"/>
        <v>0</v>
      </c>
      <c r="BX40" s="714">
        <f t="shared" si="47"/>
        <v>0</v>
      </c>
      <c r="BY40" s="714">
        <f t="shared" si="47"/>
        <v>0</v>
      </c>
      <c r="BZ40" s="714">
        <f t="shared" si="47"/>
        <v>0</v>
      </c>
      <c r="CA40" s="832">
        <f t="shared" si="47"/>
        <v>0</v>
      </c>
    </row>
    <row r="41" spans="1:79" ht="13.5" customHeight="1" x14ac:dyDescent="0.2">
      <c r="A41" s="205">
        <v>8</v>
      </c>
      <c r="B41" s="206">
        <v>3423</v>
      </c>
      <c r="C41" s="206">
        <v>600078108</v>
      </c>
      <c r="D41" s="206">
        <v>70695059</v>
      </c>
      <c r="E41" s="204" t="s">
        <v>132</v>
      </c>
      <c r="F41" s="206">
        <v>3111</v>
      </c>
      <c r="G41" s="207" t="s">
        <v>290</v>
      </c>
      <c r="H41" s="612" t="s">
        <v>271</v>
      </c>
      <c r="I41" s="511">
        <v>3560086</v>
      </c>
      <c r="J41" s="415">
        <v>2611852</v>
      </c>
      <c r="K41" s="415">
        <v>2376732</v>
      </c>
      <c r="L41" s="415">
        <v>235120</v>
      </c>
      <c r="M41" s="415">
        <v>20000</v>
      </c>
      <c r="N41" s="415">
        <v>20000</v>
      </c>
      <c r="O41" s="415">
        <v>0</v>
      </c>
      <c r="P41" s="68">
        <v>889566</v>
      </c>
      <c r="Q41" s="68">
        <v>26119</v>
      </c>
      <c r="R41" s="415">
        <v>12549</v>
      </c>
      <c r="S41" s="416">
        <v>4.7801000000000009</v>
      </c>
      <c r="T41" s="417">
        <v>3.9800000000000004</v>
      </c>
      <c r="U41" s="423">
        <v>0.80010000000000003</v>
      </c>
      <c r="V41" s="424">
        <f t="shared" si="0"/>
        <v>0</v>
      </c>
      <c r="W41" s="418">
        <f t="shared" si="0"/>
        <v>0</v>
      </c>
      <c r="X41" s="418">
        <v>0</v>
      </c>
      <c r="Y41" s="418">
        <v>0</v>
      </c>
      <c r="Z41" s="418">
        <v>0</v>
      </c>
      <c r="AA41" s="415">
        <v>0</v>
      </c>
      <c r="AB41" s="418">
        <v>0</v>
      </c>
      <c r="AC41" s="418">
        <v>0</v>
      </c>
      <c r="AD41" s="418">
        <f t="shared" si="1"/>
        <v>0</v>
      </c>
      <c r="AE41" s="418">
        <f t="shared" si="2"/>
        <v>0</v>
      </c>
      <c r="AF41" s="418">
        <f t="shared" si="3"/>
        <v>0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 t="shared" si="4"/>
        <v>0</v>
      </c>
      <c r="AM41" s="418">
        <f t="shared" si="5"/>
        <v>0</v>
      </c>
      <c r="AN41" s="418">
        <f t="shared" si="6"/>
        <v>0</v>
      </c>
      <c r="AO41" s="418">
        <f t="shared" si="7"/>
        <v>0</v>
      </c>
      <c r="AP41" s="418">
        <f t="shared" si="7"/>
        <v>0</v>
      </c>
      <c r="AQ41" s="418">
        <f t="shared" si="8"/>
        <v>0</v>
      </c>
      <c r="AR41" s="68">
        <f t="shared" si="9"/>
        <v>0</v>
      </c>
      <c r="AS41" s="68">
        <f t="shared" si="10"/>
        <v>0</v>
      </c>
      <c r="AT41" s="418">
        <v>0</v>
      </c>
      <c r="AU41" s="415">
        <v>0</v>
      </c>
      <c r="AV41" s="418">
        <f t="shared" si="11"/>
        <v>0</v>
      </c>
      <c r="AW41" s="418">
        <f t="shared" si="12"/>
        <v>0</v>
      </c>
      <c r="AX41" s="419">
        <v>0</v>
      </c>
      <c r="AY41" s="419">
        <v>0</v>
      </c>
      <c r="AZ41" s="419">
        <v>0</v>
      </c>
      <c r="BA41" s="419">
        <v>0</v>
      </c>
      <c r="BB41" s="416">
        <v>0</v>
      </c>
      <c r="BC41" s="939">
        <v>0</v>
      </c>
      <c r="BD41" s="419">
        <v>0</v>
      </c>
      <c r="BE41" s="419">
        <v>0</v>
      </c>
      <c r="BF41" s="419">
        <f t="shared" si="13"/>
        <v>0</v>
      </c>
      <c r="BG41" s="419">
        <f t="shared" si="14"/>
        <v>0</v>
      </c>
      <c r="BH41" s="421">
        <f t="shared" si="15"/>
        <v>0</v>
      </c>
      <c r="BI41" s="780">
        <f>I41+AW41</f>
        <v>3560086</v>
      </c>
      <c r="BJ41" s="418">
        <f>J41+AF41</f>
        <v>2611852</v>
      </c>
      <c r="BK41" s="418">
        <f>K41+AD41</f>
        <v>2376732</v>
      </c>
      <c r="BL41" s="418">
        <f>L41+AE41</f>
        <v>235120</v>
      </c>
      <c r="BM41" s="418">
        <f>M41+AN41</f>
        <v>20000</v>
      </c>
      <c r="BN41" s="418">
        <f>N41+AL41</f>
        <v>20000</v>
      </c>
      <c r="BO41" s="418">
        <f>O41+AM41</f>
        <v>0</v>
      </c>
      <c r="BP41" s="418">
        <f>P41+AR41</f>
        <v>889566</v>
      </c>
      <c r="BQ41" s="418">
        <f>Q41+AS41</f>
        <v>26119</v>
      </c>
      <c r="BR41" s="418">
        <f>R41+AV41</f>
        <v>12549</v>
      </c>
      <c r="BS41" s="419">
        <f>S41+BH41</f>
        <v>4.7801000000000009</v>
      </c>
      <c r="BT41" s="419">
        <f>T41+BF41</f>
        <v>3.9800000000000004</v>
      </c>
      <c r="BU41" s="421">
        <f>U41+BG41</f>
        <v>0.80010000000000003</v>
      </c>
      <c r="BV41" s="420"/>
      <c r="BW41" s="415"/>
      <c r="BX41" s="415"/>
      <c r="BY41" s="415"/>
      <c r="BZ41" s="415"/>
      <c r="CA41" s="510"/>
    </row>
    <row r="42" spans="1:79" ht="13.5" customHeight="1" x14ac:dyDescent="0.2">
      <c r="A42" s="205">
        <v>8</v>
      </c>
      <c r="B42" s="206">
        <v>3423</v>
      </c>
      <c r="C42" s="206">
        <v>600078108</v>
      </c>
      <c r="D42" s="206">
        <v>70695059</v>
      </c>
      <c r="E42" s="204" t="s">
        <v>132</v>
      </c>
      <c r="F42" s="206">
        <v>3141</v>
      </c>
      <c r="G42" s="207" t="s">
        <v>294</v>
      </c>
      <c r="H42" s="612" t="s">
        <v>272</v>
      </c>
      <c r="I42" s="511">
        <v>866919</v>
      </c>
      <c r="J42" s="415">
        <v>633682</v>
      </c>
      <c r="K42" s="415">
        <v>0</v>
      </c>
      <c r="L42" s="415">
        <v>633682</v>
      </c>
      <c r="M42" s="415">
        <v>6600</v>
      </c>
      <c r="N42" s="415">
        <v>0</v>
      </c>
      <c r="O42" s="415">
        <v>6600</v>
      </c>
      <c r="P42" s="68">
        <v>216415</v>
      </c>
      <c r="Q42" s="68">
        <v>6337</v>
      </c>
      <c r="R42" s="15">
        <v>3885</v>
      </c>
      <c r="S42" s="416">
        <v>1.92</v>
      </c>
      <c r="T42" s="417">
        <v>0</v>
      </c>
      <c r="U42" s="423">
        <v>1.92</v>
      </c>
      <c r="V42" s="424">
        <f t="shared" si="0"/>
        <v>0</v>
      </c>
      <c r="W42" s="418">
        <f t="shared" si="0"/>
        <v>0</v>
      </c>
      <c r="X42" s="418">
        <v>0</v>
      </c>
      <c r="Y42" s="418">
        <v>0</v>
      </c>
      <c r="Z42" s="418">
        <v>0</v>
      </c>
      <c r="AA42" s="605">
        <v>321625</v>
      </c>
      <c r="AB42" s="418">
        <v>0</v>
      </c>
      <c r="AC42" s="418">
        <v>0</v>
      </c>
      <c r="AD42" s="418">
        <f t="shared" si="1"/>
        <v>0</v>
      </c>
      <c r="AE42" s="418">
        <f t="shared" si="2"/>
        <v>321625</v>
      </c>
      <c r="AF42" s="418">
        <f t="shared" si="3"/>
        <v>321625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 t="shared" si="4"/>
        <v>0</v>
      </c>
      <c r="AM42" s="418">
        <f t="shared" si="5"/>
        <v>0</v>
      </c>
      <c r="AN42" s="418">
        <f t="shared" si="6"/>
        <v>0</v>
      </c>
      <c r="AO42" s="418">
        <f t="shared" si="7"/>
        <v>0</v>
      </c>
      <c r="AP42" s="418">
        <f t="shared" si="7"/>
        <v>321625</v>
      </c>
      <c r="AQ42" s="418">
        <f t="shared" si="8"/>
        <v>321625</v>
      </c>
      <c r="AR42" s="68">
        <f t="shared" si="9"/>
        <v>108709</v>
      </c>
      <c r="AS42" s="68">
        <f t="shared" si="10"/>
        <v>3216</v>
      </c>
      <c r="AT42" s="418">
        <v>0</v>
      </c>
      <c r="AU42" s="605">
        <v>1887</v>
      </c>
      <c r="AV42" s="418">
        <f t="shared" si="11"/>
        <v>1887</v>
      </c>
      <c r="AW42" s="418">
        <f t="shared" si="12"/>
        <v>435437</v>
      </c>
      <c r="AX42" s="419">
        <v>0</v>
      </c>
      <c r="AY42" s="419">
        <v>0</v>
      </c>
      <c r="AZ42" s="419">
        <v>0</v>
      </c>
      <c r="BA42" s="419">
        <v>0</v>
      </c>
      <c r="BB42" s="607">
        <v>0.96</v>
      </c>
      <c r="BC42" s="939">
        <v>0</v>
      </c>
      <c r="BD42" s="419">
        <v>0</v>
      </c>
      <c r="BE42" s="419">
        <v>0</v>
      </c>
      <c r="BF42" s="419">
        <f t="shared" si="13"/>
        <v>0</v>
      </c>
      <c r="BG42" s="419">
        <f t="shared" si="14"/>
        <v>0.96</v>
      </c>
      <c r="BH42" s="421">
        <f t="shared" si="15"/>
        <v>0.96</v>
      </c>
      <c r="BI42" s="780">
        <f>I42+AW42</f>
        <v>1302356</v>
      </c>
      <c r="BJ42" s="418">
        <f>J42+AF42</f>
        <v>955307</v>
      </c>
      <c r="BK42" s="418">
        <f>K42+AD42</f>
        <v>0</v>
      </c>
      <c r="BL42" s="418">
        <f>L42+AE42</f>
        <v>955307</v>
      </c>
      <c r="BM42" s="418">
        <f>M42+AN42</f>
        <v>6600</v>
      </c>
      <c r="BN42" s="418">
        <f>N42+AL42</f>
        <v>0</v>
      </c>
      <c r="BO42" s="418">
        <f>O42+AM42</f>
        <v>6600</v>
      </c>
      <c r="BP42" s="418">
        <f>P42+AR42</f>
        <v>325124</v>
      </c>
      <c r="BQ42" s="418">
        <f>Q42+AS42</f>
        <v>9553</v>
      </c>
      <c r="BR42" s="418">
        <f>R42+AV42</f>
        <v>5772</v>
      </c>
      <c r="BS42" s="419">
        <f>S42+BH42</f>
        <v>2.88</v>
      </c>
      <c r="BT42" s="419">
        <f>T42+BF42</f>
        <v>0</v>
      </c>
      <c r="BU42" s="421">
        <f>U42+BG42</f>
        <v>2.88</v>
      </c>
      <c r="BV42" s="420"/>
      <c r="BW42" s="415"/>
      <c r="BX42" s="415"/>
      <c r="BY42" s="415"/>
      <c r="BZ42" s="415"/>
      <c r="CA42" s="510"/>
    </row>
    <row r="43" spans="1:79" ht="13.5" customHeight="1" x14ac:dyDescent="0.2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13"/>
      <c r="I43" s="452">
        <v>4427005</v>
      </c>
      <c r="J43" s="445">
        <v>3245534</v>
      </c>
      <c r="K43" s="445">
        <v>2376732</v>
      </c>
      <c r="L43" s="445">
        <v>868802</v>
      </c>
      <c r="M43" s="445">
        <v>26600</v>
      </c>
      <c r="N43" s="445">
        <v>20000</v>
      </c>
      <c r="O43" s="445">
        <v>6600</v>
      </c>
      <c r="P43" s="445">
        <v>1105981</v>
      </c>
      <c r="Q43" s="445">
        <v>32456</v>
      </c>
      <c r="R43" s="445">
        <v>16434</v>
      </c>
      <c r="S43" s="446">
        <v>6.7001000000000008</v>
      </c>
      <c r="T43" s="446">
        <v>3.9800000000000004</v>
      </c>
      <c r="U43" s="450">
        <v>2.7201</v>
      </c>
      <c r="V43" s="448">
        <f t="shared" ref="V43:CA43" si="48">SUM(V41:V42)</f>
        <v>0</v>
      </c>
      <c r="W43" s="445">
        <f t="shared" si="48"/>
        <v>0</v>
      </c>
      <c r="X43" s="445">
        <f t="shared" si="48"/>
        <v>0</v>
      </c>
      <c r="Y43" s="445">
        <f t="shared" si="48"/>
        <v>0</v>
      </c>
      <c r="Z43" s="445">
        <f t="shared" si="48"/>
        <v>0</v>
      </c>
      <c r="AA43" s="445">
        <f t="shared" si="48"/>
        <v>321625</v>
      </c>
      <c r="AB43" s="445">
        <f t="shared" si="48"/>
        <v>0</v>
      </c>
      <c r="AC43" s="445">
        <f t="shared" si="48"/>
        <v>0</v>
      </c>
      <c r="AD43" s="445">
        <f t="shared" si="48"/>
        <v>0</v>
      </c>
      <c r="AE43" s="445">
        <f t="shared" si="48"/>
        <v>321625</v>
      </c>
      <c r="AF43" s="445">
        <f t="shared" si="48"/>
        <v>321625</v>
      </c>
      <c r="AG43" s="445">
        <f t="shared" si="48"/>
        <v>0</v>
      </c>
      <c r="AH43" s="445">
        <f t="shared" si="48"/>
        <v>0</v>
      </c>
      <c r="AI43" s="445">
        <f t="shared" si="48"/>
        <v>0</v>
      </c>
      <c r="AJ43" s="445">
        <f t="shared" si="48"/>
        <v>0</v>
      </c>
      <c r="AK43" s="445">
        <f t="shared" si="48"/>
        <v>0</v>
      </c>
      <c r="AL43" s="445">
        <f t="shared" si="48"/>
        <v>0</v>
      </c>
      <c r="AM43" s="445">
        <f t="shared" si="48"/>
        <v>0</v>
      </c>
      <c r="AN43" s="445">
        <f t="shared" si="48"/>
        <v>0</v>
      </c>
      <c r="AO43" s="445">
        <f t="shared" si="48"/>
        <v>0</v>
      </c>
      <c r="AP43" s="445">
        <f t="shared" si="48"/>
        <v>321625</v>
      </c>
      <c r="AQ43" s="445">
        <f t="shared" si="48"/>
        <v>321625</v>
      </c>
      <c r="AR43" s="445">
        <f t="shared" si="48"/>
        <v>108709</v>
      </c>
      <c r="AS43" s="445">
        <f t="shared" si="48"/>
        <v>3216</v>
      </c>
      <c r="AT43" s="445">
        <f t="shared" si="48"/>
        <v>0</v>
      </c>
      <c r="AU43" s="445">
        <f t="shared" si="48"/>
        <v>1887</v>
      </c>
      <c r="AV43" s="445">
        <f t="shared" si="48"/>
        <v>1887</v>
      </c>
      <c r="AW43" s="445">
        <f t="shared" si="48"/>
        <v>435437</v>
      </c>
      <c r="AX43" s="446">
        <f t="shared" si="48"/>
        <v>0</v>
      </c>
      <c r="AY43" s="446">
        <f t="shared" si="48"/>
        <v>0</v>
      </c>
      <c r="AZ43" s="446">
        <f t="shared" si="48"/>
        <v>0</v>
      </c>
      <c r="BA43" s="446">
        <f t="shared" si="48"/>
        <v>0</v>
      </c>
      <c r="BB43" s="446">
        <f t="shared" si="48"/>
        <v>0.96</v>
      </c>
      <c r="BC43" s="948">
        <f t="shared" si="48"/>
        <v>0</v>
      </c>
      <c r="BD43" s="446">
        <f t="shared" si="48"/>
        <v>0</v>
      </c>
      <c r="BE43" s="446">
        <f t="shared" si="48"/>
        <v>0</v>
      </c>
      <c r="BF43" s="446">
        <f t="shared" si="48"/>
        <v>0</v>
      </c>
      <c r="BG43" s="446">
        <f t="shared" si="48"/>
        <v>0.96</v>
      </c>
      <c r="BH43" s="39">
        <f t="shared" si="48"/>
        <v>0.96</v>
      </c>
      <c r="BI43" s="452">
        <f t="shared" si="48"/>
        <v>4862442</v>
      </c>
      <c r="BJ43" s="445">
        <f t="shared" si="48"/>
        <v>3567159</v>
      </c>
      <c r="BK43" s="445">
        <f t="shared" si="48"/>
        <v>2376732</v>
      </c>
      <c r="BL43" s="445">
        <f t="shared" si="48"/>
        <v>1190427</v>
      </c>
      <c r="BM43" s="445">
        <f t="shared" si="48"/>
        <v>26600</v>
      </c>
      <c r="BN43" s="445">
        <f t="shared" si="48"/>
        <v>20000</v>
      </c>
      <c r="BO43" s="445">
        <f t="shared" si="48"/>
        <v>6600</v>
      </c>
      <c r="BP43" s="445">
        <f t="shared" si="48"/>
        <v>1214690</v>
      </c>
      <c r="BQ43" s="445">
        <f t="shared" si="48"/>
        <v>35672</v>
      </c>
      <c r="BR43" s="445">
        <f t="shared" si="48"/>
        <v>18321</v>
      </c>
      <c r="BS43" s="446">
        <f t="shared" si="48"/>
        <v>7.6601000000000008</v>
      </c>
      <c r="BT43" s="446">
        <f t="shared" si="48"/>
        <v>3.9800000000000004</v>
      </c>
      <c r="BU43" s="39">
        <f t="shared" si="48"/>
        <v>3.6800999999999999</v>
      </c>
      <c r="BV43" s="833">
        <f t="shared" si="48"/>
        <v>0</v>
      </c>
      <c r="BW43" s="715">
        <f t="shared" si="48"/>
        <v>0</v>
      </c>
      <c r="BX43" s="715">
        <f t="shared" si="48"/>
        <v>0</v>
      </c>
      <c r="BY43" s="715">
        <f t="shared" si="48"/>
        <v>0</v>
      </c>
      <c r="BZ43" s="715">
        <f t="shared" si="48"/>
        <v>0</v>
      </c>
      <c r="CA43" s="834">
        <f t="shared" si="48"/>
        <v>0</v>
      </c>
    </row>
    <row r="44" spans="1:79" ht="13.5" customHeight="1" x14ac:dyDescent="0.2">
      <c r="A44" s="205">
        <v>9</v>
      </c>
      <c r="B44" s="206">
        <v>3448</v>
      </c>
      <c r="C44" s="206">
        <v>600078299</v>
      </c>
      <c r="D44" s="206">
        <v>70695041</v>
      </c>
      <c r="E44" s="204" t="s">
        <v>134</v>
      </c>
      <c r="F44" s="206">
        <v>3117</v>
      </c>
      <c r="G44" s="207" t="s">
        <v>293</v>
      </c>
      <c r="H44" s="612" t="s">
        <v>271</v>
      </c>
      <c r="I44" s="511">
        <v>5101586</v>
      </c>
      <c r="J44" s="415">
        <v>3699733</v>
      </c>
      <c r="K44" s="415">
        <v>3321679</v>
      </c>
      <c r="L44" s="415">
        <v>378054</v>
      </c>
      <c r="M44" s="415">
        <v>24520</v>
      </c>
      <c r="N44" s="415">
        <v>9520</v>
      </c>
      <c r="O44" s="415">
        <v>15000</v>
      </c>
      <c r="P44" s="68">
        <v>1258797</v>
      </c>
      <c r="Q44" s="68">
        <v>36997</v>
      </c>
      <c r="R44" s="415">
        <v>81539</v>
      </c>
      <c r="S44" s="416">
        <v>6.2217000000000002</v>
      </c>
      <c r="T44" s="417">
        <v>5.1018000000000008</v>
      </c>
      <c r="U44" s="423">
        <v>1.1198999999999999</v>
      </c>
      <c r="V44" s="424">
        <f t="shared" ref="V44:W72" si="49">AG44*-1</f>
        <v>0</v>
      </c>
      <c r="W44" s="418">
        <f t="shared" si="49"/>
        <v>0</v>
      </c>
      <c r="X44" s="418">
        <v>0</v>
      </c>
      <c r="Y44" s="418">
        <v>0</v>
      </c>
      <c r="Z44" s="418">
        <v>0</v>
      </c>
      <c r="AA44" s="415">
        <v>0</v>
      </c>
      <c r="AB44" s="418">
        <v>0</v>
      </c>
      <c r="AC44" s="418">
        <v>0</v>
      </c>
      <c r="AD44" s="418">
        <f t="shared" si="1"/>
        <v>0</v>
      </c>
      <c r="AE44" s="418">
        <f t="shared" si="2"/>
        <v>0</v>
      </c>
      <c r="AF44" s="418">
        <f t="shared" si="3"/>
        <v>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 t="shared" si="4"/>
        <v>0</v>
      </c>
      <c r="AM44" s="418">
        <f t="shared" si="5"/>
        <v>0</v>
      </c>
      <c r="AN44" s="418">
        <f t="shared" si="6"/>
        <v>0</v>
      </c>
      <c r="AO44" s="418">
        <f t="shared" ref="AO44:AP72" si="50">AD44+AL44</f>
        <v>0</v>
      </c>
      <c r="AP44" s="418">
        <f t="shared" si="50"/>
        <v>0</v>
      </c>
      <c r="AQ44" s="418">
        <f t="shared" si="8"/>
        <v>0</v>
      </c>
      <c r="AR44" s="68">
        <f t="shared" si="9"/>
        <v>0</v>
      </c>
      <c r="AS44" s="68">
        <f t="shared" si="10"/>
        <v>0</v>
      </c>
      <c r="AT44" s="418">
        <v>0</v>
      </c>
      <c r="AU44" s="415">
        <v>0</v>
      </c>
      <c r="AV44" s="418">
        <f t="shared" si="11"/>
        <v>0</v>
      </c>
      <c r="AW44" s="418">
        <f t="shared" si="12"/>
        <v>0</v>
      </c>
      <c r="AX44" s="419">
        <v>0</v>
      </c>
      <c r="AY44" s="419">
        <v>0</v>
      </c>
      <c r="AZ44" s="419">
        <v>0</v>
      </c>
      <c r="BA44" s="419">
        <v>0</v>
      </c>
      <c r="BB44" s="416">
        <v>0</v>
      </c>
      <c r="BC44" s="939">
        <v>0</v>
      </c>
      <c r="BD44" s="419">
        <v>0</v>
      </c>
      <c r="BE44" s="419">
        <v>0</v>
      </c>
      <c r="BF44" s="419">
        <f t="shared" si="13"/>
        <v>0</v>
      </c>
      <c r="BG44" s="419">
        <f t="shared" si="14"/>
        <v>0</v>
      </c>
      <c r="BH44" s="421">
        <f t="shared" si="15"/>
        <v>0</v>
      </c>
      <c r="BI44" s="780">
        <f>I44+AW44</f>
        <v>5101586</v>
      </c>
      <c r="BJ44" s="418">
        <f>J44+AF44</f>
        <v>3699733</v>
      </c>
      <c r="BK44" s="418">
        <f t="shared" ref="BK44:BL47" si="51">K44+AD44</f>
        <v>3321679</v>
      </c>
      <c r="BL44" s="418">
        <f t="shared" si="51"/>
        <v>378054</v>
      </c>
      <c r="BM44" s="418">
        <f>M44+AN44</f>
        <v>24520</v>
      </c>
      <c r="BN44" s="418">
        <f t="shared" ref="BN44:BO47" si="52">N44+AL44</f>
        <v>9520</v>
      </c>
      <c r="BO44" s="418">
        <f t="shared" si="52"/>
        <v>15000</v>
      </c>
      <c r="BP44" s="418">
        <f t="shared" ref="BP44:BQ47" si="53">P44+AR44</f>
        <v>1258797</v>
      </c>
      <c r="BQ44" s="418">
        <f t="shared" si="53"/>
        <v>36997</v>
      </c>
      <c r="BR44" s="418">
        <f>R44+AV44</f>
        <v>81539</v>
      </c>
      <c r="BS44" s="419">
        <f>S44+BH44</f>
        <v>6.2217000000000002</v>
      </c>
      <c r="BT44" s="419">
        <f t="shared" ref="BT44:BU47" si="54">T44+BF44</f>
        <v>5.1018000000000008</v>
      </c>
      <c r="BU44" s="421">
        <f t="shared" si="54"/>
        <v>1.1198999999999999</v>
      </c>
      <c r="BV44" s="420"/>
      <c r="BW44" s="415"/>
      <c r="BX44" s="415"/>
      <c r="BY44" s="415"/>
      <c r="BZ44" s="415"/>
      <c r="CA44" s="510"/>
    </row>
    <row r="45" spans="1:79" ht="13.5" customHeight="1" x14ac:dyDescent="0.2">
      <c r="A45" s="205">
        <v>9</v>
      </c>
      <c r="B45" s="206">
        <v>3448</v>
      </c>
      <c r="C45" s="206">
        <v>600078299</v>
      </c>
      <c r="D45" s="206">
        <v>70695041</v>
      </c>
      <c r="E45" s="204" t="s">
        <v>134</v>
      </c>
      <c r="F45" s="206">
        <v>3117</v>
      </c>
      <c r="G45" s="207" t="s">
        <v>291</v>
      </c>
      <c r="H45" s="612" t="s">
        <v>272</v>
      </c>
      <c r="I45" s="511">
        <v>500541</v>
      </c>
      <c r="J45" s="415">
        <v>370802</v>
      </c>
      <c r="K45" s="415">
        <v>370802</v>
      </c>
      <c r="L45" s="415">
        <v>0</v>
      </c>
      <c r="M45" s="415">
        <v>0</v>
      </c>
      <c r="N45" s="415">
        <v>0</v>
      </c>
      <c r="O45" s="415">
        <v>0</v>
      </c>
      <c r="P45" s="68">
        <v>125331</v>
      </c>
      <c r="Q45" s="68">
        <v>3708</v>
      </c>
      <c r="R45" s="415">
        <v>700</v>
      </c>
      <c r="S45" s="416">
        <v>1</v>
      </c>
      <c r="T45" s="417">
        <v>1</v>
      </c>
      <c r="U45" s="423">
        <v>0</v>
      </c>
      <c r="V45" s="424">
        <f t="shared" si="49"/>
        <v>0</v>
      </c>
      <c r="W45" s="418">
        <f t="shared" si="49"/>
        <v>0</v>
      </c>
      <c r="X45" s="418">
        <v>0</v>
      </c>
      <c r="Y45" s="418">
        <v>0</v>
      </c>
      <c r="Z45" s="418">
        <v>0</v>
      </c>
      <c r="AA45" s="415">
        <v>0</v>
      </c>
      <c r="AB45" s="418">
        <v>0</v>
      </c>
      <c r="AC45" s="418">
        <v>0</v>
      </c>
      <c r="AD45" s="418">
        <f t="shared" si="1"/>
        <v>0</v>
      </c>
      <c r="AE45" s="418">
        <f t="shared" si="2"/>
        <v>0</v>
      </c>
      <c r="AF45" s="418">
        <f t="shared" si="3"/>
        <v>0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si="4"/>
        <v>0</v>
      </c>
      <c r="AM45" s="418">
        <f t="shared" si="5"/>
        <v>0</v>
      </c>
      <c r="AN45" s="418">
        <f t="shared" si="6"/>
        <v>0</v>
      </c>
      <c r="AO45" s="418">
        <f t="shared" si="50"/>
        <v>0</v>
      </c>
      <c r="AP45" s="418">
        <f t="shared" si="50"/>
        <v>0</v>
      </c>
      <c r="AQ45" s="418">
        <f t="shared" si="8"/>
        <v>0</v>
      </c>
      <c r="AR45" s="68">
        <f t="shared" si="9"/>
        <v>0</v>
      </c>
      <c r="AS45" s="68">
        <f t="shared" si="10"/>
        <v>0</v>
      </c>
      <c r="AT45" s="418">
        <v>0</v>
      </c>
      <c r="AU45" s="415">
        <v>0</v>
      </c>
      <c r="AV45" s="418">
        <f t="shared" si="11"/>
        <v>0</v>
      </c>
      <c r="AW45" s="418">
        <f t="shared" si="12"/>
        <v>0</v>
      </c>
      <c r="AX45" s="419">
        <v>0</v>
      </c>
      <c r="AY45" s="419">
        <v>0</v>
      </c>
      <c r="AZ45" s="419">
        <v>0</v>
      </c>
      <c r="BA45" s="419">
        <v>0</v>
      </c>
      <c r="BB45" s="416">
        <v>0</v>
      </c>
      <c r="BC45" s="939">
        <v>0</v>
      </c>
      <c r="BD45" s="419">
        <v>0</v>
      </c>
      <c r="BE45" s="419">
        <v>0</v>
      </c>
      <c r="BF45" s="419">
        <f t="shared" si="13"/>
        <v>0</v>
      </c>
      <c r="BG45" s="419">
        <f t="shared" si="14"/>
        <v>0</v>
      </c>
      <c r="BH45" s="421">
        <f t="shared" si="15"/>
        <v>0</v>
      </c>
      <c r="BI45" s="780">
        <f>I45+AW45</f>
        <v>500541</v>
      </c>
      <c r="BJ45" s="418">
        <f>J45+AF45</f>
        <v>370802</v>
      </c>
      <c r="BK45" s="418">
        <f t="shared" si="51"/>
        <v>370802</v>
      </c>
      <c r="BL45" s="418">
        <f t="shared" si="51"/>
        <v>0</v>
      </c>
      <c r="BM45" s="418">
        <f>M45+AN45</f>
        <v>0</v>
      </c>
      <c r="BN45" s="418">
        <f t="shared" si="52"/>
        <v>0</v>
      </c>
      <c r="BO45" s="418">
        <f t="shared" si="52"/>
        <v>0</v>
      </c>
      <c r="BP45" s="418">
        <f t="shared" si="53"/>
        <v>125331</v>
      </c>
      <c r="BQ45" s="418">
        <f t="shared" si="53"/>
        <v>3708</v>
      </c>
      <c r="BR45" s="418">
        <f>R45+AV45</f>
        <v>700</v>
      </c>
      <c r="BS45" s="419">
        <f>S45+BH45</f>
        <v>1</v>
      </c>
      <c r="BT45" s="419">
        <f t="shared" si="54"/>
        <v>1</v>
      </c>
      <c r="BU45" s="421">
        <f t="shared" si="54"/>
        <v>0</v>
      </c>
      <c r="BV45" s="420"/>
      <c r="BW45" s="415"/>
      <c r="BX45" s="415"/>
      <c r="BY45" s="415"/>
      <c r="BZ45" s="415"/>
      <c r="CA45" s="510"/>
    </row>
    <row r="46" spans="1:79" ht="13.5" customHeight="1" x14ac:dyDescent="0.2">
      <c r="A46" s="205">
        <v>9</v>
      </c>
      <c r="B46" s="206">
        <v>3448</v>
      </c>
      <c r="C46" s="206">
        <v>600078299</v>
      </c>
      <c r="D46" s="206">
        <v>70695041</v>
      </c>
      <c r="E46" s="204" t="s">
        <v>134</v>
      </c>
      <c r="F46" s="206">
        <v>3143</v>
      </c>
      <c r="G46" s="207" t="s">
        <v>595</v>
      </c>
      <c r="H46" s="614" t="s">
        <v>271</v>
      </c>
      <c r="I46" s="511">
        <v>1010801</v>
      </c>
      <c r="J46" s="415">
        <v>749852</v>
      </c>
      <c r="K46" s="415">
        <v>749852</v>
      </c>
      <c r="L46" s="415">
        <v>0</v>
      </c>
      <c r="M46" s="415">
        <v>0</v>
      </c>
      <c r="N46" s="415">
        <v>0</v>
      </c>
      <c r="O46" s="415">
        <v>0</v>
      </c>
      <c r="P46" s="68">
        <v>253450</v>
      </c>
      <c r="Q46" s="68">
        <v>7499</v>
      </c>
      <c r="R46" s="415">
        <v>0</v>
      </c>
      <c r="S46" s="416">
        <v>1.5</v>
      </c>
      <c r="T46" s="417">
        <v>1.5</v>
      </c>
      <c r="U46" s="423">
        <v>0</v>
      </c>
      <c r="V46" s="424">
        <f t="shared" si="49"/>
        <v>0</v>
      </c>
      <c r="W46" s="418">
        <f t="shared" si="49"/>
        <v>0</v>
      </c>
      <c r="X46" s="418">
        <v>0</v>
      </c>
      <c r="Y46" s="418">
        <v>0</v>
      </c>
      <c r="Z46" s="418">
        <v>0</v>
      </c>
      <c r="AA46" s="415">
        <v>0</v>
      </c>
      <c r="AB46" s="418">
        <v>0</v>
      </c>
      <c r="AC46" s="418">
        <v>0</v>
      </c>
      <c r="AD46" s="418">
        <f t="shared" si="1"/>
        <v>0</v>
      </c>
      <c r="AE46" s="418">
        <f t="shared" si="2"/>
        <v>0</v>
      </c>
      <c r="AF46" s="418">
        <f t="shared" si="3"/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4"/>
        <v>0</v>
      </c>
      <c r="AM46" s="418">
        <f t="shared" si="5"/>
        <v>0</v>
      </c>
      <c r="AN46" s="418">
        <f t="shared" si="6"/>
        <v>0</v>
      </c>
      <c r="AO46" s="418">
        <f t="shared" si="50"/>
        <v>0</v>
      </c>
      <c r="AP46" s="418">
        <f t="shared" si="50"/>
        <v>0</v>
      </c>
      <c r="AQ46" s="418">
        <f t="shared" si="8"/>
        <v>0</v>
      </c>
      <c r="AR46" s="68">
        <f t="shared" si="9"/>
        <v>0</v>
      </c>
      <c r="AS46" s="68">
        <f t="shared" si="10"/>
        <v>0</v>
      </c>
      <c r="AT46" s="418">
        <v>0</v>
      </c>
      <c r="AU46" s="415">
        <v>0</v>
      </c>
      <c r="AV46" s="418">
        <f t="shared" si="11"/>
        <v>0</v>
      </c>
      <c r="AW46" s="418">
        <f t="shared" si="12"/>
        <v>0</v>
      </c>
      <c r="AX46" s="419">
        <v>0</v>
      </c>
      <c r="AY46" s="419">
        <v>0</v>
      </c>
      <c r="AZ46" s="419">
        <v>0</v>
      </c>
      <c r="BA46" s="419">
        <v>0</v>
      </c>
      <c r="BB46" s="416">
        <v>0</v>
      </c>
      <c r="BC46" s="939">
        <v>0</v>
      </c>
      <c r="BD46" s="419">
        <v>0</v>
      </c>
      <c r="BE46" s="419">
        <v>0</v>
      </c>
      <c r="BF46" s="419">
        <f t="shared" si="13"/>
        <v>0</v>
      </c>
      <c r="BG46" s="419">
        <f t="shared" si="14"/>
        <v>0</v>
      </c>
      <c r="BH46" s="421">
        <f t="shared" si="15"/>
        <v>0</v>
      </c>
      <c r="BI46" s="780">
        <f>I46+AW46</f>
        <v>1010801</v>
      </c>
      <c r="BJ46" s="418">
        <f>J46+AF46</f>
        <v>749852</v>
      </c>
      <c r="BK46" s="418">
        <f t="shared" si="51"/>
        <v>749852</v>
      </c>
      <c r="BL46" s="418">
        <f t="shared" si="51"/>
        <v>0</v>
      </c>
      <c r="BM46" s="418">
        <f>M46+AN46</f>
        <v>0</v>
      </c>
      <c r="BN46" s="418">
        <f t="shared" si="52"/>
        <v>0</v>
      </c>
      <c r="BO46" s="418">
        <f t="shared" si="52"/>
        <v>0</v>
      </c>
      <c r="BP46" s="418">
        <f t="shared" si="53"/>
        <v>253450</v>
      </c>
      <c r="BQ46" s="418">
        <f t="shared" si="53"/>
        <v>7499</v>
      </c>
      <c r="BR46" s="418">
        <f>R46+AV46</f>
        <v>0</v>
      </c>
      <c r="BS46" s="419">
        <f>S46+BH46</f>
        <v>1.5</v>
      </c>
      <c r="BT46" s="419">
        <f t="shared" si="54"/>
        <v>1.5</v>
      </c>
      <c r="BU46" s="421">
        <f t="shared" si="54"/>
        <v>0</v>
      </c>
      <c r="BV46" s="420"/>
      <c r="BW46" s="415"/>
      <c r="BX46" s="415"/>
      <c r="BY46" s="415"/>
      <c r="BZ46" s="415"/>
      <c r="CA46" s="510"/>
    </row>
    <row r="47" spans="1:79" ht="13.5" customHeight="1" x14ac:dyDescent="0.2">
      <c r="A47" s="205">
        <v>9</v>
      </c>
      <c r="B47" s="206">
        <v>3448</v>
      </c>
      <c r="C47" s="206">
        <v>600078299</v>
      </c>
      <c r="D47" s="206">
        <v>70695041</v>
      </c>
      <c r="E47" s="204" t="s">
        <v>134</v>
      </c>
      <c r="F47" s="206">
        <v>3143</v>
      </c>
      <c r="G47" s="207" t="s">
        <v>596</v>
      </c>
      <c r="H47" s="614" t="s">
        <v>272</v>
      </c>
      <c r="I47" s="511">
        <v>30760</v>
      </c>
      <c r="J47" s="415">
        <v>22018</v>
      </c>
      <c r="K47" s="415">
        <v>0</v>
      </c>
      <c r="L47" s="415">
        <v>22018</v>
      </c>
      <c r="M47" s="415">
        <v>0</v>
      </c>
      <c r="N47" s="415">
        <v>0</v>
      </c>
      <c r="O47" s="415">
        <v>0</v>
      </c>
      <c r="P47" s="68">
        <v>7442</v>
      </c>
      <c r="Q47" s="68">
        <v>220</v>
      </c>
      <c r="R47" s="415">
        <v>1080</v>
      </c>
      <c r="S47" s="416">
        <v>0.08</v>
      </c>
      <c r="T47" s="417">
        <v>0</v>
      </c>
      <c r="U47" s="423">
        <v>0.08</v>
      </c>
      <c r="V47" s="424">
        <f t="shared" si="49"/>
        <v>0</v>
      </c>
      <c r="W47" s="418">
        <f t="shared" si="49"/>
        <v>0</v>
      </c>
      <c r="X47" s="418">
        <v>0</v>
      </c>
      <c r="Y47" s="418">
        <v>0</v>
      </c>
      <c r="Z47" s="418">
        <v>0</v>
      </c>
      <c r="AA47" s="415">
        <v>10982</v>
      </c>
      <c r="AB47" s="418">
        <v>0</v>
      </c>
      <c r="AC47" s="418">
        <v>0</v>
      </c>
      <c r="AD47" s="418">
        <f t="shared" si="1"/>
        <v>0</v>
      </c>
      <c r="AE47" s="418">
        <f t="shared" si="2"/>
        <v>10982</v>
      </c>
      <c r="AF47" s="418">
        <f t="shared" si="3"/>
        <v>10982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4"/>
        <v>0</v>
      </c>
      <c r="AM47" s="418">
        <f t="shared" si="5"/>
        <v>0</v>
      </c>
      <c r="AN47" s="418">
        <f t="shared" si="6"/>
        <v>0</v>
      </c>
      <c r="AO47" s="418">
        <f t="shared" si="50"/>
        <v>0</v>
      </c>
      <c r="AP47" s="418">
        <f t="shared" si="50"/>
        <v>10982</v>
      </c>
      <c r="AQ47" s="418">
        <f t="shared" si="8"/>
        <v>10982</v>
      </c>
      <c r="AR47" s="68">
        <f t="shared" si="9"/>
        <v>3712</v>
      </c>
      <c r="AS47" s="68">
        <f t="shared" si="10"/>
        <v>110</v>
      </c>
      <c r="AT47" s="418">
        <v>0</v>
      </c>
      <c r="AU47" s="415">
        <v>540</v>
      </c>
      <c r="AV47" s="418">
        <f t="shared" si="11"/>
        <v>540</v>
      </c>
      <c r="AW47" s="418">
        <f t="shared" si="12"/>
        <v>15344</v>
      </c>
      <c r="AX47" s="419">
        <v>0</v>
      </c>
      <c r="AY47" s="419">
        <v>0</v>
      </c>
      <c r="AZ47" s="419">
        <v>0</v>
      </c>
      <c r="BA47" s="419">
        <v>0</v>
      </c>
      <c r="BB47" s="416">
        <v>0.04</v>
      </c>
      <c r="BC47" s="939">
        <v>0</v>
      </c>
      <c r="BD47" s="419">
        <v>0</v>
      </c>
      <c r="BE47" s="419">
        <v>0</v>
      </c>
      <c r="BF47" s="419">
        <f t="shared" si="13"/>
        <v>0</v>
      </c>
      <c r="BG47" s="419">
        <f t="shared" si="14"/>
        <v>0.04</v>
      </c>
      <c r="BH47" s="421">
        <f t="shared" si="15"/>
        <v>0.04</v>
      </c>
      <c r="BI47" s="780">
        <f>I47+AW47</f>
        <v>46104</v>
      </c>
      <c r="BJ47" s="418">
        <f>J47+AF47</f>
        <v>33000</v>
      </c>
      <c r="BK47" s="418">
        <f t="shared" si="51"/>
        <v>0</v>
      </c>
      <c r="BL47" s="418">
        <f t="shared" si="51"/>
        <v>33000</v>
      </c>
      <c r="BM47" s="418">
        <f>M47+AN47</f>
        <v>0</v>
      </c>
      <c r="BN47" s="418">
        <f t="shared" si="52"/>
        <v>0</v>
      </c>
      <c r="BO47" s="418">
        <f t="shared" si="52"/>
        <v>0</v>
      </c>
      <c r="BP47" s="418">
        <f t="shared" si="53"/>
        <v>11154</v>
      </c>
      <c r="BQ47" s="418">
        <f t="shared" si="53"/>
        <v>330</v>
      </c>
      <c r="BR47" s="418">
        <f>R47+AV47</f>
        <v>1620</v>
      </c>
      <c r="BS47" s="419">
        <f>S47+BH47</f>
        <v>0.12</v>
      </c>
      <c r="BT47" s="419">
        <f t="shared" si="54"/>
        <v>0</v>
      </c>
      <c r="BU47" s="421">
        <f t="shared" si="54"/>
        <v>0.12</v>
      </c>
      <c r="BV47" s="420"/>
      <c r="BW47" s="415"/>
      <c r="BX47" s="415"/>
      <c r="BY47" s="415"/>
      <c r="BZ47" s="415"/>
      <c r="CA47" s="510"/>
    </row>
    <row r="48" spans="1:79" ht="13.5" customHeight="1" x14ac:dyDescent="0.2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13"/>
      <c r="I48" s="452">
        <v>6643688</v>
      </c>
      <c r="J48" s="445">
        <v>4842405</v>
      </c>
      <c r="K48" s="445">
        <v>4442333</v>
      </c>
      <c r="L48" s="445">
        <v>400072</v>
      </c>
      <c r="M48" s="445">
        <v>24520</v>
      </c>
      <c r="N48" s="445">
        <v>9520</v>
      </c>
      <c r="O48" s="445">
        <v>15000</v>
      </c>
      <c r="P48" s="445">
        <v>1645020</v>
      </c>
      <c r="Q48" s="445">
        <v>48424</v>
      </c>
      <c r="R48" s="445">
        <v>83319</v>
      </c>
      <c r="S48" s="446">
        <v>8.8017000000000003</v>
      </c>
      <c r="T48" s="446">
        <v>7.6018000000000008</v>
      </c>
      <c r="U48" s="450">
        <v>1.1999</v>
      </c>
      <c r="V48" s="448">
        <f t="shared" ref="V48:BH48" si="55">SUM(V44:V47)</f>
        <v>0</v>
      </c>
      <c r="W48" s="445">
        <f t="shared" si="55"/>
        <v>0</v>
      </c>
      <c r="X48" s="445">
        <f t="shared" si="55"/>
        <v>0</v>
      </c>
      <c r="Y48" s="445">
        <f t="shared" si="55"/>
        <v>0</v>
      </c>
      <c r="Z48" s="445">
        <f t="shared" si="55"/>
        <v>0</v>
      </c>
      <c r="AA48" s="445">
        <f t="shared" ref="AA48" si="56">SUM(AA44:AA47)</f>
        <v>10982</v>
      </c>
      <c r="AB48" s="445">
        <f t="shared" si="55"/>
        <v>0</v>
      </c>
      <c r="AC48" s="445">
        <f t="shared" si="55"/>
        <v>0</v>
      </c>
      <c r="AD48" s="445">
        <f t="shared" si="55"/>
        <v>0</v>
      </c>
      <c r="AE48" s="445">
        <f t="shared" si="55"/>
        <v>10982</v>
      </c>
      <c r="AF48" s="445">
        <f t="shared" si="55"/>
        <v>10982</v>
      </c>
      <c r="AG48" s="445">
        <f t="shared" si="55"/>
        <v>0</v>
      </c>
      <c r="AH48" s="445">
        <f t="shared" si="55"/>
        <v>0</v>
      </c>
      <c r="AI48" s="445">
        <f t="shared" si="55"/>
        <v>0</v>
      </c>
      <c r="AJ48" s="445">
        <f t="shared" si="55"/>
        <v>0</v>
      </c>
      <c r="AK48" s="445">
        <f t="shared" si="55"/>
        <v>0</v>
      </c>
      <c r="AL48" s="445">
        <f t="shared" si="55"/>
        <v>0</v>
      </c>
      <c r="AM48" s="445">
        <f t="shared" si="55"/>
        <v>0</v>
      </c>
      <c r="AN48" s="445">
        <f t="shared" si="55"/>
        <v>0</v>
      </c>
      <c r="AO48" s="445">
        <f t="shared" si="55"/>
        <v>0</v>
      </c>
      <c r="AP48" s="445">
        <f t="shared" si="55"/>
        <v>10982</v>
      </c>
      <c r="AQ48" s="445">
        <f t="shared" si="55"/>
        <v>10982</v>
      </c>
      <c r="AR48" s="445">
        <f t="shared" si="55"/>
        <v>3712</v>
      </c>
      <c r="AS48" s="445">
        <f t="shared" si="55"/>
        <v>110</v>
      </c>
      <c r="AT48" s="445">
        <f t="shared" si="55"/>
        <v>0</v>
      </c>
      <c r="AU48" s="445">
        <f t="shared" ref="AU48" si="57">SUM(AU44:AU47)</f>
        <v>540</v>
      </c>
      <c r="AV48" s="445">
        <f t="shared" si="55"/>
        <v>540</v>
      </c>
      <c r="AW48" s="445">
        <f t="shared" si="55"/>
        <v>15344</v>
      </c>
      <c r="AX48" s="446">
        <f t="shared" si="55"/>
        <v>0</v>
      </c>
      <c r="AY48" s="446">
        <f t="shared" si="55"/>
        <v>0</v>
      </c>
      <c r="AZ48" s="446">
        <f t="shared" si="55"/>
        <v>0</v>
      </c>
      <c r="BA48" s="446">
        <f t="shared" si="55"/>
        <v>0</v>
      </c>
      <c r="BB48" s="446">
        <f t="shared" ref="BB48" si="58">SUM(BB44:BB47)</f>
        <v>0.04</v>
      </c>
      <c r="BC48" s="948">
        <f t="shared" si="55"/>
        <v>0</v>
      </c>
      <c r="BD48" s="446">
        <f t="shared" si="55"/>
        <v>0</v>
      </c>
      <c r="BE48" s="446">
        <f t="shared" si="55"/>
        <v>0</v>
      </c>
      <c r="BF48" s="446">
        <f t="shared" si="55"/>
        <v>0</v>
      </c>
      <c r="BG48" s="446">
        <f t="shared" si="55"/>
        <v>0.04</v>
      </c>
      <c r="BH48" s="39">
        <f t="shared" si="55"/>
        <v>0.04</v>
      </c>
      <c r="BI48" s="452">
        <f t="shared" ref="BI48:CA48" si="59">SUM(BI44:BI47)</f>
        <v>6659032</v>
      </c>
      <c r="BJ48" s="445">
        <f t="shared" si="59"/>
        <v>4853387</v>
      </c>
      <c r="BK48" s="445">
        <f t="shared" si="59"/>
        <v>4442333</v>
      </c>
      <c r="BL48" s="445">
        <f t="shared" si="59"/>
        <v>411054</v>
      </c>
      <c r="BM48" s="445">
        <f t="shared" si="59"/>
        <v>24520</v>
      </c>
      <c r="BN48" s="445">
        <f t="shared" si="59"/>
        <v>9520</v>
      </c>
      <c r="BO48" s="445">
        <f t="shared" si="59"/>
        <v>15000</v>
      </c>
      <c r="BP48" s="445">
        <f t="shared" si="59"/>
        <v>1648732</v>
      </c>
      <c r="BQ48" s="445">
        <f t="shared" si="59"/>
        <v>48534</v>
      </c>
      <c r="BR48" s="445">
        <f t="shared" si="59"/>
        <v>83859</v>
      </c>
      <c r="BS48" s="446">
        <f t="shared" si="59"/>
        <v>8.8416999999999994</v>
      </c>
      <c r="BT48" s="446">
        <f t="shared" si="59"/>
        <v>7.6018000000000008</v>
      </c>
      <c r="BU48" s="39">
        <f t="shared" si="59"/>
        <v>1.2399</v>
      </c>
      <c r="BV48" s="833">
        <f t="shared" si="59"/>
        <v>0</v>
      </c>
      <c r="BW48" s="715">
        <f t="shared" si="59"/>
        <v>0</v>
      </c>
      <c r="BX48" s="715">
        <f t="shared" si="59"/>
        <v>0</v>
      </c>
      <c r="BY48" s="715">
        <f t="shared" si="59"/>
        <v>0</v>
      </c>
      <c r="BZ48" s="715">
        <f t="shared" si="59"/>
        <v>0</v>
      </c>
      <c r="CA48" s="834">
        <f t="shared" si="59"/>
        <v>0</v>
      </c>
    </row>
    <row r="49" spans="1:79" ht="13.5" customHeight="1" x14ac:dyDescent="0.2">
      <c r="A49" s="205">
        <v>10</v>
      </c>
      <c r="B49" s="206">
        <v>3402</v>
      </c>
      <c r="C49" s="206">
        <v>600078124</v>
      </c>
      <c r="D49" s="206">
        <v>70982643</v>
      </c>
      <c r="E49" s="204" t="s">
        <v>136</v>
      </c>
      <c r="F49" s="206">
        <v>3111</v>
      </c>
      <c r="G49" s="207" t="s">
        <v>290</v>
      </c>
      <c r="H49" s="612" t="s">
        <v>271</v>
      </c>
      <c r="I49" s="511">
        <v>5233453</v>
      </c>
      <c r="J49" s="415">
        <v>3869509</v>
      </c>
      <c r="K49" s="415">
        <v>3516848</v>
      </c>
      <c r="L49" s="415">
        <v>352661</v>
      </c>
      <c r="M49" s="415">
        <v>0</v>
      </c>
      <c r="N49" s="415">
        <v>0</v>
      </c>
      <c r="O49" s="415">
        <v>0</v>
      </c>
      <c r="P49" s="68">
        <v>1307894</v>
      </c>
      <c r="Q49" s="68">
        <v>38695</v>
      </c>
      <c r="R49" s="415">
        <v>17355</v>
      </c>
      <c r="S49" s="416">
        <v>7.3000999999999996</v>
      </c>
      <c r="T49" s="417">
        <v>6.1</v>
      </c>
      <c r="U49" s="423">
        <v>1.2000999999999999</v>
      </c>
      <c r="V49" s="424">
        <f t="shared" si="49"/>
        <v>0</v>
      </c>
      <c r="W49" s="418">
        <f t="shared" si="49"/>
        <v>0</v>
      </c>
      <c r="X49" s="418">
        <v>0</v>
      </c>
      <c r="Y49" s="418">
        <v>0</v>
      </c>
      <c r="Z49" s="418">
        <v>0</v>
      </c>
      <c r="AA49" s="415">
        <v>0</v>
      </c>
      <c r="AB49" s="418">
        <v>0</v>
      </c>
      <c r="AC49" s="418">
        <v>0</v>
      </c>
      <c r="AD49" s="418">
        <f t="shared" si="1"/>
        <v>0</v>
      </c>
      <c r="AE49" s="418">
        <f t="shared" si="2"/>
        <v>0</v>
      </c>
      <c r="AF49" s="418">
        <f t="shared" si="3"/>
        <v>0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4"/>
        <v>0</v>
      </c>
      <c r="AM49" s="418">
        <f t="shared" si="5"/>
        <v>0</v>
      </c>
      <c r="AN49" s="418">
        <f t="shared" si="6"/>
        <v>0</v>
      </c>
      <c r="AO49" s="418">
        <f t="shared" si="50"/>
        <v>0</v>
      </c>
      <c r="AP49" s="418">
        <f t="shared" si="50"/>
        <v>0</v>
      </c>
      <c r="AQ49" s="418">
        <f t="shared" si="8"/>
        <v>0</v>
      </c>
      <c r="AR49" s="68">
        <f t="shared" si="9"/>
        <v>0</v>
      </c>
      <c r="AS49" s="68">
        <f t="shared" si="10"/>
        <v>0</v>
      </c>
      <c r="AT49" s="418">
        <v>0</v>
      </c>
      <c r="AU49" s="415">
        <v>0</v>
      </c>
      <c r="AV49" s="418">
        <f t="shared" si="11"/>
        <v>0</v>
      </c>
      <c r="AW49" s="418">
        <f t="shared" si="12"/>
        <v>0</v>
      </c>
      <c r="AX49" s="419">
        <v>0</v>
      </c>
      <c r="AY49" s="419">
        <v>0</v>
      </c>
      <c r="AZ49" s="419">
        <v>0</v>
      </c>
      <c r="BA49" s="419">
        <v>0</v>
      </c>
      <c r="BB49" s="416">
        <v>0</v>
      </c>
      <c r="BC49" s="939">
        <v>0</v>
      </c>
      <c r="BD49" s="419">
        <v>0</v>
      </c>
      <c r="BE49" s="419">
        <v>0</v>
      </c>
      <c r="BF49" s="419">
        <f t="shared" si="13"/>
        <v>0</v>
      </c>
      <c r="BG49" s="419">
        <f t="shared" si="14"/>
        <v>0</v>
      </c>
      <c r="BH49" s="421">
        <f t="shared" si="15"/>
        <v>0</v>
      </c>
      <c r="BI49" s="780">
        <f>I49+AW49</f>
        <v>5233453</v>
      </c>
      <c r="BJ49" s="418">
        <f>J49+AF49</f>
        <v>3869509</v>
      </c>
      <c r="BK49" s="418">
        <f t="shared" ref="BK49:BL51" si="60">K49+AD49</f>
        <v>3516848</v>
      </c>
      <c r="BL49" s="418">
        <f t="shared" si="60"/>
        <v>352661</v>
      </c>
      <c r="BM49" s="418">
        <f>M49+AN49</f>
        <v>0</v>
      </c>
      <c r="BN49" s="418">
        <f t="shared" ref="BN49:BO51" si="61">N49+AL49</f>
        <v>0</v>
      </c>
      <c r="BO49" s="418">
        <f t="shared" si="61"/>
        <v>0</v>
      </c>
      <c r="BP49" s="418">
        <f t="shared" ref="BP49:BQ51" si="62">P49+AR49</f>
        <v>1307894</v>
      </c>
      <c r="BQ49" s="418">
        <f t="shared" si="62"/>
        <v>38695</v>
      </c>
      <c r="BR49" s="418">
        <f>R49+AV49</f>
        <v>17355</v>
      </c>
      <c r="BS49" s="419">
        <f>S49+BH49</f>
        <v>7.3000999999999996</v>
      </c>
      <c r="BT49" s="419">
        <f t="shared" ref="BT49:BU51" si="63">T49+BF49</f>
        <v>6.1</v>
      </c>
      <c r="BU49" s="421">
        <f t="shared" si="63"/>
        <v>1.2000999999999999</v>
      </c>
      <c r="BV49" s="420"/>
      <c r="BW49" s="415"/>
      <c r="BX49" s="415"/>
      <c r="BY49" s="415"/>
      <c r="BZ49" s="415"/>
      <c r="CA49" s="510"/>
    </row>
    <row r="50" spans="1:79" ht="13.5" customHeight="1" x14ac:dyDescent="0.2">
      <c r="A50" s="205">
        <v>10</v>
      </c>
      <c r="B50" s="206">
        <v>3402</v>
      </c>
      <c r="C50" s="206">
        <v>600078124</v>
      </c>
      <c r="D50" s="206">
        <v>70982643</v>
      </c>
      <c r="E50" s="204" t="s">
        <v>136</v>
      </c>
      <c r="F50" s="206">
        <v>3111</v>
      </c>
      <c r="G50" s="207" t="s">
        <v>291</v>
      </c>
      <c r="H50" s="612" t="s">
        <v>272</v>
      </c>
      <c r="I50" s="511">
        <v>749760</v>
      </c>
      <c r="J50" s="415">
        <v>556202</v>
      </c>
      <c r="K50" s="415">
        <v>556202</v>
      </c>
      <c r="L50" s="415">
        <v>0</v>
      </c>
      <c r="M50" s="415">
        <v>0</v>
      </c>
      <c r="N50" s="415">
        <v>0</v>
      </c>
      <c r="O50" s="415">
        <v>0</v>
      </c>
      <c r="P50" s="68">
        <v>187996</v>
      </c>
      <c r="Q50" s="68">
        <v>5562</v>
      </c>
      <c r="R50" s="415">
        <v>0</v>
      </c>
      <c r="S50" s="416">
        <v>1.5</v>
      </c>
      <c r="T50" s="417">
        <v>1.5</v>
      </c>
      <c r="U50" s="423">
        <v>0</v>
      </c>
      <c r="V50" s="424">
        <f t="shared" si="49"/>
        <v>0</v>
      </c>
      <c r="W50" s="418">
        <f t="shared" si="49"/>
        <v>0</v>
      </c>
      <c r="X50" s="418">
        <v>0</v>
      </c>
      <c r="Y50" s="418">
        <v>0</v>
      </c>
      <c r="Z50" s="418">
        <v>0</v>
      </c>
      <c r="AA50" s="415">
        <v>0</v>
      </c>
      <c r="AB50" s="418">
        <v>0</v>
      </c>
      <c r="AC50" s="418">
        <v>0</v>
      </c>
      <c r="AD50" s="418">
        <f t="shared" si="1"/>
        <v>0</v>
      </c>
      <c r="AE50" s="418">
        <f t="shared" si="2"/>
        <v>0</v>
      </c>
      <c r="AF50" s="418">
        <f t="shared" si="3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4"/>
        <v>0</v>
      </c>
      <c r="AM50" s="418">
        <f t="shared" si="5"/>
        <v>0</v>
      </c>
      <c r="AN50" s="418">
        <f t="shared" si="6"/>
        <v>0</v>
      </c>
      <c r="AO50" s="418">
        <f t="shared" si="50"/>
        <v>0</v>
      </c>
      <c r="AP50" s="418">
        <f t="shared" si="50"/>
        <v>0</v>
      </c>
      <c r="AQ50" s="418">
        <f t="shared" si="8"/>
        <v>0</v>
      </c>
      <c r="AR50" s="68">
        <f t="shared" si="9"/>
        <v>0</v>
      </c>
      <c r="AS50" s="68">
        <f t="shared" si="10"/>
        <v>0</v>
      </c>
      <c r="AT50" s="418">
        <v>0</v>
      </c>
      <c r="AU50" s="415">
        <v>0</v>
      </c>
      <c r="AV50" s="418">
        <f t="shared" si="11"/>
        <v>0</v>
      </c>
      <c r="AW50" s="418">
        <f t="shared" si="12"/>
        <v>0</v>
      </c>
      <c r="AX50" s="419">
        <v>0</v>
      </c>
      <c r="AY50" s="419">
        <v>0</v>
      </c>
      <c r="AZ50" s="419">
        <v>0</v>
      </c>
      <c r="BA50" s="419">
        <v>0</v>
      </c>
      <c r="BB50" s="416">
        <v>0</v>
      </c>
      <c r="BC50" s="939">
        <v>0</v>
      </c>
      <c r="BD50" s="419">
        <v>0</v>
      </c>
      <c r="BE50" s="419">
        <v>0</v>
      </c>
      <c r="BF50" s="419">
        <f t="shared" si="13"/>
        <v>0</v>
      </c>
      <c r="BG50" s="419">
        <f t="shared" si="14"/>
        <v>0</v>
      </c>
      <c r="BH50" s="421">
        <f t="shared" si="15"/>
        <v>0</v>
      </c>
      <c r="BI50" s="780">
        <f>I50+AW50</f>
        <v>749760</v>
      </c>
      <c r="BJ50" s="418">
        <f>J50+AF50</f>
        <v>556202</v>
      </c>
      <c r="BK50" s="418">
        <f t="shared" si="60"/>
        <v>556202</v>
      </c>
      <c r="BL50" s="418">
        <f t="shared" si="60"/>
        <v>0</v>
      </c>
      <c r="BM50" s="418">
        <f>M50+AN50</f>
        <v>0</v>
      </c>
      <c r="BN50" s="418">
        <f t="shared" si="61"/>
        <v>0</v>
      </c>
      <c r="BO50" s="418">
        <f t="shared" si="61"/>
        <v>0</v>
      </c>
      <c r="BP50" s="418">
        <f t="shared" si="62"/>
        <v>187996</v>
      </c>
      <c r="BQ50" s="418">
        <f t="shared" si="62"/>
        <v>5562</v>
      </c>
      <c r="BR50" s="418">
        <f>R50+AV50</f>
        <v>0</v>
      </c>
      <c r="BS50" s="419">
        <f>S50+BH50</f>
        <v>1.5</v>
      </c>
      <c r="BT50" s="419">
        <f t="shared" si="63"/>
        <v>1.5</v>
      </c>
      <c r="BU50" s="421">
        <f t="shared" si="63"/>
        <v>0</v>
      </c>
      <c r="BV50" s="420"/>
      <c r="BW50" s="415"/>
      <c r="BX50" s="415"/>
      <c r="BY50" s="415"/>
      <c r="BZ50" s="415"/>
      <c r="CA50" s="510"/>
    </row>
    <row r="51" spans="1:79" x14ac:dyDescent="0.2">
      <c r="A51" s="205">
        <v>10</v>
      </c>
      <c r="B51" s="206">
        <v>3402</v>
      </c>
      <c r="C51" s="206">
        <v>600078124</v>
      </c>
      <c r="D51" s="206">
        <v>70982643</v>
      </c>
      <c r="E51" s="204" t="s">
        <v>136</v>
      </c>
      <c r="F51" s="206">
        <v>3141</v>
      </c>
      <c r="G51" s="207" t="s">
        <v>294</v>
      </c>
      <c r="H51" s="612" t="s">
        <v>272</v>
      </c>
      <c r="I51" s="511">
        <v>1655259</v>
      </c>
      <c r="J51" s="415">
        <v>1220537</v>
      </c>
      <c r="K51" s="415">
        <v>0</v>
      </c>
      <c r="L51" s="415">
        <v>1220537</v>
      </c>
      <c r="M51" s="415">
        <v>0</v>
      </c>
      <c r="N51" s="415">
        <v>0</v>
      </c>
      <c r="O51" s="415">
        <v>0</v>
      </c>
      <c r="P51" s="68">
        <v>412542</v>
      </c>
      <c r="Q51" s="68">
        <v>12205</v>
      </c>
      <c r="R51" s="415">
        <v>9975</v>
      </c>
      <c r="S51" s="416">
        <v>3.66</v>
      </c>
      <c r="T51" s="417">
        <v>0</v>
      </c>
      <c r="U51" s="423">
        <v>3.66</v>
      </c>
      <c r="V51" s="424">
        <f t="shared" si="49"/>
        <v>0</v>
      </c>
      <c r="W51" s="418">
        <f t="shared" si="49"/>
        <v>0</v>
      </c>
      <c r="X51" s="418">
        <v>0</v>
      </c>
      <c r="Y51" s="418">
        <v>0</v>
      </c>
      <c r="Z51" s="418">
        <v>0</v>
      </c>
      <c r="AA51" s="605">
        <v>610291</v>
      </c>
      <c r="AB51" s="418">
        <v>0</v>
      </c>
      <c r="AC51" s="418">
        <v>0</v>
      </c>
      <c r="AD51" s="418">
        <f t="shared" si="1"/>
        <v>0</v>
      </c>
      <c r="AE51" s="418">
        <f t="shared" si="2"/>
        <v>610291</v>
      </c>
      <c r="AF51" s="418">
        <f t="shared" si="3"/>
        <v>610291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4"/>
        <v>0</v>
      </c>
      <c r="AM51" s="418">
        <f t="shared" si="5"/>
        <v>0</v>
      </c>
      <c r="AN51" s="418">
        <f t="shared" si="6"/>
        <v>0</v>
      </c>
      <c r="AO51" s="418">
        <f t="shared" si="50"/>
        <v>0</v>
      </c>
      <c r="AP51" s="418">
        <f t="shared" si="50"/>
        <v>610291</v>
      </c>
      <c r="AQ51" s="418">
        <f t="shared" si="8"/>
        <v>610291</v>
      </c>
      <c r="AR51" s="68">
        <f t="shared" si="9"/>
        <v>206278</v>
      </c>
      <c r="AS51" s="68">
        <f t="shared" si="10"/>
        <v>6103</v>
      </c>
      <c r="AT51" s="418">
        <v>0</v>
      </c>
      <c r="AU51" s="605">
        <v>4845</v>
      </c>
      <c r="AV51" s="418">
        <f t="shared" si="11"/>
        <v>4845</v>
      </c>
      <c r="AW51" s="418">
        <f t="shared" si="12"/>
        <v>827517</v>
      </c>
      <c r="AX51" s="419">
        <v>0</v>
      </c>
      <c r="AY51" s="419">
        <v>0</v>
      </c>
      <c r="AZ51" s="419">
        <v>0</v>
      </c>
      <c r="BA51" s="419">
        <v>0</v>
      </c>
      <c r="BB51" s="607">
        <v>1.83</v>
      </c>
      <c r="BC51" s="939">
        <v>0</v>
      </c>
      <c r="BD51" s="419">
        <v>0</v>
      </c>
      <c r="BE51" s="419">
        <v>0</v>
      </c>
      <c r="BF51" s="419">
        <f t="shared" si="13"/>
        <v>0</v>
      </c>
      <c r="BG51" s="419">
        <f t="shared" si="14"/>
        <v>1.83</v>
      </c>
      <c r="BH51" s="421">
        <f t="shared" si="15"/>
        <v>1.83</v>
      </c>
      <c r="BI51" s="780">
        <f>I51+AW51</f>
        <v>2482776</v>
      </c>
      <c r="BJ51" s="418">
        <f>J51+AF51</f>
        <v>1830828</v>
      </c>
      <c r="BK51" s="418">
        <f t="shared" si="60"/>
        <v>0</v>
      </c>
      <c r="BL51" s="418">
        <f t="shared" si="60"/>
        <v>1830828</v>
      </c>
      <c r="BM51" s="418">
        <f>M51+AN51</f>
        <v>0</v>
      </c>
      <c r="BN51" s="418">
        <f t="shared" si="61"/>
        <v>0</v>
      </c>
      <c r="BO51" s="418">
        <f t="shared" si="61"/>
        <v>0</v>
      </c>
      <c r="BP51" s="418">
        <f t="shared" si="62"/>
        <v>618820</v>
      </c>
      <c r="BQ51" s="418">
        <f t="shared" si="62"/>
        <v>18308</v>
      </c>
      <c r="BR51" s="418">
        <f>R51+AV51</f>
        <v>14820</v>
      </c>
      <c r="BS51" s="419">
        <f>S51+BH51</f>
        <v>5.49</v>
      </c>
      <c r="BT51" s="419">
        <f t="shared" si="63"/>
        <v>0</v>
      </c>
      <c r="BU51" s="421">
        <f t="shared" si="63"/>
        <v>5.49</v>
      </c>
      <c r="BV51" s="420"/>
      <c r="BW51" s="415"/>
      <c r="BX51" s="415"/>
      <c r="BY51" s="415"/>
      <c r="BZ51" s="415"/>
      <c r="CA51" s="510"/>
    </row>
    <row r="52" spans="1:79" x14ac:dyDescent="0.2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13"/>
      <c r="I52" s="452">
        <v>7638472</v>
      </c>
      <c r="J52" s="445">
        <v>5646248</v>
      </c>
      <c r="K52" s="445">
        <v>4073050</v>
      </c>
      <c r="L52" s="445">
        <v>1573198</v>
      </c>
      <c r="M52" s="445">
        <v>0</v>
      </c>
      <c r="N52" s="445">
        <v>0</v>
      </c>
      <c r="O52" s="445">
        <v>0</v>
      </c>
      <c r="P52" s="445">
        <v>1908432</v>
      </c>
      <c r="Q52" s="445">
        <v>56462</v>
      </c>
      <c r="R52" s="445">
        <v>27330</v>
      </c>
      <c r="S52" s="446">
        <v>12.460100000000001</v>
      </c>
      <c r="T52" s="446">
        <v>7.6</v>
      </c>
      <c r="U52" s="450">
        <v>4.8601000000000001</v>
      </c>
      <c r="V52" s="448">
        <f t="shared" ref="V52:CA52" si="64">SUM(V49:V51)</f>
        <v>0</v>
      </c>
      <c r="W52" s="445">
        <f t="shared" si="64"/>
        <v>0</v>
      </c>
      <c r="X52" s="445">
        <f t="shared" si="64"/>
        <v>0</v>
      </c>
      <c r="Y52" s="445">
        <f t="shared" si="64"/>
        <v>0</v>
      </c>
      <c r="Z52" s="445">
        <f t="shared" si="64"/>
        <v>0</v>
      </c>
      <c r="AA52" s="445">
        <f t="shared" si="64"/>
        <v>610291</v>
      </c>
      <c r="AB52" s="445">
        <f t="shared" si="64"/>
        <v>0</v>
      </c>
      <c r="AC52" s="445">
        <f t="shared" si="64"/>
        <v>0</v>
      </c>
      <c r="AD52" s="445">
        <f t="shared" si="64"/>
        <v>0</v>
      </c>
      <c r="AE52" s="445">
        <f t="shared" si="64"/>
        <v>610291</v>
      </c>
      <c r="AF52" s="445">
        <f t="shared" si="64"/>
        <v>610291</v>
      </c>
      <c r="AG52" s="445">
        <f t="shared" si="64"/>
        <v>0</v>
      </c>
      <c r="AH52" s="445">
        <f t="shared" si="64"/>
        <v>0</v>
      </c>
      <c r="AI52" s="445">
        <f t="shared" si="64"/>
        <v>0</v>
      </c>
      <c r="AJ52" s="445">
        <f t="shared" si="64"/>
        <v>0</v>
      </c>
      <c r="AK52" s="445">
        <f t="shared" si="64"/>
        <v>0</v>
      </c>
      <c r="AL52" s="445">
        <f t="shared" si="64"/>
        <v>0</v>
      </c>
      <c r="AM52" s="445">
        <f t="shared" si="64"/>
        <v>0</v>
      </c>
      <c r="AN52" s="445">
        <f t="shared" si="64"/>
        <v>0</v>
      </c>
      <c r="AO52" s="445">
        <f t="shared" si="64"/>
        <v>0</v>
      </c>
      <c r="AP52" s="445">
        <f t="shared" si="64"/>
        <v>610291</v>
      </c>
      <c r="AQ52" s="445">
        <f t="shared" si="64"/>
        <v>610291</v>
      </c>
      <c r="AR52" s="445">
        <f t="shared" si="64"/>
        <v>206278</v>
      </c>
      <c r="AS52" s="445">
        <f t="shared" si="64"/>
        <v>6103</v>
      </c>
      <c r="AT52" s="445">
        <f t="shared" si="64"/>
        <v>0</v>
      </c>
      <c r="AU52" s="445">
        <f t="shared" si="64"/>
        <v>4845</v>
      </c>
      <c r="AV52" s="445">
        <f t="shared" si="64"/>
        <v>4845</v>
      </c>
      <c r="AW52" s="445">
        <f t="shared" si="64"/>
        <v>827517</v>
      </c>
      <c r="AX52" s="446">
        <f t="shared" si="64"/>
        <v>0</v>
      </c>
      <c r="AY52" s="446">
        <f t="shared" si="64"/>
        <v>0</v>
      </c>
      <c r="AZ52" s="446">
        <f t="shared" si="64"/>
        <v>0</v>
      </c>
      <c r="BA52" s="446">
        <f t="shared" si="64"/>
        <v>0</v>
      </c>
      <c r="BB52" s="446">
        <f t="shared" si="64"/>
        <v>1.83</v>
      </c>
      <c r="BC52" s="948">
        <f t="shared" si="64"/>
        <v>0</v>
      </c>
      <c r="BD52" s="446">
        <f t="shared" si="64"/>
        <v>0</v>
      </c>
      <c r="BE52" s="446">
        <f t="shared" si="64"/>
        <v>0</v>
      </c>
      <c r="BF52" s="446">
        <f t="shared" si="64"/>
        <v>0</v>
      </c>
      <c r="BG52" s="446">
        <f t="shared" si="64"/>
        <v>1.83</v>
      </c>
      <c r="BH52" s="39">
        <f t="shared" si="64"/>
        <v>1.83</v>
      </c>
      <c r="BI52" s="452">
        <f t="shared" si="64"/>
        <v>8465989</v>
      </c>
      <c r="BJ52" s="445">
        <f t="shared" si="64"/>
        <v>6256539</v>
      </c>
      <c r="BK52" s="445">
        <f t="shared" si="64"/>
        <v>4073050</v>
      </c>
      <c r="BL52" s="445">
        <f t="shared" si="64"/>
        <v>2183489</v>
      </c>
      <c r="BM52" s="445">
        <f t="shared" si="64"/>
        <v>0</v>
      </c>
      <c r="BN52" s="445">
        <f t="shared" si="64"/>
        <v>0</v>
      </c>
      <c r="BO52" s="445">
        <f t="shared" si="64"/>
        <v>0</v>
      </c>
      <c r="BP52" s="445">
        <f t="shared" si="64"/>
        <v>2114710</v>
      </c>
      <c r="BQ52" s="445">
        <f t="shared" si="64"/>
        <v>62565</v>
      </c>
      <c r="BR52" s="445">
        <f t="shared" si="64"/>
        <v>32175</v>
      </c>
      <c r="BS52" s="446">
        <f t="shared" si="64"/>
        <v>14.290100000000001</v>
      </c>
      <c r="BT52" s="446">
        <f t="shared" si="64"/>
        <v>7.6</v>
      </c>
      <c r="BU52" s="39">
        <f t="shared" si="64"/>
        <v>6.6901000000000002</v>
      </c>
      <c r="BV52" s="833">
        <f t="shared" si="64"/>
        <v>0</v>
      </c>
      <c r="BW52" s="715">
        <f t="shared" si="64"/>
        <v>0</v>
      </c>
      <c r="BX52" s="715">
        <f t="shared" si="64"/>
        <v>0</v>
      </c>
      <c r="BY52" s="715">
        <f t="shared" si="64"/>
        <v>0</v>
      </c>
      <c r="BZ52" s="715">
        <f t="shared" si="64"/>
        <v>0</v>
      </c>
      <c r="CA52" s="834">
        <f t="shared" si="64"/>
        <v>0</v>
      </c>
    </row>
    <row r="53" spans="1:79" x14ac:dyDescent="0.2">
      <c r="A53" s="205">
        <v>11</v>
      </c>
      <c r="B53" s="206">
        <v>3429</v>
      </c>
      <c r="C53" s="206">
        <v>600078256</v>
      </c>
      <c r="D53" s="206">
        <v>43257151</v>
      </c>
      <c r="E53" s="204" t="s">
        <v>138</v>
      </c>
      <c r="F53" s="206">
        <v>3113</v>
      </c>
      <c r="G53" s="207" t="s">
        <v>293</v>
      </c>
      <c r="H53" s="612" t="s">
        <v>271</v>
      </c>
      <c r="I53" s="511">
        <v>17259777</v>
      </c>
      <c r="J53" s="415">
        <v>12468923</v>
      </c>
      <c r="K53" s="415">
        <v>11680394</v>
      </c>
      <c r="L53" s="415">
        <v>788529</v>
      </c>
      <c r="M53" s="415">
        <v>170000</v>
      </c>
      <c r="N53" s="415">
        <v>30000</v>
      </c>
      <c r="O53" s="415">
        <v>140000</v>
      </c>
      <c r="P53" s="68">
        <v>4271956</v>
      </c>
      <c r="Q53" s="68">
        <v>124689</v>
      </c>
      <c r="R53" s="415">
        <v>224209</v>
      </c>
      <c r="S53" s="416">
        <v>17.617599999999999</v>
      </c>
      <c r="T53" s="417">
        <v>15.404300000000001</v>
      </c>
      <c r="U53" s="423">
        <v>2.2133000000000003</v>
      </c>
      <c r="V53" s="424">
        <f t="shared" si="49"/>
        <v>0</v>
      </c>
      <c r="W53" s="418">
        <f t="shared" si="49"/>
        <v>0</v>
      </c>
      <c r="X53" s="418">
        <v>0</v>
      </c>
      <c r="Y53" s="418">
        <v>0</v>
      </c>
      <c r="Z53" s="418">
        <v>0</v>
      </c>
      <c r="AA53" s="415">
        <v>0</v>
      </c>
      <c r="AB53" s="418">
        <v>0</v>
      </c>
      <c r="AC53" s="418">
        <v>0</v>
      </c>
      <c r="AD53" s="418">
        <f t="shared" si="1"/>
        <v>0</v>
      </c>
      <c r="AE53" s="418">
        <f t="shared" si="2"/>
        <v>0</v>
      </c>
      <c r="AF53" s="418">
        <f t="shared" si="3"/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 t="shared" si="4"/>
        <v>0</v>
      </c>
      <c r="AM53" s="418">
        <f t="shared" si="5"/>
        <v>0</v>
      </c>
      <c r="AN53" s="418">
        <f t="shared" si="6"/>
        <v>0</v>
      </c>
      <c r="AO53" s="418">
        <f t="shared" si="50"/>
        <v>0</v>
      </c>
      <c r="AP53" s="418">
        <f t="shared" si="50"/>
        <v>0</v>
      </c>
      <c r="AQ53" s="418">
        <f t="shared" si="8"/>
        <v>0</v>
      </c>
      <c r="AR53" s="68">
        <f t="shared" si="9"/>
        <v>0</v>
      </c>
      <c r="AS53" s="68">
        <f t="shared" si="10"/>
        <v>0</v>
      </c>
      <c r="AT53" s="418">
        <v>0</v>
      </c>
      <c r="AU53" s="415">
        <v>0</v>
      </c>
      <c r="AV53" s="418">
        <f t="shared" si="11"/>
        <v>0</v>
      </c>
      <c r="AW53" s="418">
        <f t="shared" si="12"/>
        <v>0</v>
      </c>
      <c r="AX53" s="419">
        <v>0</v>
      </c>
      <c r="AY53" s="419">
        <v>0</v>
      </c>
      <c r="AZ53" s="419">
        <v>0</v>
      </c>
      <c r="BA53" s="419">
        <v>0</v>
      </c>
      <c r="BB53" s="416">
        <v>0</v>
      </c>
      <c r="BC53" s="939">
        <v>0</v>
      </c>
      <c r="BD53" s="419">
        <v>0</v>
      </c>
      <c r="BE53" s="419">
        <v>0</v>
      </c>
      <c r="BF53" s="419">
        <f t="shared" si="13"/>
        <v>0</v>
      </c>
      <c r="BG53" s="419">
        <f t="shared" si="14"/>
        <v>0</v>
      </c>
      <c r="BH53" s="421">
        <f t="shared" si="15"/>
        <v>0</v>
      </c>
      <c r="BI53" s="780">
        <f>I53+AW53</f>
        <v>17259777</v>
      </c>
      <c r="BJ53" s="418">
        <f>J53+AF53</f>
        <v>12468923</v>
      </c>
      <c r="BK53" s="418">
        <f t="shared" ref="BK53:BL56" si="65">K53+AD53</f>
        <v>11680394</v>
      </c>
      <c r="BL53" s="418">
        <f t="shared" si="65"/>
        <v>788529</v>
      </c>
      <c r="BM53" s="418">
        <f>M53+AN53</f>
        <v>170000</v>
      </c>
      <c r="BN53" s="418">
        <f t="shared" ref="BN53:BO56" si="66">N53+AL53</f>
        <v>30000</v>
      </c>
      <c r="BO53" s="418">
        <f t="shared" si="66"/>
        <v>140000</v>
      </c>
      <c r="BP53" s="418">
        <f t="shared" ref="BP53:BQ56" si="67">P53+AR53</f>
        <v>4271956</v>
      </c>
      <c r="BQ53" s="418">
        <f t="shared" si="67"/>
        <v>124689</v>
      </c>
      <c r="BR53" s="418">
        <f>R53+AV53</f>
        <v>224209</v>
      </c>
      <c r="BS53" s="419">
        <f>S53+BH53</f>
        <v>17.617599999999999</v>
      </c>
      <c r="BT53" s="419">
        <f t="shared" ref="BT53:BU56" si="68">T53+BF53</f>
        <v>15.404300000000001</v>
      </c>
      <c r="BU53" s="421">
        <f t="shared" si="68"/>
        <v>2.2133000000000003</v>
      </c>
      <c r="BV53" s="420"/>
      <c r="BW53" s="415"/>
      <c r="BX53" s="415"/>
      <c r="BY53" s="415"/>
      <c r="BZ53" s="415"/>
      <c r="CA53" s="510"/>
    </row>
    <row r="54" spans="1:79" x14ac:dyDescent="0.2">
      <c r="A54" s="205">
        <v>11</v>
      </c>
      <c r="B54" s="206">
        <v>3429</v>
      </c>
      <c r="C54" s="206">
        <v>600078256</v>
      </c>
      <c r="D54" s="206">
        <v>43257151</v>
      </c>
      <c r="E54" s="204" t="s">
        <v>138</v>
      </c>
      <c r="F54" s="206">
        <v>3113</v>
      </c>
      <c r="G54" s="207" t="s">
        <v>291</v>
      </c>
      <c r="H54" s="612" t="s">
        <v>272</v>
      </c>
      <c r="I54" s="511">
        <v>1991096</v>
      </c>
      <c r="J54" s="415">
        <v>1477074</v>
      </c>
      <c r="K54" s="415">
        <v>1477074</v>
      </c>
      <c r="L54" s="415">
        <v>0</v>
      </c>
      <c r="M54" s="415">
        <v>0</v>
      </c>
      <c r="N54" s="415">
        <v>0</v>
      </c>
      <c r="O54" s="415">
        <v>0</v>
      </c>
      <c r="P54" s="68">
        <v>499251</v>
      </c>
      <c r="Q54" s="68">
        <v>14771</v>
      </c>
      <c r="R54" s="415">
        <v>0</v>
      </c>
      <c r="S54" s="416">
        <v>3.97</v>
      </c>
      <c r="T54" s="417">
        <v>3.97</v>
      </c>
      <c r="U54" s="423">
        <v>0</v>
      </c>
      <c r="V54" s="424">
        <f t="shared" si="49"/>
        <v>0</v>
      </c>
      <c r="W54" s="418">
        <f t="shared" si="49"/>
        <v>0</v>
      </c>
      <c r="X54" s="418">
        <v>0</v>
      </c>
      <c r="Y54" s="418">
        <v>0</v>
      </c>
      <c r="Z54" s="418">
        <v>0</v>
      </c>
      <c r="AA54" s="415">
        <v>0</v>
      </c>
      <c r="AB54" s="418">
        <v>0</v>
      </c>
      <c r="AC54" s="418">
        <v>0</v>
      </c>
      <c r="AD54" s="418">
        <f t="shared" si="1"/>
        <v>0</v>
      </c>
      <c r="AE54" s="418">
        <f t="shared" si="2"/>
        <v>0</v>
      </c>
      <c r="AF54" s="418">
        <f t="shared" si="3"/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si="4"/>
        <v>0</v>
      </c>
      <c r="AM54" s="418">
        <f t="shared" si="5"/>
        <v>0</v>
      </c>
      <c r="AN54" s="418">
        <f t="shared" si="6"/>
        <v>0</v>
      </c>
      <c r="AO54" s="418">
        <f t="shared" si="50"/>
        <v>0</v>
      </c>
      <c r="AP54" s="418">
        <f t="shared" si="50"/>
        <v>0</v>
      </c>
      <c r="AQ54" s="418">
        <f t="shared" si="8"/>
        <v>0</v>
      </c>
      <c r="AR54" s="68">
        <f t="shared" si="9"/>
        <v>0</v>
      </c>
      <c r="AS54" s="68">
        <f t="shared" si="10"/>
        <v>0</v>
      </c>
      <c r="AT54" s="418">
        <v>0</v>
      </c>
      <c r="AU54" s="415">
        <v>0</v>
      </c>
      <c r="AV54" s="418">
        <f t="shared" si="11"/>
        <v>0</v>
      </c>
      <c r="AW54" s="418">
        <f t="shared" si="12"/>
        <v>0</v>
      </c>
      <c r="AX54" s="419">
        <v>0</v>
      </c>
      <c r="AY54" s="419">
        <v>0</v>
      </c>
      <c r="AZ54" s="419">
        <v>0</v>
      </c>
      <c r="BA54" s="419">
        <v>0</v>
      </c>
      <c r="BB54" s="416">
        <v>0</v>
      </c>
      <c r="BC54" s="939">
        <v>0</v>
      </c>
      <c r="BD54" s="419">
        <v>0</v>
      </c>
      <c r="BE54" s="419">
        <v>0</v>
      </c>
      <c r="BF54" s="419">
        <f t="shared" si="13"/>
        <v>0</v>
      </c>
      <c r="BG54" s="419">
        <f t="shared" si="14"/>
        <v>0</v>
      </c>
      <c r="BH54" s="421">
        <f t="shared" si="15"/>
        <v>0</v>
      </c>
      <c r="BI54" s="780">
        <f>I54+AW54</f>
        <v>1991096</v>
      </c>
      <c r="BJ54" s="418">
        <f>J54+AF54</f>
        <v>1477074</v>
      </c>
      <c r="BK54" s="418">
        <f t="shared" si="65"/>
        <v>1477074</v>
      </c>
      <c r="BL54" s="418">
        <f t="shared" si="65"/>
        <v>0</v>
      </c>
      <c r="BM54" s="418">
        <f>M54+AN54</f>
        <v>0</v>
      </c>
      <c r="BN54" s="418">
        <f t="shared" si="66"/>
        <v>0</v>
      </c>
      <c r="BO54" s="418">
        <f t="shared" si="66"/>
        <v>0</v>
      </c>
      <c r="BP54" s="418">
        <f t="shared" si="67"/>
        <v>499251</v>
      </c>
      <c r="BQ54" s="418">
        <f t="shared" si="67"/>
        <v>14771</v>
      </c>
      <c r="BR54" s="418">
        <f>R54+AV54</f>
        <v>0</v>
      </c>
      <c r="BS54" s="419">
        <f>S54+BH54</f>
        <v>3.97</v>
      </c>
      <c r="BT54" s="419">
        <f t="shared" si="68"/>
        <v>3.97</v>
      </c>
      <c r="BU54" s="421">
        <f t="shared" si="68"/>
        <v>0</v>
      </c>
      <c r="BV54" s="420"/>
      <c r="BW54" s="415"/>
      <c r="BX54" s="415"/>
      <c r="BY54" s="415"/>
      <c r="BZ54" s="415"/>
      <c r="CA54" s="510"/>
    </row>
    <row r="55" spans="1:79" s="3" customFormat="1" x14ac:dyDescent="0.2">
      <c r="A55" s="205">
        <v>11</v>
      </c>
      <c r="B55" s="206">
        <v>3429</v>
      </c>
      <c r="C55" s="206">
        <v>600078256</v>
      </c>
      <c r="D55" s="206">
        <v>43257151</v>
      </c>
      <c r="E55" s="204" t="s">
        <v>138</v>
      </c>
      <c r="F55" s="206">
        <v>3143</v>
      </c>
      <c r="G55" s="207" t="s">
        <v>595</v>
      </c>
      <c r="H55" s="614" t="s">
        <v>271</v>
      </c>
      <c r="I55" s="511">
        <v>1633741</v>
      </c>
      <c r="J55" s="415">
        <v>1211974</v>
      </c>
      <c r="K55" s="415">
        <v>1211974</v>
      </c>
      <c r="L55" s="415">
        <v>0</v>
      </c>
      <c r="M55" s="415">
        <v>0</v>
      </c>
      <c r="N55" s="415">
        <v>0</v>
      </c>
      <c r="O55" s="415">
        <v>0</v>
      </c>
      <c r="P55" s="68">
        <v>409647</v>
      </c>
      <c r="Q55" s="68">
        <v>12120</v>
      </c>
      <c r="R55" s="415">
        <v>0</v>
      </c>
      <c r="S55" s="416">
        <v>2.4293</v>
      </c>
      <c r="T55" s="417">
        <v>2.4293</v>
      </c>
      <c r="U55" s="423">
        <v>0</v>
      </c>
      <c r="V55" s="424">
        <f t="shared" si="49"/>
        <v>0</v>
      </c>
      <c r="W55" s="418">
        <f t="shared" si="49"/>
        <v>0</v>
      </c>
      <c r="X55" s="418">
        <v>0</v>
      </c>
      <c r="Y55" s="418">
        <v>0</v>
      </c>
      <c r="Z55" s="418">
        <v>0</v>
      </c>
      <c r="AA55" s="415">
        <v>0</v>
      </c>
      <c r="AB55" s="418">
        <v>0</v>
      </c>
      <c r="AC55" s="418">
        <v>0</v>
      </c>
      <c r="AD55" s="418">
        <f t="shared" si="1"/>
        <v>0</v>
      </c>
      <c r="AE55" s="418">
        <f t="shared" si="2"/>
        <v>0</v>
      </c>
      <c r="AF55" s="418">
        <f t="shared" si="3"/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4"/>
        <v>0</v>
      </c>
      <c r="AM55" s="418">
        <f t="shared" si="5"/>
        <v>0</v>
      </c>
      <c r="AN55" s="418">
        <f t="shared" si="6"/>
        <v>0</v>
      </c>
      <c r="AO55" s="418">
        <f t="shared" si="50"/>
        <v>0</v>
      </c>
      <c r="AP55" s="418">
        <f t="shared" si="50"/>
        <v>0</v>
      </c>
      <c r="AQ55" s="418">
        <f t="shared" si="8"/>
        <v>0</v>
      </c>
      <c r="AR55" s="68">
        <f t="shared" si="9"/>
        <v>0</v>
      </c>
      <c r="AS55" s="68">
        <f t="shared" si="10"/>
        <v>0</v>
      </c>
      <c r="AT55" s="418">
        <v>0</v>
      </c>
      <c r="AU55" s="415">
        <v>0</v>
      </c>
      <c r="AV55" s="418">
        <f t="shared" si="11"/>
        <v>0</v>
      </c>
      <c r="AW55" s="418">
        <f t="shared" si="12"/>
        <v>0</v>
      </c>
      <c r="AX55" s="419">
        <v>0</v>
      </c>
      <c r="AY55" s="419">
        <v>0</v>
      </c>
      <c r="AZ55" s="419">
        <v>0</v>
      </c>
      <c r="BA55" s="419">
        <v>0</v>
      </c>
      <c r="BB55" s="416">
        <v>0</v>
      </c>
      <c r="BC55" s="939">
        <v>0</v>
      </c>
      <c r="BD55" s="419">
        <v>0</v>
      </c>
      <c r="BE55" s="419">
        <v>0</v>
      </c>
      <c r="BF55" s="419">
        <f t="shared" si="13"/>
        <v>0</v>
      </c>
      <c r="BG55" s="419">
        <f t="shared" si="14"/>
        <v>0</v>
      </c>
      <c r="BH55" s="421">
        <f t="shared" si="15"/>
        <v>0</v>
      </c>
      <c r="BI55" s="780">
        <f>I55+AW55</f>
        <v>1633741</v>
      </c>
      <c r="BJ55" s="418">
        <f>J55+AF55</f>
        <v>1211974</v>
      </c>
      <c r="BK55" s="418">
        <f t="shared" si="65"/>
        <v>1211974</v>
      </c>
      <c r="BL55" s="418">
        <f t="shared" si="65"/>
        <v>0</v>
      </c>
      <c r="BM55" s="418">
        <f>M55+AN55</f>
        <v>0</v>
      </c>
      <c r="BN55" s="418">
        <f t="shared" si="66"/>
        <v>0</v>
      </c>
      <c r="BO55" s="418">
        <f t="shared" si="66"/>
        <v>0</v>
      </c>
      <c r="BP55" s="418">
        <f t="shared" si="67"/>
        <v>409647</v>
      </c>
      <c r="BQ55" s="418">
        <f t="shared" si="67"/>
        <v>12120</v>
      </c>
      <c r="BR55" s="418">
        <f>R55+AV55</f>
        <v>0</v>
      </c>
      <c r="BS55" s="419">
        <f>S55+BH55</f>
        <v>2.4293</v>
      </c>
      <c r="BT55" s="419">
        <f t="shared" si="68"/>
        <v>2.4293</v>
      </c>
      <c r="BU55" s="421">
        <f t="shared" si="68"/>
        <v>0</v>
      </c>
      <c r="BV55" s="420"/>
      <c r="BW55" s="415"/>
      <c r="BX55" s="415"/>
      <c r="BY55" s="415"/>
      <c r="BZ55" s="415"/>
      <c r="CA55" s="510"/>
    </row>
    <row r="56" spans="1:79" s="3" customFormat="1" x14ac:dyDescent="0.2">
      <c r="A56" s="205">
        <v>11</v>
      </c>
      <c r="B56" s="206">
        <v>3429</v>
      </c>
      <c r="C56" s="206">
        <v>600078256</v>
      </c>
      <c r="D56" s="206">
        <v>43257151</v>
      </c>
      <c r="E56" s="204" t="s">
        <v>138</v>
      </c>
      <c r="F56" s="206">
        <v>3143</v>
      </c>
      <c r="G56" s="207" t="s">
        <v>596</v>
      </c>
      <c r="H56" s="614" t="s">
        <v>272</v>
      </c>
      <c r="I56" s="511">
        <v>36366</v>
      </c>
      <c r="J56" s="415">
        <v>26030</v>
      </c>
      <c r="K56" s="415">
        <v>0</v>
      </c>
      <c r="L56" s="415">
        <v>26030</v>
      </c>
      <c r="M56" s="415">
        <v>0</v>
      </c>
      <c r="N56" s="415">
        <v>0</v>
      </c>
      <c r="O56" s="415">
        <v>0</v>
      </c>
      <c r="P56" s="68">
        <v>8798</v>
      </c>
      <c r="Q56" s="68">
        <v>260</v>
      </c>
      <c r="R56" s="415">
        <v>1278</v>
      </c>
      <c r="S56" s="416">
        <v>0.1</v>
      </c>
      <c r="T56" s="417">
        <v>0</v>
      </c>
      <c r="U56" s="423">
        <v>0.1</v>
      </c>
      <c r="V56" s="424">
        <f t="shared" si="49"/>
        <v>0</v>
      </c>
      <c r="W56" s="418">
        <f t="shared" si="49"/>
        <v>0</v>
      </c>
      <c r="X56" s="418">
        <v>0</v>
      </c>
      <c r="Y56" s="418">
        <v>0</v>
      </c>
      <c r="Z56" s="418">
        <v>0</v>
      </c>
      <c r="AA56" s="605">
        <v>13020</v>
      </c>
      <c r="AB56" s="418">
        <v>0</v>
      </c>
      <c r="AC56" s="418">
        <v>0</v>
      </c>
      <c r="AD56" s="418">
        <f t="shared" si="1"/>
        <v>0</v>
      </c>
      <c r="AE56" s="418">
        <f t="shared" si="2"/>
        <v>13020</v>
      </c>
      <c r="AF56" s="418">
        <f t="shared" si="3"/>
        <v>13020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4"/>
        <v>0</v>
      </c>
      <c r="AM56" s="418">
        <f t="shared" si="5"/>
        <v>0</v>
      </c>
      <c r="AN56" s="418">
        <f t="shared" si="6"/>
        <v>0</v>
      </c>
      <c r="AO56" s="418">
        <f t="shared" si="50"/>
        <v>0</v>
      </c>
      <c r="AP56" s="418">
        <f t="shared" si="50"/>
        <v>13020</v>
      </c>
      <c r="AQ56" s="418">
        <f t="shared" si="8"/>
        <v>13020</v>
      </c>
      <c r="AR56" s="68">
        <f t="shared" si="9"/>
        <v>4401</v>
      </c>
      <c r="AS56" s="68">
        <f t="shared" si="10"/>
        <v>130</v>
      </c>
      <c r="AT56" s="418">
        <v>0</v>
      </c>
      <c r="AU56" s="606">
        <v>639</v>
      </c>
      <c r="AV56" s="418">
        <f t="shared" si="11"/>
        <v>639</v>
      </c>
      <c r="AW56" s="418">
        <f t="shared" si="12"/>
        <v>18190</v>
      </c>
      <c r="AX56" s="419">
        <v>0</v>
      </c>
      <c r="AY56" s="419">
        <v>0</v>
      </c>
      <c r="AZ56" s="419">
        <v>0</v>
      </c>
      <c r="BA56" s="419">
        <v>0</v>
      </c>
      <c r="BB56" s="607">
        <v>0.05</v>
      </c>
      <c r="BC56" s="939">
        <v>0</v>
      </c>
      <c r="BD56" s="419">
        <v>0</v>
      </c>
      <c r="BE56" s="419">
        <v>0</v>
      </c>
      <c r="BF56" s="419">
        <f t="shared" si="13"/>
        <v>0</v>
      </c>
      <c r="BG56" s="419">
        <f t="shared" si="14"/>
        <v>0.05</v>
      </c>
      <c r="BH56" s="421">
        <f t="shared" si="15"/>
        <v>0.05</v>
      </c>
      <c r="BI56" s="780">
        <f>I56+AW56</f>
        <v>54556</v>
      </c>
      <c r="BJ56" s="418">
        <f>J56+AF56</f>
        <v>39050</v>
      </c>
      <c r="BK56" s="418">
        <f t="shared" si="65"/>
        <v>0</v>
      </c>
      <c r="BL56" s="418">
        <f t="shared" si="65"/>
        <v>39050</v>
      </c>
      <c r="BM56" s="418">
        <f>M56+AN56</f>
        <v>0</v>
      </c>
      <c r="BN56" s="418">
        <f t="shared" si="66"/>
        <v>0</v>
      </c>
      <c r="BO56" s="418">
        <f t="shared" si="66"/>
        <v>0</v>
      </c>
      <c r="BP56" s="418">
        <f t="shared" si="67"/>
        <v>13199</v>
      </c>
      <c r="BQ56" s="418">
        <f t="shared" si="67"/>
        <v>390</v>
      </c>
      <c r="BR56" s="418">
        <f>R56+AV56</f>
        <v>1917</v>
      </c>
      <c r="BS56" s="419">
        <f>S56+BH56</f>
        <v>0.15000000000000002</v>
      </c>
      <c r="BT56" s="419">
        <f t="shared" si="68"/>
        <v>0</v>
      </c>
      <c r="BU56" s="421">
        <f t="shared" si="68"/>
        <v>0.15000000000000002</v>
      </c>
      <c r="BV56" s="420"/>
      <c r="BW56" s="415"/>
      <c r="BX56" s="415"/>
      <c r="BY56" s="415"/>
      <c r="BZ56" s="415"/>
      <c r="CA56" s="510"/>
    </row>
    <row r="57" spans="1:79" x14ac:dyDescent="0.2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13"/>
      <c r="I57" s="452">
        <v>20920980</v>
      </c>
      <c r="J57" s="445">
        <v>15184001</v>
      </c>
      <c r="K57" s="445">
        <v>14369442</v>
      </c>
      <c r="L57" s="445">
        <v>814559</v>
      </c>
      <c r="M57" s="445">
        <v>170000</v>
      </c>
      <c r="N57" s="445">
        <v>30000</v>
      </c>
      <c r="O57" s="445">
        <v>140000</v>
      </c>
      <c r="P57" s="445">
        <v>5189652</v>
      </c>
      <c r="Q57" s="445">
        <v>151840</v>
      </c>
      <c r="R57" s="445">
        <v>225487</v>
      </c>
      <c r="S57" s="446">
        <v>24.116900000000001</v>
      </c>
      <c r="T57" s="446">
        <v>21.803600000000003</v>
      </c>
      <c r="U57" s="450">
        <v>2.3133000000000004</v>
      </c>
      <c r="V57" s="448">
        <f t="shared" ref="V57:CA57" si="69">SUM(V53:V56)</f>
        <v>0</v>
      </c>
      <c r="W57" s="445">
        <f t="shared" si="69"/>
        <v>0</v>
      </c>
      <c r="X57" s="445">
        <f t="shared" si="69"/>
        <v>0</v>
      </c>
      <c r="Y57" s="445">
        <f t="shared" si="69"/>
        <v>0</v>
      </c>
      <c r="Z57" s="445">
        <f t="shared" si="69"/>
        <v>0</v>
      </c>
      <c r="AA57" s="445">
        <f t="shared" si="69"/>
        <v>13020</v>
      </c>
      <c r="AB57" s="445">
        <f t="shared" si="69"/>
        <v>0</v>
      </c>
      <c r="AC57" s="445">
        <f t="shared" si="69"/>
        <v>0</v>
      </c>
      <c r="AD57" s="445">
        <f t="shared" si="69"/>
        <v>0</v>
      </c>
      <c r="AE57" s="445">
        <f t="shared" si="69"/>
        <v>13020</v>
      </c>
      <c r="AF57" s="445">
        <f t="shared" si="69"/>
        <v>13020</v>
      </c>
      <c r="AG57" s="445">
        <f t="shared" si="69"/>
        <v>0</v>
      </c>
      <c r="AH57" s="445">
        <f t="shared" si="69"/>
        <v>0</v>
      </c>
      <c r="AI57" s="445">
        <f t="shared" si="69"/>
        <v>0</v>
      </c>
      <c r="AJ57" s="445">
        <f t="shared" si="69"/>
        <v>0</v>
      </c>
      <c r="AK57" s="445">
        <f t="shared" si="69"/>
        <v>0</v>
      </c>
      <c r="AL57" s="445">
        <f t="shared" si="69"/>
        <v>0</v>
      </c>
      <c r="AM57" s="445">
        <f t="shared" si="69"/>
        <v>0</v>
      </c>
      <c r="AN57" s="445">
        <f t="shared" si="69"/>
        <v>0</v>
      </c>
      <c r="AO57" s="445">
        <f t="shared" si="69"/>
        <v>0</v>
      </c>
      <c r="AP57" s="445">
        <f t="shared" si="69"/>
        <v>13020</v>
      </c>
      <c r="AQ57" s="445">
        <f t="shared" si="69"/>
        <v>13020</v>
      </c>
      <c r="AR57" s="445">
        <f t="shared" si="69"/>
        <v>4401</v>
      </c>
      <c r="AS57" s="445">
        <f t="shared" si="69"/>
        <v>130</v>
      </c>
      <c r="AT57" s="445">
        <f t="shared" si="69"/>
        <v>0</v>
      </c>
      <c r="AU57" s="445">
        <f t="shared" si="69"/>
        <v>639</v>
      </c>
      <c r="AV57" s="445">
        <f t="shared" si="69"/>
        <v>639</v>
      </c>
      <c r="AW57" s="445">
        <f t="shared" si="69"/>
        <v>18190</v>
      </c>
      <c r="AX57" s="446">
        <f t="shared" si="69"/>
        <v>0</v>
      </c>
      <c r="AY57" s="446">
        <f t="shared" si="69"/>
        <v>0</v>
      </c>
      <c r="AZ57" s="446">
        <f t="shared" si="69"/>
        <v>0</v>
      </c>
      <c r="BA57" s="446">
        <f t="shared" si="69"/>
        <v>0</v>
      </c>
      <c r="BB57" s="446">
        <f t="shared" si="69"/>
        <v>0.05</v>
      </c>
      <c r="BC57" s="948">
        <f t="shared" si="69"/>
        <v>0</v>
      </c>
      <c r="BD57" s="446">
        <f t="shared" si="69"/>
        <v>0</v>
      </c>
      <c r="BE57" s="446">
        <f t="shared" si="69"/>
        <v>0</v>
      </c>
      <c r="BF57" s="446">
        <f t="shared" si="69"/>
        <v>0</v>
      </c>
      <c r="BG57" s="446">
        <f t="shared" si="69"/>
        <v>0.05</v>
      </c>
      <c r="BH57" s="39">
        <f t="shared" si="69"/>
        <v>0.05</v>
      </c>
      <c r="BI57" s="452">
        <f t="shared" si="69"/>
        <v>20939170</v>
      </c>
      <c r="BJ57" s="445">
        <f t="shared" si="69"/>
        <v>15197021</v>
      </c>
      <c r="BK57" s="445">
        <f t="shared" si="69"/>
        <v>14369442</v>
      </c>
      <c r="BL57" s="445">
        <f t="shared" si="69"/>
        <v>827579</v>
      </c>
      <c r="BM57" s="445">
        <f t="shared" si="69"/>
        <v>170000</v>
      </c>
      <c r="BN57" s="445">
        <f t="shared" si="69"/>
        <v>30000</v>
      </c>
      <c r="BO57" s="445">
        <f t="shared" si="69"/>
        <v>140000</v>
      </c>
      <c r="BP57" s="445">
        <f t="shared" si="69"/>
        <v>5194053</v>
      </c>
      <c r="BQ57" s="445">
        <f t="shared" si="69"/>
        <v>151970</v>
      </c>
      <c r="BR57" s="445">
        <f t="shared" si="69"/>
        <v>226126</v>
      </c>
      <c r="BS57" s="446">
        <f t="shared" si="69"/>
        <v>24.166899999999998</v>
      </c>
      <c r="BT57" s="446">
        <f t="shared" si="69"/>
        <v>21.803600000000003</v>
      </c>
      <c r="BU57" s="39">
        <f t="shared" si="69"/>
        <v>2.3633000000000002</v>
      </c>
      <c r="BV57" s="833">
        <f t="shared" si="69"/>
        <v>0</v>
      </c>
      <c r="BW57" s="715">
        <f t="shared" si="69"/>
        <v>0</v>
      </c>
      <c r="BX57" s="715">
        <f t="shared" si="69"/>
        <v>0</v>
      </c>
      <c r="BY57" s="715">
        <f t="shared" si="69"/>
        <v>0</v>
      </c>
      <c r="BZ57" s="715">
        <f t="shared" si="69"/>
        <v>0</v>
      </c>
      <c r="CA57" s="834">
        <f t="shared" si="69"/>
        <v>0</v>
      </c>
    </row>
    <row r="58" spans="1:79" x14ac:dyDescent="0.2">
      <c r="A58" s="205">
        <v>12</v>
      </c>
      <c r="B58" s="206">
        <v>3405</v>
      </c>
      <c r="C58" s="206">
        <v>600078337</v>
      </c>
      <c r="D58" s="206">
        <v>70698325</v>
      </c>
      <c r="E58" s="204" t="s">
        <v>140</v>
      </c>
      <c r="F58" s="206">
        <v>3111</v>
      </c>
      <c r="G58" s="207" t="s">
        <v>290</v>
      </c>
      <c r="H58" s="612" t="s">
        <v>271</v>
      </c>
      <c r="I58" s="511">
        <v>1585610</v>
      </c>
      <c r="J58" s="415">
        <v>1172307</v>
      </c>
      <c r="K58" s="415">
        <v>1112403</v>
      </c>
      <c r="L58" s="415">
        <v>59904</v>
      </c>
      <c r="M58" s="415">
        <v>0</v>
      </c>
      <c r="N58" s="415">
        <v>0</v>
      </c>
      <c r="O58" s="415">
        <v>0</v>
      </c>
      <c r="P58" s="68">
        <v>396240</v>
      </c>
      <c r="Q58" s="68">
        <v>11723</v>
      </c>
      <c r="R58" s="415">
        <v>5340</v>
      </c>
      <c r="S58" s="416">
        <v>2.1673999999999998</v>
      </c>
      <c r="T58" s="417">
        <v>1.9274</v>
      </c>
      <c r="U58" s="423">
        <v>0.24</v>
      </c>
      <c r="V58" s="424">
        <f t="shared" si="49"/>
        <v>0</v>
      </c>
      <c r="W58" s="418">
        <f t="shared" si="49"/>
        <v>0</v>
      </c>
      <c r="X58" s="418">
        <v>0</v>
      </c>
      <c r="Y58" s="418">
        <v>0</v>
      </c>
      <c r="Z58" s="418">
        <v>0</v>
      </c>
      <c r="AA58" s="415">
        <v>0</v>
      </c>
      <c r="AB58" s="418">
        <v>0</v>
      </c>
      <c r="AC58" s="418">
        <v>0</v>
      </c>
      <c r="AD58" s="418">
        <f t="shared" si="1"/>
        <v>0</v>
      </c>
      <c r="AE58" s="418">
        <f t="shared" si="2"/>
        <v>0</v>
      </c>
      <c r="AF58" s="418">
        <f t="shared" si="3"/>
        <v>0</v>
      </c>
      <c r="AG58" s="418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4"/>
        <v>0</v>
      </c>
      <c r="AM58" s="418">
        <f t="shared" si="5"/>
        <v>0</v>
      </c>
      <c r="AN58" s="418">
        <f t="shared" si="6"/>
        <v>0</v>
      </c>
      <c r="AO58" s="418">
        <f t="shared" si="50"/>
        <v>0</v>
      </c>
      <c r="AP58" s="418">
        <f t="shared" si="50"/>
        <v>0</v>
      </c>
      <c r="AQ58" s="418">
        <f t="shared" si="8"/>
        <v>0</v>
      </c>
      <c r="AR58" s="68">
        <f t="shared" si="9"/>
        <v>0</v>
      </c>
      <c r="AS58" s="68">
        <f t="shared" si="10"/>
        <v>0</v>
      </c>
      <c r="AT58" s="418">
        <v>0</v>
      </c>
      <c r="AU58" s="415">
        <v>0</v>
      </c>
      <c r="AV58" s="418">
        <f t="shared" si="11"/>
        <v>0</v>
      </c>
      <c r="AW58" s="418">
        <f t="shared" si="12"/>
        <v>0</v>
      </c>
      <c r="AX58" s="419">
        <v>0</v>
      </c>
      <c r="AY58" s="419">
        <v>0</v>
      </c>
      <c r="AZ58" s="419">
        <v>0</v>
      </c>
      <c r="BA58" s="419">
        <v>0</v>
      </c>
      <c r="BB58" s="416">
        <v>0</v>
      </c>
      <c r="BC58" s="939">
        <v>0</v>
      </c>
      <c r="BD58" s="419">
        <v>0</v>
      </c>
      <c r="BE58" s="419">
        <v>0</v>
      </c>
      <c r="BF58" s="419">
        <f t="shared" si="13"/>
        <v>0</v>
      </c>
      <c r="BG58" s="419">
        <f t="shared" si="14"/>
        <v>0</v>
      </c>
      <c r="BH58" s="421">
        <f t="shared" si="15"/>
        <v>0</v>
      </c>
      <c r="BI58" s="780">
        <f t="shared" ref="BI58:BI63" si="70">I58+AW58</f>
        <v>1585610</v>
      </c>
      <c r="BJ58" s="418">
        <f t="shared" ref="BJ58:BJ63" si="71">J58+AF58</f>
        <v>1172307</v>
      </c>
      <c r="BK58" s="418">
        <f t="shared" ref="BK58:BL63" si="72">K58+AD58</f>
        <v>1112403</v>
      </c>
      <c r="BL58" s="418">
        <f t="shared" si="72"/>
        <v>59904</v>
      </c>
      <c r="BM58" s="418">
        <f t="shared" ref="BM58:BM63" si="73">M58+AN58</f>
        <v>0</v>
      </c>
      <c r="BN58" s="418">
        <f t="shared" ref="BN58:BO63" si="74">N58+AL58</f>
        <v>0</v>
      </c>
      <c r="BO58" s="418">
        <f t="shared" si="74"/>
        <v>0</v>
      </c>
      <c r="BP58" s="418">
        <f t="shared" ref="BP58:BQ63" si="75">P58+AR58</f>
        <v>396240</v>
      </c>
      <c r="BQ58" s="418">
        <f t="shared" si="75"/>
        <v>11723</v>
      </c>
      <c r="BR58" s="418">
        <f t="shared" ref="BR58:BR63" si="76">R58+AV58</f>
        <v>5340</v>
      </c>
      <c r="BS58" s="419">
        <f t="shared" ref="BS58:BS63" si="77">S58+BH58</f>
        <v>2.1673999999999998</v>
      </c>
      <c r="BT58" s="419">
        <f t="shared" ref="BT58:BU63" si="78">T58+BF58</f>
        <v>1.9274</v>
      </c>
      <c r="BU58" s="421">
        <f t="shared" si="78"/>
        <v>0.24</v>
      </c>
      <c r="BV58" s="420"/>
      <c r="BW58" s="415"/>
      <c r="BX58" s="415"/>
      <c r="BY58" s="415"/>
      <c r="BZ58" s="415"/>
      <c r="CA58" s="510"/>
    </row>
    <row r="59" spans="1:79" x14ac:dyDescent="0.2">
      <c r="A59" s="205">
        <v>12</v>
      </c>
      <c r="B59" s="206">
        <v>3405</v>
      </c>
      <c r="C59" s="206">
        <v>600078337</v>
      </c>
      <c r="D59" s="206">
        <v>70698325</v>
      </c>
      <c r="E59" s="204" t="s">
        <v>140</v>
      </c>
      <c r="F59" s="206">
        <v>3117</v>
      </c>
      <c r="G59" s="207" t="s">
        <v>293</v>
      </c>
      <c r="H59" s="612" t="s">
        <v>271</v>
      </c>
      <c r="I59" s="511">
        <v>1879080</v>
      </c>
      <c r="J59" s="415">
        <v>1375919</v>
      </c>
      <c r="K59" s="415">
        <v>1226634</v>
      </c>
      <c r="L59" s="415">
        <v>149285</v>
      </c>
      <c r="M59" s="415">
        <v>0</v>
      </c>
      <c r="N59" s="415">
        <v>0</v>
      </c>
      <c r="O59" s="415">
        <v>0</v>
      </c>
      <c r="P59" s="68">
        <v>465061</v>
      </c>
      <c r="Q59" s="68">
        <v>13760</v>
      </c>
      <c r="R59" s="415">
        <v>24340</v>
      </c>
      <c r="S59" s="416">
        <v>2.2316000000000003</v>
      </c>
      <c r="T59" s="417">
        <v>1.8182</v>
      </c>
      <c r="U59" s="423">
        <v>0.41339999999999999</v>
      </c>
      <c r="V59" s="424">
        <f t="shared" si="49"/>
        <v>0</v>
      </c>
      <c r="W59" s="418">
        <f t="shared" si="49"/>
        <v>0</v>
      </c>
      <c r="X59" s="418">
        <v>0</v>
      </c>
      <c r="Y59" s="418">
        <v>0</v>
      </c>
      <c r="Z59" s="418">
        <v>0</v>
      </c>
      <c r="AA59" s="415">
        <v>0</v>
      </c>
      <c r="AB59" s="418">
        <v>0</v>
      </c>
      <c r="AC59" s="418">
        <v>0</v>
      </c>
      <c r="AD59" s="418">
        <f t="shared" si="1"/>
        <v>0</v>
      </c>
      <c r="AE59" s="418">
        <f t="shared" si="2"/>
        <v>0</v>
      </c>
      <c r="AF59" s="418">
        <f t="shared" si="3"/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4"/>
        <v>0</v>
      </c>
      <c r="AM59" s="418">
        <f t="shared" si="5"/>
        <v>0</v>
      </c>
      <c r="AN59" s="418">
        <f t="shared" si="6"/>
        <v>0</v>
      </c>
      <c r="AO59" s="418">
        <f t="shared" si="50"/>
        <v>0</v>
      </c>
      <c r="AP59" s="418">
        <f t="shared" si="50"/>
        <v>0</v>
      </c>
      <c r="AQ59" s="418">
        <f t="shared" si="8"/>
        <v>0</v>
      </c>
      <c r="AR59" s="68">
        <f t="shared" si="9"/>
        <v>0</v>
      </c>
      <c r="AS59" s="68">
        <f t="shared" si="10"/>
        <v>0</v>
      </c>
      <c r="AT59" s="418">
        <v>0</v>
      </c>
      <c r="AU59" s="415">
        <v>0</v>
      </c>
      <c r="AV59" s="418">
        <f t="shared" si="11"/>
        <v>0</v>
      </c>
      <c r="AW59" s="418">
        <f t="shared" si="12"/>
        <v>0</v>
      </c>
      <c r="AX59" s="419">
        <v>0</v>
      </c>
      <c r="AY59" s="419">
        <v>0</v>
      </c>
      <c r="AZ59" s="419">
        <v>0</v>
      </c>
      <c r="BA59" s="419">
        <v>0</v>
      </c>
      <c r="BB59" s="416">
        <v>0</v>
      </c>
      <c r="BC59" s="939">
        <v>0</v>
      </c>
      <c r="BD59" s="419">
        <v>0</v>
      </c>
      <c r="BE59" s="419">
        <v>0</v>
      </c>
      <c r="BF59" s="419">
        <f t="shared" si="13"/>
        <v>0</v>
      </c>
      <c r="BG59" s="419">
        <f t="shared" si="14"/>
        <v>0</v>
      </c>
      <c r="BH59" s="421">
        <f t="shared" si="15"/>
        <v>0</v>
      </c>
      <c r="BI59" s="780">
        <f t="shared" si="70"/>
        <v>1879080</v>
      </c>
      <c r="BJ59" s="418">
        <f t="shared" si="71"/>
        <v>1375919</v>
      </c>
      <c r="BK59" s="418">
        <f t="shared" si="72"/>
        <v>1226634</v>
      </c>
      <c r="BL59" s="418">
        <f t="shared" si="72"/>
        <v>149285</v>
      </c>
      <c r="BM59" s="418">
        <f t="shared" si="73"/>
        <v>0</v>
      </c>
      <c r="BN59" s="418">
        <f t="shared" si="74"/>
        <v>0</v>
      </c>
      <c r="BO59" s="418">
        <f t="shared" si="74"/>
        <v>0</v>
      </c>
      <c r="BP59" s="418">
        <f t="shared" si="75"/>
        <v>465061</v>
      </c>
      <c r="BQ59" s="418">
        <f t="shared" si="75"/>
        <v>13760</v>
      </c>
      <c r="BR59" s="418">
        <f t="shared" si="76"/>
        <v>24340</v>
      </c>
      <c r="BS59" s="419">
        <f t="shared" si="77"/>
        <v>2.2316000000000003</v>
      </c>
      <c r="BT59" s="419">
        <f t="shared" si="78"/>
        <v>1.8182</v>
      </c>
      <c r="BU59" s="421">
        <f t="shared" si="78"/>
        <v>0.41339999999999999</v>
      </c>
      <c r="BV59" s="420"/>
      <c r="BW59" s="415"/>
      <c r="BX59" s="415"/>
      <c r="BY59" s="415"/>
      <c r="BZ59" s="415"/>
      <c r="CA59" s="510"/>
    </row>
    <row r="60" spans="1:79" x14ac:dyDescent="0.2">
      <c r="A60" s="205">
        <v>12</v>
      </c>
      <c r="B60" s="206">
        <v>3405</v>
      </c>
      <c r="C60" s="206">
        <v>600078337</v>
      </c>
      <c r="D60" s="206">
        <v>70698325</v>
      </c>
      <c r="E60" s="204" t="s">
        <v>140</v>
      </c>
      <c r="F60" s="206">
        <v>3117</v>
      </c>
      <c r="G60" s="207" t="s">
        <v>291</v>
      </c>
      <c r="H60" s="612" t="s">
        <v>272</v>
      </c>
      <c r="I60" s="511">
        <v>321848</v>
      </c>
      <c r="J60" s="415">
        <v>236905</v>
      </c>
      <c r="K60" s="415">
        <v>236905</v>
      </c>
      <c r="L60" s="415">
        <v>0</v>
      </c>
      <c r="M60" s="415">
        <v>0</v>
      </c>
      <c r="N60" s="415">
        <v>0</v>
      </c>
      <c r="O60" s="415">
        <v>0</v>
      </c>
      <c r="P60" s="68">
        <v>80074</v>
      </c>
      <c r="Q60" s="68">
        <v>2369</v>
      </c>
      <c r="R60" s="415">
        <v>2500</v>
      </c>
      <c r="S60" s="416">
        <v>0.64</v>
      </c>
      <c r="T60" s="417">
        <v>0.64</v>
      </c>
      <c r="U60" s="423">
        <v>0</v>
      </c>
      <c r="V60" s="424">
        <f t="shared" si="49"/>
        <v>0</v>
      </c>
      <c r="W60" s="418">
        <f t="shared" si="49"/>
        <v>0</v>
      </c>
      <c r="X60" s="418">
        <v>0</v>
      </c>
      <c r="Y60" s="418">
        <v>0</v>
      </c>
      <c r="Z60" s="418">
        <v>0</v>
      </c>
      <c r="AA60" s="415">
        <v>0</v>
      </c>
      <c r="AB60" s="418">
        <v>0</v>
      </c>
      <c r="AC60" s="418">
        <v>0</v>
      </c>
      <c r="AD60" s="418">
        <f t="shared" si="1"/>
        <v>0</v>
      </c>
      <c r="AE60" s="418">
        <f t="shared" si="2"/>
        <v>0</v>
      </c>
      <c r="AF60" s="418">
        <f t="shared" si="3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4"/>
        <v>0</v>
      </c>
      <c r="AM60" s="418">
        <f t="shared" si="5"/>
        <v>0</v>
      </c>
      <c r="AN60" s="418">
        <f t="shared" si="6"/>
        <v>0</v>
      </c>
      <c r="AO60" s="418">
        <f t="shared" si="50"/>
        <v>0</v>
      </c>
      <c r="AP60" s="418">
        <f t="shared" si="50"/>
        <v>0</v>
      </c>
      <c r="AQ60" s="418">
        <f t="shared" si="8"/>
        <v>0</v>
      </c>
      <c r="AR60" s="68">
        <f t="shared" si="9"/>
        <v>0</v>
      </c>
      <c r="AS60" s="68">
        <f t="shared" si="10"/>
        <v>0</v>
      </c>
      <c r="AT60" s="418">
        <v>0</v>
      </c>
      <c r="AU60" s="415">
        <v>0</v>
      </c>
      <c r="AV60" s="418">
        <f t="shared" si="11"/>
        <v>0</v>
      </c>
      <c r="AW60" s="418">
        <f t="shared" si="12"/>
        <v>0</v>
      </c>
      <c r="AX60" s="419">
        <v>0</v>
      </c>
      <c r="AY60" s="419">
        <v>0</v>
      </c>
      <c r="AZ60" s="419">
        <v>0</v>
      </c>
      <c r="BA60" s="419">
        <v>0</v>
      </c>
      <c r="BB60" s="416">
        <v>0</v>
      </c>
      <c r="BC60" s="939">
        <v>0</v>
      </c>
      <c r="BD60" s="419">
        <v>0</v>
      </c>
      <c r="BE60" s="419">
        <v>0</v>
      </c>
      <c r="BF60" s="419">
        <f t="shared" si="13"/>
        <v>0</v>
      </c>
      <c r="BG60" s="419">
        <f t="shared" si="14"/>
        <v>0</v>
      </c>
      <c r="BH60" s="421">
        <f t="shared" si="15"/>
        <v>0</v>
      </c>
      <c r="BI60" s="780">
        <f t="shared" si="70"/>
        <v>321848</v>
      </c>
      <c r="BJ60" s="418">
        <f t="shared" si="71"/>
        <v>236905</v>
      </c>
      <c r="BK60" s="418">
        <f t="shared" si="72"/>
        <v>236905</v>
      </c>
      <c r="BL60" s="418">
        <f t="shared" si="72"/>
        <v>0</v>
      </c>
      <c r="BM60" s="418">
        <f t="shared" si="73"/>
        <v>0</v>
      </c>
      <c r="BN60" s="418">
        <f t="shared" si="74"/>
        <v>0</v>
      </c>
      <c r="BO60" s="418">
        <f t="shared" si="74"/>
        <v>0</v>
      </c>
      <c r="BP60" s="418">
        <f t="shared" si="75"/>
        <v>80074</v>
      </c>
      <c r="BQ60" s="418">
        <f t="shared" si="75"/>
        <v>2369</v>
      </c>
      <c r="BR60" s="418">
        <f t="shared" si="76"/>
        <v>2500</v>
      </c>
      <c r="BS60" s="419">
        <f t="shared" si="77"/>
        <v>0.64</v>
      </c>
      <c r="BT60" s="419">
        <f t="shared" si="78"/>
        <v>0.64</v>
      </c>
      <c r="BU60" s="421">
        <f t="shared" si="78"/>
        <v>0</v>
      </c>
      <c r="BV60" s="420"/>
      <c r="BW60" s="415"/>
      <c r="BX60" s="415"/>
      <c r="BY60" s="415"/>
      <c r="BZ60" s="415"/>
      <c r="CA60" s="510"/>
    </row>
    <row r="61" spans="1:79" x14ac:dyDescent="0.2">
      <c r="A61" s="205">
        <v>12</v>
      </c>
      <c r="B61" s="206">
        <v>3405</v>
      </c>
      <c r="C61" s="206">
        <v>600078337</v>
      </c>
      <c r="D61" s="206">
        <v>70698325</v>
      </c>
      <c r="E61" s="204" t="s">
        <v>140</v>
      </c>
      <c r="F61" s="206">
        <v>3141</v>
      </c>
      <c r="G61" s="207" t="s">
        <v>294</v>
      </c>
      <c r="H61" s="612" t="s">
        <v>272</v>
      </c>
      <c r="I61" s="511">
        <v>390973</v>
      </c>
      <c r="J61" s="415">
        <v>289027</v>
      </c>
      <c r="K61" s="415">
        <v>0</v>
      </c>
      <c r="L61" s="415">
        <v>289027</v>
      </c>
      <c r="M61" s="415">
        <v>0</v>
      </c>
      <c r="N61" s="415">
        <v>0</v>
      </c>
      <c r="O61" s="415">
        <v>0</v>
      </c>
      <c r="P61" s="68">
        <v>97691</v>
      </c>
      <c r="Q61" s="68">
        <v>2890</v>
      </c>
      <c r="R61" s="415">
        <v>1365</v>
      </c>
      <c r="S61" s="416">
        <v>0.87</v>
      </c>
      <c r="T61" s="417">
        <v>0</v>
      </c>
      <c r="U61" s="423">
        <v>0.87</v>
      </c>
      <c r="V61" s="424">
        <f t="shared" si="49"/>
        <v>0</v>
      </c>
      <c r="W61" s="418">
        <f t="shared" si="49"/>
        <v>0</v>
      </c>
      <c r="X61" s="418">
        <v>0</v>
      </c>
      <c r="Y61" s="418">
        <v>0</v>
      </c>
      <c r="Z61" s="418">
        <v>0</v>
      </c>
      <c r="AA61" s="605">
        <v>144115</v>
      </c>
      <c r="AB61" s="418">
        <v>0</v>
      </c>
      <c r="AC61" s="418">
        <v>0</v>
      </c>
      <c r="AD61" s="418">
        <f t="shared" si="1"/>
        <v>0</v>
      </c>
      <c r="AE61" s="418">
        <f t="shared" si="2"/>
        <v>144115</v>
      </c>
      <c r="AF61" s="418">
        <f t="shared" si="3"/>
        <v>144115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4"/>
        <v>0</v>
      </c>
      <c r="AM61" s="418">
        <f t="shared" si="5"/>
        <v>0</v>
      </c>
      <c r="AN61" s="418">
        <f t="shared" si="6"/>
        <v>0</v>
      </c>
      <c r="AO61" s="418">
        <f t="shared" si="50"/>
        <v>0</v>
      </c>
      <c r="AP61" s="418">
        <f t="shared" si="50"/>
        <v>144115</v>
      </c>
      <c r="AQ61" s="418">
        <f t="shared" si="8"/>
        <v>144115</v>
      </c>
      <c r="AR61" s="68">
        <f t="shared" si="9"/>
        <v>48711</v>
      </c>
      <c r="AS61" s="68">
        <f t="shared" si="10"/>
        <v>1441</v>
      </c>
      <c r="AT61" s="418">
        <v>0</v>
      </c>
      <c r="AU61" s="605">
        <v>663</v>
      </c>
      <c r="AV61" s="418">
        <f t="shared" si="11"/>
        <v>663</v>
      </c>
      <c r="AW61" s="418">
        <f t="shared" si="12"/>
        <v>194930</v>
      </c>
      <c r="AX61" s="419">
        <v>0</v>
      </c>
      <c r="AY61" s="419">
        <v>0</v>
      </c>
      <c r="AZ61" s="419">
        <v>0</v>
      </c>
      <c r="BA61" s="419">
        <v>0</v>
      </c>
      <c r="BB61" s="607">
        <v>0.43</v>
      </c>
      <c r="BC61" s="939">
        <v>0</v>
      </c>
      <c r="BD61" s="419">
        <v>0</v>
      </c>
      <c r="BE61" s="419">
        <v>0</v>
      </c>
      <c r="BF61" s="419">
        <f t="shared" si="13"/>
        <v>0</v>
      </c>
      <c r="BG61" s="419">
        <f t="shared" si="14"/>
        <v>0.43</v>
      </c>
      <c r="BH61" s="421">
        <f t="shared" si="15"/>
        <v>0.43</v>
      </c>
      <c r="BI61" s="780">
        <f t="shared" si="70"/>
        <v>585903</v>
      </c>
      <c r="BJ61" s="418">
        <f t="shared" si="71"/>
        <v>433142</v>
      </c>
      <c r="BK61" s="418">
        <f t="shared" si="72"/>
        <v>0</v>
      </c>
      <c r="BL61" s="418">
        <f t="shared" si="72"/>
        <v>433142</v>
      </c>
      <c r="BM61" s="418">
        <f t="shared" si="73"/>
        <v>0</v>
      </c>
      <c r="BN61" s="418">
        <f t="shared" si="74"/>
        <v>0</v>
      </c>
      <c r="BO61" s="418">
        <f t="shared" si="74"/>
        <v>0</v>
      </c>
      <c r="BP61" s="418">
        <f t="shared" si="75"/>
        <v>146402</v>
      </c>
      <c r="BQ61" s="418">
        <f t="shared" si="75"/>
        <v>4331</v>
      </c>
      <c r="BR61" s="418">
        <f t="shared" si="76"/>
        <v>2028</v>
      </c>
      <c r="BS61" s="419">
        <f t="shared" si="77"/>
        <v>1.3</v>
      </c>
      <c r="BT61" s="419">
        <f t="shared" si="78"/>
        <v>0</v>
      </c>
      <c r="BU61" s="421">
        <f t="shared" si="78"/>
        <v>1.3</v>
      </c>
      <c r="BV61" s="420"/>
      <c r="BW61" s="415"/>
      <c r="BX61" s="415"/>
      <c r="BY61" s="415"/>
      <c r="BZ61" s="415"/>
      <c r="CA61" s="510"/>
    </row>
    <row r="62" spans="1:79" x14ac:dyDescent="0.2">
      <c r="A62" s="205">
        <v>12</v>
      </c>
      <c r="B62" s="206">
        <v>3405</v>
      </c>
      <c r="C62" s="206">
        <v>600078337</v>
      </c>
      <c r="D62" s="206">
        <v>70698325</v>
      </c>
      <c r="E62" s="204" t="s">
        <v>140</v>
      </c>
      <c r="F62" s="206">
        <v>3143</v>
      </c>
      <c r="G62" s="207" t="s">
        <v>595</v>
      </c>
      <c r="H62" s="614" t="s">
        <v>271</v>
      </c>
      <c r="I62" s="511">
        <v>379630</v>
      </c>
      <c r="J62" s="415">
        <v>281625</v>
      </c>
      <c r="K62" s="415">
        <v>281625</v>
      </c>
      <c r="L62" s="415">
        <v>0</v>
      </c>
      <c r="M62" s="415">
        <v>0</v>
      </c>
      <c r="N62" s="415">
        <v>0</v>
      </c>
      <c r="O62" s="415">
        <v>0</v>
      </c>
      <c r="P62" s="68">
        <v>95189</v>
      </c>
      <c r="Q62" s="68">
        <v>2816</v>
      </c>
      <c r="R62" s="415">
        <v>0</v>
      </c>
      <c r="S62" s="416">
        <v>0.55820000000000003</v>
      </c>
      <c r="T62" s="417">
        <v>0.55820000000000003</v>
      </c>
      <c r="U62" s="423">
        <v>0</v>
      </c>
      <c r="V62" s="424">
        <f t="shared" si="49"/>
        <v>0</v>
      </c>
      <c r="W62" s="418">
        <f t="shared" si="49"/>
        <v>0</v>
      </c>
      <c r="X62" s="418">
        <v>0</v>
      </c>
      <c r="Y62" s="418">
        <v>0</v>
      </c>
      <c r="Z62" s="418">
        <v>0</v>
      </c>
      <c r="AA62" s="415">
        <v>0</v>
      </c>
      <c r="AB62" s="418">
        <v>0</v>
      </c>
      <c r="AC62" s="418">
        <v>0</v>
      </c>
      <c r="AD62" s="418">
        <f t="shared" si="1"/>
        <v>0</v>
      </c>
      <c r="AE62" s="418">
        <f t="shared" si="2"/>
        <v>0</v>
      </c>
      <c r="AF62" s="418">
        <f t="shared" si="3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4"/>
        <v>0</v>
      </c>
      <c r="AM62" s="418">
        <f t="shared" si="5"/>
        <v>0</v>
      </c>
      <c r="AN62" s="418">
        <f t="shared" si="6"/>
        <v>0</v>
      </c>
      <c r="AO62" s="418">
        <f t="shared" si="50"/>
        <v>0</v>
      </c>
      <c r="AP62" s="418">
        <f t="shared" si="50"/>
        <v>0</v>
      </c>
      <c r="AQ62" s="418">
        <f t="shared" si="8"/>
        <v>0</v>
      </c>
      <c r="AR62" s="68">
        <f t="shared" si="9"/>
        <v>0</v>
      </c>
      <c r="AS62" s="68">
        <f t="shared" si="10"/>
        <v>0</v>
      </c>
      <c r="AT62" s="418">
        <v>0</v>
      </c>
      <c r="AU62" s="415">
        <v>0</v>
      </c>
      <c r="AV62" s="418">
        <f t="shared" si="11"/>
        <v>0</v>
      </c>
      <c r="AW62" s="418">
        <f t="shared" si="12"/>
        <v>0</v>
      </c>
      <c r="AX62" s="419">
        <v>0</v>
      </c>
      <c r="AY62" s="419">
        <v>0</v>
      </c>
      <c r="AZ62" s="419">
        <v>0</v>
      </c>
      <c r="BA62" s="419">
        <v>0</v>
      </c>
      <c r="BB62" s="416">
        <v>0</v>
      </c>
      <c r="BC62" s="939">
        <v>0</v>
      </c>
      <c r="BD62" s="419">
        <v>0</v>
      </c>
      <c r="BE62" s="419">
        <v>0</v>
      </c>
      <c r="BF62" s="419">
        <f t="shared" si="13"/>
        <v>0</v>
      </c>
      <c r="BG62" s="419">
        <f t="shared" si="14"/>
        <v>0</v>
      </c>
      <c r="BH62" s="421">
        <f t="shared" si="15"/>
        <v>0</v>
      </c>
      <c r="BI62" s="780">
        <f t="shared" si="70"/>
        <v>379630</v>
      </c>
      <c r="BJ62" s="418">
        <f t="shared" si="71"/>
        <v>281625</v>
      </c>
      <c r="BK62" s="418">
        <f t="shared" si="72"/>
        <v>281625</v>
      </c>
      <c r="BL62" s="418">
        <f t="shared" si="72"/>
        <v>0</v>
      </c>
      <c r="BM62" s="418">
        <f t="shared" si="73"/>
        <v>0</v>
      </c>
      <c r="BN62" s="418">
        <f t="shared" si="74"/>
        <v>0</v>
      </c>
      <c r="BO62" s="418">
        <f t="shared" si="74"/>
        <v>0</v>
      </c>
      <c r="BP62" s="418">
        <f t="shared" si="75"/>
        <v>95189</v>
      </c>
      <c r="BQ62" s="418">
        <f t="shared" si="75"/>
        <v>2816</v>
      </c>
      <c r="BR62" s="418">
        <f t="shared" si="76"/>
        <v>0</v>
      </c>
      <c r="BS62" s="419">
        <f t="shared" si="77"/>
        <v>0.55820000000000003</v>
      </c>
      <c r="BT62" s="419">
        <f t="shared" si="78"/>
        <v>0.55820000000000003</v>
      </c>
      <c r="BU62" s="421">
        <f t="shared" si="78"/>
        <v>0</v>
      </c>
      <c r="BV62" s="420"/>
      <c r="BW62" s="415"/>
      <c r="BX62" s="415"/>
      <c r="BY62" s="415"/>
      <c r="BZ62" s="415"/>
      <c r="CA62" s="510"/>
    </row>
    <row r="63" spans="1:79" x14ac:dyDescent="0.2">
      <c r="A63" s="205">
        <v>12</v>
      </c>
      <c r="B63" s="206">
        <v>3405</v>
      </c>
      <c r="C63" s="206">
        <v>600078337</v>
      </c>
      <c r="D63" s="206">
        <v>70698325</v>
      </c>
      <c r="E63" s="204" t="s">
        <v>140</v>
      </c>
      <c r="F63" s="206">
        <v>3143</v>
      </c>
      <c r="G63" s="207" t="s">
        <v>596</v>
      </c>
      <c r="H63" s="614" t="s">
        <v>272</v>
      </c>
      <c r="I63" s="511">
        <v>10253</v>
      </c>
      <c r="J63" s="415">
        <v>7339</v>
      </c>
      <c r="K63" s="415">
        <v>0</v>
      </c>
      <c r="L63" s="415">
        <v>7339</v>
      </c>
      <c r="M63" s="415">
        <v>0</v>
      </c>
      <c r="N63" s="415">
        <v>0</v>
      </c>
      <c r="O63" s="415">
        <v>0</v>
      </c>
      <c r="P63" s="68">
        <v>2481</v>
      </c>
      <c r="Q63" s="68">
        <v>73</v>
      </c>
      <c r="R63" s="415">
        <v>360</v>
      </c>
      <c r="S63" s="416">
        <v>0.03</v>
      </c>
      <c r="T63" s="417">
        <v>0</v>
      </c>
      <c r="U63" s="423">
        <v>0.03</v>
      </c>
      <c r="V63" s="424">
        <f t="shared" si="49"/>
        <v>0</v>
      </c>
      <c r="W63" s="418">
        <f t="shared" si="49"/>
        <v>0</v>
      </c>
      <c r="X63" s="418">
        <v>0</v>
      </c>
      <c r="Y63" s="418">
        <v>0</v>
      </c>
      <c r="Z63" s="418">
        <v>0</v>
      </c>
      <c r="AA63" s="605">
        <v>3661</v>
      </c>
      <c r="AB63" s="418">
        <v>0</v>
      </c>
      <c r="AC63" s="418">
        <v>0</v>
      </c>
      <c r="AD63" s="418">
        <f t="shared" si="1"/>
        <v>0</v>
      </c>
      <c r="AE63" s="418">
        <f t="shared" si="2"/>
        <v>3661</v>
      </c>
      <c r="AF63" s="418">
        <f t="shared" si="3"/>
        <v>3661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4"/>
        <v>0</v>
      </c>
      <c r="AM63" s="418">
        <f t="shared" si="5"/>
        <v>0</v>
      </c>
      <c r="AN63" s="418">
        <f t="shared" si="6"/>
        <v>0</v>
      </c>
      <c r="AO63" s="418">
        <f t="shared" si="50"/>
        <v>0</v>
      </c>
      <c r="AP63" s="418">
        <f t="shared" si="50"/>
        <v>3661</v>
      </c>
      <c r="AQ63" s="418">
        <f t="shared" si="8"/>
        <v>3661</v>
      </c>
      <c r="AR63" s="68">
        <f t="shared" si="9"/>
        <v>1237</v>
      </c>
      <c r="AS63" s="68">
        <f t="shared" si="10"/>
        <v>37</v>
      </c>
      <c r="AT63" s="418">
        <v>0</v>
      </c>
      <c r="AU63" s="606">
        <v>180</v>
      </c>
      <c r="AV63" s="418">
        <f t="shared" si="11"/>
        <v>180</v>
      </c>
      <c r="AW63" s="418">
        <f t="shared" si="12"/>
        <v>5115</v>
      </c>
      <c r="AX63" s="419">
        <v>0</v>
      </c>
      <c r="AY63" s="419">
        <v>0</v>
      </c>
      <c r="AZ63" s="419">
        <v>0</v>
      </c>
      <c r="BA63" s="419">
        <v>0</v>
      </c>
      <c r="BB63" s="607">
        <v>0.01</v>
      </c>
      <c r="BC63" s="939">
        <v>0</v>
      </c>
      <c r="BD63" s="419">
        <v>0</v>
      </c>
      <c r="BE63" s="419">
        <v>0</v>
      </c>
      <c r="BF63" s="419">
        <f t="shared" si="13"/>
        <v>0</v>
      </c>
      <c r="BG63" s="419">
        <f t="shared" si="14"/>
        <v>0.01</v>
      </c>
      <c r="BH63" s="421">
        <f t="shared" si="15"/>
        <v>0.01</v>
      </c>
      <c r="BI63" s="780">
        <f t="shared" si="70"/>
        <v>15368</v>
      </c>
      <c r="BJ63" s="418">
        <f t="shared" si="71"/>
        <v>11000</v>
      </c>
      <c r="BK63" s="418">
        <f t="shared" si="72"/>
        <v>0</v>
      </c>
      <c r="BL63" s="418">
        <f t="shared" si="72"/>
        <v>11000</v>
      </c>
      <c r="BM63" s="418">
        <f t="shared" si="73"/>
        <v>0</v>
      </c>
      <c r="BN63" s="418">
        <f t="shared" si="74"/>
        <v>0</v>
      </c>
      <c r="BO63" s="418">
        <f t="shared" si="74"/>
        <v>0</v>
      </c>
      <c r="BP63" s="418">
        <f t="shared" si="75"/>
        <v>3718</v>
      </c>
      <c r="BQ63" s="418">
        <f t="shared" si="75"/>
        <v>110</v>
      </c>
      <c r="BR63" s="418">
        <f t="shared" si="76"/>
        <v>540</v>
      </c>
      <c r="BS63" s="419">
        <f t="shared" si="77"/>
        <v>0.04</v>
      </c>
      <c r="BT63" s="419">
        <f t="shared" si="78"/>
        <v>0</v>
      </c>
      <c r="BU63" s="421">
        <f t="shared" si="78"/>
        <v>0.04</v>
      </c>
      <c r="BV63" s="420"/>
      <c r="BW63" s="415"/>
      <c r="BX63" s="415"/>
      <c r="BY63" s="415"/>
      <c r="BZ63" s="415"/>
      <c r="CA63" s="510"/>
    </row>
    <row r="64" spans="1:79" x14ac:dyDescent="0.2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13"/>
      <c r="I64" s="452">
        <v>4567394</v>
      </c>
      <c r="J64" s="445">
        <v>3363122</v>
      </c>
      <c r="K64" s="445">
        <v>2857567</v>
      </c>
      <c r="L64" s="445">
        <v>505555</v>
      </c>
      <c r="M64" s="445">
        <v>0</v>
      </c>
      <c r="N64" s="445">
        <v>0</v>
      </c>
      <c r="O64" s="445">
        <v>0</v>
      </c>
      <c r="P64" s="445">
        <v>1136736</v>
      </c>
      <c r="Q64" s="445">
        <v>33631</v>
      </c>
      <c r="R64" s="445">
        <v>33905</v>
      </c>
      <c r="S64" s="446">
        <v>6.4972000000000003</v>
      </c>
      <c r="T64" s="446">
        <v>4.9438000000000004</v>
      </c>
      <c r="U64" s="450">
        <v>1.5534000000000001</v>
      </c>
      <c r="V64" s="448">
        <f t="shared" ref="V64:CA64" si="79">SUM(V58:V63)</f>
        <v>0</v>
      </c>
      <c r="W64" s="445">
        <f t="shared" si="79"/>
        <v>0</v>
      </c>
      <c r="X64" s="445">
        <f t="shared" si="79"/>
        <v>0</v>
      </c>
      <c r="Y64" s="445">
        <f t="shared" si="79"/>
        <v>0</v>
      </c>
      <c r="Z64" s="445">
        <f t="shared" si="79"/>
        <v>0</v>
      </c>
      <c r="AA64" s="445">
        <f t="shared" si="79"/>
        <v>147776</v>
      </c>
      <c r="AB64" s="445">
        <f t="shared" si="79"/>
        <v>0</v>
      </c>
      <c r="AC64" s="445">
        <f t="shared" si="79"/>
        <v>0</v>
      </c>
      <c r="AD64" s="445">
        <f t="shared" si="79"/>
        <v>0</v>
      </c>
      <c r="AE64" s="445">
        <f t="shared" si="79"/>
        <v>147776</v>
      </c>
      <c r="AF64" s="445">
        <f t="shared" si="79"/>
        <v>147776</v>
      </c>
      <c r="AG64" s="445">
        <f t="shared" si="79"/>
        <v>0</v>
      </c>
      <c r="AH64" s="445">
        <f t="shared" si="79"/>
        <v>0</v>
      </c>
      <c r="AI64" s="445">
        <f t="shared" si="79"/>
        <v>0</v>
      </c>
      <c r="AJ64" s="445">
        <f t="shared" si="79"/>
        <v>0</v>
      </c>
      <c r="AK64" s="445">
        <f t="shared" si="79"/>
        <v>0</v>
      </c>
      <c r="AL64" s="445">
        <f t="shared" si="79"/>
        <v>0</v>
      </c>
      <c r="AM64" s="445">
        <f t="shared" si="79"/>
        <v>0</v>
      </c>
      <c r="AN64" s="445">
        <f t="shared" si="79"/>
        <v>0</v>
      </c>
      <c r="AO64" s="445">
        <f t="shared" si="79"/>
        <v>0</v>
      </c>
      <c r="AP64" s="445">
        <f t="shared" si="79"/>
        <v>147776</v>
      </c>
      <c r="AQ64" s="445">
        <f t="shared" si="79"/>
        <v>147776</v>
      </c>
      <c r="AR64" s="445">
        <f t="shared" si="79"/>
        <v>49948</v>
      </c>
      <c r="AS64" s="445">
        <f t="shared" si="79"/>
        <v>1478</v>
      </c>
      <c r="AT64" s="445">
        <f t="shared" si="79"/>
        <v>0</v>
      </c>
      <c r="AU64" s="445">
        <f t="shared" si="79"/>
        <v>843</v>
      </c>
      <c r="AV64" s="445">
        <f t="shared" si="79"/>
        <v>843</v>
      </c>
      <c r="AW64" s="445">
        <f t="shared" si="79"/>
        <v>200045</v>
      </c>
      <c r="AX64" s="446">
        <f t="shared" si="79"/>
        <v>0</v>
      </c>
      <c r="AY64" s="446">
        <f t="shared" si="79"/>
        <v>0</v>
      </c>
      <c r="AZ64" s="446">
        <f t="shared" si="79"/>
        <v>0</v>
      </c>
      <c r="BA64" s="446">
        <f t="shared" si="79"/>
        <v>0</v>
      </c>
      <c r="BB64" s="446">
        <f t="shared" si="79"/>
        <v>0.44</v>
      </c>
      <c r="BC64" s="948">
        <f t="shared" si="79"/>
        <v>0</v>
      </c>
      <c r="BD64" s="446">
        <f t="shared" si="79"/>
        <v>0</v>
      </c>
      <c r="BE64" s="446">
        <f t="shared" si="79"/>
        <v>0</v>
      </c>
      <c r="BF64" s="446">
        <f t="shared" si="79"/>
        <v>0</v>
      </c>
      <c r="BG64" s="446">
        <f t="shared" si="79"/>
        <v>0.44</v>
      </c>
      <c r="BH64" s="39">
        <f t="shared" si="79"/>
        <v>0.44</v>
      </c>
      <c r="BI64" s="452">
        <f t="shared" si="79"/>
        <v>4767439</v>
      </c>
      <c r="BJ64" s="445">
        <f t="shared" si="79"/>
        <v>3510898</v>
      </c>
      <c r="BK64" s="445">
        <f t="shared" si="79"/>
        <v>2857567</v>
      </c>
      <c r="BL64" s="445">
        <f t="shared" si="79"/>
        <v>653331</v>
      </c>
      <c r="BM64" s="445">
        <f t="shared" si="79"/>
        <v>0</v>
      </c>
      <c r="BN64" s="445">
        <f t="shared" si="79"/>
        <v>0</v>
      </c>
      <c r="BO64" s="445">
        <f t="shared" si="79"/>
        <v>0</v>
      </c>
      <c r="BP64" s="445">
        <f t="shared" si="79"/>
        <v>1186684</v>
      </c>
      <c r="BQ64" s="445">
        <f t="shared" si="79"/>
        <v>35109</v>
      </c>
      <c r="BR64" s="445">
        <f t="shared" si="79"/>
        <v>34748</v>
      </c>
      <c r="BS64" s="446">
        <f t="shared" si="79"/>
        <v>6.9371999999999998</v>
      </c>
      <c r="BT64" s="446">
        <f t="shared" si="79"/>
        <v>4.9438000000000004</v>
      </c>
      <c r="BU64" s="39">
        <f t="shared" si="79"/>
        <v>1.9934000000000001</v>
      </c>
      <c r="BV64" s="833">
        <f t="shared" si="79"/>
        <v>0</v>
      </c>
      <c r="BW64" s="715">
        <f t="shared" si="79"/>
        <v>0</v>
      </c>
      <c r="BX64" s="715">
        <f t="shared" si="79"/>
        <v>0</v>
      </c>
      <c r="BY64" s="715">
        <f t="shared" si="79"/>
        <v>0</v>
      </c>
      <c r="BZ64" s="715">
        <f t="shared" si="79"/>
        <v>0</v>
      </c>
      <c r="CA64" s="834">
        <f t="shared" si="79"/>
        <v>0</v>
      </c>
    </row>
    <row r="65" spans="1:79" x14ac:dyDescent="0.2">
      <c r="A65" s="205">
        <v>13</v>
      </c>
      <c r="B65" s="206">
        <v>3444</v>
      </c>
      <c r="C65" s="206">
        <v>600078086</v>
      </c>
      <c r="D65" s="206">
        <v>16389573</v>
      </c>
      <c r="E65" s="204" t="s">
        <v>142</v>
      </c>
      <c r="F65" s="206">
        <v>3111</v>
      </c>
      <c r="G65" s="207" t="s">
        <v>290</v>
      </c>
      <c r="H65" s="612" t="s">
        <v>271</v>
      </c>
      <c r="I65" s="511">
        <v>3656707</v>
      </c>
      <c r="J65" s="415">
        <v>2691272</v>
      </c>
      <c r="K65" s="415">
        <v>2468152</v>
      </c>
      <c r="L65" s="415">
        <v>223120</v>
      </c>
      <c r="M65" s="415">
        <v>12000</v>
      </c>
      <c r="N65" s="415">
        <v>0</v>
      </c>
      <c r="O65" s="415">
        <v>12000</v>
      </c>
      <c r="P65" s="68">
        <v>913706</v>
      </c>
      <c r="Q65" s="68">
        <v>26913</v>
      </c>
      <c r="R65" s="415">
        <v>12816</v>
      </c>
      <c r="S65" s="416">
        <v>4.7701000000000011</v>
      </c>
      <c r="T65" s="417">
        <v>4</v>
      </c>
      <c r="U65" s="423">
        <v>0.77010000000000001</v>
      </c>
      <c r="V65" s="424">
        <f t="shared" si="49"/>
        <v>0</v>
      </c>
      <c r="W65" s="418">
        <f t="shared" si="49"/>
        <v>0</v>
      </c>
      <c r="X65" s="418">
        <v>0</v>
      </c>
      <c r="Y65" s="418">
        <v>0</v>
      </c>
      <c r="Z65" s="418">
        <v>0</v>
      </c>
      <c r="AA65" s="415">
        <v>0</v>
      </c>
      <c r="AB65" s="418">
        <v>0</v>
      </c>
      <c r="AC65" s="418">
        <v>0</v>
      </c>
      <c r="AD65" s="418">
        <f t="shared" si="1"/>
        <v>0</v>
      </c>
      <c r="AE65" s="418">
        <f t="shared" si="2"/>
        <v>0</v>
      </c>
      <c r="AF65" s="418">
        <f t="shared" si="3"/>
        <v>0</v>
      </c>
      <c r="AG65" s="418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4"/>
        <v>0</v>
      </c>
      <c r="AM65" s="418">
        <f t="shared" si="5"/>
        <v>0</v>
      </c>
      <c r="AN65" s="418">
        <f t="shared" si="6"/>
        <v>0</v>
      </c>
      <c r="AO65" s="418">
        <f t="shared" si="50"/>
        <v>0</v>
      </c>
      <c r="AP65" s="418">
        <f t="shared" si="50"/>
        <v>0</v>
      </c>
      <c r="AQ65" s="418">
        <f t="shared" si="8"/>
        <v>0</v>
      </c>
      <c r="AR65" s="68">
        <f t="shared" si="9"/>
        <v>0</v>
      </c>
      <c r="AS65" s="68">
        <f t="shared" si="10"/>
        <v>0</v>
      </c>
      <c r="AT65" s="418">
        <v>0</v>
      </c>
      <c r="AU65" s="415">
        <v>0</v>
      </c>
      <c r="AV65" s="418">
        <f t="shared" si="11"/>
        <v>0</v>
      </c>
      <c r="AW65" s="418">
        <f t="shared" si="12"/>
        <v>0</v>
      </c>
      <c r="AX65" s="419">
        <v>0</v>
      </c>
      <c r="AY65" s="419">
        <v>0</v>
      </c>
      <c r="AZ65" s="419">
        <v>0</v>
      </c>
      <c r="BA65" s="419">
        <v>0</v>
      </c>
      <c r="BB65" s="416">
        <v>0</v>
      </c>
      <c r="BC65" s="939">
        <v>0</v>
      </c>
      <c r="BD65" s="419">
        <v>0</v>
      </c>
      <c r="BE65" s="419">
        <v>0</v>
      </c>
      <c r="BF65" s="419">
        <f t="shared" si="13"/>
        <v>0</v>
      </c>
      <c r="BG65" s="419">
        <f t="shared" si="14"/>
        <v>0</v>
      </c>
      <c r="BH65" s="421">
        <f t="shared" si="15"/>
        <v>0</v>
      </c>
      <c r="BI65" s="780">
        <f>I65+AW65</f>
        <v>3656707</v>
      </c>
      <c r="BJ65" s="418">
        <f>J65+AF65</f>
        <v>2691272</v>
      </c>
      <c r="BK65" s="418">
        <f>K65+AD65</f>
        <v>2468152</v>
      </c>
      <c r="BL65" s="418">
        <f>L65+AE65</f>
        <v>223120</v>
      </c>
      <c r="BM65" s="418">
        <f>M65+AN65</f>
        <v>12000</v>
      </c>
      <c r="BN65" s="418">
        <f>N65+AL65</f>
        <v>0</v>
      </c>
      <c r="BO65" s="418">
        <f>O65+AM65</f>
        <v>12000</v>
      </c>
      <c r="BP65" s="418">
        <f>P65+AR65</f>
        <v>913706</v>
      </c>
      <c r="BQ65" s="418">
        <f>Q65+AS65</f>
        <v>26913</v>
      </c>
      <c r="BR65" s="418">
        <f>R65+AV65</f>
        <v>12816</v>
      </c>
      <c r="BS65" s="419">
        <f>S65+BH65</f>
        <v>4.7701000000000011</v>
      </c>
      <c r="BT65" s="419">
        <f>T65+BF65</f>
        <v>4</v>
      </c>
      <c r="BU65" s="421">
        <f>U65+BG65</f>
        <v>0.77010000000000001</v>
      </c>
      <c r="BV65" s="420"/>
      <c r="BW65" s="415"/>
      <c r="BX65" s="415"/>
      <c r="BY65" s="415"/>
      <c r="BZ65" s="415"/>
      <c r="CA65" s="510"/>
    </row>
    <row r="66" spans="1:79" x14ac:dyDescent="0.2">
      <c r="A66" s="205">
        <v>13</v>
      </c>
      <c r="B66" s="206">
        <v>3444</v>
      </c>
      <c r="C66" s="206">
        <v>600078086</v>
      </c>
      <c r="D66" s="206">
        <v>16389573</v>
      </c>
      <c r="E66" s="204" t="s">
        <v>142</v>
      </c>
      <c r="F66" s="206">
        <v>3141</v>
      </c>
      <c r="G66" s="207" t="s">
        <v>294</v>
      </c>
      <c r="H66" s="612" t="s">
        <v>272</v>
      </c>
      <c r="I66" s="511">
        <v>451131</v>
      </c>
      <c r="J66" s="415">
        <v>325480</v>
      </c>
      <c r="K66" s="415">
        <v>0</v>
      </c>
      <c r="L66" s="415">
        <v>325480</v>
      </c>
      <c r="M66" s="415">
        <v>8000</v>
      </c>
      <c r="N66" s="415">
        <v>0</v>
      </c>
      <c r="O66" s="415">
        <v>8000</v>
      </c>
      <c r="P66" s="68">
        <v>112716</v>
      </c>
      <c r="Q66" s="68">
        <v>3255</v>
      </c>
      <c r="R66" s="415">
        <v>1680</v>
      </c>
      <c r="S66" s="416">
        <v>1</v>
      </c>
      <c r="T66" s="417">
        <v>0</v>
      </c>
      <c r="U66" s="423">
        <v>1</v>
      </c>
      <c r="V66" s="424">
        <f t="shared" si="49"/>
        <v>0</v>
      </c>
      <c r="W66" s="418">
        <f t="shared" si="49"/>
        <v>0</v>
      </c>
      <c r="X66" s="418">
        <v>0</v>
      </c>
      <c r="Y66" s="418">
        <v>0</v>
      </c>
      <c r="Z66" s="418">
        <v>0</v>
      </c>
      <c r="AA66" s="605">
        <v>166576</v>
      </c>
      <c r="AB66" s="418">
        <v>0</v>
      </c>
      <c r="AC66" s="418">
        <v>0</v>
      </c>
      <c r="AD66" s="418">
        <f t="shared" si="1"/>
        <v>0</v>
      </c>
      <c r="AE66" s="418">
        <f t="shared" si="2"/>
        <v>166576</v>
      </c>
      <c r="AF66" s="418">
        <f t="shared" si="3"/>
        <v>166576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4"/>
        <v>0</v>
      </c>
      <c r="AM66" s="418">
        <f t="shared" si="5"/>
        <v>0</v>
      </c>
      <c r="AN66" s="418">
        <f t="shared" si="6"/>
        <v>0</v>
      </c>
      <c r="AO66" s="418">
        <f t="shared" si="50"/>
        <v>0</v>
      </c>
      <c r="AP66" s="418">
        <f t="shared" si="50"/>
        <v>166576</v>
      </c>
      <c r="AQ66" s="418">
        <f t="shared" si="8"/>
        <v>166576</v>
      </c>
      <c r="AR66" s="68">
        <f t="shared" si="9"/>
        <v>56303</v>
      </c>
      <c r="AS66" s="68">
        <f t="shared" si="10"/>
        <v>1666</v>
      </c>
      <c r="AT66" s="418">
        <v>0</v>
      </c>
      <c r="AU66" s="605">
        <v>816</v>
      </c>
      <c r="AV66" s="418">
        <f t="shared" si="11"/>
        <v>816</v>
      </c>
      <c r="AW66" s="418">
        <f t="shared" si="12"/>
        <v>225361</v>
      </c>
      <c r="AX66" s="419">
        <v>0</v>
      </c>
      <c r="AY66" s="419">
        <v>0</v>
      </c>
      <c r="AZ66" s="419">
        <v>0</v>
      </c>
      <c r="BA66" s="419">
        <v>0</v>
      </c>
      <c r="BB66" s="607">
        <v>0.5</v>
      </c>
      <c r="BC66" s="939">
        <v>0</v>
      </c>
      <c r="BD66" s="419">
        <v>0</v>
      </c>
      <c r="BE66" s="419">
        <v>0</v>
      </c>
      <c r="BF66" s="419">
        <f t="shared" si="13"/>
        <v>0</v>
      </c>
      <c r="BG66" s="419">
        <f t="shared" si="14"/>
        <v>0.5</v>
      </c>
      <c r="BH66" s="421">
        <f t="shared" si="15"/>
        <v>0.5</v>
      </c>
      <c r="BI66" s="780">
        <f>I66+AW66</f>
        <v>676492</v>
      </c>
      <c r="BJ66" s="418">
        <f>J66+AF66</f>
        <v>492056</v>
      </c>
      <c r="BK66" s="418">
        <f>K66+AD66</f>
        <v>0</v>
      </c>
      <c r="BL66" s="418">
        <f>L66+AE66</f>
        <v>492056</v>
      </c>
      <c r="BM66" s="418">
        <f>M66+AN66</f>
        <v>8000</v>
      </c>
      <c r="BN66" s="418">
        <f>N66+AL66</f>
        <v>0</v>
      </c>
      <c r="BO66" s="418">
        <f>O66+AM66</f>
        <v>8000</v>
      </c>
      <c r="BP66" s="418">
        <f>P66+AR66</f>
        <v>169019</v>
      </c>
      <c r="BQ66" s="418">
        <f>Q66+AS66</f>
        <v>4921</v>
      </c>
      <c r="BR66" s="418">
        <f>R66+AV66</f>
        <v>2496</v>
      </c>
      <c r="BS66" s="419">
        <f>S66+BH66</f>
        <v>1.5</v>
      </c>
      <c r="BT66" s="419">
        <f>T66+BF66</f>
        <v>0</v>
      </c>
      <c r="BU66" s="421">
        <f>U66+BG66</f>
        <v>1.5</v>
      </c>
      <c r="BV66" s="420"/>
      <c r="BW66" s="415"/>
      <c r="BX66" s="415"/>
      <c r="BY66" s="415"/>
      <c r="BZ66" s="415"/>
      <c r="CA66" s="510"/>
    </row>
    <row r="67" spans="1:79" x14ac:dyDescent="0.2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13"/>
      <c r="I67" s="452">
        <v>4107838</v>
      </c>
      <c r="J67" s="445">
        <v>3016752</v>
      </c>
      <c r="K67" s="445">
        <v>2468152</v>
      </c>
      <c r="L67" s="445">
        <v>548600</v>
      </c>
      <c r="M67" s="445">
        <v>20000</v>
      </c>
      <c r="N67" s="445">
        <v>0</v>
      </c>
      <c r="O67" s="445">
        <v>20000</v>
      </c>
      <c r="P67" s="445">
        <v>1026422</v>
      </c>
      <c r="Q67" s="445">
        <v>30168</v>
      </c>
      <c r="R67" s="445">
        <v>14496</v>
      </c>
      <c r="S67" s="446">
        <v>5.7701000000000011</v>
      </c>
      <c r="T67" s="446">
        <v>4</v>
      </c>
      <c r="U67" s="450">
        <v>1.7701</v>
      </c>
      <c r="V67" s="448">
        <f t="shared" ref="V67:CA67" si="80">SUM(V65:V66)</f>
        <v>0</v>
      </c>
      <c r="W67" s="445">
        <f t="shared" si="80"/>
        <v>0</v>
      </c>
      <c r="X67" s="445">
        <f t="shared" si="80"/>
        <v>0</v>
      </c>
      <c r="Y67" s="445">
        <f t="shared" si="80"/>
        <v>0</v>
      </c>
      <c r="Z67" s="445">
        <f t="shared" si="80"/>
        <v>0</v>
      </c>
      <c r="AA67" s="445">
        <f t="shared" si="80"/>
        <v>166576</v>
      </c>
      <c r="AB67" s="445">
        <f t="shared" si="80"/>
        <v>0</v>
      </c>
      <c r="AC67" s="445">
        <f t="shared" si="80"/>
        <v>0</v>
      </c>
      <c r="AD67" s="445">
        <f t="shared" si="80"/>
        <v>0</v>
      </c>
      <c r="AE67" s="445">
        <f t="shared" si="80"/>
        <v>166576</v>
      </c>
      <c r="AF67" s="445">
        <f t="shared" si="80"/>
        <v>166576</v>
      </c>
      <c r="AG67" s="445">
        <f t="shared" si="80"/>
        <v>0</v>
      </c>
      <c r="AH67" s="445">
        <f t="shared" si="80"/>
        <v>0</v>
      </c>
      <c r="AI67" s="445">
        <f t="shared" si="80"/>
        <v>0</v>
      </c>
      <c r="AJ67" s="445">
        <f t="shared" si="80"/>
        <v>0</v>
      </c>
      <c r="AK67" s="445">
        <f t="shared" si="80"/>
        <v>0</v>
      </c>
      <c r="AL67" s="445">
        <f t="shared" si="80"/>
        <v>0</v>
      </c>
      <c r="AM67" s="445">
        <f t="shared" si="80"/>
        <v>0</v>
      </c>
      <c r="AN67" s="445">
        <f t="shared" si="80"/>
        <v>0</v>
      </c>
      <c r="AO67" s="445">
        <f t="shared" si="80"/>
        <v>0</v>
      </c>
      <c r="AP67" s="445">
        <f t="shared" si="80"/>
        <v>166576</v>
      </c>
      <c r="AQ67" s="445">
        <f t="shared" si="80"/>
        <v>166576</v>
      </c>
      <c r="AR67" s="445">
        <f t="shared" si="80"/>
        <v>56303</v>
      </c>
      <c r="AS67" s="445">
        <f t="shared" si="80"/>
        <v>1666</v>
      </c>
      <c r="AT67" s="445">
        <f t="shared" si="80"/>
        <v>0</v>
      </c>
      <c r="AU67" s="445">
        <f t="shared" si="80"/>
        <v>816</v>
      </c>
      <c r="AV67" s="445">
        <f t="shared" si="80"/>
        <v>816</v>
      </c>
      <c r="AW67" s="445">
        <f t="shared" si="80"/>
        <v>225361</v>
      </c>
      <c r="AX67" s="446">
        <f t="shared" si="80"/>
        <v>0</v>
      </c>
      <c r="AY67" s="446">
        <f t="shared" si="80"/>
        <v>0</v>
      </c>
      <c r="AZ67" s="446">
        <f t="shared" si="80"/>
        <v>0</v>
      </c>
      <c r="BA67" s="446">
        <f t="shared" si="80"/>
        <v>0</v>
      </c>
      <c r="BB67" s="446">
        <f t="shared" si="80"/>
        <v>0.5</v>
      </c>
      <c r="BC67" s="948">
        <f t="shared" si="80"/>
        <v>0</v>
      </c>
      <c r="BD67" s="446">
        <f t="shared" si="80"/>
        <v>0</v>
      </c>
      <c r="BE67" s="446">
        <f t="shared" si="80"/>
        <v>0</v>
      </c>
      <c r="BF67" s="446">
        <f t="shared" si="80"/>
        <v>0</v>
      </c>
      <c r="BG67" s="446">
        <f t="shared" si="80"/>
        <v>0.5</v>
      </c>
      <c r="BH67" s="39">
        <f t="shared" si="80"/>
        <v>0.5</v>
      </c>
      <c r="BI67" s="452">
        <f t="shared" si="80"/>
        <v>4333199</v>
      </c>
      <c r="BJ67" s="445">
        <f t="shared" si="80"/>
        <v>3183328</v>
      </c>
      <c r="BK67" s="445">
        <f t="shared" si="80"/>
        <v>2468152</v>
      </c>
      <c r="BL67" s="445">
        <f t="shared" si="80"/>
        <v>715176</v>
      </c>
      <c r="BM67" s="445">
        <f t="shared" si="80"/>
        <v>20000</v>
      </c>
      <c r="BN67" s="445">
        <f t="shared" si="80"/>
        <v>0</v>
      </c>
      <c r="BO67" s="445">
        <f t="shared" si="80"/>
        <v>20000</v>
      </c>
      <c r="BP67" s="445">
        <f t="shared" si="80"/>
        <v>1082725</v>
      </c>
      <c r="BQ67" s="445">
        <f t="shared" si="80"/>
        <v>31834</v>
      </c>
      <c r="BR67" s="445">
        <f t="shared" si="80"/>
        <v>15312</v>
      </c>
      <c r="BS67" s="446">
        <f t="shared" si="80"/>
        <v>6.2701000000000011</v>
      </c>
      <c r="BT67" s="446">
        <f t="shared" si="80"/>
        <v>4</v>
      </c>
      <c r="BU67" s="39">
        <f t="shared" si="80"/>
        <v>2.2701000000000002</v>
      </c>
      <c r="BV67" s="833">
        <f t="shared" si="80"/>
        <v>0</v>
      </c>
      <c r="BW67" s="715">
        <f t="shared" si="80"/>
        <v>0</v>
      </c>
      <c r="BX67" s="715">
        <f t="shared" si="80"/>
        <v>0</v>
      </c>
      <c r="BY67" s="715">
        <f t="shared" si="80"/>
        <v>0</v>
      </c>
      <c r="BZ67" s="715">
        <f t="shared" si="80"/>
        <v>0</v>
      </c>
      <c r="CA67" s="834">
        <f t="shared" si="80"/>
        <v>0</v>
      </c>
    </row>
    <row r="68" spans="1:79" x14ac:dyDescent="0.2">
      <c r="A68" s="205">
        <v>14</v>
      </c>
      <c r="B68" s="206">
        <v>3443</v>
      </c>
      <c r="C68" s="206">
        <v>600078582</v>
      </c>
      <c r="D68" s="206">
        <v>16389581</v>
      </c>
      <c r="E68" s="204" t="s">
        <v>144</v>
      </c>
      <c r="F68" s="206">
        <v>3113</v>
      </c>
      <c r="G68" s="207" t="s">
        <v>293</v>
      </c>
      <c r="H68" s="612" t="s">
        <v>271</v>
      </c>
      <c r="I68" s="511">
        <v>13336477</v>
      </c>
      <c r="J68" s="415">
        <v>9709232</v>
      </c>
      <c r="K68" s="415">
        <v>8844054</v>
      </c>
      <c r="L68" s="415">
        <v>865178</v>
      </c>
      <c r="M68" s="415">
        <v>60000</v>
      </c>
      <c r="N68" s="415">
        <v>60000</v>
      </c>
      <c r="O68" s="415">
        <v>0</v>
      </c>
      <c r="P68" s="68">
        <v>3302001</v>
      </c>
      <c r="Q68" s="68">
        <v>97093</v>
      </c>
      <c r="R68" s="415">
        <v>168151</v>
      </c>
      <c r="S68" s="416">
        <v>15.363</v>
      </c>
      <c r="T68" s="417">
        <v>12.89</v>
      </c>
      <c r="U68" s="423">
        <v>2.4729999999999999</v>
      </c>
      <c r="V68" s="424">
        <f t="shared" si="49"/>
        <v>0</v>
      </c>
      <c r="W68" s="418">
        <f t="shared" si="49"/>
        <v>0</v>
      </c>
      <c r="X68" s="418">
        <v>0</v>
      </c>
      <c r="Y68" s="418">
        <v>0</v>
      </c>
      <c r="Z68" s="418">
        <v>0</v>
      </c>
      <c r="AA68" s="415">
        <v>0</v>
      </c>
      <c r="AB68" s="418">
        <v>0</v>
      </c>
      <c r="AC68" s="418">
        <v>0</v>
      </c>
      <c r="AD68" s="418">
        <f t="shared" si="1"/>
        <v>0</v>
      </c>
      <c r="AE68" s="418">
        <f t="shared" si="2"/>
        <v>0</v>
      </c>
      <c r="AF68" s="418">
        <f t="shared" si="3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4"/>
        <v>0</v>
      </c>
      <c r="AM68" s="418">
        <f t="shared" si="5"/>
        <v>0</v>
      </c>
      <c r="AN68" s="418">
        <f t="shared" si="6"/>
        <v>0</v>
      </c>
      <c r="AO68" s="418">
        <f t="shared" si="50"/>
        <v>0</v>
      </c>
      <c r="AP68" s="418">
        <f t="shared" si="50"/>
        <v>0</v>
      </c>
      <c r="AQ68" s="418">
        <f t="shared" si="8"/>
        <v>0</v>
      </c>
      <c r="AR68" s="68">
        <f t="shared" si="9"/>
        <v>0</v>
      </c>
      <c r="AS68" s="68">
        <f t="shared" si="10"/>
        <v>0</v>
      </c>
      <c r="AT68" s="418">
        <v>0</v>
      </c>
      <c r="AU68" s="415">
        <v>0</v>
      </c>
      <c r="AV68" s="418">
        <f t="shared" si="11"/>
        <v>0</v>
      </c>
      <c r="AW68" s="418">
        <f t="shared" si="12"/>
        <v>0</v>
      </c>
      <c r="AX68" s="419">
        <v>0</v>
      </c>
      <c r="AY68" s="419">
        <v>0</v>
      </c>
      <c r="AZ68" s="419">
        <v>0</v>
      </c>
      <c r="BA68" s="419">
        <v>0</v>
      </c>
      <c r="BB68" s="416">
        <v>0</v>
      </c>
      <c r="BC68" s="939">
        <v>0</v>
      </c>
      <c r="BD68" s="419">
        <v>0</v>
      </c>
      <c r="BE68" s="419">
        <v>0</v>
      </c>
      <c r="BF68" s="419">
        <f t="shared" si="13"/>
        <v>0</v>
      </c>
      <c r="BG68" s="419">
        <f t="shared" si="14"/>
        <v>0</v>
      </c>
      <c r="BH68" s="421">
        <f t="shared" si="15"/>
        <v>0</v>
      </c>
      <c r="BI68" s="780">
        <f>I68+AW68</f>
        <v>13336477</v>
      </c>
      <c r="BJ68" s="418">
        <f>J68+AF68</f>
        <v>9709232</v>
      </c>
      <c r="BK68" s="418">
        <f t="shared" ref="BK68:BL72" si="81">K68+AD68</f>
        <v>8844054</v>
      </c>
      <c r="BL68" s="418">
        <f t="shared" si="81"/>
        <v>865178</v>
      </c>
      <c r="BM68" s="418">
        <f>M68+AN68</f>
        <v>60000</v>
      </c>
      <c r="BN68" s="418">
        <f t="shared" ref="BN68:BO72" si="82">N68+AL68</f>
        <v>60000</v>
      </c>
      <c r="BO68" s="418">
        <f t="shared" si="82"/>
        <v>0</v>
      </c>
      <c r="BP68" s="418">
        <f t="shared" ref="BP68:BQ72" si="83">P68+AR68</f>
        <v>3302001</v>
      </c>
      <c r="BQ68" s="418">
        <f t="shared" si="83"/>
        <v>97093</v>
      </c>
      <c r="BR68" s="418">
        <f>R68+AV68</f>
        <v>168151</v>
      </c>
      <c r="BS68" s="419">
        <f>S68+BH68</f>
        <v>15.363</v>
      </c>
      <c r="BT68" s="419">
        <f t="shared" ref="BT68:BU72" si="84">T68+BF68</f>
        <v>12.89</v>
      </c>
      <c r="BU68" s="421">
        <f t="shared" si="84"/>
        <v>2.4729999999999999</v>
      </c>
      <c r="BV68" s="420"/>
      <c r="BW68" s="415"/>
      <c r="BX68" s="415"/>
      <c r="BY68" s="415"/>
      <c r="BZ68" s="415"/>
      <c r="CA68" s="510"/>
    </row>
    <row r="69" spans="1:79" x14ac:dyDescent="0.2">
      <c r="A69" s="205">
        <v>14</v>
      </c>
      <c r="B69" s="206">
        <v>3443</v>
      </c>
      <c r="C69" s="206">
        <v>600078582</v>
      </c>
      <c r="D69" s="206">
        <v>16389581</v>
      </c>
      <c r="E69" s="204" t="s">
        <v>144</v>
      </c>
      <c r="F69" s="206">
        <v>3113</v>
      </c>
      <c r="G69" s="207" t="s">
        <v>291</v>
      </c>
      <c r="H69" s="612" t="s">
        <v>272</v>
      </c>
      <c r="I69" s="511">
        <v>1033055</v>
      </c>
      <c r="J69" s="415">
        <v>766361</v>
      </c>
      <c r="K69" s="415">
        <v>766361</v>
      </c>
      <c r="L69" s="415">
        <v>0</v>
      </c>
      <c r="M69" s="415">
        <v>0</v>
      </c>
      <c r="N69" s="415">
        <v>0</v>
      </c>
      <c r="O69" s="415">
        <v>0</v>
      </c>
      <c r="P69" s="68">
        <v>259030</v>
      </c>
      <c r="Q69" s="68">
        <v>7664</v>
      </c>
      <c r="R69" s="415">
        <v>0</v>
      </c>
      <c r="S69" s="416">
        <v>2.0499999999999998</v>
      </c>
      <c r="T69" s="417">
        <v>2.0499999999999998</v>
      </c>
      <c r="U69" s="423">
        <v>0</v>
      </c>
      <c r="V69" s="424">
        <f t="shared" si="49"/>
        <v>0</v>
      </c>
      <c r="W69" s="418">
        <f t="shared" si="49"/>
        <v>0</v>
      </c>
      <c r="X69" s="418">
        <v>0</v>
      </c>
      <c r="Y69" s="418">
        <v>0</v>
      </c>
      <c r="Z69" s="418">
        <v>0</v>
      </c>
      <c r="AA69" s="415">
        <v>0</v>
      </c>
      <c r="AB69" s="418">
        <v>0</v>
      </c>
      <c r="AC69" s="418">
        <v>0</v>
      </c>
      <c r="AD69" s="418">
        <f t="shared" si="1"/>
        <v>0</v>
      </c>
      <c r="AE69" s="418">
        <f t="shared" si="2"/>
        <v>0</v>
      </c>
      <c r="AF69" s="418">
        <f t="shared" si="3"/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4"/>
        <v>0</v>
      </c>
      <c r="AM69" s="418">
        <f t="shared" si="5"/>
        <v>0</v>
      </c>
      <c r="AN69" s="418">
        <f t="shared" si="6"/>
        <v>0</v>
      </c>
      <c r="AO69" s="418">
        <f t="shared" si="50"/>
        <v>0</v>
      </c>
      <c r="AP69" s="418">
        <f t="shared" si="50"/>
        <v>0</v>
      </c>
      <c r="AQ69" s="418">
        <f t="shared" si="8"/>
        <v>0</v>
      </c>
      <c r="AR69" s="68">
        <f t="shared" si="9"/>
        <v>0</v>
      </c>
      <c r="AS69" s="68">
        <f t="shared" si="10"/>
        <v>0</v>
      </c>
      <c r="AT69" s="418">
        <v>0</v>
      </c>
      <c r="AU69" s="415">
        <v>0</v>
      </c>
      <c r="AV69" s="418">
        <f t="shared" si="11"/>
        <v>0</v>
      </c>
      <c r="AW69" s="418">
        <f t="shared" si="12"/>
        <v>0</v>
      </c>
      <c r="AX69" s="419">
        <v>0</v>
      </c>
      <c r="AY69" s="419">
        <v>0</v>
      </c>
      <c r="AZ69" s="419">
        <v>0</v>
      </c>
      <c r="BA69" s="419">
        <v>0</v>
      </c>
      <c r="BB69" s="416">
        <v>0</v>
      </c>
      <c r="BC69" s="939">
        <v>0</v>
      </c>
      <c r="BD69" s="419">
        <v>0</v>
      </c>
      <c r="BE69" s="419">
        <v>0</v>
      </c>
      <c r="BF69" s="419">
        <f t="shared" si="13"/>
        <v>0</v>
      </c>
      <c r="BG69" s="419">
        <f t="shared" si="14"/>
        <v>0</v>
      </c>
      <c r="BH69" s="421">
        <f t="shared" si="15"/>
        <v>0</v>
      </c>
      <c r="BI69" s="780">
        <f>I69+AW69</f>
        <v>1033055</v>
      </c>
      <c r="BJ69" s="418">
        <f>J69+AF69</f>
        <v>766361</v>
      </c>
      <c r="BK69" s="418">
        <f t="shared" si="81"/>
        <v>766361</v>
      </c>
      <c r="BL69" s="418">
        <f t="shared" si="81"/>
        <v>0</v>
      </c>
      <c r="BM69" s="418">
        <f>M69+AN69</f>
        <v>0</v>
      </c>
      <c r="BN69" s="418">
        <f t="shared" si="82"/>
        <v>0</v>
      </c>
      <c r="BO69" s="418">
        <f t="shared" si="82"/>
        <v>0</v>
      </c>
      <c r="BP69" s="418">
        <f t="shared" si="83"/>
        <v>259030</v>
      </c>
      <c r="BQ69" s="418">
        <f t="shared" si="83"/>
        <v>7664</v>
      </c>
      <c r="BR69" s="418">
        <f>R69+AV69</f>
        <v>0</v>
      </c>
      <c r="BS69" s="419">
        <f>S69+BH69</f>
        <v>2.0499999999999998</v>
      </c>
      <c r="BT69" s="419">
        <f t="shared" si="84"/>
        <v>2.0499999999999998</v>
      </c>
      <c r="BU69" s="421">
        <f t="shared" si="84"/>
        <v>0</v>
      </c>
      <c r="BV69" s="420"/>
      <c r="BW69" s="415"/>
      <c r="BX69" s="415"/>
      <c r="BY69" s="415"/>
      <c r="BZ69" s="415"/>
      <c r="CA69" s="510"/>
    </row>
    <row r="70" spans="1:79" x14ac:dyDescent="0.2">
      <c r="A70" s="205">
        <v>14</v>
      </c>
      <c r="B70" s="206">
        <v>3443</v>
      </c>
      <c r="C70" s="206">
        <v>600078582</v>
      </c>
      <c r="D70" s="206">
        <v>16389581</v>
      </c>
      <c r="E70" s="204" t="s">
        <v>144</v>
      </c>
      <c r="F70" s="206">
        <v>3141</v>
      </c>
      <c r="G70" s="207" t="s">
        <v>294</v>
      </c>
      <c r="H70" s="612" t="s">
        <v>272</v>
      </c>
      <c r="I70" s="511">
        <v>814166</v>
      </c>
      <c r="J70" s="415">
        <v>576264</v>
      </c>
      <c r="K70" s="415">
        <v>0</v>
      </c>
      <c r="L70" s="415">
        <v>576264</v>
      </c>
      <c r="M70" s="415">
        <v>24000</v>
      </c>
      <c r="N70" s="415">
        <v>0</v>
      </c>
      <c r="O70" s="415">
        <v>24000</v>
      </c>
      <c r="P70" s="68">
        <v>202889</v>
      </c>
      <c r="Q70" s="68">
        <v>5763</v>
      </c>
      <c r="R70" s="415">
        <v>5250</v>
      </c>
      <c r="S70" s="416">
        <v>1.8</v>
      </c>
      <c r="T70" s="417">
        <v>0</v>
      </c>
      <c r="U70" s="423">
        <v>1.8</v>
      </c>
      <c r="V70" s="424">
        <f t="shared" si="49"/>
        <v>0</v>
      </c>
      <c r="W70" s="418">
        <f t="shared" si="49"/>
        <v>0</v>
      </c>
      <c r="X70" s="418">
        <v>0</v>
      </c>
      <c r="Y70" s="418">
        <v>0</v>
      </c>
      <c r="Z70" s="418">
        <v>0</v>
      </c>
      <c r="AA70" s="605">
        <v>300454</v>
      </c>
      <c r="AB70" s="418">
        <v>0</v>
      </c>
      <c r="AC70" s="418">
        <v>0</v>
      </c>
      <c r="AD70" s="418">
        <f t="shared" si="1"/>
        <v>0</v>
      </c>
      <c r="AE70" s="418">
        <f t="shared" si="2"/>
        <v>300454</v>
      </c>
      <c r="AF70" s="418">
        <f t="shared" si="3"/>
        <v>300454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4"/>
        <v>0</v>
      </c>
      <c r="AM70" s="418">
        <f t="shared" si="5"/>
        <v>0</v>
      </c>
      <c r="AN70" s="418">
        <f t="shared" si="6"/>
        <v>0</v>
      </c>
      <c r="AO70" s="418">
        <f t="shared" si="50"/>
        <v>0</v>
      </c>
      <c r="AP70" s="418">
        <f t="shared" si="50"/>
        <v>300454</v>
      </c>
      <c r="AQ70" s="418">
        <f t="shared" si="8"/>
        <v>300454</v>
      </c>
      <c r="AR70" s="68">
        <f t="shared" si="9"/>
        <v>101553</v>
      </c>
      <c r="AS70" s="68">
        <f t="shared" si="10"/>
        <v>3005</v>
      </c>
      <c r="AT70" s="418">
        <v>0</v>
      </c>
      <c r="AU70" s="605">
        <v>2550</v>
      </c>
      <c r="AV70" s="418">
        <f t="shared" si="11"/>
        <v>2550</v>
      </c>
      <c r="AW70" s="418">
        <f t="shared" si="12"/>
        <v>407562</v>
      </c>
      <c r="AX70" s="419">
        <v>0</v>
      </c>
      <c r="AY70" s="419">
        <v>0</v>
      </c>
      <c r="AZ70" s="419">
        <v>0</v>
      </c>
      <c r="BA70" s="419">
        <v>0</v>
      </c>
      <c r="BB70" s="607">
        <v>0.90000000000000013</v>
      </c>
      <c r="BC70" s="939">
        <v>0</v>
      </c>
      <c r="BD70" s="419">
        <v>0</v>
      </c>
      <c r="BE70" s="419">
        <v>0</v>
      </c>
      <c r="BF70" s="419">
        <f t="shared" si="13"/>
        <v>0</v>
      </c>
      <c r="BG70" s="419">
        <f t="shared" si="14"/>
        <v>0.90000000000000013</v>
      </c>
      <c r="BH70" s="421">
        <f t="shared" si="15"/>
        <v>0.90000000000000013</v>
      </c>
      <c r="BI70" s="780">
        <f>I70+AW70</f>
        <v>1221728</v>
      </c>
      <c r="BJ70" s="418">
        <f>J70+AF70</f>
        <v>876718</v>
      </c>
      <c r="BK70" s="418">
        <f t="shared" si="81"/>
        <v>0</v>
      </c>
      <c r="BL70" s="418">
        <f t="shared" si="81"/>
        <v>876718</v>
      </c>
      <c r="BM70" s="418">
        <f>M70+AN70</f>
        <v>24000</v>
      </c>
      <c r="BN70" s="418">
        <f t="shared" si="82"/>
        <v>0</v>
      </c>
      <c r="BO70" s="418">
        <f t="shared" si="82"/>
        <v>24000</v>
      </c>
      <c r="BP70" s="418">
        <f t="shared" si="83"/>
        <v>304442</v>
      </c>
      <c r="BQ70" s="418">
        <f t="shared" si="83"/>
        <v>8768</v>
      </c>
      <c r="BR70" s="418">
        <f>R70+AV70</f>
        <v>7800</v>
      </c>
      <c r="BS70" s="419">
        <f>S70+BH70</f>
        <v>2.7</v>
      </c>
      <c r="BT70" s="419">
        <f t="shared" si="84"/>
        <v>0</v>
      </c>
      <c r="BU70" s="421">
        <f t="shared" si="84"/>
        <v>2.7</v>
      </c>
      <c r="BV70" s="420"/>
      <c r="BW70" s="415"/>
      <c r="BX70" s="415"/>
      <c r="BY70" s="415"/>
      <c r="BZ70" s="415"/>
      <c r="CA70" s="510"/>
    </row>
    <row r="71" spans="1:79" x14ac:dyDescent="0.2">
      <c r="A71" s="205">
        <v>14</v>
      </c>
      <c r="B71" s="206">
        <v>3443</v>
      </c>
      <c r="C71" s="206">
        <v>600078582</v>
      </c>
      <c r="D71" s="206">
        <v>16389581</v>
      </c>
      <c r="E71" s="204" t="s">
        <v>144</v>
      </c>
      <c r="F71" s="206">
        <v>3143</v>
      </c>
      <c r="G71" s="207" t="s">
        <v>595</v>
      </c>
      <c r="H71" s="614" t="s">
        <v>271</v>
      </c>
      <c r="I71" s="511">
        <v>880711</v>
      </c>
      <c r="J71" s="415">
        <v>643421</v>
      </c>
      <c r="K71" s="415">
        <v>643421</v>
      </c>
      <c r="L71" s="415">
        <v>0</v>
      </c>
      <c r="M71" s="415">
        <v>10000</v>
      </c>
      <c r="N71" s="415">
        <v>10000</v>
      </c>
      <c r="O71" s="415">
        <v>0</v>
      </c>
      <c r="P71" s="68">
        <v>220856</v>
      </c>
      <c r="Q71" s="68">
        <v>6434</v>
      </c>
      <c r="R71" s="415">
        <v>0</v>
      </c>
      <c r="S71" s="416">
        <v>1.5</v>
      </c>
      <c r="T71" s="417">
        <v>1.5</v>
      </c>
      <c r="U71" s="423">
        <v>0</v>
      </c>
      <c r="V71" s="424">
        <f t="shared" si="49"/>
        <v>0</v>
      </c>
      <c r="W71" s="418">
        <f t="shared" si="49"/>
        <v>0</v>
      </c>
      <c r="X71" s="418">
        <v>0</v>
      </c>
      <c r="Y71" s="418">
        <v>0</v>
      </c>
      <c r="Z71" s="418">
        <v>0</v>
      </c>
      <c r="AA71" s="415">
        <v>0</v>
      </c>
      <c r="AB71" s="418">
        <v>0</v>
      </c>
      <c r="AC71" s="418">
        <v>0</v>
      </c>
      <c r="AD71" s="418">
        <f t="shared" si="1"/>
        <v>0</v>
      </c>
      <c r="AE71" s="418">
        <f t="shared" si="2"/>
        <v>0</v>
      </c>
      <c r="AF71" s="418">
        <f t="shared" si="3"/>
        <v>0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4"/>
        <v>0</v>
      </c>
      <c r="AM71" s="418">
        <f t="shared" si="5"/>
        <v>0</v>
      </c>
      <c r="AN71" s="418">
        <f t="shared" si="6"/>
        <v>0</v>
      </c>
      <c r="AO71" s="418">
        <f t="shared" si="50"/>
        <v>0</v>
      </c>
      <c r="AP71" s="418">
        <f t="shared" si="50"/>
        <v>0</v>
      </c>
      <c r="AQ71" s="418">
        <f t="shared" si="8"/>
        <v>0</v>
      </c>
      <c r="AR71" s="68">
        <f t="shared" si="9"/>
        <v>0</v>
      </c>
      <c r="AS71" s="68">
        <f t="shared" si="10"/>
        <v>0</v>
      </c>
      <c r="AT71" s="418">
        <v>0</v>
      </c>
      <c r="AU71" s="415">
        <v>0</v>
      </c>
      <c r="AV71" s="418">
        <f t="shared" si="11"/>
        <v>0</v>
      </c>
      <c r="AW71" s="418">
        <f t="shared" si="12"/>
        <v>0</v>
      </c>
      <c r="AX71" s="419">
        <v>0</v>
      </c>
      <c r="AY71" s="419">
        <v>0</v>
      </c>
      <c r="AZ71" s="419">
        <v>0</v>
      </c>
      <c r="BA71" s="419">
        <v>0</v>
      </c>
      <c r="BB71" s="416">
        <v>0</v>
      </c>
      <c r="BC71" s="939">
        <v>0</v>
      </c>
      <c r="BD71" s="419">
        <v>0</v>
      </c>
      <c r="BE71" s="419">
        <v>0</v>
      </c>
      <c r="BF71" s="419">
        <f t="shared" si="13"/>
        <v>0</v>
      </c>
      <c r="BG71" s="419">
        <f t="shared" si="14"/>
        <v>0</v>
      </c>
      <c r="BH71" s="421">
        <f t="shared" si="15"/>
        <v>0</v>
      </c>
      <c r="BI71" s="780">
        <f>I71+AW71</f>
        <v>880711</v>
      </c>
      <c r="BJ71" s="418">
        <f>J71+AF71</f>
        <v>643421</v>
      </c>
      <c r="BK71" s="418">
        <f t="shared" si="81"/>
        <v>643421</v>
      </c>
      <c r="BL71" s="418">
        <f t="shared" si="81"/>
        <v>0</v>
      </c>
      <c r="BM71" s="418">
        <f>M71+AN71</f>
        <v>10000</v>
      </c>
      <c r="BN71" s="418">
        <f t="shared" si="82"/>
        <v>10000</v>
      </c>
      <c r="BO71" s="418">
        <f t="shared" si="82"/>
        <v>0</v>
      </c>
      <c r="BP71" s="418">
        <f t="shared" si="83"/>
        <v>220856</v>
      </c>
      <c r="BQ71" s="418">
        <f t="shared" si="83"/>
        <v>6434</v>
      </c>
      <c r="BR71" s="418">
        <f>R71+AV71</f>
        <v>0</v>
      </c>
      <c r="BS71" s="419">
        <f>S71+BH71</f>
        <v>1.5</v>
      </c>
      <c r="BT71" s="419">
        <f t="shared" si="84"/>
        <v>1.5</v>
      </c>
      <c r="BU71" s="421">
        <f t="shared" si="84"/>
        <v>0</v>
      </c>
      <c r="BV71" s="420"/>
      <c r="BW71" s="415"/>
      <c r="BX71" s="415"/>
      <c r="BY71" s="415"/>
      <c r="BZ71" s="415"/>
      <c r="CA71" s="510"/>
    </row>
    <row r="72" spans="1:79" x14ac:dyDescent="0.2">
      <c r="A72" s="205">
        <v>14</v>
      </c>
      <c r="B72" s="206">
        <v>3443</v>
      </c>
      <c r="C72" s="206">
        <v>600078582</v>
      </c>
      <c r="D72" s="206">
        <v>16389581</v>
      </c>
      <c r="E72" s="204" t="s">
        <v>144</v>
      </c>
      <c r="F72" s="206">
        <v>3143</v>
      </c>
      <c r="G72" s="207" t="s">
        <v>596</v>
      </c>
      <c r="H72" s="614" t="s">
        <v>272</v>
      </c>
      <c r="I72" s="511">
        <v>24601</v>
      </c>
      <c r="J72" s="415">
        <v>17609</v>
      </c>
      <c r="K72" s="415">
        <v>0</v>
      </c>
      <c r="L72" s="415">
        <v>17609</v>
      </c>
      <c r="M72" s="415">
        <v>0</v>
      </c>
      <c r="N72" s="415">
        <v>0</v>
      </c>
      <c r="O72" s="415">
        <v>0</v>
      </c>
      <c r="P72" s="68">
        <v>5952</v>
      </c>
      <c r="Q72" s="68">
        <v>176</v>
      </c>
      <c r="R72" s="415">
        <v>864</v>
      </c>
      <c r="S72" s="416">
        <v>7.0000000000000007E-2</v>
      </c>
      <c r="T72" s="417">
        <v>0</v>
      </c>
      <c r="U72" s="423">
        <v>7.0000000000000007E-2</v>
      </c>
      <c r="V72" s="424">
        <f t="shared" si="49"/>
        <v>0</v>
      </c>
      <c r="W72" s="418">
        <f t="shared" si="49"/>
        <v>0</v>
      </c>
      <c r="X72" s="418">
        <v>0</v>
      </c>
      <c r="Y72" s="418">
        <v>0</v>
      </c>
      <c r="Z72" s="418">
        <v>0</v>
      </c>
      <c r="AA72" s="605">
        <v>8791</v>
      </c>
      <c r="AB72" s="418">
        <v>0</v>
      </c>
      <c r="AC72" s="418">
        <v>0</v>
      </c>
      <c r="AD72" s="418">
        <f t="shared" si="1"/>
        <v>0</v>
      </c>
      <c r="AE72" s="418">
        <f t="shared" si="2"/>
        <v>8791</v>
      </c>
      <c r="AF72" s="418">
        <f t="shared" si="3"/>
        <v>8791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4"/>
        <v>0</v>
      </c>
      <c r="AM72" s="418">
        <f t="shared" si="5"/>
        <v>0</v>
      </c>
      <c r="AN72" s="418">
        <f t="shared" si="6"/>
        <v>0</v>
      </c>
      <c r="AO72" s="418">
        <f t="shared" si="50"/>
        <v>0</v>
      </c>
      <c r="AP72" s="418">
        <f t="shared" si="50"/>
        <v>8791</v>
      </c>
      <c r="AQ72" s="418">
        <f t="shared" si="8"/>
        <v>8791</v>
      </c>
      <c r="AR72" s="68">
        <f t="shared" si="9"/>
        <v>2971</v>
      </c>
      <c r="AS72" s="68">
        <f t="shared" si="10"/>
        <v>88</v>
      </c>
      <c r="AT72" s="418">
        <v>0</v>
      </c>
      <c r="AU72" s="606">
        <v>432</v>
      </c>
      <c r="AV72" s="418">
        <f t="shared" si="11"/>
        <v>432</v>
      </c>
      <c r="AW72" s="418">
        <f t="shared" si="12"/>
        <v>12282</v>
      </c>
      <c r="AX72" s="419">
        <v>0</v>
      </c>
      <c r="AY72" s="419">
        <v>0</v>
      </c>
      <c r="AZ72" s="419">
        <v>0</v>
      </c>
      <c r="BA72" s="419">
        <v>0</v>
      </c>
      <c r="BB72" s="607">
        <v>0.03</v>
      </c>
      <c r="BC72" s="939">
        <v>0</v>
      </c>
      <c r="BD72" s="419">
        <v>0</v>
      </c>
      <c r="BE72" s="419">
        <v>0</v>
      </c>
      <c r="BF72" s="419">
        <f t="shared" si="13"/>
        <v>0</v>
      </c>
      <c r="BG72" s="419">
        <f t="shared" si="14"/>
        <v>0.03</v>
      </c>
      <c r="BH72" s="421">
        <f t="shared" si="15"/>
        <v>0.03</v>
      </c>
      <c r="BI72" s="780">
        <f>I72+AW72</f>
        <v>36883</v>
      </c>
      <c r="BJ72" s="418">
        <f>J72+AF72</f>
        <v>26400</v>
      </c>
      <c r="BK72" s="418">
        <f t="shared" si="81"/>
        <v>0</v>
      </c>
      <c r="BL72" s="418">
        <f t="shared" si="81"/>
        <v>26400</v>
      </c>
      <c r="BM72" s="418">
        <f>M72+AN72</f>
        <v>0</v>
      </c>
      <c r="BN72" s="418">
        <f t="shared" si="82"/>
        <v>0</v>
      </c>
      <c r="BO72" s="418">
        <f t="shared" si="82"/>
        <v>0</v>
      </c>
      <c r="BP72" s="418">
        <f t="shared" si="83"/>
        <v>8923</v>
      </c>
      <c r="BQ72" s="418">
        <f t="shared" si="83"/>
        <v>264</v>
      </c>
      <c r="BR72" s="418">
        <f>R72+AV72</f>
        <v>1296</v>
      </c>
      <c r="BS72" s="419">
        <f>S72+BH72</f>
        <v>0.1</v>
      </c>
      <c r="BT72" s="419">
        <f t="shared" si="84"/>
        <v>0</v>
      </c>
      <c r="BU72" s="421">
        <f t="shared" si="84"/>
        <v>0.1</v>
      </c>
      <c r="BV72" s="420"/>
      <c r="BW72" s="415"/>
      <c r="BX72" s="415"/>
      <c r="BY72" s="415"/>
      <c r="BZ72" s="415"/>
      <c r="CA72" s="510"/>
    </row>
    <row r="73" spans="1:79" ht="13.5" thickBot="1" x14ac:dyDescent="0.25">
      <c r="A73" s="159">
        <v>14</v>
      </c>
      <c r="B73" s="33">
        <v>3443</v>
      </c>
      <c r="C73" s="33">
        <v>600078582</v>
      </c>
      <c r="D73" s="33">
        <v>16389581</v>
      </c>
      <c r="E73" s="234" t="s">
        <v>145</v>
      </c>
      <c r="F73" s="33"/>
      <c r="G73" s="160"/>
      <c r="H73" s="615"/>
      <c r="I73" s="954">
        <v>16089010</v>
      </c>
      <c r="J73" s="955">
        <v>11712887</v>
      </c>
      <c r="K73" s="955">
        <v>10253836</v>
      </c>
      <c r="L73" s="955">
        <v>1459051</v>
      </c>
      <c r="M73" s="955">
        <v>94000</v>
      </c>
      <c r="N73" s="955">
        <v>70000</v>
      </c>
      <c r="O73" s="955">
        <v>24000</v>
      </c>
      <c r="P73" s="955">
        <v>3990728</v>
      </c>
      <c r="Q73" s="955">
        <v>117130</v>
      </c>
      <c r="R73" s="955">
        <v>174265</v>
      </c>
      <c r="S73" s="956">
        <v>20.783000000000001</v>
      </c>
      <c r="T73" s="956">
        <v>16.440000000000001</v>
      </c>
      <c r="U73" s="957">
        <v>4.343</v>
      </c>
      <c r="V73" s="958">
        <f t="shared" ref="V73:CA73" si="85">SUM(V68:V72)</f>
        <v>0</v>
      </c>
      <c r="W73" s="955">
        <f t="shared" si="85"/>
        <v>0</v>
      </c>
      <c r="X73" s="955">
        <f t="shared" si="85"/>
        <v>0</v>
      </c>
      <c r="Y73" s="955">
        <f t="shared" si="85"/>
        <v>0</v>
      </c>
      <c r="Z73" s="955">
        <f t="shared" si="85"/>
        <v>0</v>
      </c>
      <c r="AA73" s="955">
        <f t="shared" si="85"/>
        <v>309245</v>
      </c>
      <c r="AB73" s="955">
        <f t="shared" si="85"/>
        <v>0</v>
      </c>
      <c r="AC73" s="955">
        <f t="shared" si="85"/>
        <v>0</v>
      </c>
      <c r="AD73" s="955">
        <f t="shared" si="85"/>
        <v>0</v>
      </c>
      <c r="AE73" s="955">
        <f t="shared" si="85"/>
        <v>309245</v>
      </c>
      <c r="AF73" s="955">
        <f t="shared" si="85"/>
        <v>309245</v>
      </c>
      <c r="AG73" s="955">
        <f t="shared" si="85"/>
        <v>0</v>
      </c>
      <c r="AH73" s="955">
        <f t="shared" si="85"/>
        <v>0</v>
      </c>
      <c r="AI73" s="955">
        <f t="shared" si="85"/>
        <v>0</v>
      </c>
      <c r="AJ73" s="955">
        <f t="shared" si="85"/>
        <v>0</v>
      </c>
      <c r="AK73" s="955">
        <f t="shared" si="85"/>
        <v>0</v>
      </c>
      <c r="AL73" s="955">
        <f t="shared" si="85"/>
        <v>0</v>
      </c>
      <c r="AM73" s="955">
        <f t="shared" si="85"/>
        <v>0</v>
      </c>
      <c r="AN73" s="955">
        <f t="shared" si="85"/>
        <v>0</v>
      </c>
      <c r="AO73" s="955">
        <f t="shared" si="85"/>
        <v>0</v>
      </c>
      <c r="AP73" s="955">
        <f t="shared" si="85"/>
        <v>309245</v>
      </c>
      <c r="AQ73" s="955">
        <f t="shared" si="85"/>
        <v>309245</v>
      </c>
      <c r="AR73" s="955">
        <f t="shared" si="85"/>
        <v>104524</v>
      </c>
      <c r="AS73" s="955">
        <f t="shared" si="85"/>
        <v>3093</v>
      </c>
      <c r="AT73" s="955">
        <f t="shared" si="85"/>
        <v>0</v>
      </c>
      <c r="AU73" s="955">
        <f t="shared" si="85"/>
        <v>2982</v>
      </c>
      <c r="AV73" s="955">
        <f t="shared" si="85"/>
        <v>2982</v>
      </c>
      <c r="AW73" s="955">
        <f t="shared" si="85"/>
        <v>419844</v>
      </c>
      <c r="AX73" s="956">
        <f t="shared" si="85"/>
        <v>0</v>
      </c>
      <c r="AY73" s="956">
        <f t="shared" si="85"/>
        <v>0</v>
      </c>
      <c r="AZ73" s="956">
        <f t="shared" si="85"/>
        <v>0</v>
      </c>
      <c r="BA73" s="956">
        <f t="shared" si="85"/>
        <v>0</v>
      </c>
      <c r="BB73" s="956">
        <f t="shared" si="85"/>
        <v>0.93000000000000016</v>
      </c>
      <c r="BC73" s="959">
        <f t="shared" si="85"/>
        <v>0</v>
      </c>
      <c r="BD73" s="956">
        <f t="shared" si="85"/>
        <v>0</v>
      </c>
      <c r="BE73" s="956">
        <f t="shared" si="85"/>
        <v>0</v>
      </c>
      <c r="BF73" s="956">
        <f t="shared" si="85"/>
        <v>0</v>
      </c>
      <c r="BG73" s="956">
        <f t="shared" si="85"/>
        <v>0.93000000000000016</v>
      </c>
      <c r="BH73" s="960">
        <f t="shared" si="85"/>
        <v>0.93000000000000016</v>
      </c>
      <c r="BI73" s="954">
        <f t="shared" si="85"/>
        <v>16508854</v>
      </c>
      <c r="BJ73" s="955">
        <f t="shared" si="85"/>
        <v>12022132</v>
      </c>
      <c r="BK73" s="955">
        <f t="shared" si="85"/>
        <v>10253836</v>
      </c>
      <c r="BL73" s="955">
        <f t="shared" si="85"/>
        <v>1768296</v>
      </c>
      <c r="BM73" s="955">
        <f t="shared" si="85"/>
        <v>94000</v>
      </c>
      <c r="BN73" s="955">
        <f t="shared" si="85"/>
        <v>70000</v>
      </c>
      <c r="BO73" s="955">
        <f t="shared" si="85"/>
        <v>24000</v>
      </c>
      <c r="BP73" s="955">
        <f t="shared" si="85"/>
        <v>4095252</v>
      </c>
      <c r="BQ73" s="955">
        <f t="shared" si="85"/>
        <v>120223</v>
      </c>
      <c r="BR73" s="955">
        <f t="shared" si="85"/>
        <v>177247</v>
      </c>
      <c r="BS73" s="956">
        <f t="shared" si="85"/>
        <v>21.713000000000001</v>
      </c>
      <c r="BT73" s="956">
        <f t="shared" si="85"/>
        <v>16.440000000000001</v>
      </c>
      <c r="BU73" s="960">
        <f t="shared" si="85"/>
        <v>5.2729999999999997</v>
      </c>
      <c r="BV73" s="838">
        <f t="shared" si="85"/>
        <v>0</v>
      </c>
      <c r="BW73" s="719">
        <f t="shared" si="85"/>
        <v>0</v>
      </c>
      <c r="BX73" s="719">
        <f t="shared" si="85"/>
        <v>0</v>
      </c>
      <c r="BY73" s="719">
        <f t="shared" si="85"/>
        <v>0</v>
      </c>
      <c r="BZ73" s="719">
        <f t="shared" si="85"/>
        <v>0</v>
      </c>
      <c r="CA73" s="839">
        <f t="shared" si="85"/>
        <v>0</v>
      </c>
    </row>
    <row r="74" spans="1:79" ht="13.5" thickBot="1" x14ac:dyDescent="0.25">
      <c r="A74" s="161"/>
      <c r="B74" s="30"/>
      <c r="C74" s="30"/>
      <c r="D74" s="30"/>
      <c r="E74" s="85" t="s">
        <v>752</v>
      </c>
      <c r="F74" s="30"/>
      <c r="G74" s="162"/>
      <c r="H74" s="616"/>
      <c r="I74" s="456">
        <f t="shared" ref="I74:BT74" si="86">I15+I19+I23+I25+I32+I38+I40+I43+I48+I52+I57+I64+I67+I73</f>
        <v>153814187</v>
      </c>
      <c r="J74" s="460">
        <f t="shared" si="86"/>
        <v>112439701</v>
      </c>
      <c r="K74" s="460">
        <f t="shared" si="86"/>
        <v>99169392</v>
      </c>
      <c r="L74" s="460">
        <f t="shared" si="86"/>
        <v>13270309</v>
      </c>
      <c r="M74" s="460">
        <f t="shared" si="86"/>
        <v>714120</v>
      </c>
      <c r="N74" s="460">
        <f t="shared" si="86"/>
        <v>405520</v>
      </c>
      <c r="O74" s="460">
        <f t="shared" si="86"/>
        <v>308600</v>
      </c>
      <c r="P74" s="460">
        <f t="shared" si="86"/>
        <v>38245992</v>
      </c>
      <c r="Q74" s="460">
        <f t="shared" si="86"/>
        <v>1124400</v>
      </c>
      <c r="R74" s="460">
        <f t="shared" si="86"/>
        <v>1289974</v>
      </c>
      <c r="S74" s="585">
        <f t="shared" si="86"/>
        <v>203.5899</v>
      </c>
      <c r="T74" s="585">
        <f t="shared" si="86"/>
        <v>163.27980000000002</v>
      </c>
      <c r="U74" s="586">
        <f t="shared" si="86"/>
        <v>40.310100000000006</v>
      </c>
      <c r="V74" s="460">
        <f t="shared" si="86"/>
        <v>0</v>
      </c>
      <c r="W74" s="460">
        <f t="shared" si="86"/>
        <v>0</v>
      </c>
      <c r="X74" s="460">
        <f t="shared" si="86"/>
        <v>-12379</v>
      </c>
      <c r="Y74" s="460">
        <f t="shared" si="86"/>
        <v>0</v>
      </c>
      <c r="Z74" s="460">
        <f t="shared" si="86"/>
        <v>0</v>
      </c>
      <c r="AA74" s="460">
        <f t="shared" si="86"/>
        <v>3288921</v>
      </c>
      <c r="AB74" s="460">
        <f t="shared" si="86"/>
        <v>0</v>
      </c>
      <c r="AC74" s="460">
        <f t="shared" si="86"/>
        <v>0</v>
      </c>
      <c r="AD74" s="460">
        <f t="shared" si="86"/>
        <v>-12379</v>
      </c>
      <c r="AE74" s="460">
        <f t="shared" si="86"/>
        <v>3288921</v>
      </c>
      <c r="AF74" s="460">
        <f t="shared" si="86"/>
        <v>3276542</v>
      </c>
      <c r="AG74" s="460">
        <f t="shared" si="86"/>
        <v>0</v>
      </c>
      <c r="AH74" s="460">
        <f t="shared" si="86"/>
        <v>0</v>
      </c>
      <c r="AI74" s="460">
        <f t="shared" si="86"/>
        <v>0</v>
      </c>
      <c r="AJ74" s="460">
        <f t="shared" si="86"/>
        <v>0</v>
      </c>
      <c r="AK74" s="460">
        <f t="shared" si="86"/>
        <v>0</v>
      </c>
      <c r="AL74" s="460">
        <f t="shared" si="86"/>
        <v>0</v>
      </c>
      <c r="AM74" s="460">
        <f t="shared" si="86"/>
        <v>0</v>
      </c>
      <c r="AN74" s="460">
        <f t="shared" si="86"/>
        <v>0</v>
      </c>
      <c r="AO74" s="460">
        <f t="shared" si="86"/>
        <v>-12379</v>
      </c>
      <c r="AP74" s="460">
        <f t="shared" si="86"/>
        <v>3288921</v>
      </c>
      <c r="AQ74" s="460">
        <f t="shared" si="86"/>
        <v>3276542</v>
      </c>
      <c r="AR74" s="460">
        <f t="shared" si="86"/>
        <v>1107470</v>
      </c>
      <c r="AS74" s="460">
        <f t="shared" si="86"/>
        <v>32765</v>
      </c>
      <c r="AT74" s="460">
        <f t="shared" si="86"/>
        <v>0</v>
      </c>
      <c r="AU74" s="460">
        <f t="shared" si="86"/>
        <v>27298</v>
      </c>
      <c r="AV74" s="460">
        <f t="shared" si="86"/>
        <v>27298</v>
      </c>
      <c r="AW74" s="460">
        <f t="shared" si="86"/>
        <v>4444075</v>
      </c>
      <c r="AX74" s="585">
        <f t="shared" si="86"/>
        <v>0</v>
      </c>
      <c r="AY74" s="585">
        <f t="shared" si="86"/>
        <v>0</v>
      </c>
      <c r="AZ74" s="585">
        <f t="shared" si="86"/>
        <v>-0.03</v>
      </c>
      <c r="BA74" s="585">
        <f t="shared" si="86"/>
        <v>0</v>
      </c>
      <c r="BB74" s="585">
        <f t="shared" si="86"/>
        <v>9.92</v>
      </c>
      <c r="BC74" s="585">
        <f t="shared" si="86"/>
        <v>0</v>
      </c>
      <c r="BD74" s="585">
        <f t="shared" si="86"/>
        <v>0</v>
      </c>
      <c r="BE74" s="585">
        <f t="shared" si="86"/>
        <v>0</v>
      </c>
      <c r="BF74" s="585">
        <f t="shared" si="86"/>
        <v>-0.03</v>
      </c>
      <c r="BG74" s="585">
        <f t="shared" si="86"/>
        <v>9.92</v>
      </c>
      <c r="BH74" s="952">
        <f t="shared" si="86"/>
        <v>9.89</v>
      </c>
      <c r="BI74" s="456">
        <f t="shared" si="86"/>
        <v>158258262</v>
      </c>
      <c r="BJ74" s="460">
        <f t="shared" si="86"/>
        <v>115716243</v>
      </c>
      <c r="BK74" s="460">
        <f t="shared" si="86"/>
        <v>99157013</v>
      </c>
      <c r="BL74" s="460">
        <f t="shared" si="86"/>
        <v>16559230</v>
      </c>
      <c r="BM74" s="460">
        <f t="shared" si="86"/>
        <v>714120</v>
      </c>
      <c r="BN74" s="460">
        <f t="shared" si="86"/>
        <v>405520</v>
      </c>
      <c r="BO74" s="460">
        <f t="shared" si="86"/>
        <v>308600</v>
      </c>
      <c r="BP74" s="460">
        <f t="shared" si="86"/>
        <v>39353462</v>
      </c>
      <c r="BQ74" s="460">
        <f t="shared" si="86"/>
        <v>1157165</v>
      </c>
      <c r="BR74" s="460">
        <f t="shared" si="86"/>
        <v>1317272</v>
      </c>
      <c r="BS74" s="585">
        <f t="shared" si="86"/>
        <v>213.47989999999999</v>
      </c>
      <c r="BT74" s="585">
        <f t="shared" si="86"/>
        <v>163.24979999999999</v>
      </c>
      <c r="BU74" s="586">
        <f t="shared" ref="BU74:CA74" si="87">BU15+BU19+BU23+BU25+BU32+BU38+BU40+BU43+BU48+BU52+BU57+BU64+BU67+BU73</f>
        <v>50.230100000000007</v>
      </c>
      <c r="BV74" s="717">
        <f t="shared" si="87"/>
        <v>380136</v>
      </c>
      <c r="BW74" s="718">
        <f t="shared" si="87"/>
        <v>282000</v>
      </c>
      <c r="BX74" s="718">
        <f t="shared" si="87"/>
        <v>0</v>
      </c>
      <c r="BY74" s="718">
        <f t="shared" si="87"/>
        <v>95316</v>
      </c>
      <c r="BZ74" s="718">
        <f t="shared" si="87"/>
        <v>2820</v>
      </c>
      <c r="CA74" s="837">
        <f t="shared" si="87"/>
        <v>0.5</v>
      </c>
    </row>
    <row r="75" spans="1:79" x14ac:dyDescent="0.2">
      <c r="D75" s="9"/>
      <c r="E75" s="5"/>
      <c r="F75" s="9"/>
      <c r="G75" s="20"/>
      <c r="H75" s="5"/>
      <c r="I75" s="428">
        <f>J74+M74+P74+Q74+R74</f>
        <v>153814187</v>
      </c>
      <c r="J75" s="428">
        <f>SUM(K74:L74)</f>
        <v>112439701</v>
      </c>
      <c r="K75" s="428"/>
      <c r="L75" s="428"/>
      <c r="M75" s="428">
        <f>SUM(N74:O74)</f>
        <v>714120</v>
      </c>
      <c r="N75" s="428"/>
      <c r="O75" s="428"/>
      <c r="P75" s="428"/>
      <c r="Q75" s="428"/>
      <c r="R75" s="428"/>
      <c r="S75" s="429">
        <f>SUM(T74:U74)</f>
        <v>203.58990000000003</v>
      </c>
      <c r="T75" s="429"/>
      <c r="U75" s="429"/>
      <c r="V75" s="428">
        <f>AG74</f>
        <v>0</v>
      </c>
      <c r="W75" s="428">
        <f>AH74</f>
        <v>0</v>
      </c>
      <c r="X75" s="429"/>
      <c r="Y75" s="429"/>
      <c r="Z75" s="429"/>
      <c r="AA75" s="429"/>
      <c r="AB75" s="429"/>
      <c r="AC75" s="429"/>
      <c r="AD75" s="430"/>
      <c r="AE75" s="430"/>
      <c r="AF75" s="430">
        <f>SUM(AD74:AE74)</f>
        <v>3276542</v>
      </c>
      <c r="AG75" s="430">
        <f>V74</f>
        <v>0</v>
      </c>
      <c r="AH75" s="430">
        <f>W74</f>
        <v>0</v>
      </c>
      <c r="AI75" s="431"/>
      <c r="AJ75" s="431"/>
      <c r="AK75" s="431"/>
      <c r="AL75" s="430"/>
      <c r="AM75" s="430"/>
      <c r="AN75" s="430">
        <f>SUM(AL74:AM74)</f>
        <v>0</v>
      </c>
      <c r="AO75" s="430"/>
      <c r="AP75" s="430"/>
      <c r="AQ75" s="430">
        <f>SUM(AO74:AP74)</f>
        <v>3276542</v>
      </c>
      <c r="AR75" s="432"/>
      <c r="AS75" s="432"/>
      <c r="AT75" s="431"/>
      <c r="AU75" s="431"/>
      <c r="AV75" s="430">
        <f>SUM(AT74:AU74)</f>
        <v>27298</v>
      </c>
      <c r="AW75" s="430">
        <f>AF74+AN74+AR74+AS74+AV74</f>
        <v>4444075</v>
      </c>
      <c r="AX75" s="433"/>
      <c r="AY75" s="433"/>
      <c r="AZ75" s="433"/>
      <c r="BA75" s="433"/>
      <c r="BB75" s="433"/>
      <c r="BC75" s="433"/>
      <c r="BD75" s="433"/>
      <c r="BE75" s="433"/>
      <c r="BF75" s="508">
        <f>AX74+AZ74+BA74+BC74+BD74</f>
        <v>-0.03</v>
      </c>
      <c r="BG75" s="508">
        <f>AY74+BB74+BE74</f>
        <v>9.92</v>
      </c>
      <c r="BH75" s="508">
        <f>SUM(BF74:BG74)</f>
        <v>9.89</v>
      </c>
      <c r="BI75" s="428">
        <f>BJ74+BM74+BP74+BQ74+BR74</f>
        <v>158258262</v>
      </c>
      <c r="BJ75" s="428">
        <f>SUM(BK74:BL74)</f>
        <v>115716243</v>
      </c>
      <c r="BK75" s="430">
        <f>K74+AD74</f>
        <v>99157013</v>
      </c>
      <c r="BL75" s="430">
        <f>L74+AE74</f>
        <v>16559230</v>
      </c>
      <c r="BM75" s="86">
        <f>SUM(BN74:BO74)</f>
        <v>714120</v>
      </c>
      <c r="BN75" s="430">
        <f>N74+AL74</f>
        <v>405520</v>
      </c>
      <c r="BO75" s="430">
        <f>O74+AM74</f>
        <v>308600</v>
      </c>
      <c r="BP75" s="430">
        <f>P74+AR74</f>
        <v>39353462</v>
      </c>
      <c r="BQ75" s="430">
        <f>Q74+AS74</f>
        <v>1157165</v>
      </c>
      <c r="BR75" s="430">
        <f>R74+AV74</f>
        <v>1317272</v>
      </c>
      <c r="BS75" s="429">
        <f>SUM(BT74:BU74)</f>
        <v>213.47989999999999</v>
      </c>
      <c r="BT75" s="508">
        <f>T74+BF74</f>
        <v>163.24980000000002</v>
      </c>
      <c r="BU75" s="508">
        <f>U74+BG74</f>
        <v>50.230100000000007</v>
      </c>
      <c r="BV75" s="235">
        <f>SUM(BW74:BZ74)</f>
        <v>380136</v>
      </c>
    </row>
    <row r="76" spans="1:79" ht="13.5" thickBot="1" x14ac:dyDescent="0.25">
      <c r="D76" s="9"/>
      <c r="E76" s="5"/>
      <c r="F76" s="9"/>
      <c r="G76" s="20"/>
      <c r="H76" s="5"/>
      <c r="I76" s="428">
        <f>J77+M77+P77+Q77+R77</f>
        <v>153814187</v>
      </c>
      <c r="J76" s="428">
        <f>SUM(K77:L77)</f>
        <v>112439701</v>
      </c>
      <c r="K76" s="428"/>
      <c r="L76" s="428"/>
      <c r="M76" s="428">
        <f>SUM(N77:O77)</f>
        <v>714120</v>
      </c>
      <c r="N76" s="428"/>
      <c r="O76" s="428"/>
      <c r="P76" s="428"/>
      <c r="Q76" s="428"/>
      <c r="R76" s="428"/>
      <c r="S76" s="429">
        <f>SUM(T77:U77)</f>
        <v>203.58990000000003</v>
      </c>
      <c r="T76" s="429"/>
      <c r="U76" s="429"/>
      <c r="V76" s="428">
        <f>AG77</f>
        <v>0</v>
      </c>
      <c r="W76" s="428">
        <f>AH77</f>
        <v>0</v>
      </c>
      <c r="X76" s="429"/>
      <c r="Y76" s="429"/>
      <c r="Z76" s="429"/>
      <c r="AA76" s="429"/>
      <c r="AB76" s="429"/>
      <c r="AC76" s="429"/>
      <c r="AD76" s="430"/>
      <c r="AE76" s="430"/>
      <c r="AF76" s="430">
        <f>SUM(AD77:AE77)</f>
        <v>3276542</v>
      </c>
      <c r="AG76" s="430"/>
      <c r="AH76" s="430"/>
      <c r="AI76" s="431"/>
      <c r="AJ76" s="431"/>
      <c r="AK76" s="431"/>
      <c r="AL76" s="430"/>
      <c r="AM76" s="430"/>
      <c r="AN76" s="430">
        <f>SUM(AL77:AM77)</f>
        <v>0</v>
      </c>
      <c r="AO76" s="430"/>
      <c r="AP76" s="430"/>
      <c r="AQ76" s="430">
        <f>SUM(AO77:AP77)</f>
        <v>3276542</v>
      </c>
      <c r="AR76" s="432"/>
      <c r="AS76" s="432"/>
      <c r="AT76" s="431"/>
      <c r="AU76" s="431"/>
      <c r="AV76" s="430">
        <f>SUM(AT77:AU77)</f>
        <v>27298</v>
      </c>
      <c r="AW76" s="430">
        <f>AF77+AN77+AR77+AS77+AV77</f>
        <v>4444075</v>
      </c>
      <c r="AX76" s="433"/>
      <c r="AY76" s="433"/>
      <c r="AZ76" s="433"/>
      <c r="BA76" s="433"/>
      <c r="BB76" s="433"/>
      <c r="BC76" s="433"/>
      <c r="BD76" s="433"/>
      <c r="BE76" s="433"/>
      <c r="BF76" s="508">
        <f>AX77+AZ77+BA77+BC77+BD77</f>
        <v>-0.03</v>
      </c>
      <c r="BG76" s="508">
        <f>AY77+BB77+BE77</f>
        <v>9.92</v>
      </c>
      <c r="BH76" s="508">
        <f>SUM(BF77:BG77)</f>
        <v>9.89</v>
      </c>
      <c r="BI76" s="428">
        <f>BJ77+BM77+BP77+BQ77+BR77</f>
        <v>158258262</v>
      </c>
      <c r="BJ76" s="428">
        <f>SUM(BK77:BL77)</f>
        <v>115716243</v>
      </c>
      <c r="BK76" s="53"/>
      <c r="BL76" s="53"/>
      <c r="BM76" s="86">
        <f>SUM(BN77:BO77)</f>
        <v>714120</v>
      </c>
      <c r="BN76" s="53"/>
      <c r="BO76" s="53"/>
      <c r="BP76" s="53"/>
      <c r="BQ76" s="53"/>
      <c r="BR76" s="53"/>
      <c r="BS76" s="429">
        <f>SUM(BT77:BU77)</f>
        <v>213.47990000000001</v>
      </c>
      <c r="BT76" s="87"/>
      <c r="BU76" s="87"/>
      <c r="BV76" s="235">
        <f>SUM(BW77:BZ77)</f>
        <v>380136</v>
      </c>
    </row>
    <row r="77" spans="1:79" ht="13.5" thickBot="1" x14ac:dyDescent="0.25">
      <c r="D77" s="9"/>
      <c r="E77" s="5"/>
      <c r="F77" s="9"/>
      <c r="G77" s="20"/>
      <c r="H77" s="475" t="s">
        <v>0</v>
      </c>
      <c r="I77" s="139">
        <f t="shared" ref="I77:BT77" si="88">SUM(I78:I87)</f>
        <v>153814187</v>
      </c>
      <c r="J77" s="34">
        <f t="shared" si="88"/>
        <v>112439701</v>
      </c>
      <c r="K77" s="34">
        <f t="shared" si="88"/>
        <v>99169392</v>
      </c>
      <c r="L77" s="34">
        <f t="shared" si="88"/>
        <v>13270309</v>
      </c>
      <c r="M77" s="34">
        <f t="shared" si="88"/>
        <v>714120</v>
      </c>
      <c r="N77" s="34">
        <f t="shared" si="88"/>
        <v>405520</v>
      </c>
      <c r="O77" s="34">
        <f t="shared" si="88"/>
        <v>308600</v>
      </c>
      <c r="P77" s="34">
        <f t="shared" si="88"/>
        <v>38245992</v>
      </c>
      <c r="Q77" s="34">
        <f t="shared" si="88"/>
        <v>1124400</v>
      </c>
      <c r="R77" s="34">
        <f t="shared" si="88"/>
        <v>1289974</v>
      </c>
      <c r="S77" s="35">
        <f t="shared" si="88"/>
        <v>203.5899</v>
      </c>
      <c r="T77" s="35">
        <f t="shared" si="88"/>
        <v>163.27980000000002</v>
      </c>
      <c r="U77" s="36">
        <f t="shared" si="88"/>
        <v>40.310099999999998</v>
      </c>
      <c r="V77" s="149">
        <f t="shared" si="88"/>
        <v>0</v>
      </c>
      <c r="W77" s="34">
        <f t="shared" si="88"/>
        <v>0</v>
      </c>
      <c r="X77" s="34">
        <f t="shared" si="88"/>
        <v>-12379</v>
      </c>
      <c r="Y77" s="34">
        <f t="shared" si="88"/>
        <v>0</v>
      </c>
      <c r="Z77" s="34">
        <f t="shared" si="88"/>
        <v>0</v>
      </c>
      <c r="AA77" s="34">
        <f t="shared" si="88"/>
        <v>3288921</v>
      </c>
      <c r="AB77" s="34">
        <f t="shared" si="88"/>
        <v>0</v>
      </c>
      <c r="AC77" s="34">
        <f t="shared" si="88"/>
        <v>0</v>
      </c>
      <c r="AD77" s="34">
        <f t="shared" si="88"/>
        <v>-12379</v>
      </c>
      <c r="AE77" s="34">
        <f t="shared" si="88"/>
        <v>3288921</v>
      </c>
      <c r="AF77" s="34">
        <f t="shared" si="88"/>
        <v>3276542</v>
      </c>
      <c r="AG77" s="34">
        <f t="shared" si="88"/>
        <v>0</v>
      </c>
      <c r="AH77" s="34">
        <f t="shared" si="88"/>
        <v>0</v>
      </c>
      <c r="AI77" s="34">
        <f t="shared" si="88"/>
        <v>0</v>
      </c>
      <c r="AJ77" s="34">
        <f t="shared" si="88"/>
        <v>0</v>
      </c>
      <c r="AK77" s="34">
        <f t="shared" si="88"/>
        <v>0</v>
      </c>
      <c r="AL77" s="34">
        <f t="shared" si="88"/>
        <v>0</v>
      </c>
      <c r="AM77" s="34">
        <f t="shared" si="88"/>
        <v>0</v>
      </c>
      <c r="AN77" s="34">
        <f t="shared" si="88"/>
        <v>0</v>
      </c>
      <c r="AO77" s="34">
        <f t="shared" si="88"/>
        <v>-12379</v>
      </c>
      <c r="AP77" s="34">
        <f t="shared" si="88"/>
        <v>3288921</v>
      </c>
      <c r="AQ77" s="34">
        <f t="shared" si="88"/>
        <v>3276542</v>
      </c>
      <c r="AR77" s="34">
        <f t="shared" si="88"/>
        <v>1107470</v>
      </c>
      <c r="AS77" s="34">
        <f t="shared" si="88"/>
        <v>32765</v>
      </c>
      <c r="AT77" s="34">
        <f t="shared" si="88"/>
        <v>0</v>
      </c>
      <c r="AU77" s="34">
        <f t="shared" si="88"/>
        <v>27298</v>
      </c>
      <c r="AV77" s="34">
        <f t="shared" si="88"/>
        <v>27298</v>
      </c>
      <c r="AW77" s="34">
        <f t="shared" si="88"/>
        <v>4444075</v>
      </c>
      <c r="AX77" s="35">
        <f t="shared" si="88"/>
        <v>0</v>
      </c>
      <c r="AY77" s="35">
        <f t="shared" si="88"/>
        <v>0</v>
      </c>
      <c r="AZ77" s="35">
        <f t="shared" si="88"/>
        <v>-0.03</v>
      </c>
      <c r="BA77" s="35">
        <f t="shared" si="88"/>
        <v>0</v>
      </c>
      <c r="BB77" s="35">
        <f t="shared" si="88"/>
        <v>9.92</v>
      </c>
      <c r="BC77" s="35">
        <f t="shared" si="88"/>
        <v>0</v>
      </c>
      <c r="BD77" s="35">
        <f t="shared" si="88"/>
        <v>0</v>
      </c>
      <c r="BE77" s="35">
        <f t="shared" si="88"/>
        <v>0</v>
      </c>
      <c r="BF77" s="35">
        <f t="shared" si="88"/>
        <v>-0.03</v>
      </c>
      <c r="BG77" s="35">
        <f t="shared" si="88"/>
        <v>9.92</v>
      </c>
      <c r="BH77" s="148">
        <f t="shared" si="88"/>
        <v>9.89</v>
      </c>
      <c r="BI77" s="139">
        <f t="shared" si="88"/>
        <v>158258262</v>
      </c>
      <c r="BJ77" s="34">
        <f t="shared" si="88"/>
        <v>115716243</v>
      </c>
      <c r="BK77" s="34">
        <f t="shared" si="88"/>
        <v>99157013</v>
      </c>
      <c r="BL77" s="34">
        <f t="shared" si="88"/>
        <v>16559230</v>
      </c>
      <c r="BM77" s="34">
        <f t="shared" si="88"/>
        <v>714120</v>
      </c>
      <c r="BN77" s="34">
        <f t="shared" si="88"/>
        <v>405520</v>
      </c>
      <c r="BO77" s="34">
        <f t="shared" si="88"/>
        <v>308600</v>
      </c>
      <c r="BP77" s="34">
        <f t="shared" si="88"/>
        <v>39353462</v>
      </c>
      <c r="BQ77" s="34">
        <f t="shared" si="88"/>
        <v>1157165</v>
      </c>
      <c r="BR77" s="34">
        <f t="shared" si="88"/>
        <v>1317272</v>
      </c>
      <c r="BS77" s="35">
        <f t="shared" si="88"/>
        <v>213.47989999999999</v>
      </c>
      <c r="BT77" s="35">
        <f t="shared" si="88"/>
        <v>163.24980000000002</v>
      </c>
      <c r="BU77" s="148">
        <f t="shared" ref="BU77:CA77" si="89">SUM(BU78:BU87)</f>
        <v>50.2301</v>
      </c>
      <c r="BV77" s="676">
        <f t="shared" si="89"/>
        <v>380136</v>
      </c>
      <c r="BW77" s="672">
        <f t="shared" si="89"/>
        <v>282000</v>
      </c>
      <c r="BX77" s="672">
        <f t="shared" si="89"/>
        <v>0</v>
      </c>
      <c r="BY77" s="672">
        <f t="shared" si="89"/>
        <v>95316</v>
      </c>
      <c r="BZ77" s="672">
        <f t="shared" si="89"/>
        <v>2820</v>
      </c>
      <c r="CA77" s="677">
        <f t="shared" si="89"/>
        <v>0.5</v>
      </c>
    </row>
    <row r="78" spans="1:79" x14ac:dyDescent="0.2">
      <c r="D78" s="9"/>
      <c r="E78" s="5"/>
      <c r="F78" s="9"/>
      <c r="G78" s="20"/>
      <c r="H78" s="474">
        <v>3111</v>
      </c>
      <c r="I78" s="489">
        <f t="shared" ref="I78:BV78" si="90">SUMIF($F$12:$F$463,"=3111",I$12:I$463)</f>
        <v>31459002</v>
      </c>
      <c r="J78" s="490">
        <f t="shared" si="90"/>
        <v>23158192</v>
      </c>
      <c r="K78" s="490">
        <f t="shared" si="90"/>
        <v>21363633</v>
      </c>
      <c r="L78" s="490">
        <f t="shared" si="90"/>
        <v>1794559</v>
      </c>
      <c r="M78" s="490">
        <f t="shared" si="90"/>
        <v>102000</v>
      </c>
      <c r="N78" s="490">
        <f t="shared" si="90"/>
        <v>80000</v>
      </c>
      <c r="O78" s="490">
        <f t="shared" si="90"/>
        <v>22000</v>
      </c>
      <c r="P78" s="490">
        <f t="shared" si="90"/>
        <v>7861945</v>
      </c>
      <c r="Q78" s="490">
        <f t="shared" si="90"/>
        <v>231583</v>
      </c>
      <c r="R78" s="490">
        <f t="shared" si="90"/>
        <v>105282</v>
      </c>
      <c r="S78" s="493">
        <f t="shared" si="90"/>
        <v>45.505699999999997</v>
      </c>
      <c r="T78" s="493">
        <f t="shared" si="90"/>
        <v>39.321899999999999</v>
      </c>
      <c r="U78" s="496">
        <f t="shared" si="90"/>
        <v>6.1838000000000006</v>
      </c>
      <c r="V78" s="491">
        <f t="shared" si="90"/>
        <v>0</v>
      </c>
      <c r="W78" s="490">
        <f t="shared" si="90"/>
        <v>0</v>
      </c>
      <c r="X78" s="490">
        <f t="shared" si="90"/>
        <v>0</v>
      </c>
      <c r="Y78" s="490">
        <f t="shared" si="90"/>
        <v>0</v>
      </c>
      <c r="Z78" s="490">
        <f t="shared" si="90"/>
        <v>0</v>
      </c>
      <c r="AA78" s="490">
        <f t="shared" si="90"/>
        <v>0</v>
      </c>
      <c r="AB78" s="490">
        <f t="shared" si="90"/>
        <v>0</v>
      </c>
      <c r="AC78" s="490">
        <f t="shared" si="90"/>
        <v>0</v>
      </c>
      <c r="AD78" s="490">
        <f t="shared" si="90"/>
        <v>0</v>
      </c>
      <c r="AE78" s="490">
        <f t="shared" si="90"/>
        <v>0</v>
      </c>
      <c r="AF78" s="490">
        <f t="shared" si="90"/>
        <v>0</v>
      </c>
      <c r="AG78" s="490">
        <f t="shared" si="90"/>
        <v>0</v>
      </c>
      <c r="AH78" s="490">
        <f t="shared" si="90"/>
        <v>0</v>
      </c>
      <c r="AI78" s="490">
        <f t="shared" si="90"/>
        <v>0</v>
      </c>
      <c r="AJ78" s="490">
        <f t="shared" si="90"/>
        <v>0</v>
      </c>
      <c r="AK78" s="490">
        <f t="shared" si="90"/>
        <v>0</v>
      </c>
      <c r="AL78" s="490">
        <f t="shared" si="90"/>
        <v>0</v>
      </c>
      <c r="AM78" s="490">
        <f t="shared" si="90"/>
        <v>0</v>
      </c>
      <c r="AN78" s="490">
        <f t="shared" si="90"/>
        <v>0</v>
      </c>
      <c r="AO78" s="490">
        <f t="shared" si="90"/>
        <v>0</v>
      </c>
      <c r="AP78" s="490">
        <f t="shared" si="90"/>
        <v>0</v>
      </c>
      <c r="AQ78" s="490">
        <f t="shared" si="90"/>
        <v>0</v>
      </c>
      <c r="AR78" s="490">
        <f t="shared" si="90"/>
        <v>0</v>
      </c>
      <c r="AS78" s="490">
        <f t="shared" si="90"/>
        <v>0</v>
      </c>
      <c r="AT78" s="490">
        <f t="shared" si="90"/>
        <v>0</v>
      </c>
      <c r="AU78" s="490">
        <f t="shared" si="90"/>
        <v>0</v>
      </c>
      <c r="AV78" s="490">
        <f t="shared" si="90"/>
        <v>0</v>
      </c>
      <c r="AW78" s="490">
        <f t="shared" si="90"/>
        <v>0</v>
      </c>
      <c r="AX78" s="493">
        <f t="shared" si="90"/>
        <v>0</v>
      </c>
      <c r="AY78" s="493">
        <f t="shared" si="90"/>
        <v>0</v>
      </c>
      <c r="AZ78" s="493">
        <f t="shared" si="90"/>
        <v>0</v>
      </c>
      <c r="BA78" s="493">
        <f t="shared" si="90"/>
        <v>0</v>
      </c>
      <c r="BB78" s="493">
        <f t="shared" si="90"/>
        <v>0</v>
      </c>
      <c r="BC78" s="493">
        <f t="shared" si="90"/>
        <v>0</v>
      </c>
      <c r="BD78" s="493">
        <f t="shared" si="90"/>
        <v>0</v>
      </c>
      <c r="BE78" s="493">
        <f t="shared" si="90"/>
        <v>0</v>
      </c>
      <c r="BF78" s="493">
        <f t="shared" si="90"/>
        <v>0</v>
      </c>
      <c r="BG78" s="493">
        <f t="shared" si="90"/>
        <v>0</v>
      </c>
      <c r="BH78" s="494">
        <f t="shared" si="90"/>
        <v>0</v>
      </c>
      <c r="BI78" s="489">
        <f t="shared" si="90"/>
        <v>31459002</v>
      </c>
      <c r="BJ78" s="490">
        <f t="shared" si="90"/>
        <v>23158192</v>
      </c>
      <c r="BK78" s="490">
        <f t="shared" si="90"/>
        <v>21363633</v>
      </c>
      <c r="BL78" s="490">
        <f t="shared" si="90"/>
        <v>1794559</v>
      </c>
      <c r="BM78" s="490">
        <f t="shared" si="90"/>
        <v>102000</v>
      </c>
      <c r="BN78" s="490">
        <f t="shared" si="90"/>
        <v>80000</v>
      </c>
      <c r="BO78" s="490">
        <f t="shared" si="90"/>
        <v>22000</v>
      </c>
      <c r="BP78" s="490">
        <f t="shared" si="90"/>
        <v>7861945</v>
      </c>
      <c r="BQ78" s="490">
        <f t="shared" si="90"/>
        <v>231583</v>
      </c>
      <c r="BR78" s="490">
        <f t="shared" si="90"/>
        <v>105282</v>
      </c>
      <c r="BS78" s="493">
        <f t="shared" si="90"/>
        <v>45.505699999999997</v>
      </c>
      <c r="BT78" s="493">
        <f t="shared" si="90"/>
        <v>39.321899999999999</v>
      </c>
      <c r="BU78" s="494">
        <f t="shared" si="90"/>
        <v>6.1838000000000006</v>
      </c>
      <c r="BV78" s="489">
        <f t="shared" si="90"/>
        <v>0</v>
      </c>
      <c r="BW78" s="490">
        <f t="shared" ref="BW78:CA78" si="91">SUMIF($F$12:$F$463,"=3111",BW$12:BW$463)</f>
        <v>0</v>
      </c>
      <c r="BX78" s="490">
        <f t="shared" si="91"/>
        <v>0</v>
      </c>
      <c r="BY78" s="490">
        <f t="shared" si="91"/>
        <v>0</v>
      </c>
      <c r="BZ78" s="490">
        <f t="shared" si="91"/>
        <v>0</v>
      </c>
      <c r="CA78" s="496">
        <f t="shared" si="91"/>
        <v>0</v>
      </c>
    </row>
    <row r="79" spans="1:79" x14ac:dyDescent="0.2">
      <c r="D79" s="9"/>
      <c r="E79" s="5"/>
      <c r="F79" s="9"/>
      <c r="G79" s="20"/>
      <c r="H79" s="19">
        <v>3113</v>
      </c>
      <c r="I79" s="167">
        <f t="shared" ref="I79:BV79" si="92">SUMIF($F$12:$F$463,"=3113",I$12:I$463)</f>
        <v>83926114</v>
      </c>
      <c r="J79" s="16">
        <f t="shared" si="92"/>
        <v>61281181</v>
      </c>
      <c r="K79" s="16">
        <f t="shared" si="92"/>
        <v>57108341</v>
      </c>
      <c r="L79" s="16">
        <f t="shared" si="92"/>
        <v>4172840</v>
      </c>
      <c r="M79" s="16">
        <f t="shared" si="92"/>
        <v>235000</v>
      </c>
      <c r="N79" s="16">
        <f t="shared" si="92"/>
        <v>95000</v>
      </c>
      <c r="O79" s="16">
        <f t="shared" si="92"/>
        <v>140000</v>
      </c>
      <c r="P79" s="16">
        <f t="shared" si="92"/>
        <v>20792470</v>
      </c>
      <c r="Q79" s="16">
        <f t="shared" si="92"/>
        <v>612814</v>
      </c>
      <c r="R79" s="16">
        <f t="shared" si="92"/>
        <v>1004649</v>
      </c>
      <c r="S79" s="13">
        <f t="shared" si="92"/>
        <v>99.659299999999988</v>
      </c>
      <c r="T79" s="13">
        <f t="shared" si="92"/>
        <v>87.613900000000001</v>
      </c>
      <c r="U79" s="17">
        <f t="shared" si="92"/>
        <v>12.045400000000001</v>
      </c>
      <c r="V79" s="168">
        <f t="shared" si="92"/>
        <v>0</v>
      </c>
      <c r="W79" s="16">
        <f t="shared" si="92"/>
        <v>0</v>
      </c>
      <c r="X79" s="16">
        <f t="shared" si="92"/>
        <v>-12379</v>
      </c>
      <c r="Y79" s="16">
        <f t="shared" si="92"/>
        <v>0</v>
      </c>
      <c r="Z79" s="16">
        <f t="shared" si="92"/>
        <v>0</v>
      </c>
      <c r="AA79" s="16">
        <f t="shared" si="92"/>
        <v>0</v>
      </c>
      <c r="AB79" s="16">
        <f t="shared" si="92"/>
        <v>0</v>
      </c>
      <c r="AC79" s="16">
        <f t="shared" si="92"/>
        <v>0</v>
      </c>
      <c r="AD79" s="16">
        <f t="shared" si="92"/>
        <v>-12379</v>
      </c>
      <c r="AE79" s="16">
        <f t="shared" si="92"/>
        <v>0</v>
      </c>
      <c r="AF79" s="16">
        <f t="shared" si="92"/>
        <v>-12379</v>
      </c>
      <c r="AG79" s="16">
        <f t="shared" si="92"/>
        <v>0</v>
      </c>
      <c r="AH79" s="16">
        <f t="shared" si="92"/>
        <v>0</v>
      </c>
      <c r="AI79" s="16">
        <f t="shared" si="92"/>
        <v>0</v>
      </c>
      <c r="AJ79" s="16">
        <f t="shared" si="92"/>
        <v>0</v>
      </c>
      <c r="AK79" s="16">
        <f t="shared" si="92"/>
        <v>0</v>
      </c>
      <c r="AL79" s="16">
        <f t="shared" si="92"/>
        <v>0</v>
      </c>
      <c r="AM79" s="16">
        <f t="shared" si="92"/>
        <v>0</v>
      </c>
      <c r="AN79" s="16">
        <f t="shared" si="92"/>
        <v>0</v>
      </c>
      <c r="AO79" s="16">
        <f t="shared" si="92"/>
        <v>-12379</v>
      </c>
      <c r="AP79" s="16">
        <f t="shared" si="92"/>
        <v>0</v>
      </c>
      <c r="AQ79" s="16">
        <f t="shared" si="92"/>
        <v>-12379</v>
      </c>
      <c r="AR79" s="16">
        <f t="shared" si="92"/>
        <v>-4184</v>
      </c>
      <c r="AS79" s="16">
        <f t="shared" si="92"/>
        <v>-124</v>
      </c>
      <c r="AT79" s="16">
        <f t="shared" si="92"/>
        <v>0</v>
      </c>
      <c r="AU79" s="16">
        <f t="shared" si="92"/>
        <v>0</v>
      </c>
      <c r="AV79" s="16">
        <f t="shared" si="92"/>
        <v>0</v>
      </c>
      <c r="AW79" s="16">
        <f t="shared" si="92"/>
        <v>-16687</v>
      </c>
      <c r="AX79" s="13">
        <f t="shared" si="92"/>
        <v>0</v>
      </c>
      <c r="AY79" s="13">
        <f t="shared" si="92"/>
        <v>0</v>
      </c>
      <c r="AZ79" s="13">
        <f t="shared" si="92"/>
        <v>-0.03</v>
      </c>
      <c r="BA79" s="13">
        <f t="shared" si="92"/>
        <v>0</v>
      </c>
      <c r="BB79" s="13">
        <f t="shared" si="92"/>
        <v>0</v>
      </c>
      <c r="BC79" s="13">
        <f t="shared" si="92"/>
        <v>0</v>
      </c>
      <c r="BD79" s="13">
        <f t="shared" si="92"/>
        <v>0</v>
      </c>
      <c r="BE79" s="13">
        <f t="shared" si="92"/>
        <v>0</v>
      </c>
      <c r="BF79" s="13">
        <f t="shared" si="92"/>
        <v>-0.03</v>
      </c>
      <c r="BG79" s="13">
        <f t="shared" si="92"/>
        <v>0</v>
      </c>
      <c r="BH79" s="169">
        <f t="shared" si="92"/>
        <v>-0.03</v>
      </c>
      <c r="BI79" s="167">
        <f t="shared" si="92"/>
        <v>83909427</v>
      </c>
      <c r="BJ79" s="16">
        <f t="shared" si="92"/>
        <v>61268802</v>
      </c>
      <c r="BK79" s="16">
        <f t="shared" si="92"/>
        <v>57095962</v>
      </c>
      <c r="BL79" s="16">
        <f t="shared" si="92"/>
        <v>4172840</v>
      </c>
      <c r="BM79" s="16">
        <f t="shared" si="92"/>
        <v>235000</v>
      </c>
      <c r="BN79" s="16">
        <f t="shared" si="92"/>
        <v>95000</v>
      </c>
      <c r="BO79" s="16">
        <f t="shared" si="92"/>
        <v>140000</v>
      </c>
      <c r="BP79" s="16">
        <f t="shared" si="92"/>
        <v>20788286</v>
      </c>
      <c r="BQ79" s="16">
        <f t="shared" si="92"/>
        <v>612690</v>
      </c>
      <c r="BR79" s="16">
        <f t="shared" si="92"/>
        <v>1004649</v>
      </c>
      <c r="BS79" s="13">
        <f t="shared" si="92"/>
        <v>99.629299999999986</v>
      </c>
      <c r="BT79" s="13">
        <f t="shared" si="92"/>
        <v>87.5839</v>
      </c>
      <c r="BU79" s="169">
        <f t="shared" si="92"/>
        <v>12.045400000000001</v>
      </c>
      <c r="BV79" s="167">
        <f t="shared" si="92"/>
        <v>380136</v>
      </c>
      <c r="BW79" s="16">
        <f t="shared" ref="BW79:CA79" si="93">SUMIF($F$12:$F$463,"=3113",BW$12:BW$463)</f>
        <v>282000</v>
      </c>
      <c r="BX79" s="16">
        <f t="shared" si="93"/>
        <v>0</v>
      </c>
      <c r="BY79" s="16">
        <f t="shared" si="93"/>
        <v>95316</v>
      </c>
      <c r="BZ79" s="16">
        <f t="shared" si="93"/>
        <v>2820</v>
      </c>
      <c r="CA79" s="17">
        <f t="shared" si="93"/>
        <v>0.5</v>
      </c>
    </row>
    <row r="80" spans="1:79" x14ac:dyDescent="0.2">
      <c r="D80" s="9"/>
      <c r="E80" s="5"/>
      <c r="F80" s="9"/>
      <c r="G80" s="20"/>
      <c r="H80" s="19">
        <v>3114</v>
      </c>
      <c r="I80" s="167">
        <f t="shared" ref="I80:BV80" si="94">SUMIF($F$12:$F$463,"=3114",I$12:I$463)</f>
        <v>0</v>
      </c>
      <c r="J80" s="16">
        <f t="shared" si="94"/>
        <v>0</v>
      </c>
      <c r="K80" s="16">
        <f t="shared" si="94"/>
        <v>0</v>
      </c>
      <c r="L80" s="16">
        <f t="shared" si="94"/>
        <v>0</v>
      </c>
      <c r="M80" s="16">
        <f t="shared" si="94"/>
        <v>0</v>
      </c>
      <c r="N80" s="16">
        <f t="shared" si="94"/>
        <v>0</v>
      </c>
      <c r="O80" s="16">
        <f t="shared" si="94"/>
        <v>0</v>
      </c>
      <c r="P80" s="16">
        <f t="shared" si="94"/>
        <v>0</v>
      </c>
      <c r="Q80" s="16">
        <f t="shared" si="94"/>
        <v>0</v>
      </c>
      <c r="R80" s="16">
        <f t="shared" si="94"/>
        <v>0</v>
      </c>
      <c r="S80" s="13">
        <f t="shared" si="94"/>
        <v>0</v>
      </c>
      <c r="T80" s="13">
        <f t="shared" si="94"/>
        <v>0</v>
      </c>
      <c r="U80" s="17">
        <f t="shared" si="94"/>
        <v>0</v>
      </c>
      <c r="V80" s="168">
        <f t="shared" si="94"/>
        <v>0</v>
      </c>
      <c r="W80" s="16">
        <f t="shared" si="94"/>
        <v>0</v>
      </c>
      <c r="X80" s="16">
        <f t="shared" si="94"/>
        <v>0</v>
      </c>
      <c r="Y80" s="16">
        <f t="shared" si="94"/>
        <v>0</v>
      </c>
      <c r="Z80" s="16">
        <f t="shared" si="94"/>
        <v>0</v>
      </c>
      <c r="AA80" s="16">
        <f t="shared" si="94"/>
        <v>0</v>
      </c>
      <c r="AB80" s="16">
        <f t="shared" si="94"/>
        <v>0</v>
      </c>
      <c r="AC80" s="16">
        <f t="shared" si="94"/>
        <v>0</v>
      </c>
      <c r="AD80" s="16">
        <f t="shared" si="94"/>
        <v>0</v>
      </c>
      <c r="AE80" s="16">
        <f t="shared" si="94"/>
        <v>0</v>
      </c>
      <c r="AF80" s="16">
        <f t="shared" si="94"/>
        <v>0</v>
      </c>
      <c r="AG80" s="16">
        <f t="shared" si="94"/>
        <v>0</v>
      </c>
      <c r="AH80" s="16">
        <f t="shared" si="94"/>
        <v>0</v>
      </c>
      <c r="AI80" s="16">
        <f t="shared" si="94"/>
        <v>0</v>
      </c>
      <c r="AJ80" s="16">
        <f t="shared" si="94"/>
        <v>0</v>
      </c>
      <c r="AK80" s="16">
        <f t="shared" si="94"/>
        <v>0</v>
      </c>
      <c r="AL80" s="16">
        <f t="shared" si="94"/>
        <v>0</v>
      </c>
      <c r="AM80" s="16">
        <f t="shared" si="94"/>
        <v>0</v>
      </c>
      <c r="AN80" s="16">
        <f t="shared" si="94"/>
        <v>0</v>
      </c>
      <c r="AO80" s="16">
        <f t="shared" si="94"/>
        <v>0</v>
      </c>
      <c r="AP80" s="16">
        <f t="shared" si="94"/>
        <v>0</v>
      </c>
      <c r="AQ80" s="16">
        <f t="shared" si="94"/>
        <v>0</v>
      </c>
      <c r="AR80" s="16">
        <f t="shared" si="94"/>
        <v>0</v>
      </c>
      <c r="AS80" s="16">
        <f t="shared" si="94"/>
        <v>0</v>
      </c>
      <c r="AT80" s="16">
        <f t="shared" si="94"/>
        <v>0</v>
      </c>
      <c r="AU80" s="16">
        <f t="shared" si="94"/>
        <v>0</v>
      </c>
      <c r="AV80" s="16">
        <f t="shared" si="94"/>
        <v>0</v>
      </c>
      <c r="AW80" s="16">
        <f t="shared" si="94"/>
        <v>0</v>
      </c>
      <c r="AX80" s="13">
        <f t="shared" si="94"/>
        <v>0</v>
      </c>
      <c r="AY80" s="13">
        <f t="shared" si="94"/>
        <v>0</v>
      </c>
      <c r="AZ80" s="13">
        <f t="shared" si="94"/>
        <v>0</v>
      </c>
      <c r="BA80" s="13">
        <f t="shared" si="94"/>
        <v>0</v>
      </c>
      <c r="BB80" s="13">
        <f t="shared" si="94"/>
        <v>0</v>
      </c>
      <c r="BC80" s="13">
        <f t="shared" si="94"/>
        <v>0</v>
      </c>
      <c r="BD80" s="13">
        <f t="shared" si="94"/>
        <v>0</v>
      </c>
      <c r="BE80" s="13">
        <f t="shared" si="94"/>
        <v>0</v>
      </c>
      <c r="BF80" s="13">
        <f t="shared" si="94"/>
        <v>0</v>
      </c>
      <c r="BG80" s="13">
        <f t="shared" si="94"/>
        <v>0</v>
      </c>
      <c r="BH80" s="169">
        <f t="shared" si="94"/>
        <v>0</v>
      </c>
      <c r="BI80" s="167">
        <f t="shared" si="94"/>
        <v>0</v>
      </c>
      <c r="BJ80" s="16">
        <f t="shared" si="94"/>
        <v>0</v>
      </c>
      <c r="BK80" s="16">
        <f t="shared" si="94"/>
        <v>0</v>
      </c>
      <c r="BL80" s="16">
        <f t="shared" si="94"/>
        <v>0</v>
      </c>
      <c r="BM80" s="16">
        <f t="shared" si="94"/>
        <v>0</v>
      </c>
      <c r="BN80" s="16">
        <f t="shared" si="94"/>
        <v>0</v>
      </c>
      <c r="BO80" s="16">
        <f t="shared" si="94"/>
        <v>0</v>
      </c>
      <c r="BP80" s="16">
        <f t="shared" si="94"/>
        <v>0</v>
      </c>
      <c r="BQ80" s="16">
        <f t="shared" si="94"/>
        <v>0</v>
      </c>
      <c r="BR80" s="16">
        <f t="shared" si="94"/>
        <v>0</v>
      </c>
      <c r="BS80" s="13">
        <f t="shared" si="94"/>
        <v>0</v>
      </c>
      <c r="BT80" s="13">
        <f t="shared" si="94"/>
        <v>0</v>
      </c>
      <c r="BU80" s="169">
        <f t="shared" si="94"/>
        <v>0</v>
      </c>
      <c r="BV80" s="167">
        <f t="shared" si="94"/>
        <v>0</v>
      </c>
      <c r="BW80" s="16">
        <f t="shared" ref="BW80:CA80" si="95">SUMIF($F$12:$F$463,"=3114",BW$12:BW$463)</f>
        <v>0</v>
      </c>
      <c r="BX80" s="16">
        <f t="shared" si="95"/>
        <v>0</v>
      </c>
      <c r="BY80" s="16">
        <f t="shared" si="95"/>
        <v>0</v>
      </c>
      <c r="BZ80" s="16">
        <f t="shared" si="95"/>
        <v>0</v>
      </c>
      <c r="CA80" s="17">
        <f t="shared" si="95"/>
        <v>0</v>
      </c>
    </row>
    <row r="81" spans="4:79" x14ac:dyDescent="0.2">
      <c r="D81" s="9"/>
      <c r="E81" s="5"/>
      <c r="F81" s="9"/>
      <c r="G81" s="20"/>
      <c r="H81" s="19">
        <v>3117</v>
      </c>
      <c r="I81" s="167">
        <f t="shared" ref="I81:BV81" si="96">SUMIF($F$12:$F$463,"=3117",I$12:I$463)</f>
        <v>7803055</v>
      </c>
      <c r="J81" s="16">
        <f t="shared" si="96"/>
        <v>5683359</v>
      </c>
      <c r="K81" s="16">
        <f t="shared" si="96"/>
        <v>5156020</v>
      </c>
      <c r="L81" s="16">
        <f t="shared" si="96"/>
        <v>527339</v>
      </c>
      <c r="M81" s="16">
        <f t="shared" si="96"/>
        <v>24520</v>
      </c>
      <c r="N81" s="16">
        <f t="shared" si="96"/>
        <v>9520</v>
      </c>
      <c r="O81" s="16">
        <f t="shared" si="96"/>
        <v>15000</v>
      </c>
      <c r="P81" s="16">
        <f t="shared" si="96"/>
        <v>1929263</v>
      </c>
      <c r="Q81" s="16">
        <f t="shared" si="96"/>
        <v>56834</v>
      </c>
      <c r="R81" s="16">
        <f t="shared" si="96"/>
        <v>109079</v>
      </c>
      <c r="S81" s="13">
        <f t="shared" si="96"/>
        <v>10.093300000000001</v>
      </c>
      <c r="T81" s="13">
        <f t="shared" si="96"/>
        <v>8.56</v>
      </c>
      <c r="U81" s="17">
        <f t="shared" si="96"/>
        <v>1.5332999999999999</v>
      </c>
      <c r="V81" s="168">
        <f t="shared" si="96"/>
        <v>0</v>
      </c>
      <c r="W81" s="16">
        <f t="shared" si="96"/>
        <v>0</v>
      </c>
      <c r="X81" s="16">
        <f t="shared" si="96"/>
        <v>0</v>
      </c>
      <c r="Y81" s="16">
        <f t="shared" si="96"/>
        <v>0</v>
      </c>
      <c r="Z81" s="16">
        <f t="shared" si="96"/>
        <v>0</v>
      </c>
      <c r="AA81" s="16">
        <f t="shared" si="96"/>
        <v>0</v>
      </c>
      <c r="AB81" s="16">
        <f t="shared" si="96"/>
        <v>0</v>
      </c>
      <c r="AC81" s="16">
        <f t="shared" si="96"/>
        <v>0</v>
      </c>
      <c r="AD81" s="16">
        <f t="shared" si="96"/>
        <v>0</v>
      </c>
      <c r="AE81" s="16">
        <f t="shared" si="96"/>
        <v>0</v>
      </c>
      <c r="AF81" s="16">
        <f t="shared" si="96"/>
        <v>0</v>
      </c>
      <c r="AG81" s="16">
        <f t="shared" si="96"/>
        <v>0</v>
      </c>
      <c r="AH81" s="16">
        <f t="shared" si="96"/>
        <v>0</v>
      </c>
      <c r="AI81" s="16">
        <f t="shared" si="96"/>
        <v>0</v>
      </c>
      <c r="AJ81" s="16">
        <f t="shared" si="96"/>
        <v>0</v>
      </c>
      <c r="AK81" s="16">
        <f t="shared" si="96"/>
        <v>0</v>
      </c>
      <c r="AL81" s="16">
        <f t="shared" si="96"/>
        <v>0</v>
      </c>
      <c r="AM81" s="16">
        <f t="shared" si="96"/>
        <v>0</v>
      </c>
      <c r="AN81" s="16">
        <f t="shared" si="96"/>
        <v>0</v>
      </c>
      <c r="AO81" s="16">
        <f t="shared" si="96"/>
        <v>0</v>
      </c>
      <c r="AP81" s="16">
        <f t="shared" si="96"/>
        <v>0</v>
      </c>
      <c r="AQ81" s="16">
        <f t="shared" si="96"/>
        <v>0</v>
      </c>
      <c r="AR81" s="16">
        <f t="shared" si="96"/>
        <v>0</v>
      </c>
      <c r="AS81" s="16">
        <f t="shared" si="96"/>
        <v>0</v>
      </c>
      <c r="AT81" s="16">
        <f t="shared" si="96"/>
        <v>0</v>
      </c>
      <c r="AU81" s="16">
        <f t="shared" si="96"/>
        <v>0</v>
      </c>
      <c r="AV81" s="16">
        <f t="shared" si="96"/>
        <v>0</v>
      </c>
      <c r="AW81" s="16">
        <f t="shared" si="96"/>
        <v>0</v>
      </c>
      <c r="AX81" s="13">
        <f t="shared" si="96"/>
        <v>0</v>
      </c>
      <c r="AY81" s="13">
        <f t="shared" si="96"/>
        <v>0</v>
      </c>
      <c r="AZ81" s="13">
        <f t="shared" si="96"/>
        <v>0</v>
      </c>
      <c r="BA81" s="13">
        <f t="shared" si="96"/>
        <v>0</v>
      </c>
      <c r="BB81" s="13">
        <f t="shared" si="96"/>
        <v>0</v>
      </c>
      <c r="BC81" s="13">
        <f t="shared" si="96"/>
        <v>0</v>
      </c>
      <c r="BD81" s="13">
        <f t="shared" si="96"/>
        <v>0</v>
      </c>
      <c r="BE81" s="13">
        <f t="shared" si="96"/>
        <v>0</v>
      </c>
      <c r="BF81" s="13">
        <f t="shared" si="96"/>
        <v>0</v>
      </c>
      <c r="BG81" s="13">
        <f t="shared" si="96"/>
        <v>0</v>
      </c>
      <c r="BH81" s="169">
        <f t="shared" si="96"/>
        <v>0</v>
      </c>
      <c r="BI81" s="167">
        <f t="shared" si="96"/>
        <v>7803055</v>
      </c>
      <c r="BJ81" s="16">
        <f t="shared" si="96"/>
        <v>5683359</v>
      </c>
      <c r="BK81" s="16">
        <f t="shared" si="96"/>
        <v>5156020</v>
      </c>
      <c r="BL81" s="16">
        <f t="shared" si="96"/>
        <v>527339</v>
      </c>
      <c r="BM81" s="16">
        <f t="shared" si="96"/>
        <v>24520</v>
      </c>
      <c r="BN81" s="16">
        <f t="shared" si="96"/>
        <v>9520</v>
      </c>
      <c r="BO81" s="16">
        <f t="shared" si="96"/>
        <v>15000</v>
      </c>
      <c r="BP81" s="16">
        <f t="shared" si="96"/>
        <v>1929263</v>
      </c>
      <c r="BQ81" s="16">
        <f t="shared" si="96"/>
        <v>56834</v>
      </c>
      <c r="BR81" s="16">
        <f t="shared" si="96"/>
        <v>109079</v>
      </c>
      <c r="BS81" s="13">
        <f t="shared" si="96"/>
        <v>10.093300000000001</v>
      </c>
      <c r="BT81" s="13">
        <f t="shared" si="96"/>
        <v>8.56</v>
      </c>
      <c r="BU81" s="169">
        <f t="shared" si="96"/>
        <v>1.5332999999999999</v>
      </c>
      <c r="BV81" s="167">
        <f t="shared" si="96"/>
        <v>0</v>
      </c>
      <c r="BW81" s="16">
        <f t="shared" ref="BW81:CA81" si="97">SUMIF($F$12:$F$463,"=3117",BW$12:BW$463)</f>
        <v>0</v>
      </c>
      <c r="BX81" s="16">
        <f t="shared" si="97"/>
        <v>0</v>
      </c>
      <c r="BY81" s="16">
        <f t="shared" si="97"/>
        <v>0</v>
      </c>
      <c r="BZ81" s="16">
        <f t="shared" si="97"/>
        <v>0</v>
      </c>
      <c r="CA81" s="17">
        <f t="shared" si="97"/>
        <v>0</v>
      </c>
    </row>
    <row r="82" spans="4:79" x14ac:dyDescent="0.2">
      <c r="D82" s="9"/>
      <c r="E82" s="5"/>
      <c r="F82" s="9"/>
      <c r="G82" s="20"/>
      <c r="H82" s="19">
        <v>3122</v>
      </c>
      <c r="I82" s="167">
        <f t="shared" ref="I82:BV82" si="98">SUMIF($F$12:$F$463,"=3122",I$12:I$463)</f>
        <v>0</v>
      </c>
      <c r="J82" s="16">
        <f t="shared" si="98"/>
        <v>0</v>
      </c>
      <c r="K82" s="16">
        <f t="shared" si="98"/>
        <v>0</v>
      </c>
      <c r="L82" s="16">
        <f t="shared" si="98"/>
        <v>0</v>
      </c>
      <c r="M82" s="16">
        <f t="shared" si="98"/>
        <v>0</v>
      </c>
      <c r="N82" s="16">
        <f t="shared" si="98"/>
        <v>0</v>
      </c>
      <c r="O82" s="16">
        <f t="shared" si="98"/>
        <v>0</v>
      </c>
      <c r="P82" s="16">
        <f t="shared" si="98"/>
        <v>0</v>
      </c>
      <c r="Q82" s="16">
        <f t="shared" si="98"/>
        <v>0</v>
      </c>
      <c r="R82" s="16">
        <f t="shared" si="98"/>
        <v>0</v>
      </c>
      <c r="S82" s="13">
        <f t="shared" si="98"/>
        <v>0</v>
      </c>
      <c r="T82" s="13">
        <f t="shared" si="98"/>
        <v>0</v>
      </c>
      <c r="U82" s="17">
        <f t="shared" si="98"/>
        <v>0</v>
      </c>
      <c r="V82" s="168">
        <f t="shared" si="98"/>
        <v>0</v>
      </c>
      <c r="W82" s="16">
        <f t="shared" si="98"/>
        <v>0</v>
      </c>
      <c r="X82" s="16">
        <f t="shared" si="98"/>
        <v>0</v>
      </c>
      <c r="Y82" s="16">
        <f t="shared" si="98"/>
        <v>0</v>
      </c>
      <c r="Z82" s="16">
        <f t="shared" si="98"/>
        <v>0</v>
      </c>
      <c r="AA82" s="16">
        <f t="shared" si="98"/>
        <v>0</v>
      </c>
      <c r="AB82" s="16">
        <f t="shared" si="98"/>
        <v>0</v>
      </c>
      <c r="AC82" s="16">
        <f t="shared" si="98"/>
        <v>0</v>
      </c>
      <c r="AD82" s="16">
        <f t="shared" si="98"/>
        <v>0</v>
      </c>
      <c r="AE82" s="16">
        <f t="shared" si="98"/>
        <v>0</v>
      </c>
      <c r="AF82" s="16">
        <f t="shared" si="98"/>
        <v>0</v>
      </c>
      <c r="AG82" s="16">
        <f t="shared" si="98"/>
        <v>0</v>
      </c>
      <c r="AH82" s="16">
        <f t="shared" si="98"/>
        <v>0</v>
      </c>
      <c r="AI82" s="16">
        <f t="shared" si="98"/>
        <v>0</v>
      </c>
      <c r="AJ82" s="16">
        <f t="shared" si="98"/>
        <v>0</v>
      </c>
      <c r="AK82" s="16">
        <f t="shared" si="98"/>
        <v>0</v>
      </c>
      <c r="AL82" s="16">
        <f t="shared" si="98"/>
        <v>0</v>
      </c>
      <c r="AM82" s="16">
        <f t="shared" si="98"/>
        <v>0</v>
      </c>
      <c r="AN82" s="16">
        <f t="shared" si="98"/>
        <v>0</v>
      </c>
      <c r="AO82" s="16">
        <f t="shared" si="98"/>
        <v>0</v>
      </c>
      <c r="AP82" s="16">
        <f t="shared" si="98"/>
        <v>0</v>
      </c>
      <c r="AQ82" s="16">
        <f t="shared" si="98"/>
        <v>0</v>
      </c>
      <c r="AR82" s="16">
        <f t="shared" si="98"/>
        <v>0</v>
      </c>
      <c r="AS82" s="16">
        <f t="shared" si="98"/>
        <v>0</v>
      </c>
      <c r="AT82" s="16">
        <f t="shared" si="98"/>
        <v>0</v>
      </c>
      <c r="AU82" s="16">
        <f t="shared" si="98"/>
        <v>0</v>
      </c>
      <c r="AV82" s="16">
        <f t="shared" si="98"/>
        <v>0</v>
      </c>
      <c r="AW82" s="16">
        <f t="shared" si="98"/>
        <v>0</v>
      </c>
      <c r="AX82" s="13">
        <f t="shared" si="98"/>
        <v>0</v>
      </c>
      <c r="AY82" s="13">
        <f t="shared" si="98"/>
        <v>0</v>
      </c>
      <c r="AZ82" s="13">
        <f t="shared" si="98"/>
        <v>0</v>
      </c>
      <c r="BA82" s="13">
        <f t="shared" si="98"/>
        <v>0</v>
      </c>
      <c r="BB82" s="13">
        <f t="shared" si="98"/>
        <v>0</v>
      </c>
      <c r="BC82" s="13">
        <f t="shared" si="98"/>
        <v>0</v>
      </c>
      <c r="BD82" s="13">
        <f t="shared" si="98"/>
        <v>0</v>
      </c>
      <c r="BE82" s="13">
        <f t="shared" si="98"/>
        <v>0</v>
      </c>
      <c r="BF82" s="13">
        <f t="shared" si="98"/>
        <v>0</v>
      </c>
      <c r="BG82" s="13">
        <f t="shared" si="98"/>
        <v>0</v>
      </c>
      <c r="BH82" s="169">
        <f t="shared" si="98"/>
        <v>0</v>
      </c>
      <c r="BI82" s="167">
        <f t="shared" si="98"/>
        <v>0</v>
      </c>
      <c r="BJ82" s="16">
        <f t="shared" si="98"/>
        <v>0</v>
      </c>
      <c r="BK82" s="16">
        <f t="shared" si="98"/>
        <v>0</v>
      </c>
      <c r="BL82" s="16">
        <f t="shared" si="98"/>
        <v>0</v>
      </c>
      <c r="BM82" s="16">
        <f t="shared" si="98"/>
        <v>0</v>
      </c>
      <c r="BN82" s="16">
        <f t="shared" si="98"/>
        <v>0</v>
      </c>
      <c r="BO82" s="16">
        <f t="shared" si="98"/>
        <v>0</v>
      </c>
      <c r="BP82" s="16">
        <f t="shared" si="98"/>
        <v>0</v>
      </c>
      <c r="BQ82" s="16">
        <f t="shared" si="98"/>
        <v>0</v>
      </c>
      <c r="BR82" s="16">
        <f t="shared" si="98"/>
        <v>0</v>
      </c>
      <c r="BS82" s="13">
        <f t="shared" si="98"/>
        <v>0</v>
      </c>
      <c r="BT82" s="13">
        <f t="shared" si="98"/>
        <v>0</v>
      </c>
      <c r="BU82" s="169">
        <f t="shared" si="98"/>
        <v>0</v>
      </c>
      <c r="BV82" s="167">
        <f t="shared" si="98"/>
        <v>0</v>
      </c>
      <c r="BW82" s="16">
        <f t="shared" ref="BW82:CA82" si="99">SUMIF($F$12:$F$463,"=3122",BW$12:BW$463)</f>
        <v>0</v>
      </c>
      <c r="BX82" s="16">
        <f t="shared" si="99"/>
        <v>0</v>
      </c>
      <c r="BY82" s="16">
        <f t="shared" si="99"/>
        <v>0</v>
      </c>
      <c r="BZ82" s="16">
        <f t="shared" si="99"/>
        <v>0</v>
      </c>
      <c r="CA82" s="17">
        <f t="shared" si="99"/>
        <v>0</v>
      </c>
    </row>
    <row r="83" spans="4:79" x14ac:dyDescent="0.2">
      <c r="D83" s="9"/>
      <c r="E83" s="5"/>
      <c r="F83" s="9"/>
      <c r="G83" s="20"/>
      <c r="H83" s="19">
        <v>3124</v>
      </c>
      <c r="I83" s="167">
        <f t="shared" ref="I83:BV83" si="100">SUMIF($F$12:$F$463,"=3124",I$12:I$463)</f>
        <v>0</v>
      </c>
      <c r="J83" s="16">
        <f t="shared" si="100"/>
        <v>0</v>
      </c>
      <c r="K83" s="16">
        <f t="shared" si="100"/>
        <v>0</v>
      </c>
      <c r="L83" s="16">
        <f t="shared" si="100"/>
        <v>0</v>
      </c>
      <c r="M83" s="16">
        <f t="shared" si="100"/>
        <v>0</v>
      </c>
      <c r="N83" s="16">
        <f t="shared" si="100"/>
        <v>0</v>
      </c>
      <c r="O83" s="16">
        <f t="shared" si="100"/>
        <v>0</v>
      </c>
      <c r="P83" s="16">
        <f t="shared" si="100"/>
        <v>0</v>
      </c>
      <c r="Q83" s="16">
        <f t="shared" si="100"/>
        <v>0</v>
      </c>
      <c r="R83" s="16">
        <f t="shared" si="100"/>
        <v>0</v>
      </c>
      <c r="S83" s="13">
        <f t="shared" si="100"/>
        <v>0</v>
      </c>
      <c r="T83" s="13">
        <f t="shared" si="100"/>
        <v>0</v>
      </c>
      <c r="U83" s="17">
        <f t="shared" si="100"/>
        <v>0</v>
      </c>
      <c r="V83" s="168">
        <f t="shared" si="100"/>
        <v>0</v>
      </c>
      <c r="W83" s="16">
        <f t="shared" si="100"/>
        <v>0</v>
      </c>
      <c r="X83" s="16">
        <f t="shared" si="100"/>
        <v>0</v>
      </c>
      <c r="Y83" s="16">
        <f t="shared" si="100"/>
        <v>0</v>
      </c>
      <c r="Z83" s="16">
        <f t="shared" si="100"/>
        <v>0</v>
      </c>
      <c r="AA83" s="16">
        <f t="shared" si="100"/>
        <v>0</v>
      </c>
      <c r="AB83" s="16">
        <f t="shared" si="100"/>
        <v>0</v>
      </c>
      <c r="AC83" s="16">
        <f t="shared" si="100"/>
        <v>0</v>
      </c>
      <c r="AD83" s="16">
        <f t="shared" si="100"/>
        <v>0</v>
      </c>
      <c r="AE83" s="16">
        <f t="shared" si="100"/>
        <v>0</v>
      </c>
      <c r="AF83" s="16">
        <f t="shared" si="100"/>
        <v>0</v>
      </c>
      <c r="AG83" s="16">
        <f t="shared" si="100"/>
        <v>0</v>
      </c>
      <c r="AH83" s="16">
        <f t="shared" si="100"/>
        <v>0</v>
      </c>
      <c r="AI83" s="16">
        <f t="shared" si="100"/>
        <v>0</v>
      </c>
      <c r="AJ83" s="16">
        <f t="shared" si="100"/>
        <v>0</v>
      </c>
      <c r="AK83" s="16">
        <f t="shared" si="100"/>
        <v>0</v>
      </c>
      <c r="AL83" s="16">
        <f t="shared" si="100"/>
        <v>0</v>
      </c>
      <c r="AM83" s="16">
        <f t="shared" si="100"/>
        <v>0</v>
      </c>
      <c r="AN83" s="16">
        <f t="shared" si="100"/>
        <v>0</v>
      </c>
      <c r="AO83" s="16">
        <f t="shared" si="100"/>
        <v>0</v>
      </c>
      <c r="AP83" s="16">
        <f t="shared" si="100"/>
        <v>0</v>
      </c>
      <c r="AQ83" s="16">
        <f t="shared" si="100"/>
        <v>0</v>
      </c>
      <c r="AR83" s="16">
        <f t="shared" si="100"/>
        <v>0</v>
      </c>
      <c r="AS83" s="16">
        <f t="shared" si="100"/>
        <v>0</v>
      </c>
      <c r="AT83" s="16">
        <f t="shared" si="100"/>
        <v>0</v>
      </c>
      <c r="AU83" s="16">
        <f t="shared" si="100"/>
        <v>0</v>
      </c>
      <c r="AV83" s="16">
        <f t="shared" si="100"/>
        <v>0</v>
      </c>
      <c r="AW83" s="16">
        <f t="shared" si="100"/>
        <v>0</v>
      </c>
      <c r="AX83" s="13">
        <f t="shared" si="100"/>
        <v>0</v>
      </c>
      <c r="AY83" s="13">
        <f t="shared" si="100"/>
        <v>0</v>
      </c>
      <c r="AZ83" s="13">
        <f t="shared" si="100"/>
        <v>0</v>
      </c>
      <c r="BA83" s="13">
        <f t="shared" si="100"/>
        <v>0</v>
      </c>
      <c r="BB83" s="13">
        <f t="shared" si="100"/>
        <v>0</v>
      </c>
      <c r="BC83" s="13">
        <f t="shared" si="100"/>
        <v>0</v>
      </c>
      <c r="BD83" s="13">
        <f t="shared" si="100"/>
        <v>0</v>
      </c>
      <c r="BE83" s="13">
        <f t="shared" si="100"/>
        <v>0</v>
      </c>
      <c r="BF83" s="13">
        <f t="shared" si="100"/>
        <v>0</v>
      </c>
      <c r="BG83" s="13">
        <f t="shared" si="100"/>
        <v>0</v>
      </c>
      <c r="BH83" s="169">
        <f t="shared" si="100"/>
        <v>0</v>
      </c>
      <c r="BI83" s="167">
        <f t="shared" si="100"/>
        <v>0</v>
      </c>
      <c r="BJ83" s="16">
        <f t="shared" si="100"/>
        <v>0</v>
      </c>
      <c r="BK83" s="16">
        <f t="shared" si="100"/>
        <v>0</v>
      </c>
      <c r="BL83" s="16">
        <f t="shared" si="100"/>
        <v>0</v>
      </c>
      <c r="BM83" s="16">
        <f t="shared" si="100"/>
        <v>0</v>
      </c>
      <c r="BN83" s="16">
        <f t="shared" si="100"/>
        <v>0</v>
      </c>
      <c r="BO83" s="16">
        <f t="shared" si="100"/>
        <v>0</v>
      </c>
      <c r="BP83" s="16">
        <f t="shared" si="100"/>
        <v>0</v>
      </c>
      <c r="BQ83" s="16">
        <f t="shared" si="100"/>
        <v>0</v>
      </c>
      <c r="BR83" s="16">
        <f t="shared" si="100"/>
        <v>0</v>
      </c>
      <c r="BS83" s="13">
        <f t="shared" si="100"/>
        <v>0</v>
      </c>
      <c r="BT83" s="13">
        <f t="shared" si="100"/>
        <v>0</v>
      </c>
      <c r="BU83" s="169">
        <f t="shared" si="100"/>
        <v>0</v>
      </c>
      <c r="BV83" s="167">
        <f t="shared" si="100"/>
        <v>0</v>
      </c>
      <c r="BW83" s="16">
        <f t="shared" ref="BW83:CA83" si="101">SUMIF($F$12:$F$463,"=3124",BW$12:BW$463)</f>
        <v>0</v>
      </c>
      <c r="BX83" s="16">
        <f t="shared" si="101"/>
        <v>0</v>
      </c>
      <c r="BY83" s="16">
        <f t="shared" si="101"/>
        <v>0</v>
      </c>
      <c r="BZ83" s="16">
        <f t="shared" si="101"/>
        <v>0</v>
      </c>
      <c r="CA83" s="17">
        <f t="shared" si="101"/>
        <v>0</v>
      </c>
    </row>
    <row r="84" spans="4:79" x14ac:dyDescent="0.2">
      <c r="D84" s="9"/>
      <c r="E84" s="5"/>
      <c r="F84" s="9"/>
      <c r="G84" s="20"/>
      <c r="H84" s="19">
        <v>3141</v>
      </c>
      <c r="I84" s="167">
        <f t="shared" ref="I84:BV84" si="102">SUMIF($F$12:$F$463,"=3141",I$12:I$463)</f>
        <v>8311912</v>
      </c>
      <c r="J84" s="16">
        <f t="shared" si="102"/>
        <v>6019997</v>
      </c>
      <c r="K84" s="16">
        <f t="shared" si="102"/>
        <v>0</v>
      </c>
      <c r="L84" s="16">
        <f t="shared" si="102"/>
        <v>6019997</v>
      </c>
      <c r="M84" s="16">
        <f t="shared" si="102"/>
        <v>111600</v>
      </c>
      <c r="N84" s="16">
        <f t="shared" si="102"/>
        <v>0</v>
      </c>
      <c r="O84" s="16">
        <f t="shared" si="102"/>
        <v>111600</v>
      </c>
      <c r="P84" s="16">
        <f t="shared" si="102"/>
        <v>2072480</v>
      </c>
      <c r="Q84" s="16">
        <f t="shared" si="102"/>
        <v>60200</v>
      </c>
      <c r="R84" s="16">
        <f t="shared" si="102"/>
        <v>47635</v>
      </c>
      <c r="S84" s="13">
        <f t="shared" si="102"/>
        <v>18.18</v>
      </c>
      <c r="T84" s="13">
        <f t="shared" si="102"/>
        <v>0</v>
      </c>
      <c r="U84" s="17">
        <f t="shared" si="102"/>
        <v>18.18</v>
      </c>
      <c r="V84" s="168">
        <f t="shared" si="102"/>
        <v>0</v>
      </c>
      <c r="W84" s="16">
        <f t="shared" si="102"/>
        <v>0</v>
      </c>
      <c r="X84" s="16">
        <f t="shared" si="102"/>
        <v>0</v>
      </c>
      <c r="Y84" s="16">
        <f t="shared" si="102"/>
        <v>0</v>
      </c>
      <c r="Z84" s="16">
        <f t="shared" si="102"/>
        <v>0</v>
      </c>
      <c r="AA84" s="16">
        <f t="shared" si="102"/>
        <v>3069996</v>
      </c>
      <c r="AB84" s="16">
        <f t="shared" si="102"/>
        <v>0</v>
      </c>
      <c r="AC84" s="16">
        <f t="shared" si="102"/>
        <v>0</v>
      </c>
      <c r="AD84" s="16">
        <f t="shared" si="102"/>
        <v>0</v>
      </c>
      <c r="AE84" s="16">
        <f t="shared" si="102"/>
        <v>3069996</v>
      </c>
      <c r="AF84" s="16">
        <f t="shared" si="102"/>
        <v>3069996</v>
      </c>
      <c r="AG84" s="16">
        <f t="shared" si="102"/>
        <v>0</v>
      </c>
      <c r="AH84" s="16">
        <f t="shared" si="102"/>
        <v>0</v>
      </c>
      <c r="AI84" s="16">
        <f t="shared" si="102"/>
        <v>0</v>
      </c>
      <c r="AJ84" s="16">
        <f t="shared" si="102"/>
        <v>0</v>
      </c>
      <c r="AK84" s="16">
        <f t="shared" si="102"/>
        <v>0</v>
      </c>
      <c r="AL84" s="16">
        <f t="shared" si="102"/>
        <v>0</v>
      </c>
      <c r="AM84" s="16">
        <f t="shared" si="102"/>
        <v>0</v>
      </c>
      <c r="AN84" s="16">
        <f t="shared" si="102"/>
        <v>0</v>
      </c>
      <c r="AO84" s="16">
        <f t="shared" si="102"/>
        <v>0</v>
      </c>
      <c r="AP84" s="16">
        <f t="shared" si="102"/>
        <v>3069996</v>
      </c>
      <c r="AQ84" s="16">
        <f t="shared" si="102"/>
        <v>3069996</v>
      </c>
      <c r="AR84" s="16">
        <f t="shared" si="102"/>
        <v>1037658</v>
      </c>
      <c r="AS84" s="16">
        <f t="shared" si="102"/>
        <v>30700</v>
      </c>
      <c r="AT84" s="16">
        <f t="shared" si="102"/>
        <v>0</v>
      </c>
      <c r="AU84" s="16">
        <f t="shared" si="102"/>
        <v>23137</v>
      </c>
      <c r="AV84" s="16">
        <f t="shared" si="102"/>
        <v>23137</v>
      </c>
      <c r="AW84" s="16">
        <f t="shared" si="102"/>
        <v>4161491</v>
      </c>
      <c r="AX84" s="13">
        <f t="shared" si="102"/>
        <v>0</v>
      </c>
      <c r="AY84" s="13">
        <f t="shared" si="102"/>
        <v>0</v>
      </c>
      <c r="AZ84" s="13">
        <f t="shared" si="102"/>
        <v>0</v>
      </c>
      <c r="BA84" s="13">
        <f t="shared" si="102"/>
        <v>0</v>
      </c>
      <c r="BB84" s="13">
        <f t="shared" si="102"/>
        <v>9.19</v>
      </c>
      <c r="BC84" s="13">
        <f t="shared" si="102"/>
        <v>0</v>
      </c>
      <c r="BD84" s="13">
        <f t="shared" si="102"/>
        <v>0</v>
      </c>
      <c r="BE84" s="13">
        <f t="shared" si="102"/>
        <v>0</v>
      </c>
      <c r="BF84" s="13">
        <f t="shared" si="102"/>
        <v>0</v>
      </c>
      <c r="BG84" s="13">
        <f t="shared" si="102"/>
        <v>9.19</v>
      </c>
      <c r="BH84" s="169">
        <f t="shared" si="102"/>
        <v>9.19</v>
      </c>
      <c r="BI84" s="167">
        <f t="shared" si="102"/>
        <v>12473403</v>
      </c>
      <c r="BJ84" s="16">
        <f t="shared" si="102"/>
        <v>9089993</v>
      </c>
      <c r="BK84" s="16">
        <f t="shared" si="102"/>
        <v>0</v>
      </c>
      <c r="BL84" s="16">
        <f t="shared" si="102"/>
        <v>9089993</v>
      </c>
      <c r="BM84" s="16">
        <f t="shared" si="102"/>
        <v>111600</v>
      </c>
      <c r="BN84" s="16">
        <f t="shared" si="102"/>
        <v>0</v>
      </c>
      <c r="BO84" s="16">
        <f t="shared" si="102"/>
        <v>111600</v>
      </c>
      <c r="BP84" s="16">
        <f t="shared" si="102"/>
        <v>3110138</v>
      </c>
      <c r="BQ84" s="16">
        <f t="shared" si="102"/>
        <v>90900</v>
      </c>
      <c r="BR84" s="16">
        <f t="shared" si="102"/>
        <v>70772</v>
      </c>
      <c r="BS84" s="13">
        <f t="shared" si="102"/>
        <v>27.369999999999997</v>
      </c>
      <c r="BT84" s="13">
        <f t="shared" si="102"/>
        <v>0</v>
      </c>
      <c r="BU84" s="169">
        <f t="shared" si="102"/>
        <v>27.369999999999997</v>
      </c>
      <c r="BV84" s="167">
        <f t="shared" si="102"/>
        <v>0</v>
      </c>
      <c r="BW84" s="16">
        <f t="shared" ref="BW84:CA84" si="103">SUMIF($F$12:$F$463,"=3141",BW$12:BW$463)</f>
        <v>0</v>
      </c>
      <c r="BX84" s="16">
        <f t="shared" si="103"/>
        <v>0</v>
      </c>
      <c r="BY84" s="16">
        <f t="shared" si="103"/>
        <v>0</v>
      </c>
      <c r="BZ84" s="16">
        <f t="shared" si="103"/>
        <v>0</v>
      </c>
      <c r="CA84" s="17">
        <f t="shared" si="103"/>
        <v>0</v>
      </c>
    </row>
    <row r="85" spans="4:79" x14ac:dyDescent="0.2">
      <c r="D85" s="9"/>
      <c r="E85" s="5"/>
      <c r="F85" s="9"/>
      <c r="G85" s="20"/>
      <c r="H85" s="19">
        <v>3143</v>
      </c>
      <c r="I85" s="167">
        <f t="shared" ref="I85:BV85" si="104">SUMIF($F$12:$F$463,"=3143",I$12:I$463)</f>
        <v>7624902</v>
      </c>
      <c r="J85" s="16">
        <f t="shared" si="104"/>
        <v>5631475</v>
      </c>
      <c r="K85" s="16">
        <f t="shared" si="104"/>
        <v>5504227</v>
      </c>
      <c r="L85" s="16">
        <f t="shared" si="104"/>
        <v>127248</v>
      </c>
      <c r="M85" s="16">
        <f t="shared" si="104"/>
        <v>20500</v>
      </c>
      <c r="N85" s="16">
        <f t="shared" si="104"/>
        <v>20500</v>
      </c>
      <c r="O85" s="16">
        <f t="shared" si="104"/>
        <v>0</v>
      </c>
      <c r="P85" s="16">
        <f t="shared" si="104"/>
        <v>1910367</v>
      </c>
      <c r="Q85" s="16">
        <f t="shared" si="104"/>
        <v>56314</v>
      </c>
      <c r="R85" s="16">
        <f t="shared" si="104"/>
        <v>6246</v>
      </c>
      <c r="S85" s="13">
        <f t="shared" si="104"/>
        <v>11.967499999999999</v>
      </c>
      <c r="T85" s="13">
        <f t="shared" si="104"/>
        <v>11.487499999999999</v>
      </c>
      <c r="U85" s="17">
        <f t="shared" si="104"/>
        <v>0.48000000000000004</v>
      </c>
      <c r="V85" s="168">
        <f t="shared" si="104"/>
        <v>0</v>
      </c>
      <c r="W85" s="16">
        <f t="shared" si="104"/>
        <v>0</v>
      </c>
      <c r="X85" s="16">
        <f t="shared" si="104"/>
        <v>0</v>
      </c>
      <c r="Y85" s="16">
        <f t="shared" si="104"/>
        <v>0</v>
      </c>
      <c r="Z85" s="16">
        <f t="shared" si="104"/>
        <v>0</v>
      </c>
      <c r="AA85" s="16">
        <f t="shared" si="104"/>
        <v>63602</v>
      </c>
      <c r="AB85" s="16">
        <f t="shared" si="104"/>
        <v>0</v>
      </c>
      <c r="AC85" s="16">
        <f t="shared" si="104"/>
        <v>0</v>
      </c>
      <c r="AD85" s="16">
        <f t="shared" si="104"/>
        <v>0</v>
      </c>
      <c r="AE85" s="16">
        <f t="shared" si="104"/>
        <v>63602</v>
      </c>
      <c r="AF85" s="16">
        <f t="shared" si="104"/>
        <v>63602</v>
      </c>
      <c r="AG85" s="16">
        <f t="shared" si="104"/>
        <v>0</v>
      </c>
      <c r="AH85" s="16">
        <f t="shared" si="104"/>
        <v>0</v>
      </c>
      <c r="AI85" s="16">
        <f t="shared" si="104"/>
        <v>0</v>
      </c>
      <c r="AJ85" s="16">
        <f t="shared" si="104"/>
        <v>0</v>
      </c>
      <c r="AK85" s="16">
        <f t="shared" si="104"/>
        <v>0</v>
      </c>
      <c r="AL85" s="16">
        <f t="shared" si="104"/>
        <v>0</v>
      </c>
      <c r="AM85" s="16">
        <f t="shared" si="104"/>
        <v>0</v>
      </c>
      <c r="AN85" s="16">
        <f t="shared" si="104"/>
        <v>0</v>
      </c>
      <c r="AO85" s="16">
        <f t="shared" si="104"/>
        <v>0</v>
      </c>
      <c r="AP85" s="16">
        <f t="shared" si="104"/>
        <v>63602</v>
      </c>
      <c r="AQ85" s="16">
        <f t="shared" si="104"/>
        <v>63602</v>
      </c>
      <c r="AR85" s="16">
        <f t="shared" si="104"/>
        <v>21497</v>
      </c>
      <c r="AS85" s="16">
        <f t="shared" si="104"/>
        <v>636</v>
      </c>
      <c r="AT85" s="16">
        <f t="shared" si="104"/>
        <v>0</v>
      </c>
      <c r="AU85" s="16">
        <f t="shared" si="104"/>
        <v>3123</v>
      </c>
      <c r="AV85" s="16">
        <f t="shared" si="104"/>
        <v>3123</v>
      </c>
      <c r="AW85" s="16">
        <f t="shared" si="104"/>
        <v>88858</v>
      </c>
      <c r="AX85" s="13">
        <f t="shared" si="104"/>
        <v>0</v>
      </c>
      <c r="AY85" s="13">
        <f t="shared" si="104"/>
        <v>0</v>
      </c>
      <c r="AZ85" s="13">
        <f t="shared" si="104"/>
        <v>0</v>
      </c>
      <c r="BA85" s="13">
        <f t="shared" si="104"/>
        <v>0</v>
      </c>
      <c r="BB85" s="13">
        <f t="shared" si="104"/>
        <v>0.23</v>
      </c>
      <c r="BC85" s="13">
        <f t="shared" si="104"/>
        <v>0</v>
      </c>
      <c r="BD85" s="13">
        <f t="shared" si="104"/>
        <v>0</v>
      </c>
      <c r="BE85" s="13">
        <f t="shared" si="104"/>
        <v>0</v>
      </c>
      <c r="BF85" s="13">
        <f t="shared" si="104"/>
        <v>0</v>
      </c>
      <c r="BG85" s="13">
        <f t="shared" si="104"/>
        <v>0.23</v>
      </c>
      <c r="BH85" s="169">
        <f t="shared" si="104"/>
        <v>0.23</v>
      </c>
      <c r="BI85" s="167">
        <f t="shared" si="104"/>
        <v>7713760</v>
      </c>
      <c r="BJ85" s="16">
        <f t="shared" si="104"/>
        <v>5695077</v>
      </c>
      <c r="BK85" s="16">
        <f t="shared" si="104"/>
        <v>5504227</v>
      </c>
      <c r="BL85" s="16">
        <f t="shared" si="104"/>
        <v>190850</v>
      </c>
      <c r="BM85" s="16">
        <f t="shared" si="104"/>
        <v>20500</v>
      </c>
      <c r="BN85" s="16">
        <f t="shared" si="104"/>
        <v>20500</v>
      </c>
      <c r="BO85" s="16">
        <f t="shared" si="104"/>
        <v>0</v>
      </c>
      <c r="BP85" s="16">
        <f t="shared" si="104"/>
        <v>1931864</v>
      </c>
      <c r="BQ85" s="16">
        <f t="shared" si="104"/>
        <v>56950</v>
      </c>
      <c r="BR85" s="16">
        <f t="shared" si="104"/>
        <v>9369</v>
      </c>
      <c r="BS85" s="13">
        <f t="shared" si="104"/>
        <v>12.197499999999998</v>
      </c>
      <c r="BT85" s="13">
        <f t="shared" si="104"/>
        <v>11.487499999999999</v>
      </c>
      <c r="BU85" s="169">
        <f t="shared" si="104"/>
        <v>0.71000000000000008</v>
      </c>
      <c r="BV85" s="167">
        <f t="shared" si="104"/>
        <v>0</v>
      </c>
      <c r="BW85" s="16">
        <f t="shared" ref="BW85:CA85" si="105">SUMIF($F$12:$F$463,"=3143",BW$12:BW$463)</f>
        <v>0</v>
      </c>
      <c r="BX85" s="16">
        <f t="shared" si="105"/>
        <v>0</v>
      </c>
      <c r="BY85" s="16">
        <f t="shared" si="105"/>
        <v>0</v>
      </c>
      <c r="BZ85" s="16">
        <f t="shared" si="105"/>
        <v>0</v>
      </c>
      <c r="CA85" s="17">
        <f t="shared" si="105"/>
        <v>0</v>
      </c>
    </row>
    <row r="86" spans="4:79" x14ac:dyDescent="0.2">
      <c r="D86" s="9"/>
      <c r="E86" s="5"/>
      <c r="F86" s="9"/>
      <c r="G86" s="20"/>
      <c r="H86" s="19">
        <v>3231</v>
      </c>
      <c r="I86" s="167">
        <f t="shared" ref="I86:BV86" si="106">SUMIF($F$12:$F$463,"=3231",I$12:I$463)</f>
        <v>12101002</v>
      </c>
      <c r="J86" s="16">
        <f t="shared" si="106"/>
        <v>8926057</v>
      </c>
      <c r="K86" s="16">
        <f t="shared" si="106"/>
        <v>8588349</v>
      </c>
      <c r="L86" s="16">
        <f t="shared" si="106"/>
        <v>337708</v>
      </c>
      <c r="M86" s="16">
        <f t="shared" si="106"/>
        <v>40500</v>
      </c>
      <c r="N86" s="16">
        <f t="shared" si="106"/>
        <v>40500</v>
      </c>
      <c r="O86" s="16">
        <f t="shared" si="106"/>
        <v>0</v>
      </c>
      <c r="P86" s="16">
        <f t="shared" si="106"/>
        <v>3030696</v>
      </c>
      <c r="Q86" s="16">
        <f t="shared" si="106"/>
        <v>89261</v>
      </c>
      <c r="R86" s="16">
        <f t="shared" si="106"/>
        <v>14488</v>
      </c>
      <c r="S86" s="13">
        <f t="shared" si="106"/>
        <v>14.6241</v>
      </c>
      <c r="T86" s="13">
        <f t="shared" si="106"/>
        <v>13.676500000000001</v>
      </c>
      <c r="U86" s="17">
        <f t="shared" si="106"/>
        <v>0.9476</v>
      </c>
      <c r="V86" s="168">
        <f t="shared" si="106"/>
        <v>0</v>
      </c>
      <c r="W86" s="16">
        <f t="shared" si="106"/>
        <v>0</v>
      </c>
      <c r="X86" s="16">
        <f t="shared" si="106"/>
        <v>0</v>
      </c>
      <c r="Y86" s="16">
        <f t="shared" si="106"/>
        <v>0</v>
      </c>
      <c r="Z86" s="16">
        <f t="shared" si="106"/>
        <v>0</v>
      </c>
      <c r="AA86" s="16">
        <f t="shared" si="106"/>
        <v>0</v>
      </c>
      <c r="AB86" s="16">
        <f t="shared" si="106"/>
        <v>0</v>
      </c>
      <c r="AC86" s="16">
        <f t="shared" si="106"/>
        <v>0</v>
      </c>
      <c r="AD86" s="16">
        <f t="shared" si="106"/>
        <v>0</v>
      </c>
      <c r="AE86" s="16">
        <f t="shared" si="106"/>
        <v>0</v>
      </c>
      <c r="AF86" s="16">
        <f t="shared" si="106"/>
        <v>0</v>
      </c>
      <c r="AG86" s="16">
        <f t="shared" si="106"/>
        <v>0</v>
      </c>
      <c r="AH86" s="16">
        <f t="shared" si="106"/>
        <v>0</v>
      </c>
      <c r="AI86" s="16">
        <f t="shared" si="106"/>
        <v>0</v>
      </c>
      <c r="AJ86" s="16">
        <f t="shared" si="106"/>
        <v>0</v>
      </c>
      <c r="AK86" s="16">
        <f t="shared" si="106"/>
        <v>0</v>
      </c>
      <c r="AL86" s="16">
        <f t="shared" si="106"/>
        <v>0</v>
      </c>
      <c r="AM86" s="16">
        <f t="shared" si="106"/>
        <v>0</v>
      </c>
      <c r="AN86" s="16">
        <f t="shared" si="106"/>
        <v>0</v>
      </c>
      <c r="AO86" s="16">
        <f t="shared" si="106"/>
        <v>0</v>
      </c>
      <c r="AP86" s="16">
        <f t="shared" si="106"/>
        <v>0</v>
      </c>
      <c r="AQ86" s="16">
        <f t="shared" si="106"/>
        <v>0</v>
      </c>
      <c r="AR86" s="16">
        <f t="shared" si="106"/>
        <v>0</v>
      </c>
      <c r="AS86" s="16">
        <f t="shared" si="106"/>
        <v>0</v>
      </c>
      <c r="AT86" s="16">
        <f t="shared" si="106"/>
        <v>0</v>
      </c>
      <c r="AU86" s="16">
        <f t="shared" si="106"/>
        <v>0</v>
      </c>
      <c r="AV86" s="16">
        <f t="shared" si="106"/>
        <v>0</v>
      </c>
      <c r="AW86" s="16">
        <f t="shared" si="106"/>
        <v>0</v>
      </c>
      <c r="AX86" s="13">
        <f t="shared" si="106"/>
        <v>0</v>
      </c>
      <c r="AY86" s="13">
        <f t="shared" si="106"/>
        <v>0</v>
      </c>
      <c r="AZ86" s="13">
        <f t="shared" si="106"/>
        <v>0</v>
      </c>
      <c r="BA86" s="13">
        <f t="shared" si="106"/>
        <v>0</v>
      </c>
      <c r="BB86" s="13">
        <f t="shared" si="106"/>
        <v>0</v>
      </c>
      <c r="BC86" s="13">
        <f t="shared" si="106"/>
        <v>0</v>
      </c>
      <c r="BD86" s="13">
        <f t="shared" si="106"/>
        <v>0</v>
      </c>
      <c r="BE86" s="13">
        <f t="shared" si="106"/>
        <v>0</v>
      </c>
      <c r="BF86" s="13">
        <f t="shared" si="106"/>
        <v>0</v>
      </c>
      <c r="BG86" s="13">
        <f t="shared" si="106"/>
        <v>0</v>
      </c>
      <c r="BH86" s="169">
        <f t="shared" si="106"/>
        <v>0</v>
      </c>
      <c r="BI86" s="167">
        <f t="shared" si="106"/>
        <v>12101002</v>
      </c>
      <c r="BJ86" s="16">
        <f t="shared" si="106"/>
        <v>8926057</v>
      </c>
      <c r="BK86" s="16">
        <f t="shared" si="106"/>
        <v>8588349</v>
      </c>
      <c r="BL86" s="16">
        <f t="shared" si="106"/>
        <v>337708</v>
      </c>
      <c r="BM86" s="16">
        <f t="shared" si="106"/>
        <v>40500</v>
      </c>
      <c r="BN86" s="16">
        <f t="shared" si="106"/>
        <v>40500</v>
      </c>
      <c r="BO86" s="16">
        <f t="shared" si="106"/>
        <v>0</v>
      </c>
      <c r="BP86" s="16">
        <f t="shared" si="106"/>
        <v>3030696</v>
      </c>
      <c r="BQ86" s="16">
        <f t="shared" si="106"/>
        <v>89261</v>
      </c>
      <c r="BR86" s="16">
        <f t="shared" si="106"/>
        <v>14488</v>
      </c>
      <c r="BS86" s="13">
        <f t="shared" si="106"/>
        <v>14.6241</v>
      </c>
      <c r="BT86" s="13">
        <f t="shared" si="106"/>
        <v>13.676500000000001</v>
      </c>
      <c r="BU86" s="169">
        <f t="shared" si="106"/>
        <v>0.9476</v>
      </c>
      <c r="BV86" s="167">
        <f t="shared" si="106"/>
        <v>0</v>
      </c>
      <c r="BW86" s="16">
        <f t="shared" ref="BW86:CA86" si="107">SUMIF($F$12:$F$463,"=3231",BW$12:BW$463)</f>
        <v>0</v>
      </c>
      <c r="BX86" s="16">
        <f t="shared" si="107"/>
        <v>0</v>
      </c>
      <c r="BY86" s="16">
        <f t="shared" si="107"/>
        <v>0</v>
      </c>
      <c r="BZ86" s="16">
        <f t="shared" si="107"/>
        <v>0</v>
      </c>
      <c r="CA86" s="17">
        <f t="shared" si="107"/>
        <v>0</v>
      </c>
    </row>
    <row r="87" spans="4:79" ht="13.5" thickBot="1" x14ac:dyDescent="0.25">
      <c r="D87" s="9"/>
      <c r="E87" s="5"/>
      <c r="F87" s="9"/>
      <c r="G87" s="20"/>
      <c r="H87" s="138">
        <v>3233</v>
      </c>
      <c r="I87" s="170">
        <f t="shared" ref="I87:BV87" si="108">SUMIF($F$12:$F$463,"=3233",I$12:I$463)</f>
        <v>2588200</v>
      </c>
      <c r="J87" s="171">
        <f t="shared" si="108"/>
        <v>1739440</v>
      </c>
      <c r="K87" s="171">
        <f t="shared" si="108"/>
        <v>1448822</v>
      </c>
      <c r="L87" s="171">
        <f t="shared" si="108"/>
        <v>290618</v>
      </c>
      <c r="M87" s="171">
        <f t="shared" si="108"/>
        <v>180000</v>
      </c>
      <c r="N87" s="171">
        <f t="shared" si="108"/>
        <v>160000</v>
      </c>
      <c r="O87" s="171">
        <f t="shared" si="108"/>
        <v>20000</v>
      </c>
      <c r="P87" s="171">
        <f t="shared" si="108"/>
        <v>648771</v>
      </c>
      <c r="Q87" s="171">
        <f t="shared" si="108"/>
        <v>17394</v>
      </c>
      <c r="R87" s="171">
        <f t="shared" si="108"/>
        <v>2595</v>
      </c>
      <c r="S87" s="172">
        <f t="shared" si="108"/>
        <v>3.56</v>
      </c>
      <c r="T87" s="172">
        <f t="shared" si="108"/>
        <v>2.62</v>
      </c>
      <c r="U87" s="173">
        <f t="shared" si="108"/>
        <v>0.94</v>
      </c>
      <c r="V87" s="174">
        <f t="shared" si="108"/>
        <v>0</v>
      </c>
      <c r="W87" s="171">
        <f t="shared" si="108"/>
        <v>0</v>
      </c>
      <c r="X87" s="171">
        <f t="shared" si="108"/>
        <v>0</v>
      </c>
      <c r="Y87" s="171">
        <f t="shared" si="108"/>
        <v>0</v>
      </c>
      <c r="Z87" s="171">
        <f t="shared" si="108"/>
        <v>0</v>
      </c>
      <c r="AA87" s="171">
        <f t="shared" si="108"/>
        <v>155323</v>
      </c>
      <c r="AB87" s="171">
        <f t="shared" si="108"/>
        <v>0</v>
      </c>
      <c r="AC87" s="171">
        <f t="shared" si="108"/>
        <v>0</v>
      </c>
      <c r="AD87" s="171">
        <f t="shared" si="108"/>
        <v>0</v>
      </c>
      <c r="AE87" s="171">
        <f t="shared" si="108"/>
        <v>155323</v>
      </c>
      <c r="AF87" s="171">
        <f t="shared" si="108"/>
        <v>155323</v>
      </c>
      <c r="AG87" s="171">
        <f t="shared" si="108"/>
        <v>0</v>
      </c>
      <c r="AH87" s="171">
        <f t="shared" si="108"/>
        <v>0</v>
      </c>
      <c r="AI87" s="171">
        <f t="shared" si="108"/>
        <v>0</v>
      </c>
      <c r="AJ87" s="171">
        <f t="shared" si="108"/>
        <v>0</v>
      </c>
      <c r="AK87" s="171">
        <f t="shared" si="108"/>
        <v>0</v>
      </c>
      <c r="AL87" s="171">
        <f t="shared" si="108"/>
        <v>0</v>
      </c>
      <c r="AM87" s="171">
        <f t="shared" si="108"/>
        <v>0</v>
      </c>
      <c r="AN87" s="171">
        <f t="shared" si="108"/>
        <v>0</v>
      </c>
      <c r="AO87" s="171">
        <f t="shared" si="108"/>
        <v>0</v>
      </c>
      <c r="AP87" s="171">
        <f t="shared" si="108"/>
        <v>155323</v>
      </c>
      <c r="AQ87" s="171">
        <f t="shared" si="108"/>
        <v>155323</v>
      </c>
      <c r="AR87" s="171">
        <f t="shared" si="108"/>
        <v>52499</v>
      </c>
      <c r="AS87" s="171">
        <f t="shared" si="108"/>
        <v>1553</v>
      </c>
      <c r="AT87" s="171">
        <f t="shared" si="108"/>
        <v>0</v>
      </c>
      <c r="AU87" s="171">
        <f t="shared" si="108"/>
        <v>1038</v>
      </c>
      <c r="AV87" s="171">
        <f t="shared" si="108"/>
        <v>1038</v>
      </c>
      <c r="AW87" s="171">
        <f t="shared" si="108"/>
        <v>210413</v>
      </c>
      <c r="AX87" s="172">
        <f t="shared" si="108"/>
        <v>0</v>
      </c>
      <c r="AY87" s="172">
        <f t="shared" si="108"/>
        <v>0</v>
      </c>
      <c r="AZ87" s="172">
        <f t="shared" si="108"/>
        <v>0</v>
      </c>
      <c r="BA87" s="172">
        <f t="shared" si="108"/>
        <v>0</v>
      </c>
      <c r="BB87" s="172">
        <f t="shared" si="108"/>
        <v>0.5</v>
      </c>
      <c r="BC87" s="172">
        <f t="shared" si="108"/>
        <v>0</v>
      </c>
      <c r="BD87" s="172">
        <f t="shared" si="108"/>
        <v>0</v>
      </c>
      <c r="BE87" s="172">
        <f t="shared" si="108"/>
        <v>0</v>
      </c>
      <c r="BF87" s="172">
        <f t="shared" si="108"/>
        <v>0</v>
      </c>
      <c r="BG87" s="172">
        <f t="shared" si="108"/>
        <v>0.5</v>
      </c>
      <c r="BH87" s="175">
        <f t="shared" si="108"/>
        <v>0.5</v>
      </c>
      <c r="BI87" s="170">
        <f t="shared" si="108"/>
        <v>2798613</v>
      </c>
      <c r="BJ87" s="171">
        <f t="shared" si="108"/>
        <v>1894763</v>
      </c>
      <c r="BK87" s="171">
        <f t="shared" si="108"/>
        <v>1448822</v>
      </c>
      <c r="BL87" s="171">
        <f t="shared" si="108"/>
        <v>445941</v>
      </c>
      <c r="BM87" s="171">
        <f t="shared" si="108"/>
        <v>180000</v>
      </c>
      <c r="BN87" s="171">
        <f t="shared" si="108"/>
        <v>160000</v>
      </c>
      <c r="BO87" s="171">
        <f t="shared" si="108"/>
        <v>20000</v>
      </c>
      <c r="BP87" s="171">
        <f t="shared" si="108"/>
        <v>701270</v>
      </c>
      <c r="BQ87" s="171">
        <f t="shared" si="108"/>
        <v>18947</v>
      </c>
      <c r="BR87" s="171">
        <f t="shared" si="108"/>
        <v>3633</v>
      </c>
      <c r="BS87" s="172">
        <f t="shared" si="108"/>
        <v>4.0600000000000005</v>
      </c>
      <c r="BT87" s="172">
        <f t="shared" si="108"/>
        <v>2.62</v>
      </c>
      <c r="BU87" s="175">
        <f t="shared" si="108"/>
        <v>1.44</v>
      </c>
      <c r="BV87" s="170">
        <f t="shared" si="108"/>
        <v>0</v>
      </c>
      <c r="BW87" s="171">
        <f t="shared" ref="BW87:CA87" si="109">SUMIF($F$12:$F$463,"=3233",BW$12:BW$463)</f>
        <v>0</v>
      </c>
      <c r="BX87" s="171">
        <f t="shared" si="109"/>
        <v>0</v>
      </c>
      <c r="BY87" s="171">
        <f t="shared" si="109"/>
        <v>0</v>
      </c>
      <c r="BZ87" s="171">
        <f t="shared" si="109"/>
        <v>0</v>
      </c>
      <c r="CA87" s="173">
        <f t="shared" si="109"/>
        <v>0</v>
      </c>
    </row>
    <row r="88" spans="4:79" x14ac:dyDescent="0.2">
      <c r="D88" s="5"/>
      <c r="E88" s="5"/>
      <c r="F88" s="5"/>
      <c r="G88" s="20"/>
      <c r="H88" s="5"/>
    </row>
    <row r="130" spans="74:74" x14ac:dyDescent="0.2">
      <c r="BV130" s="235">
        <f>SUM(BW129:BZ129)</f>
        <v>0</v>
      </c>
    </row>
    <row r="131" spans="74:74" x14ac:dyDescent="0.2">
      <c r="BV131" s="235">
        <f>SUM(BW132:BZ132)</f>
        <v>0</v>
      </c>
    </row>
  </sheetData>
  <mergeCells count="54">
    <mergeCell ref="Z9:AA9"/>
    <mergeCell ref="A3:E3"/>
    <mergeCell ref="I8:I10"/>
    <mergeCell ref="I6:U7"/>
    <mergeCell ref="AR7:AR10"/>
    <mergeCell ref="AN9:AN10"/>
    <mergeCell ref="V6:BH6"/>
    <mergeCell ref="AB9:AC9"/>
    <mergeCell ref="AD9:AE9"/>
    <mergeCell ref="V9:W9"/>
    <mergeCell ref="X9:X10"/>
    <mergeCell ref="Y9:Y10"/>
    <mergeCell ref="AX8:AY9"/>
    <mergeCell ref="AF9:AF10"/>
    <mergeCell ref="AG9:AH9"/>
    <mergeCell ref="V7:AF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A8:BB8"/>
    <mergeCell ref="BC8:BC9"/>
    <mergeCell ref="BD8:BE9"/>
    <mergeCell ref="BI6:BU7"/>
    <mergeCell ref="BS8:BS10"/>
    <mergeCell ref="BT8:BU9"/>
    <mergeCell ref="BR9:BR10"/>
    <mergeCell ref="BI8:BI10"/>
    <mergeCell ref="BJ8:BR8"/>
    <mergeCell ref="BJ9:BJ10"/>
    <mergeCell ref="BN9:BO9"/>
    <mergeCell ref="BP9:BP10"/>
    <mergeCell ref="BV6:CA7"/>
    <mergeCell ref="BV8:CA9"/>
    <mergeCell ref="BK9:BL9"/>
    <mergeCell ref="BM9:BM10"/>
    <mergeCell ref="AI9:AI10"/>
    <mergeCell ref="AJ9:AK9"/>
    <mergeCell ref="AL9:AM9"/>
    <mergeCell ref="AT7:AV9"/>
    <mergeCell ref="AW7:AW10"/>
    <mergeCell ref="AS7:AS10"/>
    <mergeCell ref="AO7:AQ9"/>
    <mergeCell ref="AG7:AN8"/>
    <mergeCell ref="BF8:BH9"/>
    <mergeCell ref="BQ9:BQ10"/>
    <mergeCell ref="AX7:BH7"/>
    <mergeCell ref="AZ8:AZ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A307"/>
  <sheetViews>
    <sheetView zoomScaleNormal="100" workbookViewId="0">
      <pane xSplit="8" ySplit="11" topLeftCell="AU12" activePane="bottomRight" state="frozen"/>
      <selection activeCell="E477" sqref="E477"/>
      <selection pane="topRight" activeCell="E477" sqref="E477"/>
      <selection pane="bottomLeft" activeCell="E477" sqref="E477"/>
      <selection pane="bottomRight" activeCell="BD8" sqref="BD8:BE9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8" width="10.85546875" style="8" customWidth="1"/>
    <col min="19" max="21" width="9.28515625" style="7" customWidth="1"/>
    <col min="22" max="25" width="10.28515625" style="8" customWidth="1"/>
    <col min="26" max="26" width="10.5703125" style="8" customWidth="1"/>
    <col min="27" max="41" width="10.28515625" style="8" customWidth="1"/>
    <col min="42" max="42" width="10.28515625" style="7" customWidth="1"/>
    <col min="43" max="44" width="9.28515625" style="7" customWidth="1"/>
    <col min="45" max="45" width="9.140625" style="8" customWidth="1"/>
    <col min="46" max="46" width="9.7109375" style="8" customWidth="1"/>
    <col min="47" max="47" width="12" style="8" customWidth="1"/>
    <col min="48" max="48" width="9.140625" style="8" customWidth="1"/>
    <col min="49" max="49" width="9.7109375" style="8" customWidth="1"/>
    <col min="50" max="52" width="9.140625" style="7" customWidth="1"/>
    <col min="53" max="53" width="10.140625" style="7" customWidth="1"/>
    <col min="54" max="60" width="9.28515625" style="7" customWidth="1"/>
    <col min="61" max="70" width="10.85546875" style="7" customWidth="1"/>
    <col min="71" max="73" width="9.28515625" style="7" customWidth="1"/>
    <col min="74" max="78" width="9.7109375" style="8" customWidth="1"/>
    <col min="79" max="79" width="9.7109375" style="7" customWidth="1"/>
    <col min="183" max="183" width="6.85546875" customWidth="1"/>
    <col min="184" max="184" width="29.85546875" customWidth="1"/>
    <col min="185" max="185" width="6.7109375" customWidth="1"/>
    <col min="186" max="186" width="32.28515625" customWidth="1"/>
    <col min="187" max="187" width="10.85546875" customWidth="1"/>
    <col min="188" max="188" width="11.7109375" customWidth="1"/>
    <col min="189" max="189" width="10.85546875" customWidth="1"/>
    <col min="190" max="190" width="10.5703125" customWidth="1"/>
    <col min="192" max="192" width="10.85546875" customWidth="1"/>
    <col min="195" max="195" width="12" customWidth="1"/>
    <col min="439" max="439" width="6.85546875" customWidth="1"/>
    <col min="440" max="440" width="29.85546875" customWidth="1"/>
    <col min="441" max="441" width="6.7109375" customWidth="1"/>
    <col min="442" max="442" width="32.28515625" customWidth="1"/>
    <col min="443" max="443" width="10.85546875" customWidth="1"/>
    <col min="444" max="444" width="11.7109375" customWidth="1"/>
    <col min="445" max="445" width="10.85546875" customWidth="1"/>
    <col min="446" max="446" width="10.5703125" customWidth="1"/>
    <col min="448" max="448" width="10.85546875" customWidth="1"/>
    <col min="451" max="451" width="12" customWidth="1"/>
    <col min="695" max="695" width="6.85546875" customWidth="1"/>
    <col min="696" max="696" width="29.85546875" customWidth="1"/>
    <col min="697" max="697" width="6.7109375" customWidth="1"/>
    <col min="698" max="698" width="32.28515625" customWidth="1"/>
    <col min="699" max="699" width="10.85546875" customWidth="1"/>
    <col min="700" max="700" width="11.7109375" customWidth="1"/>
    <col min="701" max="701" width="10.85546875" customWidth="1"/>
    <col min="702" max="702" width="10.5703125" customWidth="1"/>
    <col min="704" max="704" width="10.85546875" customWidth="1"/>
    <col min="707" max="707" width="12" customWidth="1"/>
    <col min="951" max="951" width="6.85546875" customWidth="1"/>
    <col min="952" max="952" width="29.85546875" customWidth="1"/>
    <col min="953" max="953" width="6.7109375" customWidth="1"/>
    <col min="954" max="954" width="32.28515625" customWidth="1"/>
    <col min="955" max="955" width="10.85546875" customWidth="1"/>
    <col min="956" max="956" width="11.7109375" customWidth="1"/>
    <col min="957" max="957" width="10.85546875" customWidth="1"/>
    <col min="958" max="958" width="10.5703125" customWidth="1"/>
    <col min="960" max="960" width="10.85546875" customWidth="1"/>
    <col min="963" max="963" width="12" customWidth="1"/>
    <col min="1207" max="1207" width="6.85546875" customWidth="1"/>
    <col min="1208" max="1208" width="29.85546875" customWidth="1"/>
    <col min="1209" max="1209" width="6.7109375" customWidth="1"/>
    <col min="1210" max="1210" width="32.28515625" customWidth="1"/>
    <col min="1211" max="1211" width="10.85546875" customWidth="1"/>
    <col min="1212" max="1212" width="11.7109375" customWidth="1"/>
    <col min="1213" max="1213" width="10.85546875" customWidth="1"/>
    <col min="1214" max="1214" width="10.5703125" customWidth="1"/>
    <col min="1216" max="1216" width="10.85546875" customWidth="1"/>
    <col min="1219" max="1219" width="12" customWidth="1"/>
    <col min="1463" max="1463" width="6.85546875" customWidth="1"/>
    <col min="1464" max="1464" width="29.85546875" customWidth="1"/>
    <col min="1465" max="1465" width="6.7109375" customWidth="1"/>
    <col min="1466" max="1466" width="32.28515625" customWidth="1"/>
    <col min="1467" max="1467" width="10.85546875" customWidth="1"/>
    <col min="1468" max="1468" width="11.7109375" customWidth="1"/>
    <col min="1469" max="1469" width="10.85546875" customWidth="1"/>
    <col min="1470" max="1470" width="10.5703125" customWidth="1"/>
    <col min="1472" max="1472" width="10.85546875" customWidth="1"/>
    <col min="1475" max="1475" width="12" customWidth="1"/>
    <col min="1719" max="1719" width="6.85546875" customWidth="1"/>
    <col min="1720" max="1720" width="29.85546875" customWidth="1"/>
    <col min="1721" max="1721" width="6.7109375" customWidth="1"/>
    <col min="1722" max="1722" width="32.28515625" customWidth="1"/>
    <col min="1723" max="1723" width="10.85546875" customWidth="1"/>
    <col min="1724" max="1724" width="11.7109375" customWidth="1"/>
    <col min="1725" max="1725" width="10.85546875" customWidth="1"/>
    <col min="1726" max="1726" width="10.5703125" customWidth="1"/>
    <col min="1728" max="1728" width="10.85546875" customWidth="1"/>
    <col min="1731" max="1731" width="12" customWidth="1"/>
    <col min="1975" max="1975" width="6.85546875" customWidth="1"/>
    <col min="1976" max="1976" width="29.85546875" customWidth="1"/>
    <col min="1977" max="1977" width="6.7109375" customWidth="1"/>
    <col min="1978" max="1978" width="32.28515625" customWidth="1"/>
    <col min="1979" max="1979" width="10.85546875" customWidth="1"/>
    <col min="1980" max="1980" width="11.7109375" customWidth="1"/>
    <col min="1981" max="1981" width="10.85546875" customWidth="1"/>
    <col min="1982" max="1982" width="10.5703125" customWidth="1"/>
    <col min="1984" max="1984" width="10.85546875" customWidth="1"/>
    <col min="1987" max="1987" width="12" customWidth="1"/>
    <col min="2231" max="2231" width="6.85546875" customWidth="1"/>
    <col min="2232" max="2232" width="29.85546875" customWidth="1"/>
    <col min="2233" max="2233" width="6.7109375" customWidth="1"/>
    <col min="2234" max="2234" width="32.28515625" customWidth="1"/>
    <col min="2235" max="2235" width="10.85546875" customWidth="1"/>
    <col min="2236" max="2236" width="11.7109375" customWidth="1"/>
    <col min="2237" max="2237" width="10.85546875" customWidth="1"/>
    <col min="2238" max="2238" width="10.5703125" customWidth="1"/>
    <col min="2240" max="2240" width="10.85546875" customWidth="1"/>
    <col min="2243" max="2243" width="12" customWidth="1"/>
    <col min="2487" max="2487" width="6.85546875" customWidth="1"/>
    <col min="2488" max="2488" width="29.85546875" customWidth="1"/>
    <col min="2489" max="2489" width="6.7109375" customWidth="1"/>
    <col min="2490" max="2490" width="32.28515625" customWidth="1"/>
    <col min="2491" max="2491" width="10.85546875" customWidth="1"/>
    <col min="2492" max="2492" width="11.7109375" customWidth="1"/>
    <col min="2493" max="2493" width="10.85546875" customWidth="1"/>
    <col min="2494" max="2494" width="10.5703125" customWidth="1"/>
    <col min="2496" max="2496" width="10.85546875" customWidth="1"/>
    <col min="2499" max="2499" width="12" customWidth="1"/>
    <col min="2743" max="2743" width="6.85546875" customWidth="1"/>
    <col min="2744" max="2744" width="29.85546875" customWidth="1"/>
    <col min="2745" max="2745" width="6.7109375" customWidth="1"/>
    <col min="2746" max="2746" width="32.28515625" customWidth="1"/>
    <col min="2747" max="2747" width="10.85546875" customWidth="1"/>
    <col min="2748" max="2748" width="11.7109375" customWidth="1"/>
    <col min="2749" max="2749" width="10.85546875" customWidth="1"/>
    <col min="2750" max="2750" width="10.5703125" customWidth="1"/>
    <col min="2752" max="2752" width="10.85546875" customWidth="1"/>
    <col min="2755" max="2755" width="12" customWidth="1"/>
    <col min="2999" max="2999" width="6.85546875" customWidth="1"/>
    <col min="3000" max="3000" width="29.85546875" customWidth="1"/>
    <col min="3001" max="3001" width="6.7109375" customWidth="1"/>
    <col min="3002" max="3002" width="32.28515625" customWidth="1"/>
    <col min="3003" max="3003" width="10.85546875" customWidth="1"/>
    <col min="3004" max="3004" width="11.7109375" customWidth="1"/>
    <col min="3005" max="3005" width="10.85546875" customWidth="1"/>
    <col min="3006" max="3006" width="10.5703125" customWidth="1"/>
    <col min="3008" max="3008" width="10.85546875" customWidth="1"/>
    <col min="3011" max="3011" width="12" customWidth="1"/>
    <col min="3255" max="3255" width="6.85546875" customWidth="1"/>
    <col min="3256" max="3256" width="29.85546875" customWidth="1"/>
    <col min="3257" max="3257" width="6.7109375" customWidth="1"/>
    <col min="3258" max="3258" width="32.28515625" customWidth="1"/>
    <col min="3259" max="3259" width="10.85546875" customWidth="1"/>
    <col min="3260" max="3260" width="11.7109375" customWidth="1"/>
    <col min="3261" max="3261" width="10.85546875" customWidth="1"/>
    <col min="3262" max="3262" width="10.5703125" customWidth="1"/>
    <col min="3264" max="3264" width="10.85546875" customWidth="1"/>
    <col min="3267" max="3267" width="12" customWidth="1"/>
    <col min="3511" max="3511" width="6.85546875" customWidth="1"/>
    <col min="3512" max="3512" width="29.85546875" customWidth="1"/>
    <col min="3513" max="3513" width="6.7109375" customWidth="1"/>
    <col min="3514" max="3514" width="32.28515625" customWidth="1"/>
    <col min="3515" max="3515" width="10.85546875" customWidth="1"/>
    <col min="3516" max="3516" width="11.7109375" customWidth="1"/>
    <col min="3517" max="3517" width="10.85546875" customWidth="1"/>
    <col min="3518" max="3518" width="10.5703125" customWidth="1"/>
    <col min="3520" max="3520" width="10.85546875" customWidth="1"/>
    <col min="3523" max="3523" width="12" customWidth="1"/>
    <col min="3767" max="3767" width="6.85546875" customWidth="1"/>
    <col min="3768" max="3768" width="29.85546875" customWidth="1"/>
    <col min="3769" max="3769" width="6.7109375" customWidth="1"/>
    <col min="3770" max="3770" width="32.28515625" customWidth="1"/>
    <col min="3771" max="3771" width="10.85546875" customWidth="1"/>
    <col min="3772" max="3772" width="11.7109375" customWidth="1"/>
    <col min="3773" max="3773" width="10.85546875" customWidth="1"/>
    <col min="3774" max="3774" width="10.5703125" customWidth="1"/>
    <col min="3776" max="3776" width="10.85546875" customWidth="1"/>
    <col min="3779" max="3779" width="12" customWidth="1"/>
    <col min="4023" max="4023" width="6.85546875" customWidth="1"/>
    <col min="4024" max="4024" width="29.85546875" customWidth="1"/>
    <col min="4025" max="4025" width="6.7109375" customWidth="1"/>
    <col min="4026" max="4026" width="32.28515625" customWidth="1"/>
    <col min="4027" max="4027" width="10.85546875" customWidth="1"/>
    <col min="4028" max="4028" width="11.7109375" customWidth="1"/>
    <col min="4029" max="4029" width="10.85546875" customWidth="1"/>
    <col min="4030" max="4030" width="10.5703125" customWidth="1"/>
    <col min="4032" max="4032" width="10.85546875" customWidth="1"/>
    <col min="4035" max="4035" width="12" customWidth="1"/>
    <col min="4279" max="4279" width="6.85546875" customWidth="1"/>
    <col min="4280" max="4280" width="29.85546875" customWidth="1"/>
    <col min="4281" max="4281" width="6.7109375" customWidth="1"/>
    <col min="4282" max="4282" width="32.28515625" customWidth="1"/>
    <col min="4283" max="4283" width="10.85546875" customWidth="1"/>
    <col min="4284" max="4284" width="11.7109375" customWidth="1"/>
    <col min="4285" max="4285" width="10.85546875" customWidth="1"/>
    <col min="4286" max="4286" width="10.5703125" customWidth="1"/>
    <col min="4288" max="4288" width="10.85546875" customWidth="1"/>
    <col min="4291" max="4291" width="12" customWidth="1"/>
    <col min="4535" max="4535" width="6.85546875" customWidth="1"/>
    <col min="4536" max="4536" width="29.85546875" customWidth="1"/>
    <col min="4537" max="4537" width="6.7109375" customWidth="1"/>
    <col min="4538" max="4538" width="32.28515625" customWidth="1"/>
    <col min="4539" max="4539" width="10.85546875" customWidth="1"/>
    <col min="4540" max="4540" width="11.7109375" customWidth="1"/>
    <col min="4541" max="4541" width="10.85546875" customWidth="1"/>
    <col min="4542" max="4542" width="10.5703125" customWidth="1"/>
    <col min="4544" max="4544" width="10.85546875" customWidth="1"/>
    <col min="4547" max="4547" width="12" customWidth="1"/>
    <col min="4791" max="4791" width="6.85546875" customWidth="1"/>
    <col min="4792" max="4792" width="29.85546875" customWidth="1"/>
    <col min="4793" max="4793" width="6.7109375" customWidth="1"/>
    <col min="4794" max="4794" width="32.28515625" customWidth="1"/>
    <col min="4795" max="4795" width="10.85546875" customWidth="1"/>
    <col min="4796" max="4796" width="11.7109375" customWidth="1"/>
    <col min="4797" max="4797" width="10.85546875" customWidth="1"/>
    <col min="4798" max="4798" width="10.5703125" customWidth="1"/>
    <col min="4800" max="4800" width="10.85546875" customWidth="1"/>
    <col min="4803" max="4803" width="12" customWidth="1"/>
    <col min="5047" max="5047" width="6.85546875" customWidth="1"/>
    <col min="5048" max="5048" width="29.85546875" customWidth="1"/>
    <col min="5049" max="5049" width="6.7109375" customWidth="1"/>
    <col min="5050" max="5050" width="32.28515625" customWidth="1"/>
    <col min="5051" max="5051" width="10.85546875" customWidth="1"/>
    <col min="5052" max="5052" width="11.7109375" customWidth="1"/>
    <col min="5053" max="5053" width="10.85546875" customWidth="1"/>
    <col min="5054" max="5054" width="10.5703125" customWidth="1"/>
    <col min="5056" max="5056" width="10.85546875" customWidth="1"/>
    <col min="5059" max="5059" width="12" customWidth="1"/>
    <col min="5303" max="5303" width="6.85546875" customWidth="1"/>
    <col min="5304" max="5304" width="29.85546875" customWidth="1"/>
    <col min="5305" max="5305" width="6.7109375" customWidth="1"/>
    <col min="5306" max="5306" width="32.28515625" customWidth="1"/>
    <col min="5307" max="5307" width="10.85546875" customWidth="1"/>
    <col min="5308" max="5308" width="11.7109375" customWidth="1"/>
    <col min="5309" max="5309" width="10.85546875" customWidth="1"/>
    <col min="5310" max="5310" width="10.5703125" customWidth="1"/>
    <col min="5312" max="5312" width="10.85546875" customWidth="1"/>
    <col min="5315" max="5315" width="12" customWidth="1"/>
    <col min="5559" max="5559" width="6.85546875" customWidth="1"/>
    <col min="5560" max="5560" width="29.85546875" customWidth="1"/>
    <col min="5561" max="5561" width="6.7109375" customWidth="1"/>
    <col min="5562" max="5562" width="32.28515625" customWidth="1"/>
    <col min="5563" max="5563" width="10.85546875" customWidth="1"/>
    <col min="5564" max="5564" width="11.7109375" customWidth="1"/>
    <col min="5565" max="5565" width="10.85546875" customWidth="1"/>
    <col min="5566" max="5566" width="10.5703125" customWidth="1"/>
    <col min="5568" max="5568" width="10.85546875" customWidth="1"/>
    <col min="5571" max="5571" width="12" customWidth="1"/>
    <col min="5815" max="5815" width="6.85546875" customWidth="1"/>
    <col min="5816" max="5816" width="29.85546875" customWidth="1"/>
    <col min="5817" max="5817" width="6.7109375" customWidth="1"/>
    <col min="5818" max="5818" width="32.28515625" customWidth="1"/>
    <col min="5819" max="5819" width="10.85546875" customWidth="1"/>
    <col min="5820" max="5820" width="11.7109375" customWidth="1"/>
    <col min="5821" max="5821" width="10.85546875" customWidth="1"/>
    <col min="5822" max="5822" width="10.5703125" customWidth="1"/>
    <col min="5824" max="5824" width="10.85546875" customWidth="1"/>
    <col min="5827" max="5827" width="12" customWidth="1"/>
    <col min="6071" max="6071" width="6.85546875" customWidth="1"/>
    <col min="6072" max="6072" width="29.85546875" customWidth="1"/>
    <col min="6073" max="6073" width="6.7109375" customWidth="1"/>
    <col min="6074" max="6074" width="32.28515625" customWidth="1"/>
    <col min="6075" max="6075" width="10.85546875" customWidth="1"/>
    <col min="6076" max="6076" width="11.7109375" customWidth="1"/>
    <col min="6077" max="6077" width="10.85546875" customWidth="1"/>
    <col min="6078" max="6078" width="10.5703125" customWidth="1"/>
    <col min="6080" max="6080" width="10.85546875" customWidth="1"/>
    <col min="6083" max="6083" width="12" customWidth="1"/>
    <col min="6327" max="6327" width="6.85546875" customWidth="1"/>
    <col min="6328" max="6328" width="29.85546875" customWidth="1"/>
    <col min="6329" max="6329" width="6.7109375" customWidth="1"/>
    <col min="6330" max="6330" width="32.28515625" customWidth="1"/>
    <col min="6331" max="6331" width="10.85546875" customWidth="1"/>
    <col min="6332" max="6332" width="11.7109375" customWidth="1"/>
    <col min="6333" max="6333" width="10.85546875" customWidth="1"/>
    <col min="6334" max="6334" width="10.5703125" customWidth="1"/>
    <col min="6336" max="6336" width="10.85546875" customWidth="1"/>
    <col min="6339" max="6339" width="12" customWidth="1"/>
    <col min="6583" max="6583" width="6.85546875" customWidth="1"/>
    <col min="6584" max="6584" width="29.85546875" customWidth="1"/>
    <col min="6585" max="6585" width="6.7109375" customWidth="1"/>
    <col min="6586" max="6586" width="32.28515625" customWidth="1"/>
    <col min="6587" max="6587" width="10.85546875" customWidth="1"/>
    <col min="6588" max="6588" width="11.7109375" customWidth="1"/>
    <col min="6589" max="6589" width="10.85546875" customWidth="1"/>
    <col min="6590" max="6590" width="10.5703125" customWidth="1"/>
    <col min="6592" max="6592" width="10.85546875" customWidth="1"/>
    <col min="6595" max="6595" width="12" customWidth="1"/>
    <col min="6839" max="6839" width="6.85546875" customWidth="1"/>
    <col min="6840" max="6840" width="29.85546875" customWidth="1"/>
    <col min="6841" max="6841" width="6.7109375" customWidth="1"/>
    <col min="6842" max="6842" width="32.28515625" customWidth="1"/>
    <col min="6843" max="6843" width="10.85546875" customWidth="1"/>
    <col min="6844" max="6844" width="11.7109375" customWidth="1"/>
    <col min="6845" max="6845" width="10.85546875" customWidth="1"/>
    <col min="6846" max="6846" width="10.5703125" customWidth="1"/>
    <col min="6848" max="6848" width="10.85546875" customWidth="1"/>
    <col min="6851" max="6851" width="12" customWidth="1"/>
    <col min="7095" max="7095" width="6.85546875" customWidth="1"/>
    <col min="7096" max="7096" width="29.85546875" customWidth="1"/>
    <col min="7097" max="7097" width="6.7109375" customWidth="1"/>
    <col min="7098" max="7098" width="32.28515625" customWidth="1"/>
    <col min="7099" max="7099" width="10.85546875" customWidth="1"/>
    <col min="7100" max="7100" width="11.7109375" customWidth="1"/>
    <col min="7101" max="7101" width="10.85546875" customWidth="1"/>
    <col min="7102" max="7102" width="10.5703125" customWidth="1"/>
    <col min="7104" max="7104" width="10.85546875" customWidth="1"/>
    <col min="7107" max="7107" width="12" customWidth="1"/>
    <col min="7351" max="7351" width="6.85546875" customWidth="1"/>
    <col min="7352" max="7352" width="29.85546875" customWidth="1"/>
    <col min="7353" max="7353" width="6.7109375" customWidth="1"/>
    <col min="7354" max="7354" width="32.28515625" customWidth="1"/>
    <col min="7355" max="7355" width="10.85546875" customWidth="1"/>
    <col min="7356" max="7356" width="11.7109375" customWidth="1"/>
    <col min="7357" max="7357" width="10.85546875" customWidth="1"/>
    <col min="7358" max="7358" width="10.5703125" customWidth="1"/>
    <col min="7360" max="7360" width="10.85546875" customWidth="1"/>
    <col min="7363" max="7363" width="12" customWidth="1"/>
    <col min="7607" max="7607" width="6.85546875" customWidth="1"/>
    <col min="7608" max="7608" width="29.85546875" customWidth="1"/>
    <col min="7609" max="7609" width="6.7109375" customWidth="1"/>
    <col min="7610" max="7610" width="32.28515625" customWidth="1"/>
    <col min="7611" max="7611" width="10.85546875" customWidth="1"/>
    <col min="7612" max="7612" width="11.7109375" customWidth="1"/>
    <col min="7613" max="7613" width="10.85546875" customWidth="1"/>
    <col min="7614" max="7614" width="10.5703125" customWidth="1"/>
    <col min="7616" max="7616" width="10.85546875" customWidth="1"/>
    <col min="7619" max="7619" width="12" customWidth="1"/>
    <col min="7863" max="7863" width="6.85546875" customWidth="1"/>
    <col min="7864" max="7864" width="29.85546875" customWidth="1"/>
    <col min="7865" max="7865" width="6.7109375" customWidth="1"/>
    <col min="7866" max="7866" width="32.28515625" customWidth="1"/>
    <col min="7867" max="7867" width="10.85546875" customWidth="1"/>
    <col min="7868" max="7868" width="11.7109375" customWidth="1"/>
    <col min="7869" max="7869" width="10.85546875" customWidth="1"/>
    <col min="7870" max="7870" width="10.5703125" customWidth="1"/>
    <col min="7872" max="7872" width="10.85546875" customWidth="1"/>
    <col min="7875" max="7875" width="12" customWidth="1"/>
    <col min="8119" max="8119" width="6.85546875" customWidth="1"/>
    <col min="8120" max="8120" width="29.85546875" customWidth="1"/>
    <col min="8121" max="8121" width="6.7109375" customWidth="1"/>
    <col min="8122" max="8122" width="32.28515625" customWidth="1"/>
    <col min="8123" max="8123" width="10.85546875" customWidth="1"/>
    <col min="8124" max="8124" width="11.7109375" customWidth="1"/>
    <col min="8125" max="8125" width="10.85546875" customWidth="1"/>
    <col min="8126" max="8126" width="10.5703125" customWidth="1"/>
    <col min="8128" max="8128" width="10.85546875" customWidth="1"/>
    <col min="8131" max="8131" width="12" customWidth="1"/>
    <col min="8375" max="8375" width="6.85546875" customWidth="1"/>
    <col min="8376" max="8376" width="29.85546875" customWidth="1"/>
    <col min="8377" max="8377" width="6.7109375" customWidth="1"/>
    <col min="8378" max="8378" width="32.28515625" customWidth="1"/>
    <col min="8379" max="8379" width="10.85546875" customWidth="1"/>
    <col min="8380" max="8380" width="11.7109375" customWidth="1"/>
    <col min="8381" max="8381" width="10.85546875" customWidth="1"/>
    <col min="8382" max="8382" width="10.5703125" customWidth="1"/>
    <col min="8384" max="8384" width="10.85546875" customWidth="1"/>
    <col min="8387" max="8387" width="12" customWidth="1"/>
    <col min="8631" max="8631" width="6.85546875" customWidth="1"/>
    <col min="8632" max="8632" width="29.85546875" customWidth="1"/>
    <col min="8633" max="8633" width="6.7109375" customWidth="1"/>
    <col min="8634" max="8634" width="32.28515625" customWidth="1"/>
    <col min="8635" max="8635" width="10.85546875" customWidth="1"/>
    <col min="8636" max="8636" width="11.7109375" customWidth="1"/>
    <col min="8637" max="8637" width="10.85546875" customWidth="1"/>
    <col min="8638" max="8638" width="10.5703125" customWidth="1"/>
    <col min="8640" max="8640" width="10.85546875" customWidth="1"/>
    <col min="8643" max="8643" width="12" customWidth="1"/>
    <col min="8887" max="8887" width="6.85546875" customWidth="1"/>
    <col min="8888" max="8888" width="29.85546875" customWidth="1"/>
    <col min="8889" max="8889" width="6.7109375" customWidth="1"/>
    <col min="8890" max="8890" width="32.28515625" customWidth="1"/>
    <col min="8891" max="8891" width="10.85546875" customWidth="1"/>
    <col min="8892" max="8892" width="11.7109375" customWidth="1"/>
    <col min="8893" max="8893" width="10.85546875" customWidth="1"/>
    <col min="8894" max="8894" width="10.5703125" customWidth="1"/>
    <col min="8896" max="8896" width="10.85546875" customWidth="1"/>
    <col min="8899" max="8899" width="12" customWidth="1"/>
    <col min="9143" max="9143" width="6.85546875" customWidth="1"/>
    <col min="9144" max="9144" width="29.85546875" customWidth="1"/>
    <col min="9145" max="9145" width="6.7109375" customWidth="1"/>
    <col min="9146" max="9146" width="32.28515625" customWidth="1"/>
    <col min="9147" max="9147" width="10.85546875" customWidth="1"/>
    <col min="9148" max="9148" width="11.7109375" customWidth="1"/>
    <col min="9149" max="9149" width="10.85546875" customWidth="1"/>
    <col min="9150" max="9150" width="10.5703125" customWidth="1"/>
    <col min="9152" max="9152" width="10.85546875" customWidth="1"/>
    <col min="9155" max="9155" width="12" customWidth="1"/>
    <col min="9399" max="9399" width="6.85546875" customWidth="1"/>
    <col min="9400" max="9400" width="29.85546875" customWidth="1"/>
    <col min="9401" max="9401" width="6.7109375" customWidth="1"/>
    <col min="9402" max="9402" width="32.28515625" customWidth="1"/>
    <col min="9403" max="9403" width="10.85546875" customWidth="1"/>
    <col min="9404" max="9404" width="11.7109375" customWidth="1"/>
    <col min="9405" max="9405" width="10.85546875" customWidth="1"/>
    <col min="9406" max="9406" width="10.5703125" customWidth="1"/>
    <col min="9408" max="9408" width="10.85546875" customWidth="1"/>
    <col min="9411" max="9411" width="12" customWidth="1"/>
    <col min="9655" max="9655" width="6.85546875" customWidth="1"/>
    <col min="9656" max="9656" width="29.85546875" customWidth="1"/>
    <col min="9657" max="9657" width="6.7109375" customWidth="1"/>
    <col min="9658" max="9658" width="32.28515625" customWidth="1"/>
    <col min="9659" max="9659" width="10.85546875" customWidth="1"/>
    <col min="9660" max="9660" width="11.7109375" customWidth="1"/>
    <col min="9661" max="9661" width="10.85546875" customWidth="1"/>
    <col min="9662" max="9662" width="10.5703125" customWidth="1"/>
    <col min="9664" max="9664" width="10.85546875" customWidth="1"/>
    <col min="9667" max="9667" width="12" customWidth="1"/>
    <col min="9911" max="9911" width="6.85546875" customWidth="1"/>
    <col min="9912" max="9912" width="29.85546875" customWidth="1"/>
    <col min="9913" max="9913" width="6.7109375" customWidth="1"/>
    <col min="9914" max="9914" width="32.28515625" customWidth="1"/>
    <col min="9915" max="9915" width="10.85546875" customWidth="1"/>
    <col min="9916" max="9916" width="11.7109375" customWidth="1"/>
    <col min="9917" max="9917" width="10.85546875" customWidth="1"/>
    <col min="9918" max="9918" width="10.5703125" customWidth="1"/>
    <col min="9920" max="9920" width="10.85546875" customWidth="1"/>
    <col min="9923" max="9923" width="12" customWidth="1"/>
    <col min="10167" max="10167" width="6.85546875" customWidth="1"/>
    <col min="10168" max="10168" width="29.85546875" customWidth="1"/>
    <col min="10169" max="10169" width="6.7109375" customWidth="1"/>
    <col min="10170" max="10170" width="32.28515625" customWidth="1"/>
    <col min="10171" max="10171" width="10.85546875" customWidth="1"/>
    <col min="10172" max="10172" width="11.7109375" customWidth="1"/>
    <col min="10173" max="10173" width="10.85546875" customWidth="1"/>
    <col min="10174" max="10174" width="10.5703125" customWidth="1"/>
    <col min="10176" max="10176" width="10.85546875" customWidth="1"/>
    <col min="10179" max="10179" width="12" customWidth="1"/>
    <col min="10423" max="10423" width="6.85546875" customWidth="1"/>
    <col min="10424" max="10424" width="29.85546875" customWidth="1"/>
    <col min="10425" max="10425" width="6.7109375" customWidth="1"/>
    <col min="10426" max="10426" width="32.28515625" customWidth="1"/>
    <col min="10427" max="10427" width="10.85546875" customWidth="1"/>
    <col min="10428" max="10428" width="11.7109375" customWidth="1"/>
    <col min="10429" max="10429" width="10.85546875" customWidth="1"/>
    <col min="10430" max="10430" width="10.5703125" customWidth="1"/>
    <col min="10432" max="10432" width="10.85546875" customWidth="1"/>
    <col min="10435" max="10435" width="12" customWidth="1"/>
    <col min="10679" max="10679" width="6.85546875" customWidth="1"/>
    <col min="10680" max="10680" width="29.85546875" customWidth="1"/>
    <col min="10681" max="10681" width="6.7109375" customWidth="1"/>
    <col min="10682" max="10682" width="32.28515625" customWidth="1"/>
    <col min="10683" max="10683" width="10.85546875" customWidth="1"/>
    <col min="10684" max="10684" width="11.7109375" customWidth="1"/>
    <col min="10685" max="10685" width="10.85546875" customWidth="1"/>
    <col min="10686" max="10686" width="10.5703125" customWidth="1"/>
    <col min="10688" max="10688" width="10.85546875" customWidth="1"/>
    <col min="10691" max="10691" width="12" customWidth="1"/>
    <col min="10935" max="10935" width="6.85546875" customWidth="1"/>
    <col min="10936" max="10936" width="29.85546875" customWidth="1"/>
    <col min="10937" max="10937" width="6.7109375" customWidth="1"/>
    <col min="10938" max="10938" width="32.28515625" customWidth="1"/>
    <col min="10939" max="10939" width="10.85546875" customWidth="1"/>
    <col min="10940" max="10940" width="11.7109375" customWidth="1"/>
    <col min="10941" max="10941" width="10.85546875" customWidth="1"/>
    <col min="10942" max="10942" width="10.5703125" customWidth="1"/>
    <col min="10944" max="10944" width="10.85546875" customWidth="1"/>
    <col min="10947" max="10947" width="12" customWidth="1"/>
    <col min="11191" max="11191" width="6.85546875" customWidth="1"/>
    <col min="11192" max="11192" width="29.85546875" customWidth="1"/>
    <col min="11193" max="11193" width="6.7109375" customWidth="1"/>
    <col min="11194" max="11194" width="32.28515625" customWidth="1"/>
    <col min="11195" max="11195" width="10.85546875" customWidth="1"/>
    <col min="11196" max="11196" width="11.7109375" customWidth="1"/>
    <col min="11197" max="11197" width="10.85546875" customWidth="1"/>
    <col min="11198" max="11198" width="10.5703125" customWidth="1"/>
    <col min="11200" max="11200" width="10.85546875" customWidth="1"/>
    <col min="11203" max="11203" width="12" customWidth="1"/>
    <col min="11447" max="11447" width="6.85546875" customWidth="1"/>
    <col min="11448" max="11448" width="29.85546875" customWidth="1"/>
    <col min="11449" max="11449" width="6.7109375" customWidth="1"/>
    <col min="11450" max="11450" width="32.28515625" customWidth="1"/>
    <col min="11451" max="11451" width="10.85546875" customWidth="1"/>
    <col min="11452" max="11452" width="11.7109375" customWidth="1"/>
    <col min="11453" max="11453" width="10.85546875" customWidth="1"/>
    <col min="11454" max="11454" width="10.5703125" customWidth="1"/>
    <col min="11456" max="11456" width="10.85546875" customWidth="1"/>
    <col min="11459" max="11459" width="12" customWidth="1"/>
    <col min="11703" max="11703" width="6.85546875" customWidth="1"/>
    <col min="11704" max="11704" width="29.85546875" customWidth="1"/>
    <col min="11705" max="11705" width="6.7109375" customWidth="1"/>
    <col min="11706" max="11706" width="32.28515625" customWidth="1"/>
    <col min="11707" max="11707" width="10.85546875" customWidth="1"/>
    <col min="11708" max="11708" width="11.7109375" customWidth="1"/>
    <col min="11709" max="11709" width="10.85546875" customWidth="1"/>
    <col min="11710" max="11710" width="10.5703125" customWidth="1"/>
    <col min="11712" max="11712" width="10.85546875" customWidth="1"/>
    <col min="11715" max="11715" width="12" customWidth="1"/>
    <col min="11959" max="11959" width="6.85546875" customWidth="1"/>
    <col min="11960" max="11960" width="29.85546875" customWidth="1"/>
    <col min="11961" max="11961" width="6.7109375" customWidth="1"/>
    <col min="11962" max="11962" width="32.28515625" customWidth="1"/>
    <col min="11963" max="11963" width="10.85546875" customWidth="1"/>
    <col min="11964" max="11964" width="11.7109375" customWidth="1"/>
    <col min="11965" max="11965" width="10.85546875" customWidth="1"/>
    <col min="11966" max="11966" width="10.5703125" customWidth="1"/>
    <col min="11968" max="11968" width="10.85546875" customWidth="1"/>
    <col min="11971" max="11971" width="12" customWidth="1"/>
    <col min="12215" max="12215" width="6.85546875" customWidth="1"/>
    <col min="12216" max="12216" width="29.85546875" customWidth="1"/>
    <col min="12217" max="12217" width="6.7109375" customWidth="1"/>
    <col min="12218" max="12218" width="32.28515625" customWidth="1"/>
    <col min="12219" max="12219" width="10.85546875" customWidth="1"/>
    <col min="12220" max="12220" width="11.7109375" customWidth="1"/>
    <col min="12221" max="12221" width="10.85546875" customWidth="1"/>
    <col min="12222" max="12222" width="10.5703125" customWidth="1"/>
    <col min="12224" max="12224" width="10.85546875" customWidth="1"/>
    <col min="12227" max="12227" width="12" customWidth="1"/>
    <col min="12471" max="12471" width="6.85546875" customWidth="1"/>
    <col min="12472" max="12472" width="29.85546875" customWidth="1"/>
    <col min="12473" max="12473" width="6.7109375" customWidth="1"/>
    <col min="12474" max="12474" width="32.28515625" customWidth="1"/>
    <col min="12475" max="12475" width="10.85546875" customWidth="1"/>
    <col min="12476" max="12476" width="11.7109375" customWidth="1"/>
    <col min="12477" max="12477" width="10.85546875" customWidth="1"/>
    <col min="12478" max="12478" width="10.5703125" customWidth="1"/>
    <col min="12480" max="12480" width="10.85546875" customWidth="1"/>
    <col min="12483" max="12483" width="12" customWidth="1"/>
    <col min="12727" max="12727" width="6.85546875" customWidth="1"/>
    <col min="12728" max="12728" width="29.85546875" customWidth="1"/>
    <col min="12729" max="12729" width="6.7109375" customWidth="1"/>
    <col min="12730" max="12730" width="32.28515625" customWidth="1"/>
    <col min="12731" max="12731" width="10.85546875" customWidth="1"/>
    <col min="12732" max="12732" width="11.7109375" customWidth="1"/>
    <col min="12733" max="12733" width="10.85546875" customWidth="1"/>
    <col min="12734" max="12734" width="10.5703125" customWidth="1"/>
    <col min="12736" max="12736" width="10.85546875" customWidth="1"/>
    <col min="12739" max="12739" width="12" customWidth="1"/>
    <col min="12983" max="12983" width="6.85546875" customWidth="1"/>
    <col min="12984" max="12984" width="29.85546875" customWidth="1"/>
    <col min="12985" max="12985" width="6.7109375" customWidth="1"/>
    <col min="12986" max="12986" width="32.28515625" customWidth="1"/>
    <col min="12987" max="12987" width="10.85546875" customWidth="1"/>
    <col min="12988" max="12988" width="11.7109375" customWidth="1"/>
    <col min="12989" max="12989" width="10.85546875" customWidth="1"/>
    <col min="12990" max="12990" width="10.5703125" customWidth="1"/>
    <col min="12992" max="12992" width="10.85546875" customWidth="1"/>
    <col min="12995" max="12995" width="12" customWidth="1"/>
    <col min="13239" max="13239" width="6.85546875" customWidth="1"/>
    <col min="13240" max="13240" width="29.85546875" customWidth="1"/>
    <col min="13241" max="13241" width="6.7109375" customWidth="1"/>
    <col min="13242" max="13242" width="32.28515625" customWidth="1"/>
    <col min="13243" max="13243" width="10.85546875" customWidth="1"/>
    <col min="13244" max="13244" width="11.7109375" customWidth="1"/>
    <col min="13245" max="13245" width="10.85546875" customWidth="1"/>
    <col min="13246" max="13246" width="10.5703125" customWidth="1"/>
    <col min="13248" max="13248" width="10.85546875" customWidth="1"/>
    <col min="13251" max="13251" width="12" customWidth="1"/>
    <col min="13495" max="13495" width="6.85546875" customWidth="1"/>
    <col min="13496" max="13496" width="29.85546875" customWidth="1"/>
    <col min="13497" max="13497" width="6.7109375" customWidth="1"/>
    <col min="13498" max="13498" width="32.28515625" customWidth="1"/>
    <col min="13499" max="13499" width="10.85546875" customWidth="1"/>
    <col min="13500" max="13500" width="11.7109375" customWidth="1"/>
    <col min="13501" max="13501" width="10.85546875" customWidth="1"/>
    <col min="13502" max="13502" width="10.5703125" customWidth="1"/>
    <col min="13504" max="13504" width="10.85546875" customWidth="1"/>
    <col min="13507" max="13507" width="12" customWidth="1"/>
    <col min="13751" max="13751" width="6.85546875" customWidth="1"/>
    <col min="13752" max="13752" width="29.85546875" customWidth="1"/>
    <col min="13753" max="13753" width="6.7109375" customWidth="1"/>
    <col min="13754" max="13754" width="32.28515625" customWidth="1"/>
    <col min="13755" max="13755" width="10.85546875" customWidth="1"/>
    <col min="13756" max="13756" width="11.7109375" customWidth="1"/>
    <col min="13757" max="13757" width="10.85546875" customWidth="1"/>
    <col min="13758" max="13758" width="10.5703125" customWidth="1"/>
    <col min="13760" max="13760" width="10.85546875" customWidth="1"/>
    <col min="13763" max="13763" width="12" customWidth="1"/>
    <col min="14007" max="14007" width="6.85546875" customWidth="1"/>
    <col min="14008" max="14008" width="29.85546875" customWidth="1"/>
    <col min="14009" max="14009" width="6.7109375" customWidth="1"/>
    <col min="14010" max="14010" width="32.28515625" customWidth="1"/>
    <col min="14011" max="14011" width="10.85546875" customWidth="1"/>
    <col min="14012" max="14012" width="11.7109375" customWidth="1"/>
    <col min="14013" max="14013" width="10.85546875" customWidth="1"/>
    <col min="14014" max="14014" width="10.5703125" customWidth="1"/>
    <col min="14016" max="14016" width="10.85546875" customWidth="1"/>
    <col min="14019" max="14019" width="12" customWidth="1"/>
    <col min="14263" max="14263" width="6.85546875" customWidth="1"/>
    <col min="14264" max="14264" width="29.85546875" customWidth="1"/>
    <col min="14265" max="14265" width="6.7109375" customWidth="1"/>
    <col min="14266" max="14266" width="32.28515625" customWidth="1"/>
    <col min="14267" max="14267" width="10.85546875" customWidth="1"/>
    <col min="14268" max="14268" width="11.7109375" customWidth="1"/>
    <col min="14269" max="14269" width="10.85546875" customWidth="1"/>
    <col min="14270" max="14270" width="10.5703125" customWidth="1"/>
    <col min="14272" max="14272" width="10.85546875" customWidth="1"/>
    <col min="14275" max="14275" width="12" customWidth="1"/>
    <col min="14519" max="14519" width="6.85546875" customWidth="1"/>
    <col min="14520" max="14520" width="29.85546875" customWidth="1"/>
    <col min="14521" max="14521" width="6.7109375" customWidth="1"/>
    <col min="14522" max="14522" width="32.28515625" customWidth="1"/>
    <col min="14523" max="14523" width="10.85546875" customWidth="1"/>
    <col min="14524" max="14524" width="11.7109375" customWidth="1"/>
    <col min="14525" max="14525" width="10.85546875" customWidth="1"/>
    <col min="14526" max="14526" width="10.5703125" customWidth="1"/>
    <col min="14528" max="14528" width="10.85546875" customWidth="1"/>
    <col min="14531" max="14531" width="12" customWidth="1"/>
    <col min="14775" max="14775" width="6.85546875" customWidth="1"/>
    <col min="14776" max="14776" width="29.85546875" customWidth="1"/>
    <col min="14777" max="14777" width="6.7109375" customWidth="1"/>
    <col min="14778" max="14778" width="32.28515625" customWidth="1"/>
    <col min="14779" max="14779" width="10.85546875" customWidth="1"/>
    <col min="14780" max="14780" width="11.7109375" customWidth="1"/>
    <col min="14781" max="14781" width="10.85546875" customWidth="1"/>
    <col min="14782" max="14782" width="10.5703125" customWidth="1"/>
    <col min="14784" max="14784" width="10.85546875" customWidth="1"/>
    <col min="14787" max="14787" width="12" customWidth="1"/>
    <col min="15031" max="15031" width="6.85546875" customWidth="1"/>
    <col min="15032" max="15032" width="29.85546875" customWidth="1"/>
    <col min="15033" max="15033" width="6.7109375" customWidth="1"/>
    <col min="15034" max="15034" width="32.28515625" customWidth="1"/>
    <col min="15035" max="15035" width="10.85546875" customWidth="1"/>
    <col min="15036" max="15036" width="11.7109375" customWidth="1"/>
    <col min="15037" max="15037" width="10.85546875" customWidth="1"/>
    <col min="15038" max="15038" width="10.5703125" customWidth="1"/>
    <col min="15040" max="15040" width="10.85546875" customWidth="1"/>
    <col min="15043" max="15043" width="12" customWidth="1"/>
    <col min="15287" max="15287" width="6.85546875" customWidth="1"/>
    <col min="15288" max="15288" width="29.85546875" customWidth="1"/>
    <col min="15289" max="15289" width="6.7109375" customWidth="1"/>
    <col min="15290" max="15290" width="32.28515625" customWidth="1"/>
    <col min="15291" max="15291" width="10.85546875" customWidth="1"/>
    <col min="15292" max="15292" width="11.7109375" customWidth="1"/>
    <col min="15293" max="15293" width="10.85546875" customWidth="1"/>
    <col min="15294" max="15294" width="10.5703125" customWidth="1"/>
    <col min="15296" max="15296" width="10.85546875" customWidth="1"/>
    <col min="15299" max="15299" width="12" customWidth="1"/>
    <col min="15543" max="15543" width="6.85546875" customWidth="1"/>
    <col min="15544" max="15544" width="29.85546875" customWidth="1"/>
    <col min="15545" max="15545" width="6.7109375" customWidth="1"/>
    <col min="15546" max="15546" width="32.28515625" customWidth="1"/>
    <col min="15547" max="15547" width="10.85546875" customWidth="1"/>
    <col min="15548" max="15548" width="11.7109375" customWidth="1"/>
    <col min="15549" max="15549" width="10.85546875" customWidth="1"/>
    <col min="15550" max="15550" width="10.5703125" customWidth="1"/>
    <col min="15552" max="15552" width="10.85546875" customWidth="1"/>
    <col min="15555" max="15555" width="12" customWidth="1"/>
    <col min="15799" max="15799" width="6.85546875" customWidth="1"/>
    <col min="15800" max="15800" width="29.85546875" customWidth="1"/>
    <col min="15801" max="15801" width="6.7109375" customWidth="1"/>
    <col min="15802" max="15802" width="32.28515625" customWidth="1"/>
    <col min="15803" max="15803" width="10.85546875" customWidth="1"/>
    <col min="15804" max="15804" width="11.7109375" customWidth="1"/>
    <col min="15805" max="15805" width="10.85546875" customWidth="1"/>
    <col min="15806" max="15806" width="10.5703125" customWidth="1"/>
    <col min="15808" max="15808" width="10.85546875" customWidth="1"/>
    <col min="15811" max="15811" width="12" customWidth="1"/>
    <col min="16055" max="16055" width="6.85546875" customWidth="1"/>
    <col min="16056" max="16056" width="29.85546875" customWidth="1"/>
    <col min="16057" max="16057" width="6.7109375" customWidth="1"/>
    <col min="16058" max="16058" width="32.28515625" customWidth="1"/>
    <col min="16059" max="16059" width="10.85546875" customWidth="1"/>
    <col min="16060" max="16060" width="11.7109375" customWidth="1"/>
    <col min="16061" max="16061" width="10.85546875" customWidth="1"/>
    <col min="16062" max="16062" width="10.5703125" customWidth="1"/>
    <col min="16064" max="16064" width="10.85546875" customWidth="1"/>
    <col min="16067" max="16067" width="12" customWidth="1"/>
  </cols>
  <sheetData>
    <row r="1" spans="1:79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79" ht="12.75" customHeight="1" x14ac:dyDescent="0.25">
      <c r="A3" s="1045" t="s">
        <v>4</v>
      </c>
      <c r="B3" s="1045"/>
      <c r="C3" s="1045"/>
      <c r="D3" s="1045"/>
      <c r="E3" s="1045"/>
      <c r="F3" s="90"/>
      <c r="G3" s="90"/>
      <c r="H3" s="90"/>
      <c r="AU3" s="507"/>
      <c r="AV3" s="507"/>
    </row>
    <row r="4" spans="1:79" ht="15" x14ac:dyDescent="0.25">
      <c r="A4" s="89"/>
      <c r="B4" s="50"/>
      <c r="C4" s="50"/>
      <c r="D4" s="50"/>
      <c r="E4" s="50"/>
      <c r="F4" s="90"/>
      <c r="G4" s="90"/>
      <c r="H4" s="90"/>
      <c r="X4" s="903" t="s">
        <v>855</v>
      </c>
      <c r="AU4" s="506"/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52"/>
      <c r="X5" s="903" t="s">
        <v>856</v>
      </c>
      <c r="AU5" s="506"/>
      <c r="AV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90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customHeight="1" thickBot="1" x14ac:dyDescent="0.3">
      <c r="A7" s="89"/>
      <c r="B7" s="6"/>
      <c r="D7" s="10"/>
      <c r="E7" s="6"/>
      <c r="F7" s="90"/>
      <c r="G7" s="90"/>
      <c r="H7" s="90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33" customHeight="1" x14ac:dyDescent="0.25">
      <c r="A8" s="117"/>
      <c r="B8" s="91"/>
      <c r="C8" s="91"/>
      <c r="D8" s="91"/>
      <c r="E8" s="91"/>
      <c r="F8" s="91"/>
      <c r="G8" s="91"/>
      <c r="H8" s="91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76" t="s">
        <v>851</v>
      </c>
      <c r="BB8" s="107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4.75" customHeight="1" thickBot="1" x14ac:dyDescent="0.25">
      <c r="A9" s="12" t="s">
        <v>772</v>
      </c>
      <c r="D9" s="12"/>
      <c r="F9" s="59"/>
      <c r="G9" s="60"/>
      <c r="H9" s="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763" t="s">
        <v>805</v>
      </c>
      <c r="BB9" s="763" t="s">
        <v>806</v>
      </c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25">
      <c r="A10" s="61" t="s">
        <v>753</v>
      </c>
      <c r="B10" s="62" t="s">
        <v>526</v>
      </c>
      <c r="C10" s="62" t="s">
        <v>527</v>
      </c>
      <c r="D10" s="62" t="s">
        <v>258</v>
      </c>
      <c r="E10" s="163" t="s">
        <v>755</v>
      </c>
      <c r="F10" s="62" t="s">
        <v>0</v>
      </c>
      <c r="G10" s="121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122" customFormat="1" ht="11.25" customHeight="1" thickBot="1" x14ac:dyDescent="0.25">
      <c r="A11" s="133" t="s">
        <v>528</v>
      </c>
      <c r="B11" s="134" t="s">
        <v>529</v>
      </c>
      <c r="C11" s="134" t="s">
        <v>260</v>
      </c>
      <c r="D11" s="134" t="s">
        <v>261</v>
      </c>
      <c r="E11" s="134" t="s">
        <v>530</v>
      </c>
      <c r="F11" s="134" t="s">
        <v>0</v>
      </c>
      <c r="G11" s="134" t="s">
        <v>531</v>
      </c>
      <c r="H11" s="135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604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37" t="s">
        <v>815</v>
      </c>
      <c r="AC11" s="137" t="s">
        <v>816</v>
      </c>
      <c r="AD11" s="137" t="s">
        <v>815</v>
      </c>
      <c r="AE11" s="137" t="s">
        <v>816</v>
      </c>
      <c r="AF11" s="137" t="s">
        <v>824</v>
      </c>
      <c r="AG11" s="137" t="s">
        <v>817</v>
      </c>
      <c r="AH11" s="137" t="s">
        <v>818</v>
      </c>
      <c r="AI11" s="137" t="s">
        <v>817</v>
      </c>
      <c r="AJ11" s="137" t="s">
        <v>817</v>
      </c>
      <c r="AK11" s="137" t="s">
        <v>818</v>
      </c>
      <c r="AL11" s="137" t="s">
        <v>817</v>
      </c>
      <c r="AM11" s="137" t="s">
        <v>818</v>
      </c>
      <c r="AN11" s="137" t="s">
        <v>825</v>
      </c>
      <c r="AO11" s="604" t="s">
        <v>819</v>
      </c>
      <c r="AP11" s="604" t="s">
        <v>820</v>
      </c>
      <c r="AQ11" s="137" t="s">
        <v>821</v>
      </c>
      <c r="AR11" s="137" t="s">
        <v>282</v>
      </c>
      <c r="AS11" s="137" t="s">
        <v>283</v>
      </c>
      <c r="AT11" s="137" t="s">
        <v>284</v>
      </c>
      <c r="AU11" s="137" t="s">
        <v>284</v>
      </c>
      <c r="AV11" s="137" t="s">
        <v>284</v>
      </c>
      <c r="AW11" s="137" t="s">
        <v>289</v>
      </c>
      <c r="AX11" s="503" t="s">
        <v>285</v>
      </c>
      <c r="AY11" s="187" t="s">
        <v>286</v>
      </c>
      <c r="AZ11" s="187" t="s">
        <v>285</v>
      </c>
      <c r="BA11" s="187" t="s">
        <v>285</v>
      </c>
      <c r="BB11" s="187" t="s">
        <v>286</v>
      </c>
      <c r="BC11" s="187" t="s">
        <v>285</v>
      </c>
      <c r="BD11" s="187" t="s">
        <v>285</v>
      </c>
      <c r="BE11" s="187" t="s">
        <v>286</v>
      </c>
      <c r="BF11" s="187" t="s">
        <v>285</v>
      </c>
      <c r="BG11" s="187" t="s">
        <v>286</v>
      </c>
      <c r="BH11" s="934" t="s">
        <v>287</v>
      </c>
      <c r="BI11" s="136" t="s">
        <v>262</v>
      </c>
      <c r="BJ11" s="137" t="s">
        <v>263</v>
      </c>
      <c r="BK11" s="137" t="s">
        <v>801</v>
      </c>
      <c r="BL11" s="137" t="s">
        <v>802</v>
      </c>
      <c r="BM11" s="137" t="s">
        <v>269</v>
      </c>
      <c r="BN11" s="137" t="s">
        <v>803</v>
      </c>
      <c r="BO11" s="137" t="s">
        <v>804</v>
      </c>
      <c r="BP11" s="137" t="s">
        <v>264</v>
      </c>
      <c r="BQ11" s="137" t="s">
        <v>265</v>
      </c>
      <c r="BR11" s="137" t="s">
        <v>266</v>
      </c>
      <c r="BS11" s="187" t="s">
        <v>267</v>
      </c>
      <c r="BT11" s="187" t="s">
        <v>532</v>
      </c>
      <c r="BU11" s="188" t="s">
        <v>533</v>
      </c>
      <c r="BV11" s="688" t="s">
        <v>843</v>
      </c>
      <c r="BW11" s="662" t="s">
        <v>837</v>
      </c>
      <c r="BX11" s="662" t="s">
        <v>838</v>
      </c>
      <c r="BY11" s="662" t="s">
        <v>844</v>
      </c>
      <c r="BZ11" s="662" t="s">
        <v>845</v>
      </c>
      <c r="CA11" s="689" t="s">
        <v>839</v>
      </c>
    </row>
    <row r="12" spans="1:79" s="221" customFormat="1" ht="14.1" customHeight="1" x14ac:dyDescent="0.2">
      <c r="A12" s="622">
        <v>1</v>
      </c>
      <c r="B12" s="623">
        <v>4476</v>
      </c>
      <c r="C12" s="623">
        <v>600075184</v>
      </c>
      <c r="D12" s="623">
        <v>70200815</v>
      </c>
      <c r="E12" s="619" t="s">
        <v>146</v>
      </c>
      <c r="F12" s="623">
        <v>3233</v>
      </c>
      <c r="G12" s="624" t="s">
        <v>297</v>
      </c>
      <c r="H12" s="625" t="s">
        <v>272</v>
      </c>
      <c r="I12" s="961">
        <v>6410604</v>
      </c>
      <c r="J12" s="566">
        <v>4144773</v>
      </c>
      <c r="K12" s="566">
        <v>3338193</v>
      </c>
      <c r="L12" s="566">
        <v>806580</v>
      </c>
      <c r="M12" s="566">
        <v>610000</v>
      </c>
      <c r="N12" s="566">
        <v>470000</v>
      </c>
      <c r="O12" s="566">
        <v>140000</v>
      </c>
      <c r="P12" s="627">
        <v>1607113</v>
      </c>
      <c r="Q12" s="627">
        <v>41448</v>
      </c>
      <c r="R12" s="566">
        <v>7270</v>
      </c>
      <c r="S12" s="542">
        <v>8.6499999999999986</v>
      </c>
      <c r="T12" s="545">
        <v>6.0500000000000007</v>
      </c>
      <c r="U12" s="765">
        <v>2.5999999999999996</v>
      </c>
      <c r="V12" s="879">
        <f>AG12*-1</f>
        <v>0</v>
      </c>
      <c r="W12" s="880">
        <f>AH12*-1</f>
        <v>0</v>
      </c>
      <c r="X12" s="880">
        <v>0</v>
      </c>
      <c r="Y12" s="880">
        <v>0</v>
      </c>
      <c r="Z12" s="880">
        <v>0</v>
      </c>
      <c r="AA12" s="962">
        <v>473277</v>
      </c>
      <c r="AB12" s="880">
        <v>0</v>
      </c>
      <c r="AC12" s="880">
        <v>0</v>
      </c>
      <c r="AD12" s="880">
        <f>V12+X12+Y12+Z12+AB12</f>
        <v>0</v>
      </c>
      <c r="AE12" s="880">
        <f>W12+AA12+AC12</f>
        <v>473277</v>
      </c>
      <c r="AF12" s="880">
        <f>SUM(AD12:AE12)</f>
        <v>473277</v>
      </c>
      <c r="AG12" s="880">
        <v>0</v>
      </c>
      <c r="AH12" s="880">
        <v>0</v>
      </c>
      <c r="AI12" s="880">
        <v>0</v>
      </c>
      <c r="AJ12" s="880">
        <v>0</v>
      </c>
      <c r="AK12" s="880">
        <v>0</v>
      </c>
      <c r="AL12" s="880">
        <f>AG12+AI12+AJ12</f>
        <v>0</v>
      </c>
      <c r="AM12" s="880">
        <f>AH12+AK12</f>
        <v>0</v>
      </c>
      <c r="AN12" s="880">
        <f>SUM(AL12:AM12)</f>
        <v>0</v>
      </c>
      <c r="AO12" s="880">
        <f>AD12+AL12</f>
        <v>0</v>
      </c>
      <c r="AP12" s="880">
        <f>AE12+AM12</f>
        <v>473277</v>
      </c>
      <c r="AQ12" s="880">
        <f>SUM(AO12:AP12)</f>
        <v>473277</v>
      </c>
      <c r="AR12" s="627">
        <f>ROUND((AF12+AG12+AH12+AI12)*33.8%,0)</f>
        <v>159968</v>
      </c>
      <c r="AS12" s="627">
        <f>ROUND(AF12*1%,0)</f>
        <v>4733</v>
      </c>
      <c r="AT12" s="880">
        <v>0</v>
      </c>
      <c r="AU12" s="897">
        <v>2908</v>
      </c>
      <c r="AV12" s="880">
        <f>AT12+AU12</f>
        <v>2908</v>
      </c>
      <c r="AW12" s="880">
        <f>AQ12+AR12+AS12+AV12</f>
        <v>640886</v>
      </c>
      <c r="AX12" s="883">
        <v>0</v>
      </c>
      <c r="AY12" s="883">
        <v>0</v>
      </c>
      <c r="AZ12" s="883">
        <v>0</v>
      </c>
      <c r="BA12" s="883">
        <v>0</v>
      </c>
      <c r="BB12" s="935">
        <v>1.52</v>
      </c>
      <c r="BC12" s="936">
        <v>0</v>
      </c>
      <c r="BD12" s="883">
        <v>0</v>
      </c>
      <c r="BE12" s="883">
        <v>0</v>
      </c>
      <c r="BF12" s="883">
        <f>AX12+AZ12+BA12+BC12+BD12</f>
        <v>0</v>
      </c>
      <c r="BG12" s="883">
        <f>AY12+BB12+BE12</f>
        <v>1.52</v>
      </c>
      <c r="BH12" s="937">
        <f>SUM(BF12:BG12)</f>
        <v>1.52</v>
      </c>
      <c r="BI12" s="882">
        <f>I12+AW12</f>
        <v>7051490</v>
      </c>
      <c r="BJ12" s="880">
        <f>J12+AF12</f>
        <v>4618050</v>
      </c>
      <c r="BK12" s="880">
        <f>K12+AD12</f>
        <v>3338193</v>
      </c>
      <c r="BL12" s="880">
        <f>L12+AE12</f>
        <v>1279857</v>
      </c>
      <c r="BM12" s="880">
        <f>M12+AN12</f>
        <v>610000</v>
      </c>
      <c r="BN12" s="880">
        <f>N12+AL12</f>
        <v>470000</v>
      </c>
      <c r="BO12" s="880">
        <f>O12+AM12</f>
        <v>140000</v>
      </c>
      <c r="BP12" s="880">
        <f>P12+AR12</f>
        <v>1767081</v>
      </c>
      <c r="BQ12" s="880">
        <f>Q12+AS12</f>
        <v>46181</v>
      </c>
      <c r="BR12" s="880">
        <f>R12+AV12</f>
        <v>10178</v>
      </c>
      <c r="BS12" s="883">
        <f>S12+BH12</f>
        <v>10.169999999999998</v>
      </c>
      <c r="BT12" s="883">
        <f>T12+BF12</f>
        <v>6.0500000000000007</v>
      </c>
      <c r="BU12" s="937">
        <f>U12+BG12</f>
        <v>4.1199999999999992</v>
      </c>
      <c r="BV12" s="406"/>
      <c r="BW12" s="407"/>
      <c r="BX12" s="407"/>
      <c r="BY12" s="407"/>
      <c r="BZ12" s="407"/>
      <c r="CA12" s="495"/>
    </row>
    <row r="13" spans="1:79" s="221" customFormat="1" x14ac:dyDescent="0.2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13"/>
      <c r="I13" s="452">
        <v>6410604</v>
      </c>
      <c r="J13" s="581">
        <v>4144773</v>
      </c>
      <c r="K13" s="581">
        <v>3338193</v>
      </c>
      <c r="L13" s="581">
        <v>806580</v>
      </c>
      <c r="M13" s="581">
        <v>610000</v>
      </c>
      <c r="N13" s="581">
        <v>470000</v>
      </c>
      <c r="O13" s="581">
        <v>140000</v>
      </c>
      <c r="P13" s="581">
        <v>1607113</v>
      </c>
      <c r="Q13" s="581">
        <v>41448</v>
      </c>
      <c r="R13" s="581">
        <v>7270</v>
      </c>
      <c r="S13" s="582">
        <v>8.6499999999999986</v>
      </c>
      <c r="T13" s="582">
        <v>6.0500000000000007</v>
      </c>
      <c r="U13" s="767">
        <v>2.5999999999999996</v>
      </c>
      <c r="V13" s="448">
        <f t="shared" ref="V13:CA13" si="0">SUM(V12)</f>
        <v>0</v>
      </c>
      <c r="W13" s="445">
        <f t="shared" si="0"/>
        <v>0</v>
      </c>
      <c r="X13" s="445">
        <f t="shared" si="0"/>
        <v>0</v>
      </c>
      <c r="Y13" s="445">
        <f t="shared" si="0"/>
        <v>0</v>
      </c>
      <c r="Z13" s="445">
        <f t="shared" si="0"/>
        <v>0</v>
      </c>
      <c r="AA13" s="445">
        <f t="shared" si="0"/>
        <v>473277</v>
      </c>
      <c r="AB13" s="445">
        <f t="shared" si="0"/>
        <v>0</v>
      </c>
      <c r="AC13" s="445">
        <f t="shared" si="0"/>
        <v>0</v>
      </c>
      <c r="AD13" s="445">
        <f t="shared" si="0"/>
        <v>0</v>
      </c>
      <c r="AE13" s="445">
        <f t="shared" si="0"/>
        <v>473277</v>
      </c>
      <c r="AF13" s="445">
        <f t="shared" si="0"/>
        <v>473277</v>
      </c>
      <c r="AG13" s="445">
        <f t="shared" si="0"/>
        <v>0</v>
      </c>
      <c r="AH13" s="445">
        <f t="shared" si="0"/>
        <v>0</v>
      </c>
      <c r="AI13" s="445">
        <f t="shared" si="0"/>
        <v>0</v>
      </c>
      <c r="AJ13" s="445">
        <f t="shared" si="0"/>
        <v>0</v>
      </c>
      <c r="AK13" s="445">
        <f t="shared" si="0"/>
        <v>0</v>
      </c>
      <c r="AL13" s="445">
        <f t="shared" si="0"/>
        <v>0</v>
      </c>
      <c r="AM13" s="445">
        <f t="shared" si="0"/>
        <v>0</v>
      </c>
      <c r="AN13" s="445">
        <f t="shared" si="0"/>
        <v>0</v>
      </c>
      <c r="AO13" s="445">
        <f t="shared" si="0"/>
        <v>0</v>
      </c>
      <c r="AP13" s="445">
        <f t="shared" si="0"/>
        <v>473277</v>
      </c>
      <c r="AQ13" s="445">
        <f t="shared" si="0"/>
        <v>473277</v>
      </c>
      <c r="AR13" s="445">
        <f t="shared" si="0"/>
        <v>159968</v>
      </c>
      <c r="AS13" s="445">
        <f t="shared" si="0"/>
        <v>4733</v>
      </c>
      <c r="AT13" s="445">
        <f t="shared" si="0"/>
        <v>0</v>
      </c>
      <c r="AU13" s="445">
        <f t="shared" si="0"/>
        <v>2908</v>
      </c>
      <c r="AV13" s="445">
        <f t="shared" si="0"/>
        <v>2908</v>
      </c>
      <c r="AW13" s="445">
        <f t="shared" si="0"/>
        <v>640886</v>
      </c>
      <c r="AX13" s="446">
        <f t="shared" si="0"/>
        <v>0</v>
      </c>
      <c r="AY13" s="446">
        <f t="shared" si="0"/>
        <v>0</v>
      </c>
      <c r="AZ13" s="446">
        <f t="shared" si="0"/>
        <v>0</v>
      </c>
      <c r="BA13" s="446">
        <f t="shared" si="0"/>
        <v>0</v>
      </c>
      <c r="BB13" s="446">
        <f t="shared" si="0"/>
        <v>1.52</v>
      </c>
      <c r="BC13" s="948">
        <f t="shared" si="0"/>
        <v>0</v>
      </c>
      <c r="BD13" s="446">
        <f t="shared" si="0"/>
        <v>0</v>
      </c>
      <c r="BE13" s="446">
        <f t="shared" si="0"/>
        <v>0</v>
      </c>
      <c r="BF13" s="446">
        <f t="shared" si="0"/>
        <v>0</v>
      </c>
      <c r="BG13" s="446">
        <f t="shared" si="0"/>
        <v>1.52</v>
      </c>
      <c r="BH13" s="39">
        <f t="shared" si="0"/>
        <v>1.52</v>
      </c>
      <c r="BI13" s="452">
        <f t="shared" si="0"/>
        <v>7051490</v>
      </c>
      <c r="BJ13" s="445">
        <f t="shared" si="0"/>
        <v>4618050</v>
      </c>
      <c r="BK13" s="445">
        <f t="shared" si="0"/>
        <v>3338193</v>
      </c>
      <c r="BL13" s="445">
        <f t="shared" si="0"/>
        <v>1279857</v>
      </c>
      <c r="BM13" s="445">
        <f t="shared" si="0"/>
        <v>610000</v>
      </c>
      <c r="BN13" s="445">
        <f t="shared" si="0"/>
        <v>470000</v>
      </c>
      <c r="BO13" s="445">
        <f t="shared" si="0"/>
        <v>140000</v>
      </c>
      <c r="BP13" s="445">
        <f t="shared" si="0"/>
        <v>1767081</v>
      </c>
      <c r="BQ13" s="445">
        <f t="shared" si="0"/>
        <v>46181</v>
      </c>
      <c r="BR13" s="445">
        <f t="shared" si="0"/>
        <v>10178</v>
      </c>
      <c r="BS13" s="446">
        <f t="shared" si="0"/>
        <v>10.169999999999998</v>
      </c>
      <c r="BT13" s="446">
        <f t="shared" si="0"/>
        <v>6.0500000000000007</v>
      </c>
      <c r="BU13" s="39">
        <f t="shared" si="0"/>
        <v>4.1199999999999992</v>
      </c>
      <c r="BV13" s="833">
        <f t="shared" si="0"/>
        <v>0</v>
      </c>
      <c r="BW13" s="715">
        <f t="shared" si="0"/>
        <v>0</v>
      </c>
      <c r="BX13" s="715">
        <f t="shared" si="0"/>
        <v>0</v>
      </c>
      <c r="BY13" s="715">
        <f t="shared" si="0"/>
        <v>0</v>
      </c>
      <c r="BZ13" s="715">
        <f t="shared" si="0"/>
        <v>0</v>
      </c>
      <c r="CA13" s="834">
        <f t="shared" si="0"/>
        <v>0</v>
      </c>
    </row>
    <row r="14" spans="1:79" s="221" customFormat="1" x14ac:dyDescent="0.2">
      <c r="A14" s="209">
        <v>2</v>
      </c>
      <c r="B14" s="210">
        <v>4411</v>
      </c>
      <c r="C14" s="210">
        <v>600074340</v>
      </c>
      <c r="D14" s="210">
        <v>70982121</v>
      </c>
      <c r="E14" s="208" t="s">
        <v>148</v>
      </c>
      <c r="F14" s="210">
        <v>3111</v>
      </c>
      <c r="G14" s="165" t="s">
        <v>290</v>
      </c>
      <c r="H14" s="626" t="s">
        <v>271</v>
      </c>
      <c r="I14" s="511">
        <v>8686262</v>
      </c>
      <c r="J14" s="415">
        <v>6218343</v>
      </c>
      <c r="K14" s="415">
        <v>5762444</v>
      </c>
      <c r="L14" s="415">
        <v>455899</v>
      </c>
      <c r="M14" s="415">
        <v>208000</v>
      </c>
      <c r="N14" s="415">
        <v>112000</v>
      </c>
      <c r="O14" s="415">
        <v>96000</v>
      </c>
      <c r="P14" s="68">
        <v>2172104</v>
      </c>
      <c r="Q14" s="68">
        <v>62183</v>
      </c>
      <c r="R14" s="415">
        <v>25632</v>
      </c>
      <c r="S14" s="416">
        <v>11.239999999999998</v>
      </c>
      <c r="T14" s="417">
        <v>9.77</v>
      </c>
      <c r="U14" s="423">
        <v>1.4699999999999998</v>
      </c>
      <c r="V14" s="424">
        <f t="shared" ref="V14:W16" si="1">AG14*-1</f>
        <v>0</v>
      </c>
      <c r="W14" s="418">
        <f t="shared" si="1"/>
        <v>0</v>
      </c>
      <c r="X14" s="418">
        <v>0</v>
      </c>
      <c r="Y14" s="418">
        <v>0</v>
      </c>
      <c r="Z14" s="418">
        <v>0</v>
      </c>
      <c r="AA14" s="415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6" si="2">AD14+AL14</f>
        <v>0</v>
      </c>
      <c r="AP14" s="418">
        <f t="shared" si="2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5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6">
        <v>0</v>
      </c>
      <c r="BC14" s="93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780">
        <f>I14+AW14</f>
        <v>8686262</v>
      </c>
      <c r="BJ14" s="418">
        <f>J14+AF14</f>
        <v>6218343</v>
      </c>
      <c r="BK14" s="418">
        <f t="shared" ref="BK14:BL16" si="3">K14+AD14</f>
        <v>5762444</v>
      </c>
      <c r="BL14" s="418">
        <f t="shared" si="3"/>
        <v>455899</v>
      </c>
      <c r="BM14" s="418">
        <f>M14+AN14</f>
        <v>208000</v>
      </c>
      <c r="BN14" s="418">
        <f t="shared" ref="BN14:BO16" si="4">N14+AL14</f>
        <v>112000</v>
      </c>
      <c r="BO14" s="418">
        <f t="shared" si="4"/>
        <v>96000</v>
      </c>
      <c r="BP14" s="418">
        <f t="shared" ref="BP14:BQ16" si="5">P14+AR14</f>
        <v>2172104</v>
      </c>
      <c r="BQ14" s="418">
        <f t="shared" si="5"/>
        <v>62183</v>
      </c>
      <c r="BR14" s="418">
        <f>R14+AV14</f>
        <v>25632</v>
      </c>
      <c r="BS14" s="419">
        <f>S14+BH14</f>
        <v>11.239999999999998</v>
      </c>
      <c r="BT14" s="419">
        <f t="shared" ref="BT14:BU16" si="6">T14+BF14</f>
        <v>9.77</v>
      </c>
      <c r="BU14" s="421">
        <f t="shared" si="6"/>
        <v>1.4699999999999998</v>
      </c>
      <c r="BV14" s="420"/>
      <c r="BW14" s="415"/>
      <c r="BX14" s="415"/>
      <c r="BY14" s="415"/>
      <c r="BZ14" s="415"/>
      <c r="CA14" s="510"/>
    </row>
    <row r="15" spans="1:79" s="221" customFormat="1" x14ac:dyDescent="0.2">
      <c r="A15" s="209">
        <v>2</v>
      </c>
      <c r="B15" s="210">
        <v>4411</v>
      </c>
      <c r="C15" s="210">
        <v>600074340</v>
      </c>
      <c r="D15" s="210">
        <v>70982121</v>
      </c>
      <c r="E15" s="208" t="s">
        <v>148</v>
      </c>
      <c r="F15" s="210">
        <v>3111</v>
      </c>
      <c r="G15" s="165" t="s">
        <v>291</v>
      </c>
      <c r="H15" s="626" t="s">
        <v>272</v>
      </c>
      <c r="I15" s="511">
        <v>999679</v>
      </c>
      <c r="J15" s="415">
        <v>741602</v>
      </c>
      <c r="K15" s="415">
        <v>741602</v>
      </c>
      <c r="L15" s="415">
        <v>0</v>
      </c>
      <c r="M15" s="415">
        <v>0</v>
      </c>
      <c r="N15" s="415">
        <v>0</v>
      </c>
      <c r="O15" s="415">
        <v>0</v>
      </c>
      <c r="P15" s="68">
        <v>250661</v>
      </c>
      <c r="Q15" s="68">
        <v>7416</v>
      </c>
      <c r="R15" s="415">
        <v>0</v>
      </c>
      <c r="S15" s="416">
        <v>2</v>
      </c>
      <c r="T15" s="417">
        <v>2</v>
      </c>
      <c r="U15" s="423">
        <v>0</v>
      </c>
      <c r="V15" s="424">
        <f t="shared" si="1"/>
        <v>0</v>
      </c>
      <c r="W15" s="418">
        <f t="shared" si="1"/>
        <v>0</v>
      </c>
      <c r="X15" s="418">
        <v>0</v>
      </c>
      <c r="Y15" s="418">
        <v>0</v>
      </c>
      <c r="Z15" s="418">
        <v>0</v>
      </c>
      <c r="AA15" s="415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2"/>
        <v>0</v>
      </c>
      <c r="AP15" s="418">
        <f t="shared" si="2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5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6">
        <v>0</v>
      </c>
      <c r="BC15" s="93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780">
        <f>I15+AW15</f>
        <v>999679</v>
      </c>
      <c r="BJ15" s="418">
        <f>J15+AF15</f>
        <v>741602</v>
      </c>
      <c r="BK15" s="418">
        <f t="shared" si="3"/>
        <v>741602</v>
      </c>
      <c r="BL15" s="418">
        <f t="shared" si="3"/>
        <v>0</v>
      </c>
      <c r="BM15" s="418">
        <f>M15+AN15</f>
        <v>0</v>
      </c>
      <c r="BN15" s="418">
        <f t="shared" si="4"/>
        <v>0</v>
      </c>
      <c r="BO15" s="418">
        <f t="shared" si="4"/>
        <v>0</v>
      </c>
      <c r="BP15" s="418">
        <f t="shared" si="5"/>
        <v>250661</v>
      </c>
      <c r="BQ15" s="418">
        <f t="shared" si="5"/>
        <v>7416</v>
      </c>
      <c r="BR15" s="418">
        <f>R15+AV15</f>
        <v>0</v>
      </c>
      <c r="BS15" s="419">
        <f>S15+BH15</f>
        <v>2</v>
      </c>
      <c r="BT15" s="419">
        <f t="shared" si="6"/>
        <v>2</v>
      </c>
      <c r="BU15" s="421">
        <f t="shared" si="6"/>
        <v>0</v>
      </c>
      <c r="BV15" s="420"/>
      <c r="BW15" s="415"/>
      <c r="BX15" s="415"/>
      <c r="BY15" s="415"/>
      <c r="BZ15" s="415"/>
      <c r="CA15" s="510"/>
    </row>
    <row r="16" spans="1:79" s="221" customFormat="1" x14ac:dyDescent="0.2">
      <c r="A16" s="209">
        <v>2</v>
      </c>
      <c r="B16" s="210">
        <v>4411</v>
      </c>
      <c r="C16" s="210">
        <v>600074340</v>
      </c>
      <c r="D16" s="210">
        <v>70982121</v>
      </c>
      <c r="E16" s="208" t="s">
        <v>148</v>
      </c>
      <c r="F16" s="210">
        <v>3141</v>
      </c>
      <c r="G16" s="165" t="s">
        <v>294</v>
      </c>
      <c r="H16" s="626" t="s">
        <v>272</v>
      </c>
      <c r="I16" s="511">
        <v>364823</v>
      </c>
      <c r="J16" s="415">
        <v>268985</v>
      </c>
      <c r="K16" s="415">
        <v>0</v>
      </c>
      <c r="L16" s="415">
        <v>268985</v>
      </c>
      <c r="M16" s="415">
        <v>0</v>
      </c>
      <c r="N16" s="415">
        <v>0</v>
      </c>
      <c r="O16" s="415">
        <v>0</v>
      </c>
      <c r="P16" s="68">
        <v>90917</v>
      </c>
      <c r="Q16" s="68">
        <v>2690</v>
      </c>
      <c r="R16" s="415">
        <v>2231</v>
      </c>
      <c r="S16" s="416">
        <v>0.81</v>
      </c>
      <c r="T16" s="417">
        <v>0</v>
      </c>
      <c r="U16" s="423">
        <v>0.81</v>
      </c>
      <c r="V16" s="424">
        <f t="shared" si="1"/>
        <v>0</v>
      </c>
      <c r="W16" s="418">
        <f t="shared" si="1"/>
        <v>0</v>
      </c>
      <c r="X16" s="418">
        <v>0</v>
      </c>
      <c r="Y16" s="418">
        <v>0</v>
      </c>
      <c r="Z16" s="418">
        <v>0</v>
      </c>
      <c r="AA16" s="415">
        <v>133145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133145</v>
      </c>
      <c r="AF16" s="418">
        <f>SUM(AD16:AE16)</f>
        <v>133145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2"/>
        <v>0</v>
      </c>
      <c r="AP16" s="418">
        <f t="shared" si="2"/>
        <v>133145</v>
      </c>
      <c r="AQ16" s="418">
        <f>SUM(AO16:AP16)</f>
        <v>133145</v>
      </c>
      <c r="AR16" s="68">
        <f>ROUND((AF16+AG16+AH16+AI16)*33.8%,0)</f>
        <v>45003</v>
      </c>
      <c r="AS16" s="68">
        <f>ROUND(AF16*1%,0)</f>
        <v>1331</v>
      </c>
      <c r="AT16" s="418">
        <v>0</v>
      </c>
      <c r="AU16" s="415">
        <v>1067</v>
      </c>
      <c r="AV16" s="418">
        <f>AT16+AU16</f>
        <v>1067</v>
      </c>
      <c r="AW16" s="418">
        <f>AQ16+AR16+AS16+AV16</f>
        <v>180546</v>
      </c>
      <c r="AX16" s="419">
        <v>0</v>
      </c>
      <c r="AY16" s="419">
        <v>0</v>
      </c>
      <c r="AZ16" s="419">
        <v>0</v>
      </c>
      <c r="BA16" s="419">
        <v>0</v>
      </c>
      <c r="BB16" s="416">
        <v>0.4</v>
      </c>
      <c r="BC16" s="93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0.4</v>
      </c>
      <c r="BH16" s="421">
        <f>SUM(BF16:BG16)</f>
        <v>0.4</v>
      </c>
      <c r="BI16" s="780">
        <f>I16+AW16</f>
        <v>545369</v>
      </c>
      <c r="BJ16" s="418">
        <f>J16+AF16</f>
        <v>402130</v>
      </c>
      <c r="BK16" s="418">
        <f t="shared" si="3"/>
        <v>0</v>
      </c>
      <c r="BL16" s="418">
        <f t="shared" si="3"/>
        <v>402130</v>
      </c>
      <c r="BM16" s="418">
        <f>M16+AN16</f>
        <v>0</v>
      </c>
      <c r="BN16" s="418">
        <f t="shared" si="4"/>
        <v>0</v>
      </c>
      <c r="BO16" s="418">
        <f t="shared" si="4"/>
        <v>0</v>
      </c>
      <c r="BP16" s="418">
        <f t="shared" si="5"/>
        <v>135920</v>
      </c>
      <c r="BQ16" s="418">
        <f t="shared" si="5"/>
        <v>4021</v>
      </c>
      <c r="BR16" s="418">
        <f>R16+AV16</f>
        <v>3298</v>
      </c>
      <c r="BS16" s="419">
        <f>S16+BH16</f>
        <v>1.21</v>
      </c>
      <c r="BT16" s="419">
        <f t="shared" si="6"/>
        <v>0</v>
      </c>
      <c r="BU16" s="421">
        <f t="shared" si="6"/>
        <v>1.21</v>
      </c>
      <c r="BV16" s="420"/>
      <c r="BW16" s="415"/>
      <c r="BX16" s="415"/>
      <c r="BY16" s="415"/>
      <c r="BZ16" s="415"/>
      <c r="CA16" s="510"/>
    </row>
    <row r="17" spans="1:79" s="221" customFormat="1" x14ac:dyDescent="0.2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13"/>
      <c r="I17" s="452">
        <v>10050764</v>
      </c>
      <c r="J17" s="445">
        <v>7228930</v>
      </c>
      <c r="K17" s="445">
        <v>6504046</v>
      </c>
      <c r="L17" s="445">
        <v>724884</v>
      </c>
      <c r="M17" s="445">
        <v>208000</v>
      </c>
      <c r="N17" s="445">
        <v>112000</v>
      </c>
      <c r="O17" s="445">
        <v>96000</v>
      </c>
      <c r="P17" s="445">
        <v>2513682</v>
      </c>
      <c r="Q17" s="445">
        <v>72289</v>
      </c>
      <c r="R17" s="445">
        <v>27863</v>
      </c>
      <c r="S17" s="446">
        <v>14.049999999999999</v>
      </c>
      <c r="T17" s="446">
        <v>11.77</v>
      </c>
      <c r="U17" s="450">
        <v>2.2799999999999998</v>
      </c>
      <c r="V17" s="448">
        <f t="shared" ref="V17:CA17" si="7">SUM(V14:V16)</f>
        <v>0</v>
      </c>
      <c r="W17" s="445">
        <f t="shared" si="7"/>
        <v>0</v>
      </c>
      <c r="X17" s="445">
        <f t="shared" si="7"/>
        <v>0</v>
      </c>
      <c r="Y17" s="445">
        <f t="shared" si="7"/>
        <v>0</v>
      </c>
      <c r="Z17" s="445">
        <f t="shared" si="7"/>
        <v>0</v>
      </c>
      <c r="AA17" s="445">
        <f t="shared" si="7"/>
        <v>133145</v>
      </c>
      <c r="AB17" s="445">
        <f t="shared" si="7"/>
        <v>0</v>
      </c>
      <c r="AC17" s="445">
        <f t="shared" si="7"/>
        <v>0</v>
      </c>
      <c r="AD17" s="445">
        <f t="shared" si="7"/>
        <v>0</v>
      </c>
      <c r="AE17" s="445">
        <f t="shared" si="7"/>
        <v>133145</v>
      </c>
      <c r="AF17" s="445">
        <f t="shared" si="7"/>
        <v>133145</v>
      </c>
      <c r="AG17" s="445">
        <f t="shared" si="7"/>
        <v>0</v>
      </c>
      <c r="AH17" s="445">
        <f t="shared" si="7"/>
        <v>0</v>
      </c>
      <c r="AI17" s="445">
        <f t="shared" si="7"/>
        <v>0</v>
      </c>
      <c r="AJ17" s="445">
        <f t="shared" si="7"/>
        <v>0</v>
      </c>
      <c r="AK17" s="445">
        <f t="shared" si="7"/>
        <v>0</v>
      </c>
      <c r="AL17" s="445">
        <f t="shared" si="7"/>
        <v>0</v>
      </c>
      <c r="AM17" s="445">
        <f t="shared" si="7"/>
        <v>0</v>
      </c>
      <c r="AN17" s="445">
        <f t="shared" si="7"/>
        <v>0</v>
      </c>
      <c r="AO17" s="445">
        <f t="shared" si="7"/>
        <v>0</v>
      </c>
      <c r="AP17" s="445">
        <f t="shared" si="7"/>
        <v>133145</v>
      </c>
      <c r="AQ17" s="445">
        <f t="shared" si="7"/>
        <v>133145</v>
      </c>
      <c r="AR17" s="445">
        <f t="shared" si="7"/>
        <v>45003</v>
      </c>
      <c r="AS17" s="445">
        <f t="shared" si="7"/>
        <v>1331</v>
      </c>
      <c r="AT17" s="445">
        <f t="shared" si="7"/>
        <v>0</v>
      </c>
      <c r="AU17" s="445">
        <f t="shared" si="7"/>
        <v>1067</v>
      </c>
      <c r="AV17" s="445">
        <f t="shared" si="7"/>
        <v>1067</v>
      </c>
      <c r="AW17" s="445">
        <f t="shared" si="7"/>
        <v>180546</v>
      </c>
      <c r="AX17" s="446">
        <f t="shared" si="7"/>
        <v>0</v>
      </c>
      <c r="AY17" s="446">
        <f t="shared" si="7"/>
        <v>0</v>
      </c>
      <c r="AZ17" s="446">
        <f t="shared" si="7"/>
        <v>0</v>
      </c>
      <c r="BA17" s="446">
        <f t="shared" si="7"/>
        <v>0</v>
      </c>
      <c r="BB17" s="446">
        <f t="shared" si="7"/>
        <v>0.4</v>
      </c>
      <c r="BC17" s="948">
        <f t="shared" si="7"/>
        <v>0</v>
      </c>
      <c r="BD17" s="446">
        <f t="shared" si="7"/>
        <v>0</v>
      </c>
      <c r="BE17" s="446">
        <f t="shared" si="7"/>
        <v>0</v>
      </c>
      <c r="BF17" s="446">
        <f t="shared" si="7"/>
        <v>0</v>
      </c>
      <c r="BG17" s="446">
        <f t="shared" si="7"/>
        <v>0.4</v>
      </c>
      <c r="BH17" s="39">
        <f t="shared" si="7"/>
        <v>0.4</v>
      </c>
      <c r="BI17" s="452">
        <f t="shared" si="7"/>
        <v>10231310</v>
      </c>
      <c r="BJ17" s="445">
        <f t="shared" si="7"/>
        <v>7362075</v>
      </c>
      <c r="BK17" s="445">
        <f t="shared" si="7"/>
        <v>6504046</v>
      </c>
      <c r="BL17" s="445">
        <f t="shared" si="7"/>
        <v>858029</v>
      </c>
      <c r="BM17" s="445">
        <f t="shared" si="7"/>
        <v>208000</v>
      </c>
      <c r="BN17" s="445">
        <f t="shared" si="7"/>
        <v>112000</v>
      </c>
      <c r="BO17" s="445">
        <f t="shared" si="7"/>
        <v>96000</v>
      </c>
      <c r="BP17" s="445">
        <f t="shared" si="7"/>
        <v>2558685</v>
      </c>
      <c r="BQ17" s="445">
        <f t="shared" si="7"/>
        <v>73620</v>
      </c>
      <c r="BR17" s="445">
        <f t="shared" si="7"/>
        <v>28930</v>
      </c>
      <c r="BS17" s="446">
        <f t="shared" si="7"/>
        <v>14.45</v>
      </c>
      <c r="BT17" s="446">
        <f t="shared" si="7"/>
        <v>11.77</v>
      </c>
      <c r="BU17" s="39">
        <f t="shared" si="7"/>
        <v>2.6799999999999997</v>
      </c>
      <c r="BV17" s="833">
        <f t="shared" si="7"/>
        <v>0</v>
      </c>
      <c r="BW17" s="715">
        <f t="shared" si="7"/>
        <v>0</v>
      </c>
      <c r="BX17" s="715">
        <f t="shared" si="7"/>
        <v>0</v>
      </c>
      <c r="BY17" s="715">
        <f t="shared" si="7"/>
        <v>0</v>
      </c>
      <c r="BZ17" s="715">
        <f t="shared" si="7"/>
        <v>0</v>
      </c>
      <c r="CA17" s="834">
        <f t="shared" si="7"/>
        <v>0</v>
      </c>
    </row>
    <row r="18" spans="1:79" s="221" customFormat="1" x14ac:dyDescent="0.2">
      <c r="A18" s="209">
        <v>3</v>
      </c>
      <c r="B18" s="210">
        <v>4409</v>
      </c>
      <c r="C18" s="210">
        <v>600074358</v>
      </c>
      <c r="D18" s="210">
        <v>70982104</v>
      </c>
      <c r="E18" s="204" t="s">
        <v>150</v>
      </c>
      <c r="F18" s="210">
        <v>3111</v>
      </c>
      <c r="G18" s="165" t="s">
        <v>290</v>
      </c>
      <c r="H18" s="626" t="s">
        <v>271</v>
      </c>
      <c r="I18" s="511">
        <v>17369071</v>
      </c>
      <c r="J18" s="415">
        <v>12804395</v>
      </c>
      <c r="K18" s="415">
        <v>11605427</v>
      </c>
      <c r="L18" s="415">
        <v>1198968</v>
      </c>
      <c r="M18" s="415">
        <v>30000</v>
      </c>
      <c r="N18" s="415">
        <v>20000</v>
      </c>
      <c r="O18" s="415">
        <v>10000</v>
      </c>
      <c r="P18" s="68">
        <v>4338025</v>
      </c>
      <c r="Q18" s="68">
        <v>128044</v>
      </c>
      <c r="R18" s="415">
        <v>68607</v>
      </c>
      <c r="S18" s="416">
        <v>24.453400000000002</v>
      </c>
      <c r="T18" s="417">
        <v>20.252999999999997</v>
      </c>
      <c r="U18" s="423">
        <v>4.2003999999999992</v>
      </c>
      <c r="V18" s="424">
        <f t="shared" ref="V18:W21" si="8">AG18*-1</f>
        <v>0</v>
      </c>
      <c r="W18" s="418">
        <f t="shared" si="8"/>
        <v>0</v>
      </c>
      <c r="X18" s="418">
        <v>0</v>
      </c>
      <c r="Y18" s="418">
        <v>0</v>
      </c>
      <c r="Z18" s="418">
        <v>0</v>
      </c>
      <c r="AA18" s="415">
        <v>0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0</v>
      </c>
      <c r="AF18" s="418">
        <f>SUM(AD18:AE18)</f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ref="AO18:AP21" si="9">AD18+AL18</f>
        <v>0</v>
      </c>
      <c r="AP18" s="418">
        <f t="shared" si="9"/>
        <v>0</v>
      </c>
      <c r="AQ18" s="418">
        <f>SUM(AO18:AP18)</f>
        <v>0</v>
      </c>
      <c r="AR18" s="68">
        <f>ROUND((AF18+AG18+AH18+AI18)*33.8%,0)</f>
        <v>0</v>
      </c>
      <c r="AS18" s="68">
        <f>ROUND(AF18*1%,0)</f>
        <v>0</v>
      </c>
      <c r="AT18" s="418">
        <v>0</v>
      </c>
      <c r="AU18" s="415">
        <v>0</v>
      </c>
      <c r="AV18" s="418">
        <f>AT18+AU18</f>
        <v>0</v>
      </c>
      <c r="AW18" s="418">
        <f>AQ18+AR18+AS18+AV18</f>
        <v>0</v>
      </c>
      <c r="AX18" s="419">
        <v>0</v>
      </c>
      <c r="AY18" s="419">
        <v>0</v>
      </c>
      <c r="AZ18" s="419">
        <v>0</v>
      </c>
      <c r="BA18" s="419">
        <v>0</v>
      </c>
      <c r="BB18" s="416">
        <v>0</v>
      </c>
      <c r="BC18" s="93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0</v>
      </c>
      <c r="BH18" s="421">
        <f>SUM(BF18:BG18)</f>
        <v>0</v>
      </c>
      <c r="BI18" s="780">
        <f>I18+AW18</f>
        <v>17369071</v>
      </c>
      <c r="BJ18" s="418">
        <f>J18+AF18</f>
        <v>12804395</v>
      </c>
      <c r="BK18" s="418">
        <f t="shared" ref="BK18:BL21" si="10">K18+AD18</f>
        <v>11605427</v>
      </c>
      <c r="BL18" s="418">
        <f t="shared" si="10"/>
        <v>1198968</v>
      </c>
      <c r="BM18" s="418">
        <f>M18+AN18</f>
        <v>30000</v>
      </c>
      <c r="BN18" s="418">
        <f t="shared" ref="BN18:BO21" si="11">N18+AL18</f>
        <v>20000</v>
      </c>
      <c r="BO18" s="418">
        <f t="shared" si="11"/>
        <v>10000</v>
      </c>
      <c r="BP18" s="418">
        <f t="shared" ref="BP18:BQ21" si="12">P18+AR18</f>
        <v>4338025</v>
      </c>
      <c r="BQ18" s="418">
        <f t="shared" si="12"/>
        <v>128044</v>
      </c>
      <c r="BR18" s="418">
        <f>R18+AV18</f>
        <v>68607</v>
      </c>
      <c r="BS18" s="419">
        <f>S18+BH18</f>
        <v>24.453400000000002</v>
      </c>
      <c r="BT18" s="419">
        <f t="shared" ref="BT18:BU21" si="13">T18+BF18</f>
        <v>20.252999999999997</v>
      </c>
      <c r="BU18" s="421">
        <f t="shared" si="13"/>
        <v>4.2003999999999992</v>
      </c>
      <c r="BV18" s="420"/>
      <c r="BW18" s="415"/>
      <c r="BX18" s="415"/>
      <c r="BY18" s="415"/>
      <c r="BZ18" s="415"/>
      <c r="CA18" s="510"/>
    </row>
    <row r="19" spans="1:79" s="221" customFormat="1" x14ac:dyDescent="0.2">
      <c r="A19" s="209">
        <v>3</v>
      </c>
      <c r="B19" s="210">
        <v>4409</v>
      </c>
      <c r="C19" s="210">
        <v>600074358</v>
      </c>
      <c r="D19" s="210">
        <v>70982104</v>
      </c>
      <c r="E19" s="204" t="s">
        <v>150</v>
      </c>
      <c r="F19" s="210">
        <v>3111</v>
      </c>
      <c r="G19" s="165" t="s">
        <v>292</v>
      </c>
      <c r="H19" s="626" t="s">
        <v>271</v>
      </c>
      <c r="I19" s="511">
        <v>523941</v>
      </c>
      <c r="J19" s="415">
        <v>388680</v>
      </c>
      <c r="K19" s="415">
        <v>388680</v>
      </c>
      <c r="L19" s="415">
        <v>0</v>
      </c>
      <c r="M19" s="415">
        <v>0</v>
      </c>
      <c r="N19" s="415">
        <v>0</v>
      </c>
      <c r="O19" s="415">
        <v>0</v>
      </c>
      <c r="P19" s="68">
        <v>131374</v>
      </c>
      <c r="Q19" s="68">
        <v>3887</v>
      </c>
      <c r="R19" s="415">
        <v>0</v>
      </c>
      <c r="S19" s="416">
        <v>1</v>
      </c>
      <c r="T19" s="417">
        <v>1</v>
      </c>
      <c r="U19" s="423">
        <v>0</v>
      </c>
      <c r="V19" s="424">
        <f t="shared" si="8"/>
        <v>0</v>
      </c>
      <c r="W19" s="418">
        <f t="shared" si="8"/>
        <v>0</v>
      </c>
      <c r="X19" s="418">
        <v>0</v>
      </c>
      <c r="Y19" s="418">
        <v>0</v>
      </c>
      <c r="Z19" s="418">
        <v>0</v>
      </c>
      <c r="AA19" s="415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si="9"/>
        <v>0</v>
      </c>
      <c r="AP19" s="418">
        <f t="shared" si="9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5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6">
        <v>0</v>
      </c>
      <c r="BC19" s="93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780">
        <f>I19+AW19</f>
        <v>523941</v>
      </c>
      <c r="BJ19" s="418">
        <f>J19+AF19</f>
        <v>388680</v>
      </c>
      <c r="BK19" s="418">
        <f t="shared" si="10"/>
        <v>388680</v>
      </c>
      <c r="BL19" s="418">
        <f t="shared" si="10"/>
        <v>0</v>
      </c>
      <c r="BM19" s="418">
        <f>M19+AN19</f>
        <v>0</v>
      </c>
      <c r="BN19" s="418">
        <f t="shared" si="11"/>
        <v>0</v>
      </c>
      <c r="BO19" s="418">
        <f t="shared" si="11"/>
        <v>0</v>
      </c>
      <c r="BP19" s="418">
        <f t="shared" si="12"/>
        <v>131374</v>
      </c>
      <c r="BQ19" s="418">
        <f t="shared" si="12"/>
        <v>3887</v>
      </c>
      <c r="BR19" s="418">
        <f>R19+AV19</f>
        <v>0</v>
      </c>
      <c r="BS19" s="419">
        <f>S19+BH19</f>
        <v>1</v>
      </c>
      <c r="BT19" s="419">
        <f t="shared" si="13"/>
        <v>1</v>
      </c>
      <c r="BU19" s="421">
        <f t="shared" si="13"/>
        <v>0</v>
      </c>
      <c r="BV19" s="420"/>
      <c r="BW19" s="415"/>
      <c r="BX19" s="415"/>
      <c r="BY19" s="415"/>
      <c r="BZ19" s="415"/>
      <c r="CA19" s="510"/>
    </row>
    <row r="20" spans="1:79" s="221" customFormat="1" x14ac:dyDescent="0.2">
      <c r="A20" s="209">
        <v>3</v>
      </c>
      <c r="B20" s="210">
        <v>4409</v>
      </c>
      <c r="C20" s="210">
        <v>600074358</v>
      </c>
      <c r="D20" s="210">
        <v>70982104</v>
      </c>
      <c r="E20" s="204" t="s">
        <v>150</v>
      </c>
      <c r="F20" s="210">
        <v>3111</v>
      </c>
      <c r="G20" s="165" t="s">
        <v>291</v>
      </c>
      <c r="H20" s="626" t="s">
        <v>272</v>
      </c>
      <c r="I20" s="511">
        <v>2874079</v>
      </c>
      <c r="J20" s="415">
        <v>2132106</v>
      </c>
      <c r="K20" s="415">
        <v>2132106</v>
      </c>
      <c r="L20" s="415">
        <v>0</v>
      </c>
      <c r="M20" s="415">
        <v>0</v>
      </c>
      <c r="N20" s="415">
        <v>0</v>
      </c>
      <c r="O20" s="415">
        <v>0</v>
      </c>
      <c r="P20" s="68">
        <v>720652</v>
      </c>
      <c r="Q20" s="68">
        <v>21321</v>
      </c>
      <c r="R20" s="415">
        <v>0</v>
      </c>
      <c r="S20" s="416">
        <v>5.75</v>
      </c>
      <c r="T20" s="417">
        <v>5.75</v>
      </c>
      <c r="U20" s="423">
        <v>0</v>
      </c>
      <c r="V20" s="424">
        <f t="shared" si="8"/>
        <v>0</v>
      </c>
      <c r="W20" s="418">
        <f t="shared" si="8"/>
        <v>0</v>
      </c>
      <c r="X20" s="418">
        <v>0</v>
      </c>
      <c r="Y20" s="418">
        <v>0</v>
      </c>
      <c r="Z20" s="418">
        <v>0</v>
      </c>
      <c r="AA20" s="415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9"/>
        <v>0</v>
      </c>
      <c r="AP20" s="418">
        <f t="shared" si="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5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6">
        <v>0</v>
      </c>
      <c r="BC20" s="93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780">
        <f>I20+AW20</f>
        <v>2874079</v>
      </c>
      <c r="BJ20" s="418">
        <f>J20+AF20</f>
        <v>2132106</v>
      </c>
      <c r="BK20" s="418">
        <f t="shared" si="10"/>
        <v>2132106</v>
      </c>
      <c r="BL20" s="418">
        <f t="shared" si="10"/>
        <v>0</v>
      </c>
      <c r="BM20" s="418">
        <f>M20+AN20</f>
        <v>0</v>
      </c>
      <c r="BN20" s="418">
        <f t="shared" si="11"/>
        <v>0</v>
      </c>
      <c r="BO20" s="418">
        <f t="shared" si="11"/>
        <v>0</v>
      </c>
      <c r="BP20" s="418">
        <f t="shared" si="12"/>
        <v>720652</v>
      </c>
      <c r="BQ20" s="418">
        <f t="shared" si="12"/>
        <v>21321</v>
      </c>
      <c r="BR20" s="418">
        <f>R20+AV20</f>
        <v>0</v>
      </c>
      <c r="BS20" s="419">
        <f>S20+BH20</f>
        <v>5.75</v>
      </c>
      <c r="BT20" s="419">
        <f t="shared" si="13"/>
        <v>5.75</v>
      </c>
      <c r="BU20" s="421">
        <f t="shared" si="13"/>
        <v>0</v>
      </c>
      <c r="BV20" s="420"/>
      <c r="BW20" s="415"/>
      <c r="BX20" s="415"/>
      <c r="BY20" s="415"/>
      <c r="BZ20" s="415"/>
      <c r="CA20" s="510"/>
    </row>
    <row r="21" spans="1:79" s="221" customFormat="1" x14ac:dyDescent="0.2">
      <c r="A21" s="209">
        <v>3</v>
      </c>
      <c r="B21" s="210">
        <v>4409</v>
      </c>
      <c r="C21" s="210">
        <v>600074358</v>
      </c>
      <c r="D21" s="210">
        <v>70982104</v>
      </c>
      <c r="E21" s="208" t="s">
        <v>150</v>
      </c>
      <c r="F21" s="210">
        <v>3141</v>
      </c>
      <c r="G21" s="165" t="s">
        <v>294</v>
      </c>
      <c r="H21" s="626" t="s">
        <v>272</v>
      </c>
      <c r="I21" s="511">
        <v>1664566</v>
      </c>
      <c r="J21" s="415">
        <v>1229441</v>
      </c>
      <c r="K21" s="415">
        <v>0</v>
      </c>
      <c r="L21" s="415">
        <v>1229441</v>
      </c>
      <c r="M21" s="415">
        <v>0</v>
      </c>
      <c r="N21" s="415">
        <v>0</v>
      </c>
      <c r="O21" s="415">
        <v>0</v>
      </c>
      <c r="P21" s="68">
        <v>415551</v>
      </c>
      <c r="Q21" s="68">
        <v>12294</v>
      </c>
      <c r="R21" s="415">
        <v>7280</v>
      </c>
      <c r="S21" s="416">
        <v>3.69</v>
      </c>
      <c r="T21" s="417">
        <v>0</v>
      </c>
      <c r="U21" s="423">
        <v>3.69</v>
      </c>
      <c r="V21" s="424">
        <f t="shared" si="8"/>
        <v>0</v>
      </c>
      <c r="W21" s="418">
        <f t="shared" si="8"/>
        <v>0</v>
      </c>
      <c r="X21" s="418">
        <v>0</v>
      </c>
      <c r="Y21" s="418">
        <v>0</v>
      </c>
      <c r="Z21" s="418">
        <v>0</v>
      </c>
      <c r="AA21" s="415">
        <v>613720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613720</v>
      </c>
      <c r="AF21" s="418">
        <f>SUM(AD21:AE21)</f>
        <v>613720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9"/>
        <v>0</v>
      </c>
      <c r="AP21" s="418">
        <f t="shared" si="9"/>
        <v>613720</v>
      </c>
      <c r="AQ21" s="418">
        <f>SUM(AO21:AP21)</f>
        <v>613720</v>
      </c>
      <c r="AR21" s="68">
        <f>ROUND((AF21+AG21+AH21+AI21)*33.8%,0)</f>
        <v>207437</v>
      </c>
      <c r="AS21" s="68">
        <f>ROUND(AF21*1%,0)</f>
        <v>6137</v>
      </c>
      <c r="AT21" s="418">
        <v>0</v>
      </c>
      <c r="AU21" s="415">
        <v>3536</v>
      </c>
      <c r="AV21" s="418">
        <f>AT21+AU21</f>
        <v>3536</v>
      </c>
      <c r="AW21" s="418">
        <f>AQ21+AR21+AS21+AV21</f>
        <v>830830</v>
      </c>
      <c r="AX21" s="419">
        <v>0</v>
      </c>
      <c r="AY21" s="419">
        <v>0</v>
      </c>
      <c r="AZ21" s="419">
        <v>0</v>
      </c>
      <c r="BA21" s="419">
        <v>0</v>
      </c>
      <c r="BB21" s="416">
        <v>1.84</v>
      </c>
      <c r="BC21" s="93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1.84</v>
      </c>
      <c r="BH21" s="421">
        <f>SUM(BF21:BG21)</f>
        <v>1.84</v>
      </c>
      <c r="BI21" s="780">
        <f>I21+AW21</f>
        <v>2495396</v>
      </c>
      <c r="BJ21" s="418">
        <f>J21+AF21</f>
        <v>1843161</v>
      </c>
      <c r="BK21" s="418">
        <f t="shared" si="10"/>
        <v>0</v>
      </c>
      <c r="BL21" s="418">
        <f t="shared" si="10"/>
        <v>1843161</v>
      </c>
      <c r="BM21" s="418">
        <f>M21+AN21</f>
        <v>0</v>
      </c>
      <c r="BN21" s="418">
        <f t="shared" si="11"/>
        <v>0</v>
      </c>
      <c r="BO21" s="418">
        <f t="shared" si="11"/>
        <v>0</v>
      </c>
      <c r="BP21" s="418">
        <f t="shared" si="12"/>
        <v>622988</v>
      </c>
      <c r="BQ21" s="418">
        <f t="shared" si="12"/>
        <v>18431</v>
      </c>
      <c r="BR21" s="418">
        <f>R21+AV21</f>
        <v>10816</v>
      </c>
      <c r="BS21" s="419">
        <f>S21+BH21</f>
        <v>5.53</v>
      </c>
      <c r="BT21" s="419">
        <f t="shared" si="13"/>
        <v>0</v>
      </c>
      <c r="BU21" s="421">
        <f t="shared" si="13"/>
        <v>5.53</v>
      </c>
      <c r="BV21" s="420"/>
      <c r="BW21" s="415"/>
      <c r="BX21" s="415"/>
      <c r="BY21" s="415"/>
      <c r="BZ21" s="415"/>
      <c r="CA21" s="510"/>
    </row>
    <row r="22" spans="1:79" s="221" customFormat="1" x14ac:dyDescent="0.2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13"/>
      <c r="I22" s="452">
        <v>22431657</v>
      </c>
      <c r="J22" s="445">
        <v>16554622</v>
      </c>
      <c r="K22" s="445">
        <v>14126213</v>
      </c>
      <c r="L22" s="445">
        <v>2428409</v>
      </c>
      <c r="M22" s="445">
        <v>30000</v>
      </c>
      <c r="N22" s="445">
        <v>20000</v>
      </c>
      <c r="O22" s="445">
        <v>10000</v>
      </c>
      <c r="P22" s="445">
        <v>5605602</v>
      </c>
      <c r="Q22" s="445">
        <v>165546</v>
      </c>
      <c r="R22" s="445">
        <v>75887</v>
      </c>
      <c r="S22" s="446">
        <v>34.8934</v>
      </c>
      <c r="T22" s="446">
        <v>27.002999999999997</v>
      </c>
      <c r="U22" s="450">
        <v>7.8903999999999996</v>
      </c>
      <c r="V22" s="448">
        <f t="shared" ref="V22:CA22" si="14">SUM(V18:V21)</f>
        <v>0</v>
      </c>
      <c r="W22" s="445">
        <f t="shared" si="14"/>
        <v>0</v>
      </c>
      <c r="X22" s="445">
        <f t="shared" si="14"/>
        <v>0</v>
      </c>
      <c r="Y22" s="445">
        <f t="shared" si="14"/>
        <v>0</v>
      </c>
      <c r="Z22" s="445">
        <f t="shared" si="14"/>
        <v>0</v>
      </c>
      <c r="AA22" s="445">
        <f t="shared" si="14"/>
        <v>613720</v>
      </c>
      <c r="AB22" s="445">
        <f t="shared" si="14"/>
        <v>0</v>
      </c>
      <c r="AC22" s="445">
        <f t="shared" si="14"/>
        <v>0</v>
      </c>
      <c r="AD22" s="445">
        <f t="shared" si="14"/>
        <v>0</v>
      </c>
      <c r="AE22" s="445">
        <f t="shared" si="14"/>
        <v>613720</v>
      </c>
      <c r="AF22" s="445">
        <f t="shared" si="14"/>
        <v>613720</v>
      </c>
      <c r="AG22" s="445">
        <f t="shared" si="14"/>
        <v>0</v>
      </c>
      <c r="AH22" s="445">
        <f t="shared" si="14"/>
        <v>0</v>
      </c>
      <c r="AI22" s="445">
        <f t="shared" si="14"/>
        <v>0</v>
      </c>
      <c r="AJ22" s="445">
        <f t="shared" si="14"/>
        <v>0</v>
      </c>
      <c r="AK22" s="445">
        <f t="shared" si="14"/>
        <v>0</v>
      </c>
      <c r="AL22" s="445">
        <f t="shared" si="14"/>
        <v>0</v>
      </c>
      <c r="AM22" s="445">
        <f t="shared" si="14"/>
        <v>0</v>
      </c>
      <c r="AN22" s="445">
        <f t="shared" si="14"/>
        <v>0</v>
      </c>
      <c r="AO22" s="445">
        <f t="shared" si="14"/>
        <v>0</v>
      </c>
      <c r="AP22" s="445">
        <f t="shared" si="14"/>
        <v>613720</v>
      </c>
      <c r="AQ22" s="445">
        <f t="shared" si="14"/>
        <v>613720</v>
      </c>
      <c r="AR22" s="445">
        <f t="shared" si="14"/>
        <v>207437</v>
      </c>
      <c r="AS22" s="445">
        <f t="shared" si="14"/>
        <v>6137</v>
      </c>
      <c r="AT22" s="445">
        <f t="shared" si="14"/>
        <v>0</v>
      </c>
      <c r="AU22" s="445">
        <f t="shared" si="14"/>
        <v>3536</v>
      </c>
      <c r="AV22" s="445">
        <f t="shared" si="14"/>
        <v>3536</v>
      </c>
      <c r="AW22" s="445">
        <f t="shared" si="14"/>
        <v>830830</v>
      </c>
      <c r="AX22" s="446">
        <f t="shared" si="14"/>
        <v>0</v>
      </c>
      <c r="AY22" s="446">
        <f t="shared" si="14"/>
        <v>0</v>
      </c>
      <c r="AZ22" s="446">
        <f t="shared" si="14"/>
        <v>0</v>
      </c>
      <c r="BA22" s="446">
        <f t="shared" si="14"/>
        <v>0</v>
      </c>
      <c r="BB22" s="446">
        <f t="shared" si="14"/>
        <v>1.84</v>
      </c>
      <c r="BC22" s="948">
        <f t="shared" si="14"/>
        <v>0</v>
      </c>
      <c r="BD22" s="446">
        <f t="shared" si="14"/>
        <v>0</v>
      </c>
      <c r="BE22" s="446">
        <f t="shared" si="14"/>
        <v>0</v>
      </c>
      <c r="BF22" s="446">
        <f t="shared" si="14"/>
        <v>0</v>
      </c>
      <c r="BG22" s="446">
        <f t="shared" si="14"/>
        <v>1.84</v>
      </c>
      <c r="BH22" s="39">
        <f t="shared" si="14"/>
        <v>1.84</v>
      </c>
      <c r="BI22" s="452">
        <f t="shared" si="14"/>
        <v>23262487</v>
      </c>
      <c r="BJ22" s="445">
        <f t="shared" si="14"/>
        <v>17168342</v>
      </c>
      <c r="BK22" s="445">
        <f t="shared" si="14"/>
        <v>14126213</v>
      </c>
      <c r="BL22" s="445">
        <f t="shared" si="14"/>
        <v>3042129</v>
      </c>
      <c r="BM22" s="445">
        <f t="shared" si="14"/>
        <v>30000</v>
      </c>
      <c r="BN22" s="445">
        <f t="shared" si="14"/>
        <v>20000</v>
      </c>
      <c r="BO22" s="445">
        <f t="shared" si="14"/>
        <v>10000</v>
      </c>
      <c r="BP22" s="445">
        <f t="shared" si="14"/>
        <v>5813039</v>
      </c>
      <c r="BQ22" s="445">
        <f t="shared" si="14"/>
        <v>171683</v>
      </c>
      <c r="BR22" s="445">
        <f t="shared" si="14"/>
        <v>79423</v>
      </c>
      <c r="BS22" s="446">
        <f t="shared" si="14"/>
        <v>36.733400000000003</v>
      </c>
      <c r="BT22" s="446">
        <f t="shared" si="14"/>
        <v>27.002999999999997</v>
      </c>
      <c r="BU22" s="39">
        <f t="shared" si="14"/>
        <v>9.7303999999999995</v>
      </c>
      <c r="BV22" s="833">
        <f t="shared" si="14"/>
        <v>0</v>
      </c>
      <c r="BW22" s="715">
        <f t="shared" si="14"/>
        <v>0</v>
      </c>
      <c r="BX22" s="715">
        <f t="shared" si="14"/>
        <v>0</v>
      </c>
      <c r="BY22" s="715">
        <f t="shared" si="14"/>
        <v>0</v>
      </c>
      <c r="BZ22" s="715">
        <f t="shared" si="14"/>
        <v>0</v>
      </c>
      <c r="CA22" s="834">
        <f t="shared" si="14"/>
        <v>0</v>
      </c>
    </row>
    <row r="23" spans="1:79" s="221" customFormat="1" x14ac:dyDescent="0.2">
      <c r="A23" s="209">
        <v>4</v>
      </c>
      <c r="B23" s="210">
        <v>4407</v>
      </c>
      <c r="C23" s="210">
        <v>600074552</v>
      </c>
      <c r="D23" s="210">
        <v>70982201</v>
      </c>
      <c r="E23" s="208" t="s">
        <v>152</v>
      </c>
      <c r="F23" s="210">
        <v>3111</v>
      </c>
      <c r="G23" s="165" t="s">
        <v>290</v>
      </c>
      <c r="H23" s="626" t="s">
        <v>271</v>
      </c>
      <c r="I23" s="511">
        <v>7725049</v>
      </c>
      <c r="J23" s="415">
        <v>5711778</v>
      </c>
      <c r="K23" s="415">
        <v>5236584</v>
      </c>
      <c r="L23" s="415">
        <v>475194</v>
      </c>
      <c r="M23" s="415">
        <v>0</v>
      </c>
      <c r="N23" s="415">
        <v>0</v>
      </c>
      <c r="O23" s="415">
        <v>0</v>
      </c>
      <c r="P23" s="68">
        <v>1930581</v>
      </c>
      <c r="Q23" s="68">
        <v>57118</v>
      </c>
      <c r="R23" s="415">
        <v>25572</v>
      </c>
      <c r="S23" s="416">
        <v>10.0395</v>
      </c>
      <c r="T23" s="417">
        <v>8.4193999999999996</v>
      </c>
      <c r="U23" s="423">
        <v>1.6200999999999999</v>
      </c>
      <c r="V23" s="424">
        <f t="shared" ref="V23:W26" si="15">AG23*-1</f>
        <v>0</v>
      </c>
      <c r="W23" s="418">
        <f t="shared" si="15"/>
        <v>0</v>
      </c>
      <c r="X23" s="418">
        <v>0</v>
      </c>
      <c r="Y23" s="418">
        <v>0</v>
      </c>
      <c r="Z23" s="418">
        <v>0</v>
      </c>
      <c r="AA23" s="415">
        <v>0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0</v>
      </c>
      <c r="AF23" s="418">
        <f>SUM(AD23:AE23)</f>
        <v>0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ref="AO23:AP26" si="16">AD23+AL23</f>
        <v>0</v>
      </c>
      <c r="AP23" s="418">
        <f t="shared" si="16"/>
        <v>0</v>
      </c>
      <c r="AQ23" s="418">
        <f>SUM(AO23:AP23)</f>
        <v>0</v>
      </c>
      <c r="AR23" s="68">
        <f>ROUND((AF23+AG23+AH23+AI23)*33.8%,0)</f>
        <v>0</v>
      </c>
      <c r="AS23" s="68">
        <f>ROUND(AF23*1%,0)</f>
        <v>0</v>
      </c>
      <c r="AT23" s="418">
        <v>0</v>
      </c>
      <c r="AU23" s="415">
        <v>0</v>
      </c>
      <c r="AV23" s="418">
        <f>AT23+AU23</f>
        <v>0</v>
      </c>
      <c r="AW23" s="418">
        <f>AQ23+AR23+AS23+AV23</f>
        <v>0</v>
      </c>
      <c r="AX23" s="419">
        <v>0</v>
      </c>
      <c r="AY23" s="419">
        <v>0</v>
      </c>
      <c r="AZ23" s="419">
        <v>0</v>
      </c>
      <c r="BA23" s="419">
        <v>0</v>
      </c>
      <c r="BB23" s="416">
        <v>0</v>
      </c>
      <c r="BC23" s="93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</v>
      </c>
      <c r="BH23" s="421">
        <f>SUM(BF23:BG23)</f>
        <v>0</v>
      </c>
      <c r="BI23" s="780">
        <f>I23+AW23</f>
        <v>7725049</v>
      </c>
      <c r="BJ23" s="418">
        <f>J23+AF23</f>
        <v>5711778</v>
      </c>
      <c r="BK23" s="418">
        <f t="shared" ref="BK23:BL26" si="17">K23+AD23</f>
        <v>5236584</v>
      </c>
      <c r="BL23" s="418">
        <f t="shared" si="17"/>
        <v>475194</v>
      </c>
      <c r="BM23" s="418">
        <f>M23+AN23</f>
        <v>0</v>
      </c>
      <c r="BN23" s="418">
        <f t="shared" ref="BN23:BO26" si="18">N23+AL23</f>
        <v>0</v>
      </c>
      <c r="BO23" s="418">
        <f t="shared" si="18"/>
        <v>0</v>
      </c>
      <c r="BP23" s="418">
        <f t="shared" ref="BP23:BQ26" si="19">P23+AR23</f>
        <v>1930581</v>
      </c>
      <c r="BQ23" s="418">
        <f t="shared" si="19"/>
        <v>57118</v>
      </c>
      <c r="BR23" s="418">
        <f>R23+AV23</f>
        <v>25572</v>
      </c>
      <c r="BS23" s="419">
        <f>S23+BH23</f>
        <v>10.0395</v>
      </c>
      <c r="BT23" s="419">
        <f t="shared" ref="BT23:BU26" si="20">T23+BF23</f>
        <v>8.4193999999999996</v>
      </c>
      <c r="BU23" s="421">
        <f t="shared" si="20"/>
        <v>1.6200999999999999</v>
      </c>
      <c r="BV23" s="420"/>
      <c r="BW23" s="415"/>
      <c r="BX23" s="415"/>
      <c r="BY23" s="415"/>
      <c r="BZ23" s="415"/>
      <c r="CA23" s="510"/>
    </row>
    <row r="24" spans="1:79" s="221" customFormat="1" x14ac:dyDescent="0.2">
      <c r="A24" s="209">
        <v>4</v>
      </c>
      <c r="B24" s="210">
        <v>4407</v>
      </c>
      <c r="C24" s="210">
        <v>600074552</v>
      </c>
      <c r="D24" s="210">
        <v>70982201</v>
      </c>
      <c r="E24" s="208" t="s">
        <v>152</v>
      </c>
      <c r="F24" s="210">
        <v>3111</v>
      </c>
      <c r="G24" s="165" t="s">
        <v>292</v>
      </c>
      <c r="H24" s="626" t="s">
        <v>271</v>
      </c>
      <c r="I24" s="511">
        <v>601586</v>
      </c>
      <c r="J24" s="415">
        <v>446280</v>
      </c>
      <c r="K24" s="415">
        <v>446280</v>
      </c>
      <c r="L24" s="415">
        <v>0</v>
      </c>
      <c r="M24" s="415">
        <v>0</v>
      </c>
      <c r="N24" s="415">
        <v>0</v>
      </c>
      <c r="O24" s="415">
        <v>0</v>
      </c>
      <c r="P24" s="68">
        <v>150843</v>
      </c>
      <c r="Q24" s="68">
        <v>4463</v>
      </c>
      <c r="R24" s="415">
        <v>0</v>
      </c>
      <c r="S24" s="416">
        <v>1</v>
      </c>
      <c r="T24" s="417">
        <v>1</v>
      </c>
      <c r="U24" s="423">
        <v>0</v>
      </c>
      <c r="V24" s="424">
        <f t="shared" si="15"/>
        <v>0</v>
      </c>
      <c r="W24" s="418">
        <f t="shared" si="15"/>
        <v>0</v>
      </c>
      <c r="X24" s="418">
        <v>0</v>
      </c>
      <c r="Y24" s="418">
        <v>0</v>
      </c>
      <c r="Z24" s="418">
        <v>0</v>
      </c>
      <c r="AA24" s="415">
        <v>0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0</v>
      </c>
      <c r="AF24" s="418">
        <f>SUM(AD24:AE24)</f>
        <v>0</v>
      </c>
      <c r="AG24" s="418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 t="shared" si="16"/>
        <v>0</v>
      </c>
      <c r="AP24" s="418">
        <f t="shared" si="16"/>
        <v>0</v>
      </c>
      <c r="AQ24" s="418">
        <f>SUM(AO24:AP24)</f>
        <v>0</v>
      </c>
      <c r="AR24" s="68">
        <f>ROUND((AF24+AG24+AH24+AI24)*33.8%,0)</f>
        <v>0</v>
      </c>
      <c r="AS24" s="68">
        <f>ROUND(AF24*1%,0)</f>
        <v>0</v>
      </c>
      <c r="AT24" s="418">
        <v>0</v>
      </c>
      <c r="AU24" s="415">
        <v>0</v>
      </c>
      <c r="AV24" s="418">
        <f>AT24+AU24</f>
        <v>0</v>
      </c>
      <c r="AW24" s="418">
        <f>AQ24+AR24+AS24+AV24</f>
        <v>0</v>
      </c>
      <c r="AX24" s="419">
        <v>0</v>
      </c>
      <c r="AY24" s="419">
        <v>0</v>
      </c>
      <c r="AZ24" s="419">
        <v>0</v>
      </c>
      <c r="BA24" s="419">
        <v>0</v>
      </c>
      <c r="BB24" s="416">
        <v>0</v>
      </c>
      <c r="BC24" s="93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</v>
      </c>
      <c r="BH24" s="421">
        <f>SUM(BF24:BG24)</f>
        <v>0</v>
      </c>
      <c r="BI24" s="780">
        <f>I24+AW24</f>
        <v>601586</v>
      </c>
      <c r="BJ24" s="418">
        <f>J24+AF24</f>
        <v>446280</v>
      </c>
      <c r="BK24" s="418">
        <f t="shared" si="17"/>
        <v>446280</v>
      </c>
      <c r="BL24" s="418">
        <f t="shared" si="17"/>
        <v>0</v>
      </c>
      <c r="BM24" s="418">
        <f>M24+AN24</f>
        <v>0</v>
      </c>
      <c r="BN24" s="418">
        <f t="shared" si="18"/>
        <v>0</v>
      </c>
      <c r="BO24" s="418">
        <f t="shared" si="18"/>
        <v>0</v>
      </c>
      <c r="BP24" s="418">
        <f t="shared" si="19"/>
        <v>150843</v>
      </c>
      <c r="BQ24" s="418">
        <f t="shared" si="19"/>
        <v>4463</v>
      </c>
      <c r="BR24" s="418">
        <f>R24+AV24</f>
        <v>0</v>
      </c>
      <c r="BS24" s="419">
        <f>S24+BH24</f>
        <v>1</v>
      </c>
      <c r="BT24" s="419">
        <f t="shared" si="20"/>
        <v>1</v>
      </c>
      <c r="BU24" s="421">
        <f t="shared" si="20"/>
        <v>0</v>
      </c>
      <c r="BV24" s="420"/>
      <c r="BW24" s="415"/>
      <c r="BX24" s="415"/>
      <c r="BY24" s="415"/>
      <c r="BZ24" s="415"/>
      <c r="CA24" s="510"/>
    </row>
    <row r="25" spans="1:79" s="221" customFormat="1" x14ac:dyDescent="0.2">
      <c r="A25" s="209">
        <v>4</v>
      </c>
      <c r="B25" s="210">
        <v>4407</v>
      </c>
      <c r="C25" s="210">
        <v>600074552</v>
      </c>
      <c r="D25" s="210">
        <v>70982201</v>
      </c>
      <c r="E25" s="208" t="s">
        <v>152</v>
      </c>
      <c r="F25" s="210">
        <v>3111</v>
      </c>
      <c r="G25" s="165" t="s">
        <v>291</v>
      </c>
      <c r="H25" s="626" t="s">
        <v>272</v>
      </c>
      <c r="I25" s="511">
        <v>912093</v>
      </c>
      <c r="J25" s="415">
        <v>673659</v>
      </c>
      <c r="K25" s="415">
        <v>673659</v>
      </c>
      <c r="L25" s="415">
        <v>0</v>
      </c>
      <c r="M25" s="415">
        <v>0</v>
      </c>
      <c r="N25" s="415">
        <v>0</v>
      </c>
      <c r="O25" s="415">
        <v>0</v>
      </c>
      <c r="P25" s="68">
        <v>227697</v>
      </c>
      <c r="Q25" s="68">
        <v>6737</v>
      </c>
      <c r="R25" s="415">
        <v>4000</v>
      </c>
      <c r="S25" s="416">
        <v>1.8</v>
      </c>
      <c r="T25" s="417">
        <v>1.8</v>
      </c>
      <c r="U25" s="423">
        <v>0</v>
      </c>
      <c r="V25" s="424">
        <f t="shared" si="15"/>
        <v>0</v>
      </c>
      <c r="W25" s="418">
        <f t="shared" si="15"/>
        <v>0</v>
      </c>
      <c r="X25" s="418">
        <v>0</v>
      </c>
      <c r="Y25" s="418">
        <v>0</v>
      </c>
      <c r="Z25" s="418">
        <v>0</v>
      </c>
      <c r="AA25" s="415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si="16"/>
        <v>0</v>
      </c>
      <c r="AP25" s="418">
        <f t="shared" si="16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5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6">
        <v>0</v>
      </c>
      <c r="BC25" s="93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780">
        <f>I25+AW25</f>
        <v>912093</v>
      </c>
      <c r="BJ25" s="418">
        <f>J25+AF25</f>
        <v>673659</v>
      </c>
      <c r="BK25" s="418">
        <f t="shared" si="17"/>
        <v>673659</v>
      </c>
      <c r="BL25" s="418">
        <f t="shared" si="17"/>
        <v>0</v>
      </c>
      <c r="BM25" s="418">
        <f>M25+AN25</f>
        <v>0</v>
      </c>
      <c r="BN25" s="418">
        <f t="shared" si="18"/>
        <v>0</v>
      </c>
      <c r="BO25" s="418">
        <f t="shared" si="18"/>
        <v>0</v>
      </c>
      <c r="BP25" s="418">
        <f t="shared" si="19"/>
        <v>227697</v>
      </c>
      <c r="BQ25" s="418">
        <f t="shared" si="19"/>
        <v>6737</v>
      </c>
      <c r="BR25" s="418">
        <f>R25+AV25</f>
        <v>4000</v>
      </c>
      <c r="BS25" s="419">
        <f>S25+BH25</f>
        <v>1.8</v>
      </c>
      <c r="BT25" s="419">
        <f t="shared" si="20"/>
        <v>1.8</v>
      </c>
      <c r="BU25" s="421">
        <f t="shared" si="20"/>
        <v>0</v>
      </c>
      <c r="BV25" s="420"/>
      <c r="BW25" s="415"/>
      <c r="BX25" s="415"/>
      <c r="BY25" s="415"/>
      <c r="BZ25" s="415"/>
      <c r="CA25" s="510"/>
    </row>
    <row r="26" spans="1:79" s="221" customFormat="1" x14ac:dyDescent="0.2">
      <c r="A26" s="209">
        <v>4</v>
      </c>
      <c r="B26" s="210">
        <v>4407</v>
      </c>
      <c r="C26" s="210">
        <v>600074552</v>
      </c>
      <c r="D26" s="210">
        <v>70982201</v>
      </c>
      <c r="E26" s="208" t="s">
        <v>152</v>
      </c>
      <c r="F26" s="210">
        <v>3141</v>
      </c>
      <c r="G26" s="165" t="s">
        <v>294</v>
      </c>
      <c r="H26" s="626" t="s">
        <v>272</v>
      </c>
      <c r="I26" s="511">
        <v>665269</v>
      </c>
      <c r="J26" s="415">
        <v>491316</v>
      </c>
      <c r="K26" s="415">
        <v>0</v>
      </c>
      <c r="L26" s="415">
        <v>491316</v>
      </c>
      <c r="M26" s="415">
        <v>0</v>
      </c>
      <c r="N26" s="415">
        <v>0</v>
      </c>
      <c r="O26" s="415">
        <v>0</v>
      </c>
      <c r="P26" s="68">
        <v>166065</v>
      </c>
      <c r="Q26" s="68">
        <v>4913</v>
      </c>
      <c r="R26" s="415">
        <v>2975</v>
      </c>
      <c r="S26" s="416">
        <v>1.47</v>
      </c>
      <c r="T26" s="417">
        <v>0</v>
      </c>
      <c r="U26" s="423">
        <v>1.47</v>
      </c>
      <c r="V26" s="424">
        <f t="shared" si="15"/>
        <v>0</v>
      </c>
      <c r="W26" s="418">
        <f t="shared" si="15"/>
        <v>0</v>
      </c>
      <c r="X26" s="418">
        <v>0</v>
      </c>
      <c r="Y26" s="418">
        <v>0</v>
      </c>
      <c r="Z26" s="418">
        <v>0</v>
      </c>
      <c r="AA26" s="605">
        <v>245194</v>
      </c>
      <c r="AB26" s="418">
        <v>0</v>
      </c>
      <c r="AC26" s="418">
        <v>0</v>
      </c>
      <c r="AD26" s="418">
        <f>V26+X26+Y26+Z26+AB26</f>
        <v>0</v>
      </c>
      <c r="AE26" s="418">
        <f>W26+AA26+AC26</f>
        <v>245194</v>
      </c>
      <c r="AF26" s="418">
        <f>SUM(AD26:AE26)</f>
        <v>245194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16"/>
        <v>0</v>
      </c>
      <c r="AP26" s="418">
        <f t="shared" si="16"/>
        <v>245194</v>
      </c>
      <c r="AQ26" s="418">
        <f>SUM(AO26:AP26)</f>
        <v>245194</v>
      </c>
      <c r="AR26" s="68">
        <f>ROUND((AF26+AG26+AH26+AI26)*33.8%,0)</f>
        <v>82876</v>
      </c>
      <c r="AS26" s="68">
        <f>ROUND(AF26*1%,0)</f>
        <v>2452</v>
      </c>
      <c r="AT26" s="418">
        <v>0</v>
      </c>
      <c r="AU26" s="605">
        <v>1445</v>
      </c>
      <c r="AV26" s="418">
        <f>AT26+AU26</f>
        <v>1445</v>
      </c>
      <c r="AW26" s="418">
        <f>AQ26+AR26+AS26+AV26</f>
        <v>331967</v>
      </c>
      <c r="AX26" s="419">
        <v>0</v>
      </c>
      <c r="AY26" s="419">
        <v>0</v>
      </c>
      <c r="AZ26" s="419">
        <v>0</v>
      </c>
      <c r="BA26" s="419">
        <v>0</v>
      </c>
      <c r="BB26" s="607">
        <v>0.74</v>
      </c>
      <c r="BC26" s="939">
        <v>0</v>
      </c>
      <c r="BD26" s="419">
        <v>0</v>
      </c>
      <c r="BE26" s="419">
        <v>0</v>
      </c>
      <c r="BF26" s="419">
        <f>AX26+AZ26+BA26+BC26+BD26</f>
        <v>0</v>
      </c>
      <c r="BG26" s="419">
        <f>AY26+BB26+BE26</f>
        <v>0.74</v>
      </c>
      <c r="BH26" s="421">
        <f>SUM(BF26:BG26)</f>
        <v>0.74</v>
      </c>
      <c r="BI26" s="780">
        <f>I26+AW26</f>
        <v>997236</v>
      </c>
      <c r="BJ26" s="418">
        <f>J26+AF26</f>
        <v>736510</v>
      </c>
      <c r="BK26" s="418">
        <f t="shared" si="17"/>
        <v>0</v>
      </c>
      <c r="BL26" s="418">
        <f t="shared" si="17"/>
        <v>736510</v>
      </c>
      <c r="BM26" s="418">
        <f>M26+AN26</f>
        <v>0</v>
      </c>
      <c r="BN26" s="418">
        <f t="shared" si="18"/>
        <v>0</v>
      </c>
      <c r="BO26" s="418">
        <f t="shared" si="18"/>
        <v>0</v>
      </c>
      <c r="BP26" s="418">
        <f t="shared" si="19"/>
        <v>248941</v>
      </c>
      <c r="BQ26" s="418">
        <f t="shared" si="19"/>
        <v>7365</v>
      </c>
      <c r="BR26" s="418">
        <f>R26+AV26</f>
        <v>4420</v>
      </c>
      <c r="BS26" s="419">
        <f>S26+BH26</f>
        <v>2.21</v>
      </c>
      <c r="BT26" s="419">
        <f t="shared" si="20"/>
        <v>0</v>
      </c>
      <c r="BU26" s="421">
        <f t="shared" si="20"/>
        <v>2.21</v>
      </c>
      <c r="BV26" s="420"/>
      <c r="BW26" s="415"/>
      <c r="BX26" s="415"/>
      <c r="BY26" s="415"/>
      <c r="BZ26" s="415"/>
      <c r="CA26" s="510"/>
    </row>
    <row r="27" spans="1:79" s="221" customFormat="1" x14ac:dyDescent="0.2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13"/>
      <c r="I27" s="452">
        <v>9903997</v>
      </c>
      <c r="J27" s="445">
        <v>7323033</v>
      </c>
      <c r="K27" s="445">
        <v>6356523</v>
      </c>
      <c r="L27" s="445">
        <v>966510</v>
      </c>
      <c r="M27" s="445">
        <v>0</v>
      </c>
      <c r="N27" s="445">
        <v>0</v>
      </c>
      <c r="O27" s="445">
        <v>0</v>
      </c>
      <c r="P27" s="445">
        <v>2475186</v>
      </c>
      <c r="Q27" s="445">
        <v>73231</v>
      </c>
      <c r="R27" s="445">
        <v>32547</v>
      </c>
      <c r="S27" s="446">
        <v>14.309500000000002</v>
      </c>
      <c r="T27" s="446">
        <v>11.2194</v>
      </c>
      <c r="U27" s="450">
        <v>3.0900999999999996</v>
      </c>
      <c r="V27" s="448">
        <f t="shared" ref="V27:CA27" si="21">SUM(V23:V26)</f>
        <v>0</v>
      </c>
      <c r="W27" s="445">
        <f t="shared" si="21"/>
        <v>0</v>
      </c>
      <c r="X27" s="445">
        <f t="shared" si="21"/>
        <v>0</v>
      </c>
      <c r="Y27" s="445">
        <f t="shared" si="21"/>
        <v>0</v>
      </c>
      <c r="Z27" s="445">
        <f t="shared" si="21"/>
        <v>0</v>
      </c>
      <c r="AA27" s="445">
        <f t="shared" si="21"/>
        <v>245194</v>
      </c>
      <c r="AB27" s="445">
        <f t="shared" si="21"/>
        <v>0</v>
      </c>
      <c r="AC27" s="445">
        <f t="shared" si="21"/>
        <v>0</v>
      </c>
      <c r="AD27" s="445">
        <f t="shared" si="21"/>
        <v>0</v>
      </c>
      <c r="AE27" s="445">
        <f t="shared" si="21"/>
        <v>245194</v>
      </c>
      <c r="AF27" s="445">
        <f t="shared" si="21"/>
        <v>245194</v>
      </c>
      <c r="AG27" s="445">
        <f t="shared" si="21"/>
        <v>0</v>
      </c>
      <c r="AH27" s="445">
        <f t="shared" si="21"/>
        <v>0</v>
      </c>
      <c r="AI27" s="445">
        <f t="shared" si="21"/>
        <v>0</v>
      </c>
      <c r="AJ27" s="445">
        <f t="shared" si="21"/>
        <v>0</v>
      </c>
      <c r="AK27" s="445">
        <f t="shared" si="21"/>
        <v>0</v>
      </c>
      <c r="AL27" s="445">
        <f t="shared" si="21"/>
        <v>0</v>
      </c>
      <c r="AM27" s="445">
        <f t="shared" si="21"/>
        <v>0</v>
      </c>
      <c r="AN27" s="445">
        <f t="shared" si="21"/>
        <v>0</v>
      </c>
      <c r="AO27" s="445">
        <f t="shared" si="21"/>
        <v>0</v>
      </c>
      <c r="AP27" s="445">
        <f t="shared" si="21"/>
        <v>245194</v>
      </c>
      <c r="AQ27" s="445">
        <f t="shared" si="21"/>
        <v>245194</v>
      </c>
      <c r="AR27" s="445">
        <f t="shared" si="21"/>
        <v>82876</v>
      </c>
      <c r="AS27" s="445">
        <f t="shared" si="21"/>
        <v>2452</v>
      </c>
      <c r="AT27" s="445">
        <f t="shared" si="21"/>
        <v>0</v>
      </c>
      <c r="AU27" s="445">
        <f t="shared" si="21"/>
        <v>1445</v>
      </c>
      <c r="AV27" s="445">
        <f t="shared" si="21"/>
        <v>1445</v>
      </c>
      <c r="AW27" s="445">
        <f t="shared" si="21"/>
        <v>331967</v>
      </c>
      <c r="AX27" s="446">
        <f t="shared" si="21"/>
        <v>0</v>
      </c>
      <c r="AY27" s="446">
        <f t="shared" si="21"/>
        <v>0</v>
      </c>
      <c r="AZ27" s="446">
        <f t="shared" si="21"/>
        <v>0</v>
      </c>
      <c r="BA27" s="446">
        <f t="shared" si="21"/>
        <v>0</v>
      </c>
      <c r="BB27" s="446">
        <f t="shared" si="21"/>
        <v>0.74</v>
      </c>
      <c r="BC27" s="948">
        <f t="shared" si="21"/>
        <v>0</v>
      </c>
      <c r="BD27" s="446">
        <f t="shared" si="21"/>
        <v>0</v>
      </c>
      <c r="BE27" s="446">
        <f t="shared" si="21"/>
        <v>0</v>
      </c>
      <c r="BF27" s="446">
        <f t="shared" si="21"/>
        <v>0</v>
      </c>
      <c r="BG27" s="446">
        <f t="shared" si="21"/>
        <v>0.74</v>
      </c>
      <c r="BH27" s="39">
        <f t="shared" si="21"/>
        <v>0.74</v>
      </c>
      <c r="BI27" s="452">
        <f t="shared" si="21"/>
        <v>10235964</v>
      </c>
      <c r="BJ27" s="445">
        <f t="shared" si="21"/>
        <v>7568227</v>
      </c>
      <c r="BK27" s="445">
        <f t="shared" si="21"/>
        <v>6356523</v>
      </c>
      <c r="BL27" s="445">
        <f t="shared" si="21"/>
        <v>1211704</v>
      </c>
      <c r="BM27" s="445">
        <f t="shared" si="21"/>
        <v>0</v>
      </c>
      <c r="BN27" s="445">
        <f t="shared" si="21"/>
        <v>0</v>
      </c>
      <c r="BO27" s="445">
        <f t="shared" si="21"/>
        <v>0</v>
      </c>
      <c r="BP27" s="445">
        <f t="shared" si="21"/>
        <v>2558062</v>
      </c>
      <c r="BQ27" s="445">
        <f t="shared" si="21"/>
        <v>75683</v>
      </c>
      <c r="BR27" s="445">
        <f t="shared" si="21"/>
        <v>33992</v>
      </c>
      <c r="BS27" s="446">
        <f t="shared" si="21"/>
        <v>15.049500000000002</v>
      </c>
      <c r="BT27" s="446">
        <f t="shared" si="21"/>
        <v>11.2194</v>
      </c>
      <c r="BU27" s="39">
        <f t="shared" si="21"/>
        <v>3.8300999999999998</v>
      </c>
      <c r="BV27" s="833">
        <f t="shared" si="21"/>
        <v>0</v>
      </c>
      <c r="BW27" s="715">
        <f t="shared" si="21"/>
        <v>0</v>
      </c>
      <c r="BX27" s="715">
        <f t="shared" si="21"/>
        <v>0</v>
      </c>
      <c r="BY27" s="715">
        <f t="shared" si="21"/>
        <v>0</v>
      </c>
      <c r="BZ27" s="715">
        <f t="shared" si="21"/>
        <v>0</v>
      </c>
      <c r="CA27" s="834">
        <f t="shared" si="21"/>
        <v>0</v>
      </c>
    </row>
    <row r="28" spans="1:79" s="221" customFormat="1" x14ac:dyDescent="0.2">
      <c r="A28" s="209">
        <v>5</v>
      </c>
      <c r="B28" s="210">
        <v>4492</v>
      </c>
      <c r="C28" s="210">
        <v>650065221</v>
      </c>
      <c r="D28" s="210">
        <v>71173838</v>
      </c>
      <c r="E28" s="208" t="s">
        <v>154</v>
      </c>
      <c r="F28" s="210">
        <v>3111</v>
      </c>
      <c r="G28" s="165" t="s">
        <v>290</v>
      </c>
      <c r="H28" s="626" t="s">
        <v>271</v>
      </c>
      <c r="I28" s="511">
        <v>8249547</v>
      </c>
      <c r="J28" s="415">
        <v>6100035</v>
      </c>
      <c r="K28" s="415">
        <v>5500592</v>
      </c>
      <c r="L28" s="415">
        <v>599443</v>
      </c>
      <c r="M28" s="415">
        <v>0</v>
      </c>
      <c r="N28" s="415">
        <v>0</v>
      </c>
      <c r="O28" s="415">
        <v>0</v>
      </c>
      <c r="P28" s="68">
        <v>2061812</v>
      </c>
      <c r="Q28" s="68">
        <v>61000</v>
      </c>
      <c r="R28" s="415">
        <v>26700</v>
      </c>
      <c r="S28" s="416">
        <v>11.020199999999999</v>
      </c>
      <c r="T28" s="417">
        <v>9</v>
      </c>
      <c r="U28" s="423">
        <v>2.0202</v>
      </c>
      <c r="V28" s="424">
        <f t="shared" ref="V28:W30" si="22">AG28*-1</f>
        <v>0</v>
      </c>
      <c r="W28" s="418">
        <f t="shared" si="22"/>
        <v>0</v>
      </c>
      <c r="X28" s="418">
        <v>0</v>
      </c>
      <c r="Y28" s="418">
        <v>0</v>
      </c>
      <c r="Z28" s="418">
        <v>0</v>
      </c>
      <c r="AA28" s="415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ref="AO28:AP30" si="23">AD28+AL28</f>
        <v>0</v>
      </c>
      <c r="AP28" s="418">
        <f t="shared" si="23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5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6">
        <v>0</v>
      </c>
      <c r="BC28" s="93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780">
        <f>I28+AW28</f>
        <v>8249547</v>
      </c>
      <c r="BJ28" s="418">
        <f>J28+AF28</f>
        <v>6100035</v>
      </c>
      <c r="BK28" s="418">
        <f t="shared" ref="BK28:BL30" si="24">K28+AD28</f>
        <v>5500592</v>
      </c>
      <c r="BL28" s="418">
        <f t="shared" si="24"/>
        <v>599443</v>
      </c>
      <c r="BM28" s="418">
        <f>M28+AN28</f>
        <v>0</v>
      </c>
      <c r="BN28" s="418">
        <f t="shared" ref="BN28:BO30" si="25">N28+AL28</f>
        <v>0</v>
      </c>
      <c r="BO28" s="418">
        <f t="shared" si="25"/>
        <v>0</v>
      </c>
      <c r="BP28" s="418">
        <f t="shared" ref="BP28:BQ30" si="26">P28+AR28</f>
        <v>2061812</v>
      </c>
      <c r="BQ28" s="418">
        <f t="shared" si="26"/>
        <v>61000</v>
      </c>
      <c r="BR28" s="418">
        <f>R28+AV28</f>
        <v>26700</v>
      </c>
      <c r="BS28" s="419">
        <f>S28+BH28</f>
        <v>11.020199999999999</v>
      </c>
      <c r="BT28" s="419">
        <f t="shared" ref="BT28:BU30" si="27">T28+BF28</f>
        <v>9</v>
      </c>
      <c r="BU28" s="421">
        <f t="shared" si="27"/>
        <v>2.0202</v>
      </c>
      <c r="BV28" s="420"/>
      <c r="BW28" s="415"/>
      <c r="BX28" s="415"/>
      <c r="BY28" s="415"/>
      <c r="BZ28" s="415"/>
      <c r="CA28" s="510"/>
    </row>
    <row r="29" spans="1:79" s="221" customFormat="1" x14ac:dyDescent="0.2">
      <c r="A29" s="209">
        <v>5</v>
      </c>
      <c r="B29" s="210">
        <v>4492</v>
      </c>
      <c r="C29" s="210">
        <v>650065221</v>
      </c>
      <c r="D29" s="210">
        <v>71173838</v>
      </c>
      <c r="E29" s="208" t="s">
        <v>154</v>
      </c>
      <c r="F29" s="210">
        <v>3111</v>
      </c>
      <c r="G29" s="165" t="s">
        <v>291</v>
      </c>
      <c r="H29" s="626" t="s">
        <v>272</v>
      </c>
      <c r="I29" s="511">
        <v>1249600</v>
      </c>
      <c r="J29" s="415">
        <v>927003</v>
      </c>
      <c r="K29" s="415">
        <v>927003</v>
      </c>
      <c r="L29" s="415">
        <v>0</v>
      </c>
      <c r="M29" s="415">
        <v>0</v>
      </c>
      <c r="N29" s="415">
        <v>0</v>
      </c>
      <c r="O29" s="415">
        <v>0</v>
      </c>
      <c r="P29" s="68">
        <v>313327</v>
      </c>
      <c r="Q29" s="68">
        <v>9270</v>
      </c>
      <c r="R29" s="415">
        <v>0</v>
      </c>
      <c r="S29" s="416">
        <v>2.5</v>
      </c>
      <c r="T29" s="417">
        <v>2.5</v>
      </c>
      <c r="U29" s="423">
        <v>0</v>
      </c>
      <c r="V29" s="424">
        <f t="shared" si="22"/>
        <v>0</v>
      </c>
      <c r="W29" s="418">
        <f t="shared" si="22"/>
        <v>0</v>
      </c>
      <c r="X29" s="418">
        <v>0</v>
      </c>
      <c r="Y29" s="418">
        <v>0</v>
      </c>
      <c r="Z29" s="418">
        <v>0</v>
      </c>
      <c r="AA29" s="415">
        <v>0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0</v>
      </c>
      <c r="AF29" s="418">
        <f>SUM(AD29:AE29)</f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 t="shared" si="23"/>
        <v>0</v>
      </c>
      <c r="AP29" s="418">
        <f t="shared" si="23"/>
        <v>0</v>
      </c>
      <c r="AQ29" s="418">
        <f>SUM(AO29:AP29)</f>
        <v>0</v>
      </c>
      <c r="AR29" s="68">
        <f>ROUND((AF29+AG29+AH29+AI29)*33.8%,0)</f>
        <v>0</v>
      </c>
      <c r="AS29" s="68">
        <f>ROUND(AF29*1%,0)</f>
        <v>0</v>
      </c>
      <c r="AT29" s="418">
        <v>0</v>
      </c>
      <c r="AU29" s="415">
        <v>0</v>
      </c>
      <c r="AV29" s="418">
        <f>AT29+AU29</f>
        <v>0</v>
      </c>
      <c r="AW29" s="418">
        <f>AQ29+AR29+AS29+AV29</f>
        <v>0</v>
      </c>
      <c r="AX29" s="419">
        <v>0</v>
      </c>
      <c r="AY29" s="419">
        <v>0</v>
      </c>
      <c r="AZ29" s="419">
        <v>0</v>
      </c>
      <c r="BA29" s="419">
        <v>0</v>
      </c>
      <c r="BB29" s="416">
        <v>0</v>
      </c>
      <c r="BC29" s="93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</v>
      </c>
      <c r="BH29" s="421">
        <f>SUM(BF29:BG29)</f>
        <v>0</v>
      </c>
      <c r="BI29" s="780">
        <f>I29+AW29</f>
        <v>1249600</v>
      </c>
      <c r="BJ29" s="418">
        <f>J29+AF29</f>
        <v>927003</v>
      </c>
      <c r="BK29" s="418">
        <f t="shared" si="24"/>
        <v>927003</v>
      </c>
      <c r="BL29" s="418">
        <f t="shared" si="24"/>
        <v>0</v>
      </c>
      <c r="BM29" s="418">
        <f>M29+AN29</f>
        <v>0</v>
      </c>
      <c r="BN29" s="418">
        <f t="shared" si="25"/>
        <v>0</v>
      </c>
      <c r="BO29" s="418">
        <f t="shared" si="25"/>
        <v>0</v>
      </c>
      <c r="BP29" s="418">
        <f t="shared" si="26"/>
        <v>313327</v>
      </c>
      <c r="BQ29" s="418">
        <f t="shared" si="26"/>
        <v>9270</v>
      </c>
      <c r="BR29" s="418">
        <f>R29+AV29</f>
        <v>0</v>
      </c>
      <c r="BS29" s="419">
        <f>S29+BH29</f>
        <v>2.5</v>
      </c>
      <c r="BT29" s="419">
        <f t="shared" si="27"/>
        <v>2.5</v>
      </c>
      <c r="BU29" s="421">
        <f t="shared" si="27"/>
        <v>0</v>
      </c>
      <c r="BV29" s="420"/>
      <c r="BW29" s="415"/>
      <c r="BX29" s="415"/>
      <c r="BY29" s="415"/>
      <c r="BZ29" s="415"/>
      <c r="CA29" s="510"/>
    </row>
    <row r="30" spans="1:79" s="221" customFormat="1" x14ac:dyDescent="0.2">
      <c r="A30" s="209">
        <v>5</v>
      </c>
      <c r="B30" s="210">
        <v>4492</v>
      </c>
      <c r="C30" s="210">
        <v>650065221</v>
      </c>
      <c r="D30" s="210">
        <v>71173838</v>
      </c>
      <c r="E30" s="208" t="s">
        <v>154</v>
      </c>
      <c r="F30" s="210">
        <v>3141</v>
      </c>
      <c r="G30" s="165" t="s">
        <v>294</v>
      </c>
      <c r="H30" s="626" t="s">
        <v>272</v>
      </c>
      <c r="I30" s="511">
        <v>692416</v>
      </c>
      <c r="J30" s="415">
        <v>511325</v>
      </c>
      <c r="K30" s="415">
        <v>0</v>
      </c>
      <c r="L30" s="415">
        <v>511325</v>
      </c>
      <c r="M30" s="415">
        <v>0</v>
      </c>
      <c r="N30" s="415">
        <v>0</v>
      </c>
      <c r="O30" s="415">
        <v>0</v>
      </c>
      <c r="P30" s="68">
        <v>172828</v>
      </c>
      <c r="Q30" s="68">
        <v>5113</v>
      </c>
      <c r="R30" s="415">
        <v>3150</v>
      </c>
      <c r="S30" s="416">
        <v>1.53</v>
      </c>
      <c r="T30" s="417">
        <v>0</v>
      </c>
      <c r="U30" s="423">
        <v>1.53</v>
      </c>
      <c r="V30" s="424">
        <f t="shared" si="22"/>
        <v>0</v>
      </c>
      <c r="W30" s="418">
        <f t="shared" si="22"/>
        <v>0</v>
      </c>
      <c r="X30" s="418">
        <v>0</v>
      </c>
      <c r="Y30" s="418">
        <v>0</v>
      </c>
      <c r="Z30" s="418">
        <v>0</v>
      </c>
      <c r="AA30" s="605">
        <v>255037</v>
      </c>
      <c r="AB30" s="418">
        <v>0</v>
      </c>
      <c r="AC30" s="418">
        <v>0</v>
      </c>
      <c r="AD30" s="418">
        <f>V30+X30+Y30+Z30+AB30</f>
        <v>0</v>
      </c>
      <c r="AE30" s="418">
        <f>W30+AA30+AC30</f>
        <v>255037</v>
      </c>
      <c r="AF30" s="418">
        <f>SUM(AD30:AE30)</f>
        <v>255037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>AG30+AI30+AJ30</f>
        <v>0</v>
      </c>
      <c r="AM30" s="418">
        <f>AH30+AK30</f>
        <v>0</v>
      </c>
      <c r="AN30" s="418">
        <f>SUM(AL30:AM30)</f>
        <v>0</v>
      </c>
      <c r="AO30" s="418">
        <f t="shared" si="23"/>
        <v>0</v>
      </c>
      <c r="AP30" s="418">
        <f t="shared" si="23"/>
        <v>255037</v>
      </c>
      <c r="AQ30" s="418">
        <f>SUM(AO30:AP30)</f>
        <v>255037</v>
      </c>
      <c r="AR30" s="68">
        <f>ROUND((AF30+AG30+AH30+AI30)*33.8%,0)</f>
        <v>86203</v>
      </c>
      <c r="AS30" s="68">
        <f>ROUND(AF30*1%,0)</f>
        <v>2550</v>
      </c>
      <c r="AT30" s="418">
        <v>0</v>
      </c>
      <c r="AU30" s="605">
        <v>1530</v>
      </c>
      <c r="AV30" s="418">
        <f>AT30+AU30</f>
        <v>1530</v>
      </c>
      <c r="AW30" s="418">
        <f>AQ30+AR30+AS30+AV30</f>
        <v>345320</v>
      </c>
      <c r="AX30" s="419">
        <v>0</v>
      </c>
      <c r="AY30" s="419">
        <v>0</v>
      </c>
      <c r="AZ30" s="419">
        <v>0</v>
      </c>
      <c r="BA30" s="419">
        <v>0</v>
      </c>
      <c r="BB30" s="607">
        <v>0.77</v>
      </c>
      <c r="BC30" s="939">
        <v>0</v>
      </c>
      <c r="BD30" s="419">
        <v>0</v>
      </c>
      <c r="BE30" s="419">
        <v>0</v>
      </c>
      <c r="BF30" s="419">
        <f>AX30+AZ30+BA30+BC30+BD30</f>
        <v>0</v>
      </c>
      <c r="BG30" s="419">
        <f>AY30+BB30+BE30</f>
        <v>0.77</v>
      </c>
      <c r="BH30" s="421">
        <f>SUM(BF30:BG30)</f>
        <v>0.77</v>
      </c>
      <c r="BI30" s="780">
        <f>I30+AW30</f>
        <v>1037736</v>
      </c>
      <c r="BJ30" s="418">
        <f>J30+AF30</f>
        <v>766362</v>
      </c>
      <c r="BK30" s="418">
        <f t="shared" si="24"/>
        <v>0</v>
      </c>
      <c r="BL30" s="418">
        <f t="shared" si="24"/>
        <v>766362</v>
      </c>
      <c r="BM30" s="418">
        <f>M30+AN30</f>
        <v>0</v>
      </c>
      <c r="BN30" s="418">
        <f t="shared" si="25"/>
        <v>0</v>
      </c>
      <c r="BO30" s="418">
        <f t="shared" si="25"/>
        <v>0</v>
      </c>
      <c r="BP30" s="418">
        <f t="shared" si="26"/>
        <v>259031</v>
      </c>
      <c r="BQ30" s="418">
        <f t="shared" si="26"/>
        <v>7663</v>
      </c>
      <c r="BR30" s="418">
        <f>R30+AV30</f>
        <v>4680</v>
      </c>
      <c r="BS30" s="419">
        <f>S30+BH30</f>
        <v>2.2999999999999998</v>
      </c>
      <c r="BT30" s="419">
        <f t="shared" si="27"/>
        <v>0</v>
      </c>
      <c r="BU30" s="421">
        <f t="shared" si="27"/>
        <v>2.2999999999999998</v>
      </c>
      <c r="BV30" s="420"/>
      <c r="BW30" s="415"/>
      <c r="BX30" s="415"/>
      <c r="BY30" s="415"/>
      <c r="BZ30" s="415"/>
      <c r="CA30" s="510"/>
    </row>
    <row r="31" spans="1:79" s="221" customFormat="1" x14ac:dyDescent="0.2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13"/>
      <c r="I31" s="452">
        <v>10191563</v>
      </c>
      <c r="J31" s="445">
        <v>7538363</v>
      </c>
      <c r="K31" s="445">
        <v>6427595</v>
      </c>
      <c r="L31" s="445">
        <v>1110768</v>
      </c>
      <c r="M31" s="445">
        <v>0</v>
      </c>
      <c r="N31" s="445">
        <v>0</v>
      </c>
      <c r="O31" s="445">
        <v>0</v>
      </c>
      <c r="P31" s="445">
        <v>2547967</v>
      </c>
      <c r="Q31" s="445">
        <v>75383</v>
      </c>
      <c r="R31" s="445">
        <v>29850</v>
      </c>
      <c r="S31" s="446">
        <v>15.050199999999998</v>
      </c>
      <c r="T31" s="446">
        <v>11.5</v>
      </c>
      <c r="U31" s="450">
        <v>3.5502000000000002</v>
      </c>
      <c r="V31" s="448">
        <f t="shared" ref="V31:CA31" si="28">SUM(V28:V30)</f>
        <v>0</v>
      </c>
      <c r="W31" s="445">
        <f t="shared" si="28"/>
        <v>0</v>
      </c>
      <c r="X31" s="445">
        <f t="shared" si="28"/>
        <v>0</v>
      </c>
      <c r="Y31" s="445">
        <f t="shared" si="28"/>
        <v>0</v>
      </c>
      <c r="Z31" s="445">
        <f t="shared" si="28"/>
        <v>0</v>
      </c>
      <c r="AA31" s="445">
        <f t="shared" si="28"/>
        <v>255037</v>
      </c>
      <c r="AB31" s="445">
        <f t="shared" si="28"/>
        <v>0</v>
      </c>
      <c r="AC31" s="445">
        <f t="shared" si="28"/>
        <v>0</v>
      </c>
      <c r="AD31" s="445">
        <f t="shared" si="28"/>
        <v>0</v>
      </c>
      <c r="AE31" s="445">
        <f t="shared" si="28"/>
        <v>255037</v>
      </c>
      <c r="AF31" s="445">
        <f t="shared" si="28"/>
        <v>255037</v>
      </c>
      <c r="AG31" s="445">
        <f t="shared" si="28"/>
        <v>0</v>
      </c>
      <c r="AH31" s="445">
        <f t="shared" si="28"/>
        <v>0</v>
      </c>
      <c r="AI31" s="445">
        <f t="shared" si="28"/>
        <v>0</v>
      </c>
      <c r="AJ31" s="445">
        <f t="shared" si="28"/>
        <v>0</v>
      </c>
      <c r="AK31" s="445">
        <f t="shared" si="28"/>
        <v>0</v>
      </c>
      <c r="AL31" s="445">
        <f t="shared" si="28"/>
        <v>0</v>
      </c>
      <c r="AM31" s="445">
        <f t="shared" si="28"/>
        <v>0</v>
      </c>
      <c r="AN31" s="445">
        <f t="shared" si="28"/>
        <v>0</v>
      </c>
      <c r="AO31" s="445">
        <f t="shared" si="28"/>
        <v>0</v>
      </c>
      <c r="AP31" s="445">
        <f t="shared" si="28"/>
        <v>255037</v>
      </c>
      <c r="AQ31" s="445">
        <f t="shared" si="28"/>
        <v>255037</v>
      </c>
      <c r="AR31" s="445">
        <f t="shared" si="28"/>
        <v>86203</v>
      </c>
      <c r="AS31" s="445">
        <f t="shared" si="28"/>
        <v>2550</v>
      </c>
      <c r="AT31" s="445">
        <f t="shared" si="28"/>
        <v>0</v>
      </c>
      <c r="AU31" s="445">
        <f t="shared" si="28"/>
        <v>1530</v>
      </c>
      <c r="AV31" s="445">
        <f t="shared" si="28"/>
        <v>1530</v>
      </c>
      <c r="AW31" s="445">
        <f t="shared" si="28"/>
        <v>345320</v>
      </c>
      <c r="AX31" s="446">
        <f t="shared" si="28"/>
        <v>0</v>
      </c>
      <c r="AY31" s="446">
        <f t="shared" si="28"/>
        <v>0</v>
      </c>
      <c r="AZ31" s="446">
        <f t="shared" si="28"/>
        <v>0</v>
      </c>
      <c r="BA31" s="446">
        <f t="shared" si="28"/>
        <v>0</v>
      </c>
      <c r="BB31" s="446">
        <f t="shared" si="28"/>
        <v>0.77</v>
      </c>
      <c r="BC31" s="948">
        <f t="shared" si="28"/>
        <v>0</v>
      </c>
      <c r="BD31" s="446">
        <f t="shared" si="28"/>
        <v>0</v>
      </c>
      <c r="BE31" s="446">
        <f t="shared" si="28"/>
        <v>0</v>
      </c>
      <c r="BF31" s="446">
        <f t="shared" si="28"/>
        <v>0</v>
      </c>
      <c r="BG31" s="446">
        <f t="shared" si="28"/>
        <v>0.77</v>
      </c>
      <c r="BH31" s="39">
        <f t="shared" si="28"/>
        <v>0.77</v>
      </c>
      <c r="BI31" s="452">
        <f t="shared" si="28"/>
        <v>10536883</v>
      </c>
      <c r="BJ31" s="445">
        <f t="shared" si="28"/>
        <v>7793400</v>
      </c>
      <c r="BK31" s="445">
        <f t="shared" si="28"/>
        <v>6427595</v>
      </c>
      <c r="BL31" s="445">
        <f t="shared" si="28"/>
        <v>1365805</v>
      </c>
      <c r="BM31" s="445">
        <f t="shared" si="28"/>
        <v>0</v>
      </c>
      <c r="BN31" s="445">
        <f t="shared" si="28"/>
        <v>0</v>
      </c>
      <c r="BO31" s="445">
        <f t="shared" si="28"/>
        <v>0</v>
      </c>
      <c r="BP31" s="445">
        <f t="shared" si="28"/>
        <v>2634170</v>
      </c>
      <c r="BQ31" s="445">
        <f t="shared" si="28"/>
        <v>77933</v>
      </c>
      <c r="BR31" s="445">
        <f t="shared" si="28"/>
        <v>31380</v>
      </c>
      <c r="BS31" s="446">
        <f t="shared" si="28"/>
        <v>15.8202</v>
      </c>
      <c r="BT31" s="446">
        <f t="shared" si="28"/>
        <v>11.5</v>
      </c>
      <c r="BU31" s="39">
        <f t="shared" si="28"/>
        <v>4.3201999999999998</v>
      </c>
      <c r="BV31" s="833">
        <f t="shared" si="28"/>
        <v>0</v>
      </c>
      <c r="BW31" s="715">
        <f t="shared" si="28"/>
        <v>0</v>
      </c>
      <c r="BX31" s="715">
        <f t="shared" si="28"/>
        <v>0</v>
      </c>
      <c r="BY31" s="715">
        <f t="shared" si="28"/>
        <v>0</v>
      </c>
      <c r="BZ31" s="715">
        <f t="shared" si="28"/>
        <v>0</v>
      </c>
      <c r="CA31" s="834">
        <f t="shared" si="28"/>
        <v>0</v>
      </c>
    </row>
    <row r="32" spans="1:79" s="221" customFormat="1" x14ac:dyDescent="0.2">
      <c r="A32" s="209">
        <v>6</v>
      </c>
      <c r="B32" s="210">
        <v>4408</v>
      </c>
      <c r="C32" s="210">
        <v>600074528</v>
      </c>
      <c r="D32" s="210">
        <v>70982163</v>
      </c>
      <c r="E32" s="208" t="s">
        <v>156</v>
      </c>
      <c r="F32" s="210">
        <v>3111</v>
      </c>
      <c r="G32" s="165" t="s">
        <v>290</v>
      </c>
      <c r="H32" s="626" t="s">
        <v>271</v>
      </c>
      <c r="I32" s="511">
        <v>11169149</v>
      </c>
      <c r="J32" s="415">
        <v>8239722</v>
      </c>
      <c r="K32" s="415">
        <v>7562258</v>
      </c>
      <c r="L32" s="415">
        <v>677464</v>
      </c>
      <c r="M32" s="415">
        <v>20000</v>
      </c>
      <c r="N32" s="415">
        <v>10000</v>
      </c>
      <c r="O32" s="415">
        <v>10000</v>
      </c>
      <c r="P32" s="68">
        <v>2791786</v>
      </c>
      <c r="Q32" s="68">
        <v>82397</v>
      </c>
      <c r="R32" s="415">
        <v>35244</v>
      </c>
      <c r="S32" s="416">
        <v>15.093500000000001</v>
      </c>
      <c r="T32" s="417">
        <v>12.74</v>
      </c>
      <c r="U32" s="423">
        <v>2.3534999999999999</v>
      </c>
      <c r="V32" s="424">
        <f t="shared" ref="V32:W34" si="29">AG32*-1</f>
        <v>0</v>
      </c>
      <c r="W32" s="418">
        <f t="shared" si="29"/>
        <v>0</v>
      </c>
      <c r="X32" s="418">
        <v>0</v>
      </c>
      <c r="Y32" s="418">
        <v>0</v>
      </c>
      <c r="Z32" s="418">
        <v>0</v>
      </c>
      <c r="AA32" s="415">
        <v>0</v>
      </c>
      <c r="AB32" s="418">
        <v>0</v>
      </c>
      <c r="AC32" s="418">
        <v>0</v>
      </c>
      <c r="AD32" s="418">
        <f>V32+X32+Y32+Z32+AB32</f>
        <v>0</v>
      </c>
      <c r="AE32" s="418">
        <f>W32+AA32+AC32</f>
        <v>0</v>
      </c>
      <c r="AF32" s="418">
        <f>SUM(AD32:AE32)</f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ref="AO32:AP34" si="30">AD32+AL32</f>
        <v>0</v>
      </c>
      <c r="AP32" s="418">
        <f t="shared" si="30"/>
        <v>0</v>
      </c>
      <c r="AQ32" s="418">
        <f>SUM(AO32:AP32)</f>
        <v>0</v>
      </c>
      <c r="AR32" s="68">
        <f>ROUND((AF32+AG32+AH32+AI32)*33.8%,0)</f>
        <v>0</v>
      </c>
      <c r="AS32" s="68">
        <f>ROUND(AF32*1%,0)</f>
        <v>0</v>
      </c>
      <c r="AT32" s="418">
        <v>0</v>
      </c>
      <c r="AU32" s="415">
        <v>0</v>
      </c>
      <c r="AV32" s="418">
        <f>AT32+AU32</f>
        <v>0</v>
      </c>
      <c r="AW32" s="418">
        <f>AQ32+AR32+AS32+AV32</f>
        <v>0</v>
      </c>
      <c r="AX32" s="419">
        <v>0</v>
      </c>
      <c r="AY32" s="419">
        <v>0</v>
      </c>
      <c r="AZ32" s="419">
        <v>0</v>
      </c>
      <c r="BA32" s="419">
        <v>0</v>
      </c>
      <c r="BB32" s="416">
        <v>0</v>
      </c>
      <c r="BC32" s="939">
        <v>0</v>
      </c>
      <c r="BD32" s="419">
        <v>0</v>
      </c>
      <c r="BE32" s="419">
        <v>0</v>
      </c>
      <c r="BF32" s="419">
        <f>AX32+AZ32+BA32+BC32+BD32</f>
        <v>0</v>
      </c>
      <c r="BG32" s="419">
        <f>AY32+BB32+BE32</f>
        <v>0</v>
      </c>
      <c r="BH32" s="421">
        <f>SUM(BF32:BG32)</f>
        <v>0</v>
      </c>
      <c r="BI32" s="780">
        <f>I32+AW32</f>
        <v>11169149</v>
      </c>
      <c r="BJ32" s="418">
        <f>J32+AF32</f>
        <v>8239722</v>
      </c>
      <c r="BK32" s="418">
        <f t="shared" ref="BK32:BL34" si="31">K32+AD32</f>
        <v>7562258</v>
      </c>
      <c r="BL32" s="418">
        <f t="shared" si="31"/>
        <v>677464</v>
      </c>
      <c r="BM32" s="418">
        <f>M32+AN32</f>
        <v>20000</v>
      </c>
      <c r="BN32" s="418">
        <f t="shared" ref="BN32:BO34" si="32">N32+AL32</f>
        <v>10000</v>
      </c>
      <c r="BO32" s="418">
        <f t="shared" si="32"/>
        <v>10000</v>
      </c>
      <c r="BP32" s="418">
        <f t="shared" ref="BP32:BQ34" si="33">P32+AR32</f>
        <v>2791786</v>
      </c>
      <c r="BQ32" s="418">
        <f t="shared" si="33"/>
        <v>82397</v>
      </c>
      <c r="BR32" s="418">
        <f>R32+AV32</f>
        <v>35244</v>
      </c>
      <c r="BS32" s="419">
        <f>S32+BH32</f>
        <v>15.093500000000001</v>
      </c>
      <c r="BT32" s="419">
        <f t="shared" ref="BT32:BU34" si="34">T32+BF32</f>
        <v>12.74</v>
      </c>
      <c r="BU32" s="421">
        <f t="shared" si="34"/>
        <v>2.3534999999999999</v>
      </c>
      <c r="BV32" s="420"/>
      <c r="BW32" s="415"/>
      <c r="BX32" s="415"/>
      <c r="BY32" s="415"/>
      <c r="BZ32" s="415"/>
      <c r="CA32" s="510"/>
    </row>
    <row r="33" spans="1:79" s="221" customFormat="1" x14ac:dyDescent="0.2">
      <c r="A33" s="209">
        <v>6</v>
      </c>
      <c r="B33" s="210">
        <v>4408</v>
      </c>
      <c r="C33" s="210">
        <v>600074528</v>
      </c>
      <c r="D33" s="210">
        <v>70982163</v>
      </c>
      <c r="E33" s="208" t="s">
        <v>156</v>
      </c>
      <c r="F33" s="210">
        <v>3111</v>
      </c>
      <c r="G33" s="165" t="s">
        <v>291</v>
      </c>
      <c r="H33" s="626" t="s">
        <v>272</v>
      </c>
      <c r="I33" s="511">
        <v>683116</v>
      </c>
      <c r="J33" s="415">
        <v>506762</v>
      </c>
      <c r="K33" s="415">
        <v>506762</v>
      </c>
      <c r="L33" s="415">
        <v>0</v>
      </c>
      <c r="M33" s="415">
        <v>0</v>
      </c>
      <c r="N33" s="415">
        <v>0</v>
      </c>
      <c r="O33" s="415">
        <v>0</v>
      </c>
      <c r="P33" s="68">
        <v>171286</v>
      </c>
      <c r="Q33" s="68">
        <v>5068</v>
      </c>
      <c r="R33" s="415">
        <v>0</v>
      </c>
      <c r="S33" s="416">
        <v>1.5</v>
      </c>
      <c r="T33" s="417">
        <v>1.5</v>
      </c>
      <c r="U33" s="423">
        <v>0</v>
      </c>
      <c r="V33" s="424">
        <f t="shared" si="29"/>
        <v>0</v>
      </c>
      <c r="W33" s="418">
        <f t="shared" si="29"/>
        <v>0</v>
      </c>
      <c r="X33" s="418">
        <v>0</v>
      </c>
      <c r="Y33" s="418">
        <v>0</v>
      </c>
      <c r="Z33" s="418">
        <v>0</v>
      </c>
      <c r="AA33" s="415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418">
        <f>SUM(AD33:AE33)</f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si="30"/>
        <v>0</v>
      </c>
      <c r="AP33" s="418">
        <f t="shared" si="30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5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6">
        <v>0</v>
      </c>
      <c r="BC33" s="93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421">
        <f>SUM(BF33:BG33)</f>
        <v>0</v>
      </c>
      <c r="BI33" s="780">
        <f>I33+AW33</f>
        <v>683116</v>
      </c>
      <c r="BJ33" s="418">
        <f>J33+AF33</f>
        <v>506762</v>
      </c>
      <c r="BK33" s="418">
        <f t="shared" si="31"/>
        <v>506762</v>
      </c>
      <c r="BL33" s="418">
        <f t="shared" si="31"/>
        <v>0</v>
      </c>
      <c r="BM33" s="418">
        <f>M33+AN33</f>
        <v>0</v>
      </c>
      <c r="BN33" s="418">
        <f t="shared" si="32"/>
        <v>0</v>
      </c>
      <c r="BO33" s="418">
        <f t="shared" si="32"/>
        <v>0</v>
      </c>
      <c r="BP33" s="418">
        <f t="shared" si="33"/>
        <v>171286</v>
      </c>
      <c r="BQ33" s="418">
        <f t="shared" si="33"/>
        <v>5068</v>
      </c>
      <c r="BR33" s="418">
        <f>R33+AV33</f>
        <v>0</v>
      </c>
      <c r="BS33" s="419">
        <f>S33+BH33</f>
        <v>1.5</v>
      </c>
      <c r="BT33" s="419">
        <f t="shared" si="34"/>
        <v>1.5</v>
      </c>
      <c r="BU33" s="421">
        <f t="shared" si="34"/>
        <v>0</v>
      </c>
      <c r="BV33" s="420"/>
      <c r="BW33" s="415"/>
      <c r="BX33" s="415"/>
      <c r="BY33" s="415"/>
      <c r="BZ33" s="415"/>
      <c r="CA33" s="510"/>
    </row>
    <row r="34" spans="1:79" s="221" customFormat="1" x14ac:dyDescent="0.2">
      <c r="A34" s="209">
        <v>6</v>
      </c>
      <c r="B34" s="210">
        <v>4408</v>
      </c>
      <c r="C34" s="210">
        <v>600074528</v>
      </c>
      <c r="D34" s="210">
        <v>70982163</v>
      </c>
      <c r="E34" s="208" t="s">
        <v>156</v>
      </c>
      <c r="F34" s="210">
        <v>3141</v>
      </c>
      <c r="G34" s="165" t="s">
        <v>294</v>
      </c>
      <c r="H34" s="626" t="s">
        <v>272</v>
      </c>
      <c r="I34" s="511">
        <v>918517</v>
      </c>
      <c r="J34" s="415">
        <v>668065</v>
      </c>
      <c r="K34" s="415">
        <v>0</v>
      </c>
      <c r="L34" s="415">
        <v>668065</v>
      </c>
      <c r="M34" s="415">
        <v>10000</v>
      </c>
      <c r="N34" s="415">
        <v>0</v>
      </c>
      <c r="O34" s="415">
        <v>10000</v>
      </c>
      <c r="P34" s="68">
        <v>229186</v>
      </c>
      <c r="Q34" s="68">
        <v>6681</v>
      </c>
      <c r="R34" s="415">
        <v>4585</v>
      </c>
      <c r="S34" s="416">
        <v>2.0299999999999998</v>
      </c>
      <c r="T34" s="417">
        <v>0</v>
      </c>
      <c r="U34" s="423">
        <v>2.0299999999999998</v>
      </c>
      <c r="V34" s="424">
        <f t="shared" si="29"/>
        <v>0</v>
      </c>
      <c r="W34" s="418">
        <f t="shared" si="29"/>
        <v>0</v>
      </c>
      <c r="X34" s="418">
        <v>0</v>
      </c>
      <c r="Y34" s="418">
        <v>0</v>
      </c>
      <c r="Z34" s="418">
        <v>0</v>
      </c>
      <c r="AA34" s="605">
        <v>339592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339592</v>
      </c>
      <c r="AF34" s="418">
        <f>SUM(AD34:AE34)</f>
        <v>339592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30"/>
        <v>0</v>
      </c>
      <c r="AP34" s="418">
        <f t="shared" si="30"/>
        <v>339592</v>
      </c>
      <c r="AQ34" s="418">
        <f>SUM(AO34:AP34)</f>
        <v>339592</v>
      </c>
      <c r="AR34" s="68">
        <f>ROUND((AF34+AG34+AH34+AI34)*33.8%,0)</f>
        <v>114782</v>
      </c>
      <c r="AS34" s="68">
        <f>ROUND(AF34*1%,0)</f>
        <v>3396</v>
      </c>
      <c r="AT34" s="418">
        <v>0</v>
      </c>
      <c r="AU34" s="605">
        <v>2227</v>
      </c>
      <c r="AV34" s="418">
        <f>AT34+AU34</f>
        <v>2227</v>
      </c>
      <c r="AW34" s="418">
        <f>AQ34+AR34+AS34+AV34</f>
        <v>459997</v>
      </c>
      <c r="AX34" s="419">
        <v>0</v>
      </c>
      <c r="AY34" s="419">
        <v>0</v>
      </c>
      <c r="AZ34" s="419">
        <v>0</v>
      </c>
      <c r="BA34" s="419">
        <v>0</v>
      </c>
      <c r="BB34" s="607">
        <v>1.02</v>
      </c>
      <c r="BC34" s="93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1.02</v>
      </c>
      <c r="BH34" s="421">
        <f>SUM(BF34:BG34)</f>
        <v>1.02</v>
      </c>
      <c r="BI34" s="780">
        <f>I34+AW34</f>
        <v>1378514</v>
      </c>
      <c r="BJ34" s="418">
        <f>J34+AF34</f>
        <v>1007657</v>
      </c>
      <c r="BK34" s="418">
        <f t="shared" si="31"/>
        <v>0</v>
      </c>
      <c r="BL34" s="418">
        <f t="shared" si="31"/>
        <v>1007657</v>
      </c>
      <c r="BM34" s="418">
        <f>M34+AN34</f>
        <v>10000</v>
      </c>
      <c r="BN34" s="418">
        <f t="shared" si="32"/>
        <v>0</v>
      </c>
      <c r="BO34" s="418">
        <f t="shared" si="32"/>
        <v>10000</v>
      </c>
      <c r="BP34" s="418">
        <f t="shared" si="33"/>
        <v>343968</v>
      </c>
      <c r="BQ34" s="418">
        <f t="shared" si="33"/>
        <v>10077</v>
      </c>
      <c r="BR34" s="418">
        <f>R34+AV34</f>
        <v>6812</v>
      </c>
      <c r="BS34" s="419">
        <f>S34+BH34</f>
        <v>3.05</v>
      </c>
      <c r="BT34" s="419">
        <f t="shared" si="34"/>
        <v>0</v>
      </c>
      <c r="BU34" s="421">
        <f t="shared" si="34"/>
        <v>3.05</v>
      </c>
      <c r="BV34" s="420"/>
      <c r="BW34" s="415"/>
      <c r="BX34" s="415"/>
      <c r="BY34" s="415"/>
      <c r="BZ34" s="415"/>
      <c r="CA34" s="510"/>
    </row>
    <row r="35" spans="1:79" s="221" customFormat="1" x14ac:dyDescent="0.2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13"/>
      <c r="I35" s="452">
        <v>12770782</v>
      </c>
      <c r="J35" s="445">
        <v>9414549</v>
      </c>
      <c r="K35" s="445">
        <v>8069020</v>
      </c>
      <c r="L35" s="445">
        <v>1345529</v>
      </c>
      <c r="M35" s="445">
        <v>30000</v>
      </c>
      <c r="N35" s="445">
        <v>10000</v>
      </c>
      <c r="O35" s="445">
        <v>20000</v>
      </c>
      <c r="P35" s="445">
        <v>3192258</v>
      </c>
      <c r="Q35" s="445">
        <v>94146</v>
      </c>
      <c r="R35" s="445">
        <v>39829</v>
      </c>
      <c r="S35" s="446">
        <v>18.6235</v>
      </c>
      <c r="T35" s="446">
        <v>14.24</v>
      </c>
      <c r="U35" s="450">
        <v>4.3834999999999997</v>
      </c>
      <c r="V35" s="448">
        <f t="shared" ref="V35:CA35" si="35">SUM(V32:V34)</f>
        <v>0</v>
      </c>
      <c r="W35" s="445">
        <f t="shared" si="35"/>
        <v>0</v>
      </c>
      <c r="X35" s="445">
        <f t="shared" si="35"/>
        <v>0</v>
      </c>
      <c r="Y35" s="445">
        <f t="shared" si="35"/>
        <v>0</v>
      </c>
      <c r="Z35" s="445">
        <f t="shared" si="35"/>
        <v>0</v>
      </c>
      <c r="AA35" s="445">
        <f t="shared" si="35"/>
        <v>339592</v>
      </c>
      <c r="AB35" s="445">
        <f t="shared" si="35"/>
        <v>0</v>
      </c>
      <c r="AC35" s="445">
        <f t="shared" si="35"/>
        <v>0</v>
      </c>
      <c r="AD35" s="445">
        <f t="shared" si="35"/>
        <v>0</v>
      </c>
      <c r="AE35" s="445">
        <f t="shared" si="35"/>
        <v>339592</v>
      </c>
      <c r="AF35" s="445">
        <f t="shared" si="35"/>
        <v>339592</v>
      </c>
      <c r="AG35" s="445">
        <f t="shared" si="35"/>
        <v>0</v>
      </c>
      <c r="AH35" s="445">
        <f t="shared" si="35"/>
        <v>0</v>
      </c>
      <c r="AI35" s="445">
        <f t="shared" si="35"/>
        <v>0</v>
      </c>
      <c r="AJ35" s="445">
        <f t="shared" si="35"/>
        <v>0</v>
      </c>
      <c r="AK35" s="445">
        <f t="shared" si="35"/>
        <v>0</v>
      </c>
      <c r="AL35" s="445">
        <f t="shared" si="35"/>
        <v>0</v>
      </c>
      <c r="AM35" s="445">
        <f t="shared" si="35"/>
        <v>0</v>
      </c>
      <c r="AN35" s="445">
        <f t="shared" si="35"/>
        <v>0</v>
      </c>
      <c r="AO35" s="445">
        <f t="shared" si="35"/>
        <v>0</v>
      </c>
      <c r="AP35" s="445">
        <f t="shared" si="35"/>
        <v>339592</v>
      </c>
      <c r="AQ35" s="445">
        <f t="shared" si="35"/>
        <v>339592</v>
      </c>
      <c r="AR35" s="445">
        <f t="shared" si="35"/>
        <v>114782</v>
      </c>
      <c r="AS35" s="445">
        <f t="shared" si="35"/>
        <v>3396</v>
      </c>
      <c r="AT35" s="445">
        <f t="shared" si="35"/>
        <v>0</v>
      </c>
      <c r="AU35" s="445">
        <f t="shared" si="35"/>
        <v>2227</v>
      </c>
      <c r="AV35" s="445">
        <f t="shared" si="35"/>
        <v>2227</v>
      </c>
      <c r="AW35" s="445">
        <f t="shared" si="35"/>
        <v>459997</v>
      </c>
      <c r="AX35" s="446">
        <f t="shared" si="35"/>
        <v>0</v>
      </c>
      <c r="AY35" s="446">
        <f t="shared" si="35"/>
        <v>0</v>
      </c>
      <c r="AZ35" s="446">
        <f t="shared" si="35"/>
        <v>0</v>
      </c>
      <c r="BA35" s="446">
        <f t="shared" si="35"/>
        <v>0</v>
      </c>
      <c r="BB35" s="446">
        <f t="shared" si="35"/>
        <v>1.02</v>
      </c>
      <c r="BC35" s="948">
        <f t="shared" si="35"/>
        <v>0</v>
      </c>
      <c r="BD35" s="446">
        <f t="shared" si="35"/>
        <v>0</v>
      </c>
      <c r="BE35" s="446">
        <f t="shared" si="35"/>
        <v>0</v>
      </c>
      <c r="BF35" s="446">
        <f t="shared" si="35"/>
        <v>0</v>
      </c>
      <c r="BG35" s="446">
        <f t="shared" si="35"/>
        <v>1.02</v>
      </c>
      <c r="BH35" s="39">
        <f t="shared" si="35"/>
        <v>1.02</v>
      </c>
      <c r="BI35" s="452">
        <f t="shared" si="35"/>
        <v>13230779</v>
      </c>
      <c r="BJ35" s="445">
        <f t="shared" si="35"/>
        <v>9754141</v>
      </c>
      <c r="BK35" s="445">
        <f t="shared" si="35"/>
        <v>8069020</v>
      </c>
      <c r="BL35" s="445">
        <f t="shared" si="35"/>
        <v>1685121</v>
      </c>
      <c r="BM35" s="445">
        <f t="shared" si="35"/>
        <v>30000</v>
      </c>
      <c r="BN35" s="445">
        <f t="shared" si="35"/>
        <v>10000</v>
      </c>
      <c r="BO35" s="445">
        <f t="shared" si="35"/>
        <v>20000</v>
      </c>
      <c r="BP35" s="445">
        <f t="shared" si="35"/>
        <v>3307040</v>
      </c>
      <c r="BQ35" s="445">
        <f t="shared" si="35"/>
        <v>97542</v>
      </c>
      <c r="BR35" s="445">
        <f t="shared" si="35"/>
        <v>42056</v>
      </c>
      <c r="BS35" s="446">
        <f t="shared" si="35"/>
        <v>19.6435</v>
      </c>
      <c r="BT35" s="446">
        <f t="shared" si="35"/>
        <v>14.24</v>
      </c>
      <c r="BU35" s="39">
        <f t="shared" si="35"/>
        <v>5.4034999999999993</v>
      </c>
      <c r="BV35" s="833">
        <f t="shared" si="35"/>
        <v>0</v>
      </c>
      <c r="BW35" s="715">
        <f t="shared" si="35"/>
        <v>0</v>
      </c>
      <c r="BX35" s="715">
        <f t="shared" si="35"/>
        <v>0</v>
      </c>
      <c r="BY35" s="715">
        <f t="shared" si="35"/>
        <v>0</v>
      </c>
      <c r="BZ35" s="715">
        <f t="shared" si="35"/>
        <v>0</v>
      </c>
      <c r="CA35" s="834">
        <f t="shared" si="35"/>
        <v>0</v>
      </c>
    </row>
    <row r="36" spans="1:79" s="221" customFormat="1" x14ac:dyDescent="0.2">
      <c r="A36" s="209">
        <v>7</v>
      </c>
      <c r="B36" s="210">
        <v>4423</v>
      </c>
      <c r="C36" s="210">
        <v>600074439</v>
      </c>
      <c r="D36" s="210">
        <v>70982155</v>
      </c>
      <c r="E36" s="208" t="s">
        <v>158</v>
      </c>
      <c r="F36" s="210">
        <v>3111</v>
      </c>
      <c r="G36" s="165" t="s">
        <v>290</v>
      </c>
      <c r="H36" s="626" t="s">
        <v>271</v>
      </c>
      <c r="I36" s="511">
        <v>7253810</v>
      </c>
      <c r="J36" s="415">
        <v>5313313</v>
      </c>
      <c r="K36" s="415">
        <v>4818983</v>
      </c>
      <c r="L36" s="415">
        <v>494330</v>
      </c>
      <c r="M36" s="415">
        <v>50000</v>
      </c>
      <c r="N36" s="415">
        <v>0</v>
      </c>
      <c r="O36" s="415">
        <v>50000</v>
      </c>
      <c r="P36" s="68">
        <v>1812800</v>
      </c>
      <c r="Q36" s="68">
        <v>53133</v>
      </c>
      <c r="R36" s="415">
        <v>24564</v>
      </c>
      <c r="S36" s="416">
        <v>9.6667999999999985</v>
      </c>
      <c r="T36" s="417">
        <v>8</v>
      </c>
      <c r="U36" s="423">
        <v>1.6668000000000001</v>
      </c>
      <c r="V36" s="424">
        <f t="shared" ref="V36:W38" si="36">AG36*-1</f>
        <v>0</v>
      </c>
      <c r="W36" s="418">
        <f t="shared" si="36"/>
        <v>0</v>
      </c>
      <c r="X36" s="418">
        <v>0</v>
      </c>
      <c r="Y36" s="418">
        <v>0</v>
      </c>
      <c r="Z36" s="418">
        <v>0</v>
      </c>
      <c r="AA36" s="415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418">
        <f>SUM(AD36:AE36)</f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ref="AO36:AP38" si="37">AD36+AL36</f>
        <v>0</v>
      </c>
      <c r="AP36" s="418">
        <f t="shared" si="37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5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6">
        <v>0</v>
      </c>
      <c r="BC36" s="93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421">
        <f>SUM(BF36:BG36)</f>
        <v>0</v>
      </c>
      <c r="BI36" s="780">
        <f>I36+AW36</f>
        <v>7253810</v>
      </c>
      <c r="BJ36" s="418">
        <f>J36+AF36</f>
        <v>5313313</v>
      </c>
      <c r="BK36" s="418">
        <f t="shared" ref="BK36:BL38" si="38">K36+AD36</f>
        <v>4818983</v>
      </c>
      <c r="BL36" s="418">
        <f t="shared" si="38"/>
        <v>494330</v>
      </c>
      <c r="BM36" s="418">
        <f>M36+AN36</f>
        <v>50000</v>
      </c>
      <c r="BN36" s="418">
        <f t="shared" ref="BN36:BO38" si="39">N36+AL36</f>
        <v>0</v>
      </c>
      <c r="BO36" s="418">
        <f t="shared" si="39"/>
        <v>50000</v>
      </c>
      <c r="BP36" s="418">
        <f t="shared" ref="BP36:BQ38" si="40">P36+AR36</f>
        <v>1812800</v>
      </c>
      <c r="BQ36" s="418">
        <f t="shared" si="40"/>
        <v>53133</v>
      </c>
      <c r="BR36" s="418">
        <f>R36+AV36</f>
        <v>24564</v>
      </c>
      <c r="BS36" s="419">
        <f>S36+BH36</f>
        <v>9.6667999999999985</v>
      </c>
      <c r="BT36" s="419">
        <f t="shared" ref="BT36:BU38" si="41">T36+BF36</f>
        <v>8</v>
      </c>
      <c r="BU36" s="421">
        <f t="shared" si="41"/>
        <v>1.6668000000000001</v>
      </c>
      <c r="BV36" s="420"/>
      <c r="BW36" s="415"/>
      <c r="BX36" s="415"/>
      <c r="BY36" s="415"/>
      <c r="BZ36" s="415"/>
      <c r="CA36" s="510"/>
    </row>
    <row r="37" spans="1:79" s="221" customFormat="1" x14ac:dyDescent="0.2">
      <c r="A37" s="209">
        <v>7</v>
      </c>
      <c r="B37" s="210">
        <v>4423</v>
      </c>
      <c r="C37" s="210">
        <v>600074439</v>
      </c>
      <c r="D37" s="210">
        <v>70982155</v>
      </c>
      <c r="E37" s="208" t="s">
        <v>158</v>
      </c>
      <c r="F37" s="210">
        <v>3111</v>
      </c>
      <c r="G37" s="165" t="s">
        <v>291</v>
      </c>
      <c r="H37" s="626" t="s">
        <v>272</v>
      </c>
      <c r="I37" s="511">
        <v>374880</v>
      </c>
      <c r="J37" s="415">
        <v>278101</v>
      </c>
      <c r="K37" s="415">
        <v>278101</v>
      </c>
      <c r="L37" s="415">
        <v>0</v>
      </c>
      <c r="M37" s="415">
        <v>0</v>
      </c>
      <c r="N37" s="415">
        <v>0</v>
      </c>
      <c r="O37" s="415">
        <v>0</v>
      </c>
      <c r="P37" s="68">
        <v>93998</v>
      </c>
      <c r="Q37" s="68">
        <v>2781</v>
      </c>
      <c r="R37" s="415">
        <v>0</v>
      </c>
      <c r="S37" s="416">
        <v>0.75</v>
      </c>
      <c r="T37" s="417">
        <v>0.75</v>
      </c>
      <c r="U37" s="423">
        <v>0</v>
      </c>
      <c r="V37" s="424">
        <f t="shared" si="36"/>
        <v>0</v>
      </c>
      <c r="W37" s="418">
        <f t="shared" si="36"/>
        <v>0</v>
      </c>
      <c r="X37" s="418">
        <v>0</v>
      </c>
      <c r="Y37" s="418">
        <v>0</v>
      </c>
      <c r="Z37" s="418">
        <v>0</v>
      </c>
      <c r="AA37" s="415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37"/>
        <v>0</v>
      </c>
      <c r="AP37" s="418">
        <f t="shared" si="37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5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6">
        <v>0</v>
      </c>
      <c r="BC37" s="93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21">
        <f>SUM(BF37:BG37)</f>
        <v>0</v>
      </c>
      <c r="BI37" s="780">
        <f>I37+AW37</f>
        <v>374880</v>
      </c>
      <c r="BJ37" s="418">
        <f>J37+AF37</f>
        <v>278101</v>
      </c>
      <c r="BK37" s="418">
        <f t="shared" si="38"/>
        <v>278101</v>
      </c>
      <c r="BL37" s="418">
        <f t="shared" si="38"/>
        <v>0</v>
      </c>
      <c r="BM37" s="418">
        <f>M37+AN37</f>
        <v>0</v>
      </c>
      <c r="BN37" s="418">
        <f t="shared" si="39"/>
        <v>0</v>
      </c>
      <c r="BO37" s="418">
        <f t="shared" si="39"/>
        <v>0</v>
      </c>
      <c r="BP37" s="418">
        <f t="shared" si="40"/>
        <v>93998</v>
      </c>
      <c r="BQ37" s="418">
        <f t="shared" si="40"/>
        <v>2781</v>
      </c>
      <c r="BR37" s="418">
        <f>R37+AV37</f>
        <v>0</v>
      </c>
      <c r="BS37" s="419">
        <f>S37+BH37</f>
        <v>0.75</v>
      </c>
      <c r="BT37" s="419">
        <f t="shared" si="41"/>
        <v>0.75</v>
      </c>
      <c r="BU37" s="421">
        <f t="shared" si="41"/>
        <v>0</v>
      </c>
      <c r="BV37" s="420"/>
      <c r="BW37" s="415"/>
      <c r="BX37" s="415"/>
      <c r="BY37" s="415"/>
      <c r="BZ37" s="415"/>
      <c r="CA37" s="510"/>
    </row>
    <row r="38" spans="1:79" s="221" customFormat="1" x14ac:dyDescent="0.2">
      <c r="A38" s="209">
        <v>7</v>
      </c>
      <c r="B38" s="210">
        <v>4423</v>
      </c>
      <c r="C38" s="210">
        <v>600074439</v>
      </c>
      <c r="D38" s="210">
        <v>70982155</v>
      </c>
      <c r="E38" s="208" t="s">
        <v>158</v>
      </c>
      <c r="F38" s="210">
        <v>3141</v>
      </c>
      <c r="G38" s="165" t="s">
        <v>294</v>
      </c>
      <c r="H38" s="626" t="s">
        <v>272</v>
      </c>
      <c r="I38" s="511">
        <v>848167</v>
      </c>
      <c r="J38" s="415">
        <v>602942</v>
      </c>
      <c r="K38" s="415">
        <v>0</v>
      </c>
      <c r="L38" s="415">
        <v>602942</v>
      </c>
      <c r="M38" s="415">
        <v>24000</v>
      </c>
      <c r="N38" s="415">
        <v>0</v>
      </c>
      <c r="O38" s="415">
        <v>24000</v>
      </c>
      <c r="P38" s="68">
        <v>211906</v>
      </c>
      <c r="Q38" s="68">
        <v>6029</v>
      </c>
      <c r="R38" s="415">
        <v>3290</v>
      </c>
      <c r="S38" s="416">
        <v>1.7899999999999998</v>
      </c>
      <c r="T38" s="417">
        <v>0</v>
      </c>
      <c r="U38" s="423">
        <v>1.7899999999999998</v>
      </c>
      <c r="V38" s="424">
        <f t="shared" si="36"/>
        <v>0</v>
      </c>
      <c r="W38" s="418">
        <f t="shared" si="36"/>
        <v>0</v>
      </c>
      <c r="X38" s="418">
        <v>0</v>
      </c>
      <c r="Y38" s="418">
        <v>0</v>
      </c>
      <c r="Z38" s="418">
        <v>0</v>
      </c>
      <c r="AA38" s="415">
        <v>313914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313914</v>
      </c>
      <c r="AF38" s="418">
        <f>SUM(AD38:AE38)</f>
        <v>313914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37"/>
        <v>0</v>
      </c>
      <c r="AP38" s="418">
        <f t="shared" si="37"/>
        <v>313914</v>
      </c>
      <c r="AQ38" s="418">
        <f>SUM(AO38:AP38)</f>
        <v>313914</v>
      </c>
      <c r="AR38" s="68">
        <f>ROUND((AF38+AG38+AH38+AI38)*33.8%,0)</f>
        <v>106103</v>
      </c>
      <c r="AS38" s="68">
        <f>ROUND(AF38*1%,0)</f>
        <v>3139</v>
      </c>
      <c r="AT38" s="418">
        <v>0</v>
      </c>
      <c r="AU38" s="415">
        <v>1598</v>
      </c>
      <c r="AV38" s="418">
        <f>AT38+AU38</f>
        <v>1598</v>
      </c>
      <c r="AW38" s="418">
        <f>AQ38+AR38+AS38+AV38</f>
        <v>424754</v>
      </c>
      <c r="AX38" s="419">
        <v>0</v>
      </c>
      <c r="AY38" s="419">
        <v>0</v>
      </c>
      <c r="AZ38" s="419">
        <v>0</v>
      </c>
      <c r="BA38" s="419">
        <v>0</v>
      </c>
      <c r="BB38" s="416">
        <v>0.94000000000000006</v>
      </c>
      <c r="BC38" s="93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0.94000000000000006</v>
      </c>
      <c r="BH38" s="421">
        <f>SUM(BF38:BG38)</f>
        <v>0.94000000000000006</v>
      </c>
      <c r="BI38" s="780">
        <f>I38+AW38</f>
        <v>1272921</v>
      </c>
      <c r="BJ38" s="418">
        <f>J38+AF38</f>
        <v>916856</v>
      </c>
      <c r="BK38" s="418">
        <f t="shared" si="38"/>
        <v>0</v>
      </c>
      <c r="BL38" s="418">
        <f t="shared" si="38"/>
        <v>916856</v>
      </c>
      <c r="BM38" s="418">
        <f>M38+AN38</f>
        <v>24000</v>
      </c>
      <c r="BN38" s="418">
        <f t="shared" si="39"/>
        <v>0</v>
      </c>
      <c r="BO38" s="418">
        <f t="shared" si="39"/>
        <v>24000</v>
      </c>
      <c r="BP38" s="418">
        <f t="shared" si="40"/>
        <v>318009</v>
      </c>
      <c r="BQ38" s="418">
        <f t="shared" si="40"/>
        <v>9168</v>
      </c>
      <c r="BR38" s="418">
        <f>R38+AV38</f>
        <v>4888</v>
      </c>
      <c r="BS38" s="419">
        <f>S38+BH38</f>
        <v>2.73</v>
      </c>
      <c r="BT38" s="419">
        <f t="shared" si="41"/>
        <v>0</v>
      </c>
      <c r="BU38" s="421">
        <f t="shared" si="41"/>
        <v>2.73</v>
      </c>
      <c r="BV38" s="420"/>
      <c r="BW38" s="415"/>
      <c r="BX38" s="415"/>
      <c r="BY38" s="415"/>
      <c r="BZ38" s="415"/>
      <c r="CA38" s="510"/>
    </row>
    <row r="39" spans="1:79" s="221" customFormat="1" x14ac:dyDescent="0.2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13"/>
      <c r="I39" s="452">
        <v>8476857</v>
      </c>
      <c r="J39" s="445">
        <v>6194356</v>
      </c>
      <c r="K39" s="445">
        <v>5097084</v>
      </c>
      <c r="L39" s="445">
        <v>1097272</v>
      </c>
      <c r="M39" s="445">
        <v>74000</v>
      </c>
      <c r="N39" s="445">
        <v>0</v>
      </c>
      <c r="O39" s="445">
        <v>74000</v>
      </c>
      <c r="P39" s="445">
        <v>2118704</v>
      </c>
      <c r="Q39" s="445">
        <v>61943</v>
      </c>
      <c r="R39" s="445">
        <v>27854</v>
      </c>
      <c r="S39" s="446">
        <v>12.206799999999998</v>
      </c>
      <c r="T39" s="446">
        <v>8.75</v>
      </c>
      <c r="U39" s="450">
        <v>3.4567999999999999</v>
      </c>
      <c r="V39" s="448">
        <f t="shared" ref="V39:CA39" si="42">SUM(V36:V38)</f>
        <v>0</v>
      </c>
      <c r="W39" s="445">
        <f t="shared" si="42"/>
        <v>0</v>
      </c>
      <c r="X39" s="445">
        <f t="shared" si="42"/>
        <v>0</v>
      </c>
      <c r="Y39" s="445">
        <f t="shared" si="42"/>
        <v>0</v>
      </c>
      <c r="Z39" s="445">
        <f t="shared" si="42"/>
        <v>0</v>
      </c>
      <c r="AA39" s="445">
        <f t="shared" si="42"/>
        <v>313914</v>
      </c>
      <c r="AB39" s="445">
        <f t="shared" si="42"/>
        <v>0</v>
      </c>
      <c r="AC39" s="445">
        <f t="shared" si="42"/>
        <v>0</v>
      </c>
      <c r="AD39" s="445">
        <f t="shared" si="42"/>
        <v>0</v>
      </c>
      <c r="AE39" s="445">
        <f t="shared" si="42"/>
        <v>313914</v>
      </c>
      <c r="AF39" s="445">
        <f t="shared" si="42"/>
        <v>313914</v>
      </c>
      <c r="AG39" s="445">
        <f t="shared" si="42"/>
        <v>0</v>
      </c>
      <c r="AH39" s="445">
        <f t="shared" si="42"/>
        <v>0</v>
      </c>
      <c r="AI39" s="445">
        <f t="shared" si="42"/>
        <v>0</v>
      </c>
      <c r="AJ39" s="445">
        <f t="shared" si="42"/>
        <v>0</v>
      </c>
      <c r="AK39" s="445">
        <f t="shared" si="42"/>
        <v>0</v>
      </c>
      <c r="AL39" s="445">
        <f t="shared" si="42"/>
        <v>0</v>
      </c>
      <c r="AM39" s="445">
        <f t="shared" si="42"/>
        <v>0</v>
      </c>
      <c r="AN39" s="445">
        <f t="shared" si="42"/>
        <v>0</v>
      </c>
      <c r="AO39" s="445">
        <f t="shared" si="42"/>
        <v>0</v>
      </c>
      <c r="AP39" s="445">
        <f t="shared" si="42"/>
        <v>313914</v>
      </c>
      <c r="AQ39" s="445">
        <f t="shared" si="42"/>
        <v>313914</v>
      </c>
      <c r="AR39" s="445">
        <f t="shared" si="42"/>
        <v>106103</v>
      </c>
      <c r="AS39" s="445">
        <f t="shared" si="42"/>
        <v>3139</v>
      </c>
      <c r="AT39" s="445">
        <f t="shared" si="42"/>
        <v>0</v>
      </c>
      <c r="AU39" s="445">
        <f t="shared" si="42"/>
        <v>1598</v>
      </c>
      <c r="AV39" s="445">
        <f t="shared" si="42"/>
        <v>1598</v>
      </c>
      <c r="AW39" s="445">
        <f t="shared" si="42"/>
        <v>424754</v>
      </c>
      <c r="AX39" s="446">
        <f t="shared" si="42"/>
        <v>0</v>
      </c>
      <c r="AY39" s="446">
        <f t="shared" si="42"/>
        <v>0</v>
      </c>
      <c r="AZ39" s="446">
        <f t="shared" si="42"/>
        <v>0</v>
      </c>
      <c r="BA39" s="446">
        <f t="shared" si="42"/>
        <v>0</v>
      </c>
      <c r="BB39" s="446">
        <f t="shared" si="42"/>
        <v>0.94000000000000006</v>
      </c>
      <c r="BC39" s="948">
        <f t="shared" si="42"/>
        <v>0</v>
      </c>
      <c r="BD39" s="446">
        <f t="shared" si="42"/>
        <v>0</v>
      </c>
      <c r="BE39" s="446">
        <f t="shared" si="42"/>
        <v>0</v>
      </c>
      <c r="BF39" s="446">
        <f t="shared" si="42"/>
        <v>0</v>
      </c>
      <c r="BG39" s="446">
        <f t="shared" si="42"/>
        <v>0.94000000000000006</v>
      </c>
      <c r="BH39" s="39">
        <f t="shared" si="42"/>
        <v>0.94000000000000006</v>
      </c>
      <c r="BI39" s="452">
        <f t="shared" si="42"/>
        <v>8901611</v>
      </c>
      <c r="BJ39" s="445">
        <f t="shared" si="42"/>
        <v>6508270</v>
      </c>
      <c r="BK39" s="445">
        <f t="shared" si="42"/>
        <v>5097084</v>
      </c>
      <c r="BL39" s="445">
        <f t="shared" si="42"/>
        <v>1411186</v>
      </c>
      <c r="BM39" s="445">
        <f t="shared" si="42"/>
        <v>74000</v>
      </c>
      <c r="BN39" s="445">
        <f t="shared" si="42"/>
        <v>0</v>
      </c>
      <c r="BO39" s="445">
        <f t="shared" si="42"/>
        <v>74000</v>
      </c>
      <c r="BP39" s="445">
        <f t="shared" si="42"/>
        <v>2224807</v>
      </c>
      <c r="BQ39" s="445">
        <f t="shared" si="42"/>
        <v>65082</v>
      </c>
      <c r="BR39" s="445">
        <f t="shared" si="42"/>
        <v>29452</v>
      </c>
      <c r="BS39" s="446">
        <f t="shared" si="42"/>
        <v>13.146799999999999</v>
      </c>
      <c r="BT39" s="446">
        <f t="shared" si="42"/>
        <v>8.75</v>
      </c>
      <c r="BU39" s="39">
        <f t="shared" si="42"/>
        <v>4.3967999999999998</v>
      </c>
      <c r="BV39" s="833">
        <f t="shared" si="42"/>
        <v>0</v>
      </c>
      <c r="BW39" s="715">
        <f t="shared" si="42"/>
        <v>0</v>
      </c>
      <c r="BX39" s="715">
        <f t="shared" si="42"/>
        <v>0</v>
      </c>
      <c r="BY39" s="715">
        <f t="shared" si="42"/>
        <v>0</v>
      </c>
      <c r="BZ39" s="715">
        <f t="shared" si="42"/>
        <v>0</v>
      </c>
      <c r="CA39" s="834">
        <f t="shared" si="42"/>
        <v>0</v>
      </c>
    </row>
    <row r="40" spans="1:79" s="221" customFormat="1" x14ac:dyDescent="0.2">
      <c r="A40" s="209">
        <v>8</v>
      </c>
      <c r="B40" s="210">
        <v>4404</v>
      </c>
      <c r="C40" s="210">
        <v>600074331</v>
      </c>
      <c r="D40" s="210">
        <v>831298</v>
      </c>
      <c r="E40" s="208" t="s">
        <v>160</v>
      </c>
      <c r="F40" s="210">
        <v>3111</v>
      </c>
      <c r="G40" s="165" t="s">
        <v>290</v>
      </c>
      <c r="H40" s="626" t="s">
        <v>271</v>
      </c>
      <c r="I40" s="511">
        <v>21885911</v>
      </c>
      <c r="J40" s="415">
        <v>16181521</v>
      </c>
      <c r="K40" s="415">
        <v>14739372</v>
      </c>
      <c r="L40" s="415">
        <v>1442149</v>
      </c>
      <c r="M40" s="415">
        <v>0</v>
      </c>
      <c r="N40" s="415">
        <v>0</v>
      </c>
      <c r="O40" s="415">
        <v>0</v>
      </c>
      <c r="P40" s="68">
        <v>5469354</v>
      </c>
      <c r="Q40" s="68">
        <v>161815</v>
      </c>
      <c r="R40" s="415">
        <v>73221</v>
      </c>
      <c r="S40" s="416">
        <v>31.073399999999999</v>
      </c>
      <c r="T40" s="417">
        <v>26</v>
      </c>
      <c r="U40" s="423">
        <v>5.0734000000000004</v>
      </c>
      <c r="V40" s="424">
        <f t="shared" ref="V40:W42" si="43">AG40*-1</f>
        <v>0</v>
      </c>
      <c r="W40" s="418">
        <f t="shared" si="43"/>
        <v>0</v>
      </c>
      <c r="X40" s="418">
        <v>0</v>
      </c>
      <c r="Y40" s="418">
        <v>0</v>
      </c>
      <c r="Z40" s="418">
        <v>0</v>
      </c>
      <c r="AA40" s="415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>SUM(AD40:AE40)</f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ref="AO40:AP42" si="44">AD40+AL40</f>
        <v>0</v>
      </c>
      <c r="AP40" s="418">
        <f t="shared" si="44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5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6">
        <v>0</v>
      </c>
      <c r="BC40" s="93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421">
        <f>SUM(BF40:BG40)</f>
        <v>0</v>
      </c>
      <c r="BI40" s="780">
        <f>I40+AW40</f>
        <v>21885911</v>
      </c>
      <c r="BJ40" s="418">
        <f>J40+AF40</f>
        <v>16181521</v>
      </c>
      <c r="BK40" s="418">
        <f t="shared" ref="BK40:BL42" si="45">K40+AD40</f>
        <v>14739372</v>
      </c>
      <c r="BL40" s="418">
        <f t="shared" si="45"/>
        <v>1442149</v>
      </c>
      <c r="BM40" s="418">
        <f>M40+AN40</f>
        <v>0</v>
      </c>
      <c r="BN40" s="418">
        <f t="shared" ref="BN40:BO42" si="46">N40+AL40</f>
        <v>0</v>
      </c>
      <c r="BO40" s="418">
        <f t="shared" si="46"/>
        <v>0</v>
      </c>
      <c r="BP40" s="418">
        <f t="shared" ref="BP40:BQ42" si="47">P40+AR40</f>
        <v>5469354</v>
      </c>
      <c r="BQ40" s="418">
        <f t="shared" si="47"/>
        <v>161815</v>
      </c>
      <c r="BR40" s="418">
        <f>R40+AV40</f>
        <v>73221</v>
      </c>
      <c r="BS40" s="419">
        <f>S40+BH40</f>
        <v>31.073399999999999</v>
      </c>
      <c r="BT40" s="419">
        <f t="shared" ref="BT40:BU42" si="48">T40+BF40</f>
        <v>26</v>
      </c>
      <c r="BU40" s="421">
        <f t="shared" si="48"/>
        <v>5.0734000000000004</v>
      </c>
      <c r="BV40" s="420"/>
      <c r="BW40" s="415"/>
      <c r="BX40" s="415"/>
      <c r="BY40" s="415"/>
      <c r="BZ40" s="415"/>
      <c r="CA40" s="510"/>
    </row>
    <row r="41" spans="1:79" s="221" customFormat="1" x14ac:dyDescent="0.2">
      <c r="A41" s="209">
        <v>8</v>
      </c>
      <c r="B41" s="210">
        <v>4404</v>
      </c>
      <c r="C41" s="210">
        <v>600074331</v>
      </c>
      <c r="D41" s="210">
        <v>831298</v>
      </c>
      <c r="E41" s="208" t="s">
        <v>160</v>
      </c>
      <c r="F41" s="210">
        <v>3111</v>
      </c>
      <c r="G41" s="165" t="s">
        <v>291</v>
      </c>
      <c r="H41" s="626" t="s">
        <v>272</v>
      </c>
      <c r="I41" s="511">
        <v>1538214</v>
      </c>
      <c r="J41" s="415">
        <v>1138178</v>
      </c>
      <c r="K41" s="415">
        <v>1138178</v>
      </c>
      <c r="L41" s="415">
        <v>0</v>
      </c>
      <c r="M41" s="415">
        <v>0</v>
      </c>
      <c r="N41" s="415">
        <v>0</v>
      </c>
      <c r="O41" s="415">
        <v>0</v>
      </c>
      <c r="P41" s="68">
        <v>384704</v>
      </c>
      <c r="Q41" s="68">
        <v>11382</v>
      </c>
      <c r="R41" s="415">
        <v>3950</v>
      </c>
      <c r="S41" s="416">
        <v>3.4</v>
      </c>
      <c r="T41" s="417">
        <v>3.4</v>
      </c>
      <c r="U41" s="423">
        <v>0</v>
      </c>
      <c r="V41" s="424">
        <f t="shared" si="43"/>
        <v>0</v>
      </c>
      <c r="W41" s="418">
        <f t="shared" si="43"/>
        <v>0</v>
      </c>
      <c r="X41" s="418">
        <v>-92701</v>
      </c>
      <c r="Y41" s="418">
        <v>0</v>
      </c>
      <c r="Z41" s="418">
        <v>0</v>
      </c>
      <c r="AA41" s="415">
        <v>0</v>
      </c>
      <c r="AB41" s="418">
        <v>0</v>
      </c>
      <c r="AC41" s="418">
        <v>0</v>
      </c>
      <c r="AD41" s="418">
        <f>V41+X41+Y41+Z41+AB41</f>
        <v>-92701</v>
      </c>
      <c r="AE41" s="418">
        <f>W41+AA41+AC41</f>
        <v>0</v>
      </c>
      <c r="AF41" s="418">
        <f>SUM(AD41:AE41)</f>
        <v>-92701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44"/>
        <v>-92701</v>
      </c>
      <c r="AP41" s="418">
        <f t="shared" si="44"/>
        <v>0</v>
      </c>
      <c r="AQ41" s="418">
        <f>SUM(AO41:AP41)</f>
        <v>-92701</v>
      </c>
      <c r="AR41" s="68">
        <f>ROUND((AF41+AG41+AH41+AI41)*33.8%,0)</f>
        <v>-31333</v>
      </c>
      <c r="AS41" s="68">
        <f>ROUND(AF41*1%,0)</f>
        <v>-927</v>
      </c>
      <c r="AT41" s="418">
        <v>0</v>
      </c>
      <c r="AU41" s="415">
        <v>0</v>
      </c>
      <c r="AV41" s="418">
        <f>AT41+AU41</f>
        <v>0</v>
      </c>
      <c r="AW41" s="418">
        <f>AQ41+AR41+AS41+AV41</f>
        <v>-124961</v>
      </c>
      <c r="AX41" s="419">
        <v>0</v>
      </c>
      <c r="AY41" s="419">
        <v>0</v>
      </c>
      <c r="AZ41" s="419">
        <v>-0.25</v>
      </c>
      <c r="BA41" s="419">
        <v>0</v>
      </c>
      <c r="BB41" s="416">
        <v>0</v>
      </c>
      <c r="BC41" s="939">
        <v>0</v>
      </c>
      <c r="BD41" s="419">
        <v>0</v>
      </c>
      <c r="BE41" s="419">
        <v>0</v>
      </c>
      <c r="BF41" s="419">
        <f>AX41+AZ41+BA41+BC41+BD41</f>
        <v>-0.25</v>
      </c>
      <c r="BG41" s="419">
        <f>AY41+BB41+BE41</f>
        <v>0</v>
      </c>
      <c r="BH41" s="421">
        <f>SUM(BF41:BG41)</f>
        <v>-0.25</v>
      </c>
      <c r="BI41" s="780">
        <f>I41+AW41</f>
        <v>1413253</v>
      </c>
      <c r="BJ41" s="418">
        <f>J41+AF41</f>
        <v>1045477</v>
      </c>
      <c r="BK41" s="418">
        <f t="shared" si="45"/>
        <v>1045477</v>
      </c>
      <c r="BL41" s="418">
        <f t="shared" si="45"/>
        <v>0</v>
      </c>
      <c r="BM41" s="418">
        <f>M41+AN41</f>
        <v>0</v>
      </c>
      <c r="BN41" s="418">
        <f t="shared" si="46"/>
        <v>0</v>
      </c>
      <c r="BO41" s="418">
        <f t="shared" si="46"/>
        <v>0</v>
      </c>
      <c r="BP41" s="418">
        <f t="shared" si="47"/>
        <v>353371</v>
      </c>
      <c r="BQ41" s="418">
        <f t="shared" si="47"/>
        <v>10455</v>
      </c>
      <c r="BR41" s="418">
        <f>R41+AV41</f>
        <v>3950</v>
      </c>
      <c r="BS41" s="419">
        <f>S41+BH41</f>
        <v>3.15</v>
      </c>
      <c r="BT41" s="419">
        <f t="shared" si="48"/>
        <v>3.15</v>
      </c>
      <c r="BU41" s="421">
        <f t="shared" si="48"/>
        <v>0</v>
      </c>
      <c r="BV41" s="420"/>
      <c r="BW41" s="415"/>
      <c r="BX41" s="415"/>
      <c r="BY41" s="415"/>
      <c r="BZ41" s="415"/>
      <c r="CA41" s="510"/>
    </row>
    <row r="42" spans="1:79" s="221" customFormat="1" x14ac:dyDescent="0.2">
      <c r="A42" s="209">
        <v>8</v>
      </c>
      <c r="B42" s="210">
        <v>4404</v>
      </c>
      <c r="C42" s="210">
        <v>600074331</v>
      </c>
      <c r="D42" s="210">
        <v>831298</v>
      </c>
      <c r="E42" s="208" t="s">
        <v>160</v>
      </c>
      <c r="F42" s="210">
        <v>3141</v>
      </c>
      <c r="G42" s="165" t="s">
        <v>294</v>
      </c>
      <c r="H42" s="626" t="s">
        <v>272</v>
      </c>
      <c r="I42" s="511">
        <v>2196903</v>
      </c>
      <c r="J42" s="415">
        <v>1622948</v>
      </c>
      <c r="K42" s="415">
        <v>0</v>
      </c>
      <c r="L42" s="415">
        <v>1622948</v>
      </c>
      <c r="M42" s="415">
        <v>0</v>
      </c>
      <c r="N42" s="415">
        <v>0</v>
      </c>
      <c r="O42" s="415">
        <v>0</v>
      </c>
      <c r="P42" s="68">
        <v>548556</v>
      </c>
      <c r="Q42" s="68">
        <v>16229</v>
      </c>
      <c r="R42" s="415">
        <v>9170</v>
      </c>
      <c r="S42" s="416">
        <v>4.87</v>
      </c>
      <c r="T42" s="417">
        <v>0</v>
      </c>
      <c r="U42" s="423">
        <v>4.87</v>
      </c>
      <c r="V42" s="424">
        <f t="shared" si="43"/>
        <v>0</v>
      </c>
      <c r="W42" s="418">
        <f t="shared" si="43"/>
        <v>0</v>
      </c>
      <c r="X42" s="418">
        <v>0</v>
      </c>
      <c r="Y42" s="418">
        <v>0</v>
      </c>
      <c r="Z42" s="418">
        <v>0</v>
      </c>
      <c r="AA42" s="415">
        <v>814092</v>
      </c>
      <c r="AB42" s="418">
        <v>0</v>
      </c>
      <c r="AC42" s="418">
        <v>0</v>
      </c>
      <c r="AD42" s="418">
        <f>V42+X42+Y42+Z42+AB42</f>
        <v>0</v>
      </c>
      <c r="AE42" s="418">
        <f>W42+AA42+AC42</f>
        <v>814092</v>
      </c>
      <c r="AF42" s="418">
        <f>SUM(AD42:AE42)</f>
        <v>814092</v>
      </c>
      <c r="AG42" s="418">
        <v>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0</v>
      </c>
      <c r="AM42" s="418">
        <f>AH42+AK42</f>
        <v>0</v>
      </c>
      <c r="AN42" s="418">
        <f>SUM(AL42:AM42)</f>
        <v>0</v>
      </c>
      <c r="AO42" s="418">
        <f t="shared" si="44"/>
        <v>0</v>
      </c>
      <c r="AP42" s="418">
        <f t="shared" si="44"/>
        <v>814092</v>
      </c>
      <c r="AQ42" s="418">
        <f>SUM(AO42:AP42)</f>
        <v>814092</v>
      </c>
      <c r="AR42" s="68">
        <f>ROUND((AF42+AG42+AH42+AI42)*33.8%,0)</f>
        <v>275163</v>
      </c>
      <c r="AS42" s="68">
        <f>ROUND(AF42*1%,0)</f>
        <v>8141</v>
      </c>
      <c r="AT42" s="418">
        <v>0</v>
      </c>
      <c r="AU42" s="415">
        <v>4454</v>
      </c>
      <c r="AV42" s="418">
        <f>AT42+AU42</f>
        <v>4454</v>
      </c>
      <c r="AW42" s="418">
        <f>AQ42+AR42+AS42+AV42</f>
        <v>1101850</v>
      </c>
      <c r="AX42" s="419">
        <v>0</v>
      </c>
      <c r="AY42" s="419">
        <v>0</v>
      </c>
      <c r="AZ42" s="419">
        <v>0</v>
      </c>
      <c r="BA42" s="419">
        <v>0</v>
      </c>
      <c r="BB42" s="416">
        <v>2.4300000000000002</v>
      </c>
      <c r="BC42" s="939">
        <v>0</v>
      </c>
      <c r="BD42" s="419">
        <v>0</v>
      </c>
      <c r="BE42" s="419">
        <v>0</v>
      </c>
      <c r="BF42" s="419">
        <f>AX42+AZ42+BA42+BC42+BD42</f>
        <v>0</v>
      </c>
      <c r="BG42" s="419">
        <f>AY42+BB42+BE42</f>
        <v>2.4300000000000002</v>
      </c>
      <c r="BH42" s="421">
        <f>SUM(BF42:BG42)</f>
        <v>2.4300000000000002</v>
      </c>
      <c r="BI42" s="780">
        <f>I42+AW42</f>
        <v>3298753</v>
      </c>
      <c r="BJ42" s="418">
        <f>J42+AF42</f>
        <v>2437040</v>
      </c>
      <c r="BK42" s="418">
        <f t="shared" si="45"/>
        <v>0</v>
      </c>
      <c r="BL42" s="418">
        <f t="shared" si="45"/>
        <v>2437040</v>
      </c>
      <c r="BM42" s="418">
        <f>M42+AN42</f>
        <v>0</v>
      </c>
      <c r="BN42" s="418">
        <f t="shared" si="46"/>
        <v>0</v>
      </c>
      <c r="BO42" s="418">
        <f t="shared" si="46"/>
        <v>0</v>
      </c>
      <c r="BP42" s="418">
        <f t="shared" si="47"/>
        <v>823719</v>
      </c>
      <c r="BQ42" s="418">
        <f t="shared" si="47"/>
        <v>24370</v>
      </c>
      <c r="BR42" s="418">
        <f>R42+AV42</f>
        <v>13624</v>
      </c>
      <c r="BS42" s="419">
        <f>S42+BH42</f>
        <v>7.3000000000000007</v>
      </c>
      <c r="BT42" s="419">
        <f t="shared" si="48"/>
        <v>0</v>
      </c>
      <c r="BU42" s="421">
        <f t="shared" si="48"/>
        <v>7.3000000000000007</v>
      </c>
      <c r="BV42" s="420"/>
      <c r="BW42" s="415"/>
      <c r="BX42" s="415"/>
      <c r="BY42" s="415"/>
      <c r="BZ42" s="415"/>
      <c r="CA42" s="510"/>
    </row>
    <row r="43" spans="1:79" s="221" customFormat="1" x14ac:dyDescent="0.2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13"/>
      <c r="I43" s="452">
        <v>25621028</v>
      </c>
      <c r="J43" s="445">
        <v>18942647</v>
      </c>
      <c r="K43" s="445">
        <v>15877550</v>
      </c>
      <c r="L43" s="445">
        <v>3065097</v>
      </c>
      <c r="M43" s="445">
        <v>0</v>
      </c>
      <c r="N43" s="445">
        <v>0</v>
      </c>
      <c r="O43" s="445">
        <v>0</v>
      </c>
      <c r="P43" s="445">
        <v>6402614</v>
      </c>
      <c r="Q43" s="445">
        <v>189426</v>
      </c>
      <c r="R43" s="445">
        <v>86341</v>
      </c>
      <c r="S43" s="446">
        <v>39.343399999999995</v>
      </c>
      <c r="T43" s="446">
        <v>29.4</v>
      </c>
      <c r="U43" s="450">
        <v>9.9434000000000005</v>
      </c>
      <c r="V43" s="448">
        <f t="shared" ref="V43:CA43" si="49">SUM(V40:V42)</f>
        <v>0</v>
      </c>
      <c r="W43" s="445">
        <f t="shared" si="49"/>
        <v>0</v>
      </c>
      <c r="X43" s="445">
        <f t="shared" si="49"/>
        <v>-92701</v>
      </c>
      <c r="Y43" s="445">
        <f t="shared" si="49"/>
        <v>0</v>
      </c>
      <c r="Z43" s="445">
        <f t="shared" si="49"/>
        <v>0</v>
      </c>
      <c r="AA43" s="445">
        <f t="shared" si="49"/>
        <v>814092</v>
      </c>
      <c r="AB43" s="445">
        <f t="shared" si="49"/>
        <v>0</v>
      </c>
      <c r="AC43" s="445">
        <f t="shared" si="49"/>
        <v>0</v>
      </c>
      <c r="AD43" s="445">
        <f t="shared" si="49"/>
        <v>-92701</v>
      </c>
      <c r="AE43" s="445">
        <f t="shared" si="49"/>
        <v>814092</v>
      </c>
      <c r="AF43" s="445">
        <f t="shared" si="49"/>
        <v>721391</v>
      </c>
      <c r="AG43" s="445">
        <f t="shared" si="49"/>
        <v>0</v>
      </c>
      <c r="AH43" s="445">
        <f t="shared" si="49"/>
        <v>0</v>
      </c>
      <c r="AI43" s="445">
        <f t="shared" si="49"/>
        <v>0</v>
      </c>
      <c r="AJ43" s="445">
        <f t="shared" si="49"/>
        <v>0</v>
      </c>
      <c r="AK43" s="445">
        <f t="shared" si="49"/>
        <v>0</v>
      </c>
      <c r="AL43" s="445">
        <f t="shared" si="49"/>
        <v>0</v>
      </c>
      <c r="AM43" s="445">
        <f t="shared" si="49"/>
        <v>0</v>
      </c>
      <c r="AN43" s="445">
        <f t="shared" si="49"/>
        <v>0</v>
      </c>
      <c r="AO43" s="445">
        <f t="shared" si="49"/>
        <v>-92701</v>
      </c>
      <c r="AP43" s="445">
        <f t="shared" si="49"/>
        <v>814092</v>
      </c>
      <c r="AQ43" s="445">
        <f t="shared" si="49"/>
        <v>721391</v>
      </c>
      <c r="AR43" s="445">
        <f t="shared" si="49"/>
        <v>243830</v>
      </c>
      <c r="AS43" s="445">
        <f t="shared" si="49"/>
        <v>7214</v>
      </c>
      <c r="AT43" s="445">
        <f t="shared" si="49"/>
        <v>0</v>
      </c>
      <c r="AU43" s="445">
        <f t="shared" si="49"/>
        <v>4454</v>
      </c>
      <c r="AV43" s="445">
        <f t="shared" si="49"/>
        <v>4454</v>
      </c>
      <c r="AW43" s="445">
        <f t="shared" si="49"/>
        <v>976889</v>
      </c>
      <c r="AX43" s="446">
        <f t="shared" si="49"/>
        <v>0</v>
      </c>
      <c r="AY43" s="446">
        <f t="shared" si="49"/>
        <v>0</v>
      </c>
      <c r="AZ43" s="446">
        <f t="shared" si="49"/>
        <v>-0.25</v>
      </c>
      <c r="BA43" s="446">
        <f t="shared" si="49"/>
        <v>0</v>
      </c>
      <c r="BB43" s="446">
        <f t="shared" si="49"/>
        <v>2.4300000000000002</v>
      </c>
      <c r="BC43" s="948">
        <f t="shared" si="49"/>
        <v>0</v>
      </c>
      <c r="BD43" s="446">
        <f t="shared" si="49"/>
        <v>0</v>
      </c>
      <c r="BE43" s="446">
        <f t="shared" si="49"/>
        <v>0</v>
      </c>
      <c r="BF43" s="446">
        <f t="shared" si="49"/>
        <v>-0.25</v>
      </c>
      <c r="BG43" s="446">
        <f t="shared" si="49"/>
        <v>2.4300000000000002</v>
      </c>
      <c r="BH43" s="39">
        <f t="shared" si="49"/>
        <v>2.1800000000000002</v>
      </c>
      <c r="BI43" s="452">
        <f t="shared" si="49"/>
        <v>26597917</v>
      </c>
      <c r="BJ43" s="445">
        <f t="shared" si="49"/>
        <v>19664038</v>
      </c>
      <c r="BK43" s="445">
        <f t="shared" si="49"/>
        <v>15784849</v>
      </c>
      <c r="BL43" s="445">
        <f t="shared" si="49"/>
        <v>3879189</v>
      </c>
      <c r="BM43" s="445">
        <f t="shared" si="49"/>
        <v>0</v>
      </c>
      <c r="BN43" s="445">
        <f t="shared" si="49"/>
        <v>0</v>
      </c>
      <c r="BO43" s="445">
        <f t="shared" si="49"/>
        <v>0</v>
      </c>
      <c r="BP43" s="445">
        <f t="shared" si="49"/>
        <v>6646444</v>
      </c>
      <c r="BQ43" s="445">
        <f t="shared" si="49"/>
        <v>196640</v>
      </c>
      <c r="BR43" s="445">
        <f t="shared" si="49"/>
        <v>90795</v>
      </c>
      <c r="BS43" s="446">
        <f t="shared" si="49"/>
        <v>41.523399999999995</v>
      </c>
      <c r="BT43" s="446">
        <f t="shared" si="49"/>
        <v>29.15</v>
      </c>
      <c r="BU43" s="39">
        <f t="shared" si="49"/>
        <v>12.3734</v>
      </c>
      <c r="BV43" s="833">
        <f t="shared" si="49"/>
        <v>0</v>
      </c>
      <c r="BW43" s="715">
        <f t="shared" si="49"/>
        <v>0</v>
      </c>
      <c r="BX43" s="715">
        <f t="shared" si="49"/>
        <v>0</v>
      </c>
      <c r="BY43" s="715">
        <f t="shared" si="49"/>
        <v>0</v>
      </c>
      <c r="BZ43" s="715">
        <f t="shared" si="49"/>
        <v>0</v>
      </c>
      <c r="CA43" s="834">
        <f t="shared" si="49"/>
        <v>0</v>
      </c>
    </row>
    <row r="44" spans="1:79" s="221" customFormat="1" x14ac:dyDescent="0.2">
      <c r="A44" s="209">
        <v>9</v>
      </c>
      <c r="B44" s="210">
        <v>4480</v>
      </c>
      <c r="C44" s="210">
        <v>600075249</v>
      </c>
      <c r="D44" s="210">
        <v>49864548</v>
      </c>
      <c r="E44" s="208" t="s">
        <v>162</v>
      </c>
      <c r="F44" s="210">
        <v>3141</v>
      </c>
      <c r="G44" s="165" t="s">
        <v>294</v>
      </c>
      <c r="H44" s="626" t="s">
        <v>272</v>
      </c>
      <c r="I44" s="511">
        <v>2807647</v>
      </c>
      <c r="J44" s="415">
        <v>2067587</v>
      </c>
      <c r="K44" s="415">
        <v>0</v>
      </c>
      <c r="L44" s="415">
        <v>2067587</v>
      </c>
      <c r="M44" s="415">
        <v>0</v>
      </c>
      <c r="N44" s="415">
        <v>0</v>
      </c>
      <c r="O44" s="415">
        <v>0</v>
      </c>
      <c r="P44" s="68">
        <v>698844</v>
      </c>
      <c r="Q44" s="68">
        <v>20676</v>
      </c>
      <c r="R44" s="415">
        <v>20540</v>
      </c>
      <c r="S44" s="416">
        <v>6.1999999999999993</v>
      </c>
      <c r="T44" s="417">
        <v>0</v>
      </c>
      <c r="U44" s="423">
        <v>6.1999999999999993</v>
      </c>
      <c r="V44" s="424">
        <f>AG44*-1</f>
        <v>0</v>
      </c>
      <c r="W44" s="418">
        <f>AH44*-1</f>
        <v>0</v>
      </c>
      <c r="X44" s="418">
        <v>0</v>
      </c>
      <c r="Y44" s="418">
        <v>0</v>
      </c>
      <c r="Z44" s="418">
        <v>0</v>
      </c>
      <c r="AA44" s="605">
        <v>916904</v>
      </c>
      <c r="AB44" s="418">
        <v>0</v>
      </c>
      <c r="AC44" s="418">
        <v>115606</v>
      </c>
      <c r="AD44" s="418">
        <f>V44+X44+Y44+Z44+AB44</f>
        <v>0</v>
      </c>
      <c r="AE44" s="418">
        <f>W44+AA44+AC44</f>
        <v>1032510</v>
      </c>
      <c r="AF44" s="418">
        <f>SUM(AD44:AE44)</f>
        <v>1032510</v>
      </c>
      <c r="AG44" s="418">
        <v>0</v>
      </c>
      <c r="AH44" s="418">
        <v>0</v>
      </c>
      <c r="AI44" s="418">
        <v>0</v>
      </c>
      <c r="AJ44" s="418">
        <v>0</v>
      </c>
      <c r="AK44" s="418">
        <v>0</v>
      </c>
      <c r="AL44" s="418">
        <f>AG44+AI44+AJ44</f>
        <v>0</v>
      </c>
      <c r="AM44" s="418">
        <f>AH44+AK44</f>
        <v>0</v>
      </c>
      <c r="AN44" s="418">
        <f>SUM(AL44:AM44)</f>
        <v>0</v>
      </c>
      <c r="AO44" s="418">
        <f>AD44+AL44</f>
        <v>0</v>
      </c>
      <c r="AP44" s="418">
        <f>AE44+AM44</f>
        <v>1032510</v>
      </c>
      <c r="AQ44" s="418">
        <f>SUM(AO44:AP44)</f>
        <v>1032510</v>
      </c>
      <c r="AR44" s="68">
        <f>ROUND((AF44+AG44+AH44+AI44)*33.8%,0)</f>
        <v>348988</v>
      </c>
      <c r="AS44" s="68">
        <f>ROUND(AF44*1%,0)</f>
        <v>10325</v>
      </c>
      <c r="AT44" s="418">
        <v>0</v>
      </c>
      <c r="AU44" s="605">
        <v>9974</v>
      </c>
      <c r="AV44" s="418">
        <f>AT44+AU44</f>
        <v>9974</v>
      </c>
      <c r="AW44" s="418">
        <f>AQ44+AR44+AS44+AV44</f>
        <v>1401797</v>
      </c>
      <c r="AX44" s="419">
        <v>0</v>
      </c>
      <c r="AY44" s="419">
        <v>0</v>
      </c>
      <c r="AZ44" s="419">
        <v>0</v>
      </c>
      <c r="BA44" s="419">
        <v>0</v>
      </c>
      <c r="BB44" s="607">
        <v>2.75</v>
      </c>
      <c r="BC44" s="939">
        <v>0</v>
      </c>
      <c r="BD44" s="419">
        <v>0</v>
      </c>
      <c r="BE44" s="419">
        <v>0.35</v>
      </c>
      <c r="BF44" s="419">
        <f>AX44+AZ44+BA44+BC44+BD44</f>
        <v>0</v>
      </c>
      <c r="BG44" s="419">
        <f>AY44+BB44+BE44</f>
        <v>3.1</v>
      </c>
      <c r="BH44" s="421">
        <f>SUM(BF44:BG44)</f>
        <v>3.1</v>
      </c>
      <c r="BI44" s="780">
        <f>I44+AW44</f>
        <v>4209444</v>
      </c>
      <c r="BJ44" s="418">
        <f>J44+AF44</f>
        <v>3100097</v>
      </c>
      <c r="BK44" s="418">
        <f>K44+AD44</f>
        <v>0</v>
      </c>
      <c r="BL44" s="418">
        <f>L44+AE44</f>
        <v>3100097</v>
      </c>
      <c r="BM44" s="418">
        <f>M44+AN44</f>
        <v>0</v>
      </c>
      <c r="BN44" s="418">
        <f>N44+AL44</f>
        <v>0</v>
      </c>
      <c r="BO44" s="418">
        <f>O44+AM44</f>
        <v>0</v>
      </c>
      <c r="BP44" s="418">
        <f>P44+AR44</f>
        <v>1047832</v>
      </c>
      <c r="BQ44" s="418">
        <f>Q44+AS44</f>
        <v>31001</v>
      </c>
      <c r="BR44" s="418">
        <f>R44+AV44</f>
        <v>30514</v>
      </c>
      <c r="BS44" s="419">
        <f>S44+BH44</f>
        <v>9.2999999999999989</v>
      </c>
      <c r="BT44" s="419">
        <f>T44+BF44</f>
        <v>0</v>
      </c>
      <c r="BU44" s="421">
        <f>U44+BG44</f>
        <v>9.2999999999999989</v>
      </c>
      <c r="BV44" s="420"/>
      <c r="BW44" s="415"/>
      <c r="BX44" s="415"/>
      <c r="BY44" s="415"/>
      <c r="BZ44" s="415"/>
      <c r="CA44" s="510"/>
    </row>
    <row r="45" spans="1:79" s="221" customFormat="1" x14ac:dyDescent="0.2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13"/>
      <c r="I45" s="452">
        <v>2807647</v>
      </c>
      <c r="J45" s="445">
        <v>2067587</v>
      </c>
      <c r="K45" s="445">
        <v>0</v>
      </c>
      <c r="L45" s="445">
        <v>2067587</v>
      </c>
      <c r="M45" s="445">
        <v>0</v>
      </c>
      <c r="N45" s="445">
        <v>0</v>
      </c>
      <c r="O45" s="445">
        <v>0</v>
      </c>
      <c r="P45" s="445">
        <v>698844</v>
      </c>
      <c r="Q45" s="445">
        <v>20676</v>
      </c>
      <c r="R45" s="445">
        <v>20540</v>
      </c>
      <c r="S45" s="446">
        <v>6.1999999999999993</v>
      </c>
      <c r="T45" s="446">
        <v>0</v>
      </c>
      <c r="U45" s="450">
        <v>6.1999999999999993</v>
      </c>
      <c r="V45" s="448">
        <f t="shared" ref="V45:CA45" si="50">SUM(V44)</f>
        <v>0</v>
      </c>
      <c r="W45" s="445">
        <f t="shared" si="50"/>
        <v>0</v>
      </c>
      <c r="X45" s="445">
        <f t="shared" si="50"/>
        <v>0</v>
      </c>
      <c r="Y45" s="445">
        <f t="shared" si="50"/>
        <v>0</v>
      </c>
      <c r="Z45" s="445">
        <f t="shared" si="50"/>
        <v>0</v>
      </c>
      <c r="AA45" s="445">
        <f t="shared" si="50"/>
        <v>916904</v>
      </c>
      <c r="AB45" s="445">
        <f t="shared" si="50"/>
        <v>0</v>
      </c>
      <c r="AC45" s="445">
        <f t="shared" si="50"/>
        <v>115606</v>
      </c>
      <c r="AD45" s="445">
        <f t="shared" si="50"/>
        <v>0</v>
      </c>
      <c r="AE45" s="445">
        <f t="shared" si="50"/>
        <v>1032510</v>
      </c>
      <c r="AF45" s="445">
        <f t="shared" si="50"/>
        <v>1032510</v>
      </c>
      <c r="AG45" s="445">
        <f t="shared" si="50"/>
        <v>0</v>
      </c>
      <c r="AH45" s="445">
        <f t="shared" si="50"/>
        <v>0</v>
      </c>
      <c r="AI45" s="445">
        <f t="shared" si="50"/>
        <v>0</v>
      </c>
      <c r="AJ45" s="445">
        <f t="shared" si="50"/>
        <v>0</v>
      </c>
      <c r="AK45" s="445">
        <f t="shared" si="50"/>
        <v>0</v>
      </c>
      <c r="AL45" s="445">
        <f t="shared" si="50"/>
        <v>0</v>
      </c>
      <c r="AM45" s="445">
        <f t="shared" si="50"/>
        <v>0</v>
      </c>
      <c r="AN45" s="445">
        <f t="shared" si="50"/>
        <v>0</v>
      </c>
      <c r="AO45" s="445">
        <f t="shared" si="50"/>
        <v>0</v>
      </c>
      <c r="AP45" s="445">
        <f t="shared" si="50"/>
        <v>1032510</v>
      </c>
      <c r="AQ45" s="445">
        <f t="shared" si="50"/>
        <v>1032510</v>
      </c>
      <c r="AR45" s="445">
        <f t="shared" si="50"/>
        <v>348988</v>
      </c>
      <c r="AS45" s="445">
        <f t="shared" si="50"/>
        <v>10325</v>
      </c>
      <c r="AT45" s="445">
        <f t="shared" si="50"/>
        <v>0</v>
      </c>
      <c r="AU45" s="445">
        <f t="shared" si="50"/>
        <v>9974</v>
      </c>
      <c r="AV45" s="445">
        <f t="shared" si="50"/>
        <v>9974</v>
      </c>
      <c r="AW45" s="445">
        <f t="shared" si="50"/>
        <v>1401797</v>
      </c>
      <c r="AX45" s="446">
        <f t="shared" si="50"/>
        <v>0</v>
      </c>
      <c r="AY45" s="446">
        <f t="shared" si="50"/>
        <v>0</v>
      </c>
      <c r="AZ45" s="446">
        <f t="shared" si="50"/>
        <v>0</v>
      </c>
      <c r="BA45" s="446">
        <f t="shared" si="50"/>
        <v>0</v>
      </c>
      <c r="BB45" s="446">
        <f t="shared" si="50"/>
        <v>2.75</v>
      </c>
      <c r="BC45" s="948">
        <f t="shared" si="50"/>
        <v>0</v>
      </c>
      <c r="BD45" s="446">
        <f t="shared" si="50"/>
        <v>0</v>
      </c>
      <c r="BE45" s="446">
        <f t="shared" si="50"/>
        <v>0.35</v>
      </c>
      <c r="BF45" s="446">
        <f t="shared" si="50"/>
        <v>0</v>
      </c>
      <c r="BG45" s="446">
        <f t="shared" si="50"/>
        <v>3.1</v>
      </c>
      <c r="BH45" s="39">
        <f t="shared" si="50"/>
        <v>3.1</v>
      </c>
      <c r="BI45" s="452">
        <f t="shared" si="50"/>
        <v>4209444</v>
      </c>
      <c r="BJ45" s="445">
        <f t="shared" si="50"/>
        <v>3100097</v>
      </c>
      <c r="BK45" s="445">
        <f t="shared" si="50"/>
        <v>0</v>
      </c>
      <c r="BL45" s="445">
        <f t="shared" si="50"/>
        <v>3100097</v>
      </c>
      <c r="BM45" s="445">
        <f t="shared" si="50"/>
        <v>0</v>
      </c>
      <c r="BN45" s="445">
        <f t="shared" si="50"/>
        <v>0</v>
      </c>
      <c r="BO45" s="445">
        <f t="shared" si="50"/>
        <v>0</v>
      </c>
      <c r="BP45" s="445">
        <f t="shared" si="50"/>
        <v>1047832</v>
      </c>
      <c r="BQ45" s="445">
        <f t="shared" si="50"/>
        <v>31001</v>
      </c>
      <c r="BR45" s="445">
        <f t="shared" si="50"/>
        <v>30514</v>
      </c>
      <c r="BS45" s="446">
        <f t="shared" si="50"/>
        <v>9.2999999999999989</v>
      </c>
      <c r="BT45" s="446">
        <f t="shared" si="50"/>
        <v>0</v>
      </c>
      <c r="BU45" s="39">
        <f t="shared" si="50"/>
        <v>9.2999999999999989</v>
      </c>
      <c r="BV45" s="833">
        <f t="shared" si="50"/>
        <v>0</v>
      </c>
      <c r="BW45" s="715">
        <f t="shared" si="50"/>
        <v>0</v>
      </c>
      <c r="BX45" s="715">
        <f t="shared" si="50"/>
        <v>0</v>
      </c>
      <c r="BY45" s="715">
        <f t="shared" si="50"/>
        <v>0</v>
      </c>
      <c r="BZ45" s="715">
        <f t="shared" si="50"/>
        <v>0</v>
      </c>
      <c r="CA45" s="834">
        <f t="shared" si="50"/>
        <v>0</v>
      </c>
    </row>
    <row r="46" spans="1:79" s="221" customFormat="1" x14ac:dyDescent="0.2">
      <c r="A46" s="209">
        <v>10</v>
      </c>
      <c r="B46" s="210">
        <v>4439</v>
      </c>
      <c r="C46" s="210">
        <v>600074951</v>
      </c>
      <c r="D46" s="210">
        <v>48283088</v>
      </c>
      <c r="E46" s="208" t="s">
        <v>164</v>
      </c>
      <c r="F46" s="210">
        <v>3111</v>
      </c>
      <c r="G46" s="165" t="s">
        <v>290</v>
      </c>
      <c r="H46" s="626" t="s">
        <v>271</v>
      </c>
      <c r="I46" s="511">
        <v>4944569</v>
      </c>
      <c r="J46" s="415">
        <v>3654807</v>
      </c>
      <c r="K46" s="415">
        <v>3455103</v>
      </c>
      <c r="L46" s="415">
        <v>199704</v>
      </c>
      <c r="M46" s="415">
        <v>0</v>
      </c>
      <c r="N46" s="415">
        <v>0</v>
      </c>
      <c r="O46" s="415">
        <v>0</v>
      </c>
      <c r="P46" s="68">
        <v>1235325</v>
      </c>
      <c r="Q46" s="68">
        <v>36548</v>
      </c>
      <c r="R46" s="415">
        <v>17889</v>
      </c>
      <c r="S46" s="416">
        <v>6.8001000000000005</v>
      </c>
      <c r="T46" s="417">
        <v>6</v>
      </c>
      <c r="U46" s="423">
        <v>0.80010000000000003</v>
      </c>
      <c r="V46" s="424">
        <f t="shared" ref="V46:W51" si="51">AG46*-1</f>
        <v>0</v>
      </c>
      <c r="W46" s="418">
        <f t="shared" si="51"/>
        <v>0</v>
      </c>
      <c r="X46" s="418">
        <v>0</v>
      </c>
      <c r="Y46" s="418">
        <v>0</v>
      </c>
      <c r="Z46" s="418">
        <v>0</v>
      </c>
      <c r="AA46" s="415">
        <v>0</v>
      </c>
      <c r="AB46" s="418">
        <v>0</v>
      </c>
      <c r="AC46" s="418">
        <v>0</v>
      </c>
      <c r="AD46" s="418">
        <f t="shared" ref="AD46:AD51" si="52">V46+X46+Y46+Z46+AB46</f>
        <v>0</v>
      </c>
      <c r="AE46" s="418">
        <f t="shared" ref="AE46:AE51" si="53">W46+AA46+AC46</f>
        <v>0</v>
      </c>
      <c r="AF46" s="418">
        <f t="shared" ref="AF46:AF51" si="54">SUM(AD46:AE46)</f>
        <v>0</v>
      </c>
      <c r="AG46" s="418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ref="AL46:AL51" si="55">AG46+AI46+AJ46</f>
        <v>0</v>
      </c>
      <c r="AM46" s="418">
        <f t="shared" ref="AM46:AM51" si="56">AH46+AK46</f>
        <v>0</v>
      </c>
      <c r="AN46" s="418">
        <f t="shared" ref="AN46:AN51" si="57">SUM(AL46:AM46)</f>
        <v>0</v>
      </c>
      <c r="AO46" s="418">
        <f t="shared" ref="AO46:AP51" si="58">AD46+AL46</f>
        <v>0</v>
      </c>
      <c r="AP46" s="418">
        <f t="shared" si="58"/>
        <v>0</v>
      </c>
      <c r="AQ46" s="418">
        <f t="shared" ref="AQ46:AQ51" si="59">SUM(AO46:AP46)</f>
        <v>0</v>
      </c>
      <c r="AR46" s="68">
        <f t="shared" ref="AR46:AR51" si="60">ROUND((AF46+AG46+AH46+AI46)*33.8%,0)</f>
        <v>0</v>
      </c>
      <c r="AS46" s="68">
        <f t="shared" ref="AS46:AS51" si="61">ROUND(AF46*1%,0)</f>
        <v>0</v>
      </c>
      <c r="AT46" s="418">
        <v>0</v>
      </c>
      <c r="AU46" s="415">
        <v>0</v>
      </c>
      <c r="AV46" s="418">
        <f t="shared" ref="AV46:AV51" si="62">AT46+AU46</f>
        <v>0</v>
      </c>
      <c r="AW46" s="418">
        <f t="shared" ref="AW46:AW51" si="63">AQ46+AR46+AS46+AV46</f>
        <v>0</v>
      </c>
      <c r="AX46" s="419">
        <v>0</v>
      </c>
      <c r="AY46" s="419">
        <v>0</v>
      </c>
      <c r="AZ46" s="419">
        <v>0</v>
      </c>
      <c r="BA46" s="419">
        <v>0</v>
      </c>
      <c r="BB46" s="416">
        <v>0</v>
      </c>
      <c r="BC46" s="939">
        <v>0</v>
      </c>
      <c r="BD46" s="419">
        <v>0</v>
      </c>
      <c r="BE46" s="419">
        <v>0</v>
      </c>
      <c r="BF46" s="419">
        <f t="shared" ref="BF46:BF51" si="64">AX46+AZ46+BA46+BC46+BD46</f>
        <v>0</v>
      </c>
      <c r="BG46" s="419">
        <f t="shared" ref="BG46:BG51" si="65">AY46+BB46+BE46</f>
        <v>0</v>
      </c>
      <c r="BH46" s="421">
        <f t="shared" ref="BH46:BH51" si="66">SUM(BF46:BG46)</f>
        <v>0</v>
      </c>
      <c r="BI46" s="780">
        <f t="shared" ref="BI46:BI51" si="67">I46+AW46</f>
        <v>4944569</v>
      </c>
      <c r="BJ46" s="418">
        <f t="shared" ref="BJ46:BJ51" si="68">J46+AF46</f>
        <v>3654807</v>
      </c>
      <c r="BK46" s="418">
        <f t="shared" ref="BK46:BL51" si="69">K46+AD46</f>
        <v>3455103</v>
      </c>
      <c r="BL46" s="418">
        <f t="shared" si="69"/>
        <v>199704</v>
      </c>
      <c r="BM46" s="418">
        <f t="shared" ref="BM46:BM51" si="70">M46+AN46</f>
        <v>0</v>
      </c>
      <c r="BN46" s="418">
        <f t="shared" ref="BN46:BO51" si="71">N46+AL46</f>
        <v>0</v>
      </c>
      <c r="BO46" s="418">
        <f t="shared" si="71"/>
        <v>0</v>
      </c>
      <c r="BP46" s="418">
        <f t="shared" ref="BP46:BQ51" si="72">P46+AR46</f>
        <v>1235325</v>
      </c>
      <c r="BQ46" s="418">
        <f t="shared" si="72"/>
        <v>36548</v>
      </c>
      <c r="BR46" s="418">
        <f t="shared" ref="BR46:BR51" si="73">R46+AV46</f>
        <v>17889</v>
      </c>
      <c r="BS46" s="419">
        <f t="shared" ref="BS46:BS51" si="74">S46+BH46</f>
        <v>6.8001000000000005</v>
      </c>
      <c r="BT46" s="419">
        <f t="shared" ref="BT46:BU51" si="75">T46+BF46</f>
        <v>6</v>
      </c>
      <c r="BU46" s="421">
        <f t="shared" si="75"/>
        <v>0.80010000000000003</v>
      </c>
      <c r="BV46" s="420"/>
      <c r="BW46" s="415"/>
      <c r="BX46" s="415"/>
      <c r="BY46" s="415"/>
      <c r="BZ46" s="415"/>
      <c r="CA46" s="510"/>
    </row>
    <row r="47" spans="1:79" s="221" customFormat="1" x14ac:dyDescent="0.2">
      <c r="A47" s="209">
        <v>10</v>
      </c>
      <c r="B47" s="210">
        <v>4439</v>
      </c>
      <c r="C47" s="210">
        <v>600074951</v>
      </c>
      <c r="D47" s="210">
        <v>48283088</v>
      </c>
      <c r="E47" s="208" t="s">
        <v>164</v>
      </c>
      <c r="F47" s="210">
        <v>3113</v>
      </c>
      <c r="G47" s="165" t="s">
        <v>293</v>
      </c>
      <c r="H47" s="626" t="s">
        <v>271</v>
      </c>
      <c r="I47" s="511">
        <v>24112597</v>
      </c>
      <c r="J47" s="415">
        <v>17610073</v>
      </c>
      <c r="K47" s="415">
        <v>16147270</v>
      </c>
      <c r="L47" s="415">
        <v>1462803</v>
      </c>
      <c r="M47" s="415">
        <v>30000</v>
      </c>
      <c r="N47" s="415">
        <v>30000</v>
      </c>
      <c r="O47" s="415">
        <v>0</v>
      </c>
      <c r="P47" s="68">
        <v>5962344</v>
      </c>
      <c r="Q47" s="68">
        <v>176100</v>
      </c>
      <c r="R47" s="415">
        <v>334080</v>
      </c>
      <c r="S47" s="416">
        <v>29.021800000000002</v>
      </c>
      <c r="T47" s="417">
        <v>24.7224</v>
      </c>
      <c r="U47" s="423">
        <v>4.2994000000000003</v>
      </c>
      <c r="V47" s="424">
        <f t="shared" si="51"/>
        <v>0</v>
      </c>
      <c r="W47" s="418">
        <f t="shared" si="51"/>
        <v>0</v>
      </c>
      <c r="X47" s="418">
        <v>0</v>
      </c>
      <c r="Y47" s="418">
        <v>0</v>
      </c>
      <c r="Z47" s="418">
        <v>0</v>
      </c>
      <c r="AA47" s="415">
        <v>0</v>
      </c>
      <c r="AB47" s="418">
        <v>0</v>
      </c>
      <c r="AC47" s="418">
        <v>0</v>
      </c>
      <c r="AD47" s="418">
        <f t="shared" si="52"/>
        <v>0</v>
      </c>
      <c r="AE47" s="418">
        <f t="shared" si="53"/>
        <v>0</v>
      </c>
      <c r="AF47" s="418">
        <f t="shared" si="54"/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55"/>
        <v>0</v>
      </c>
      <c r="AM47" s="418">
        <f t="shared" si="56"/>
        <v>0</v>
      </c>
      <c r="AN47" s="418">
        <f t="shared" si="57"/>
        <v>0</v>
      </c>
      <c r="AO47" s="418">
        <f t="shared" si="58"/>
        <v>0</v>
      </c>
      <c r="AP47" s="418">
        <f t="shared" si="58"/>
        <v>0</v>
      </c>
      <c r="AQ47" s="418">
        <f t="shared" si="59"/>
        <v>0</v>
      </c>
      <c r="AR47" s="68">
        <f t="shared" si="60"/>
        <v>0</v>
      </c>
      <c r="AS47" s="68">
        <f t="shared" si="61"/>
        <v>0</v>
      </c>
      <c r="AT47" s="418">
        <v>0</v>
      </c>
      <c r="AU47" s="415">
        <v>0</v>
      </c>
      <c r="AV47" s="418">
        <f t="shared" si="62"/>
        <v>0</v>
      </c>
      <c r="AW47" s="418">
        <f t="shared" si="63"/>
        <v>0</v>
      </c>
      <c r="AX47" s="419">
        <v>0</v>
      </c>
      <c r="AY47" s="419">
        <v>0</v>
      </c>
      <c r="AZ47" s="419">
        <v>0</v>
      </c>
      <c r="BA47" s="419">
        <v>0</v>
      </c>
      <c r="BB47" s="416">
        <v>0</v>
      </c>
      <c r="BC47" s="939">
        <v>0</v>
      </c>
      <c r="BD47" s="419">
        <v>0</v>
      </c>
      <c r="BE47" s="419">
        <v>0</v>
      </c>
      <c r="BF47" s="419">
        <f t="shared" si="64"/>
        <v>0</v>
      </c>
      <c r="BG47" s="419">
        <f t="shared" si="65"/>
        <v>0</v>
      </c>
      <c r="BH47" s="421">
        <f t="shared" si="66"/>
        <v>0</v>
      </c>
      <c r="BI47" s="780">
        <f t="shared" si="67"/>
        <v>24112597</v>
      </c>
      <c r="BJ47" s="418">
        <f t="shared" si="68"/>
        <v>17610073</v>
      </c>
      <c r="BK47" s="418">
        <f t="shared" si="69"/>
        <v>16147270</v>
      </c>
      <c r="BL47" s="418">
        <f t="shared" si="69"/>
        <v>1462803</v>
      </c>
      <c r="BM47" s="418">
        <f t="shared" si="70"/>
        <v>30000</v>
      </c>
      <c r="BN47" s="418">
        <f t="shared" si="71"/>
        <v>30000</v>
      </c>
      <c r="BO47" s="418">
        <f t="shared" si="71"/>
        <v>0</v>
      </c>
      <c r="BP47" s="418">
        <f t="shared" si="72"/>
        <v>5962344</v>
      </c>
      <c r="BQ47" s="418">
        <f t="shared" si="72"/>
        <v>176100</v>
      </c>
      <c r="BR47" s="418">
        <f t="shared" si="73"/>
        <v>334080</v>
      </c>
      <c r="BS47" s="419">
        <f t="shared" si="74"/>
        <v>29.021800000000002</v>
      </c>
      <c r="BT47" s="419">
        <f t="shared" si="75"/>
        <v>24.7224</v>
      </c>
      <c r="BU47" s="421">
        <f t="shared" si="75"/>
        <v>4.2994000000000003</v>
      </c>
      <c r="BV47" s="420"/>
      <c r="BW47" s="415"/>
      <c r="BX47" s="415"/>
      <c r="BY47" s="415"/>
      <c r="BZ47" s="415"/>
      <c r="CA47" s="510"/>
    </row>
    <row r="48" spans="1:79" s="221" customFormat="1" x14ac:dyDescent="0.2">
      <c r="A48" s="209">
        <v>10</v>
      </c>
      <c r="B48" s="210">
        <v>4439</v>
      </c>
      <c r="C48" s="210">
        <v>600074951</v>
      </c>
      <c r="D48" s="210">
        <v>48283088</v>
      </c>
      <c r="E48" s="208" t="s">
        <v>164</v>
      </c>
      <c r="F48" s="210">
        <v>3113</v>
      </c>
      <c r="G48" s="165" t="s">
        <v>291</v>
      </c>
      <c r="H48" s="626" t="s">
        <v>272</v>
      </c>
      <c r="I48" s="511">
        <v>3846022</v>
      </c>
      <c r="J48" s="415">
        <v>2853132</v>
      </c>
      <c r="K48" s="415">
        <v>2853132</v>
      </c>
      <c r="L48" s="415">
        <v>0</v>
      </c>
      <c r="M48" s="415">
        <v>0</v>
      </c>
      <c r="N48" s="415">
        <v>0</v>
      </c>
      <c r="O48" s="415">
        <v>0</v>
      </c>
      <c r="P48" s="68">
        <v>964359</v>
      </c>
      <c r="Q48" s="68">
        <v>28531</v>
      </c>
      <c r="R48" s="415">
        <v>0</v>
      </c>
      <c r="S48" s="416">
        <v>7.7</v>
      </c>
      <c r="T48" s="417">
        <v>7.7</v>
      </c>
      <c r="U48" s="423">
        <v>0</v>
      </c>
      <c r="V48" s="424">
        <f t="shared" si="51"/>
        <v>0</v>
      </c>
      <c r="W48" s="418">
        <f t="shared" si="51"/>
        <v>0</v>
      </c>
      <c r="X48" s="418">
        <v>0</v>
      </c>
      <c r="Y48" s="418">
        <v>0</v>
      </c>
      <c r="Z48" s="418">
        <v>0</v>
      </c>
      <c r="AA48" s="415">
        <v>0</v>
      </c>
      <c r="AB48" s="418">
        <v>0</v>
      </c>
      <c r="AC48" s="418">
        <v>0</v>
      </c>
      <c r="AD48" s="418">
        <f t="shared" si="52"/>
        <v>0</v>
      </c>
      <c r="AE48" s="418">
        <f t="shared" si="53"/>
        <v>0</v>
      </c>
      <c r="AF48" s="418">
        <f t="shared" si="54"/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55"/>
        <v>0</v>
      </c>
      <c r="AM48" s="418">
        <f t="shared" si="56"/>
        <v>0</v>
      </c>
      <c r="AN48" s="418">
        <f t="shared" si="57"/>
        <v>0</v>
      </c>
      <c r="AO48" s="418">
        <f t="shared" si="58"/>
        <v>0</v>
      </c>
      <c r="AP48" s="418">
        <f t="shared" si="58"/>
        <v>0</v>
      </c>
      <c r="AQ48" s="418">
        <f t="shared" si="59"/>
        <v>0</v>
      </c>
      <c r="AR48" s="68">
        <f t="shared" si="60"/>
        <v>0</v>
      </c>
      <c r="AS48" s="68">
        <f t="shared" si="61"/>
        <v>0</v>
      </c>
      <c r="AT48" s="418">
        <v>0</v>
      </c>
      <c r="AU48" s="415">
        <v>0</v>
      </c>
      <c r="AV48" s="418">
        <f t="shared" si="62"/>
        <v>0</v>
      </c>
      <c r="AW48" s="418">
        <f t="shared" si="63"/>
        <v>0</v>
      </c>
      <c r="AX48" s="419">
        <v>0</v>
      </c>
      <c r="AY48" s="419">
        <v>0</v>
      </c>
      <c r="AZ48" s="419">
        <v>0</v>
      </c>
      <c r="BA48" s="419">
        <v>0</v>
      </c>
      <c r="BB48" s="416">
        <v>0</v>
      </c>
      <c r="BC48" s="939">
        <v>0</v>
      </c>
      <c r="BD48" s="419">
        <v>0</v>
      </c>
      <c r="BE48" s="419">
        <v>0</v>
      </c>
      <c r="BF48" s="419">
        <f t="shared" si="64"/>
        <v>0</v>
      </c>
      <c r="BG48" s="419">
        <f t="shared" si="65"/>
        <v>0</v>
      </c>
      <c r="BH48" s="421">
        <f t="shared" si="66"/>
        <v>0</v>
      </c>
      <c r="BI48" s="780">
        <f t="shared" si="67"/>
        <v>3846022</v>
      </c>
      <c r="BJ48" s="418">
        <f t="shared" si="68"/>
        <v>2853132</v>
      </c>
      <c r="BK48" s="418">
        <f t="shared" si="69"/>
        <v>2853132</v>
      </c>
      <c r="BL48" s="418">
        <f t="shared" si="69"/>
        <v>0</v>
      </c>
      <c r="BM48" s="418">
        <f t="shared" si="70"/>
        <v>0</v>
      </c>
      <c r="BN48" s="418">
        <f t="shared" si="71"/>
        <v>0</v>
      </c>
      <c r="BO48" s="418">
        <f t="shared" si="71"/>
        <v>0</v>
      </c>
      <c r="BP48" s="418">
        <f t="shared" si="72"/>
        <v>964359</v>
      </c>
      <c r="BQ48" s="418">
        <f t="shared" si="72"/>
        <v>28531</v>
      </c>
      <c r="BR48" s="418">
        <f t="shared" si="73"/>
        <v>0</v>
      </c>
      <c r="BS48" s="419">
        <f t="shared" si="74"/>
        <v>7.7</v>
      </c>
      <c r="BT48" s="419">
        <f t="shared" si="75"/>
        <v>7.7</v>
      </c>
      <c r="BU48" s="421">
        <f t="shared" si="75"/>
        <v>0</v>
      </c>
      <c r="BV48" s="420"/>
      <c r="BW48" s="415"/>
      <c r="BX48" s="415"/>
      <c r="BY48" s="415"/>
      <c r="BZ48" s="415"/>
      <c r="CA48" s="510"/>
    </row>
    <row r="49" spans="1:79" s="221" customFormat="1" x14ac:dyDescent="0.2">
      <c r="A49" s="209">
        <v>10</v>
      </c>
      <c r="B49" s="210">
        <v>4439</v>
      </c>
      <c r="C49" s="210">
        <v>600074951</v>
      </c>
      <c r="D49" s="210">
        <v>48283088</v>
      </c>
      <c r="E49" s="208" t="s">
        <v>164</v>
      </c>
      <c r="F49" s="210">
        <v>3141</v>
      </c>
      <c r="G49" s="165" t="s">
        <v>294</v>
      </c>
      <c r="H49" s="626" t="s">
        <v>272</v>
      </c>
      <c r="I49" s="511">
        <v>1770104</v>
      </c>
      <c r="J49" s="415">
        <v>1305007</v>
      </c>
      <c r="K49" s="415">
        <v>0</v>
      </c>
      <c r="L49" s="415">
        <v>1305007</v>
      </c>
      <c r="M49" s="415">
        <v>0</v>
      </c>
      <c r="N49" s="415">
        <v>0</v>
      </c>
      <c r="O49" s="415">
        <v>0</v>
      </c>
      <c r="P49" s="68">
        <v>441092</v>
      </c>
      <c r="Q49" s="68">
        <v>13050</v>
      </c>
      <c r="R49" s="415">
        <v>10955</v>
      </c>
      <c r="S49" s="416">
        <v>3.91</v>
      </c>
      <c r="T49" s="417">
        <v>0</v>
      </c>
      <c r="U49" s="423">
        <v>3.91</v>
      </c>
      <c r="V49" s="424">
        <f t="shared" si="51"/>
        <v>0</v>
      </c>
      <c r="W49" s="418">
        <f t="shared" si="51"/>
        <v>0</v>
      </c>
      <c r="X49" s="418">
        <v>0</v>
      </c>
      <c r="Y49" s="418">
        <v>0</v>
      </c>
      <c r="Z49" s="418">
        <v>0</v>
      </c>
      <c r="AA49" s="605">
        <v>651063</v>
      </c>
      <c r="AB49" s="418">
        <v>0</v>
      </c>
      <c r="AC49" s="418">
        <v>0</v>
      </c>
      <c r="AD49" s="418">
        <f t="shared" si="52"/>
        <v>0</v>
      </c>
      <c r="AE49" s="418">
        <f t="shared" si="53"/>
        <v>651063</v>
      </c>
      <c r="AF49" s="418">
        <f t="shared" si="54"/>
        <v>651063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55"/>
        <v>0</v>
      </c>
      <c r="AM49" s="418">
        <f t="shared" si="56"/>
        <v>0</v>
      </c>
      <c r="AN49" s="418">
        <f t="shared" si="57"/>
        <v>0</v>
      </c>
      <c r="AO49" s="418">
        <f t="shared" si="58"/>
        <v>0</v>
      </c>
      <c r="AP49" s="418">
        <f t="shared" si="58"/>
        <v>651063</v>
      </c>
      <c r="AQ49" s="418">
        <f t="shared" si="59"/>
        <v>651063</v>
      </c>
      <c r="AR49" s="68">
        <f t="shared" si="60"/>
        <v>220059</v>
      </c>
      <c r="AS49" s="68">
        <f t="shared" si="61"/>
        <v>6511</v>
      </c>
      <c r="AT49" s="418">
        <v>0</v>
      </c>
      <c r="AU49" s="605">
        <v>5321</v>
      </c>
      <c r="AV49" s="418">
        <f t="shared" si="62"/>
        <v>5321</v>
      </c>
      <c r="AW49" s="418">
        <f t="shared" si="63"/>
        <v>882954</v>
      </c>
      <c r="AX49" s="419">
        <v>0</v>
      </c>
      <c r="AY49" s="419">
        <v>0</v>
      </c>
      <c r="AZ49" s="419">
        <v>0</v>
      </c>
      <c r="BA49" s="419">
        <v>0</v>
      </c>
      <c r="BB49" s="607">
        <v>1.96</v>
      </c>
      <c r="BC49" s="939">
        <v>0</v>
      </c>
      <c r="BD49" s="419">
        <v>0</v>
      </c>
      <c r="BE49" s="419">
        <v>0</v>
      </c>
      <c r="BF49" s="419">
        <f t="shared" si="64"/>
        <v>0</v>
      </c>
      <c r="BG49" s="419">
        <f t="shared" si="65"/>
        <v>1.96</v>
      </c>
      <c r="BH49" s="421">
        <f t="shared" si="66"/>
        <v>1.96</v>
      </c>
      <c r="BI49" s="780">
        <f t="shared" si="67"/>
        <v>2653058</v>
      </c>
      <c r="BJ49" s="418">
        <f t="shared" si="68"/>
        <v>1956070</v>
      </c>
      <c r="BK49" s="418">
        <f t="shared" si="69"/>
        <v>0</v>
      </c>
      <c r="BL49" s="418">
        <f t="shared" si="69"/>
        <v>1956070</v>
      </c>
      <c r="BM49" s="418">
        <f t="shared" si="70"/>
        <v>0</v>
      </c>
      <c r="BN49" s="418">
        <f t="shared" si="71"/>
        <v>0</v>
      </c>
      <c r="BO49" s="418">
        <f t="shared" si="71"/>
        <v>0</v>
      </c>
      <c r="BP49" s="418">
        <f t="shared" si="72"/>
        <v>661151</v>
      </c>
      <c r="BQ49" s="418">
        <f t="shared" si="72"/>
        <v>19561</v>
      </c>
      <c r="BR49" s="418">
        <f t="shared" si="73"/>
        <v>16276</v>
      </c>
      <c r="BS49" s="419">
        <f t="shared" si="74"/>
        <v>5.87</v>
      </c>
      <c r="BT49" s="419">
        <f t="shared" si="75"/>
        <v>0</v>
      </c>
      <c r="BU49" s="421">
        <f t="shared" si="75"/>
        <v>5.87</v>
      </c>
      <c r="BV49" s="420"/>
      <c r="BW49" s="415"/>
      <c r="BX49" s="415"/>
      <c r="BY49" s="415"/>
      <c r="BZ49" s="415"/>
      <c r="CA49" s="510"/>
    </row>
    <row r="50" spans="1:79" s="221" customFormat="1" x14ac:dyDescent="0.2">
      <c r="A50" s="209">
        <v>10</v>
      </c>
      <c r="B50" s="210">
        <v>4439</v>
      </c>
      <c r="C50" s="210">
        <v>600074951</v>
      </c>
      <c r="D50" s="210">
        <v>48283088</v>
      </c>
      <c r="E50" s="208" t="s">
        <v>164</v>
      </c>
      <c r="F50" s="210">
        <v>3143</v>
      </c>
      <c r="G50" s="165" t="s">
        <v>595</v>
      </c>
      <c r="H50" s="614" t="s">
        <v>271</v>
      </c>
      <c r="I50" s="511">
        <v>2453587</v>
      </c>
      <c r="J50" s="415">
        <v>1820168</v>
      </c>
      <c r="K50" s="415">
        <v>1820168</v>
      </c>
      <c r="L50" s="415">
        <v>0</v>
      </c>
      <c r="M50" s="415">
        <v>0</v>
      </c>
      <c r="N50" s="415">
        <v>0</v>
      </c>
      <c r="O50" s="415">
        <v>0</v>
      </c>
      <c r="P50" s="68">
        <v>615217</v>
      </c>
      <c r="Q50" s="68">
        <v>18202</v>
      </c>
      <c r="R50" s="415">
        <v>0</v>
      </c>
      <c r="S50" s="416">
        <v>3.6785000000000001</v>
      </c>
      <c r="T50" s="417">
        <v>3.6785000000000001</v>
      </c>
      <c r="U50" s="423">
        <v>0</v>
      </c>
      <c r="V50" s="424">
        <f t="shared" si="51"/>
        <v>0</v>
      </c>
      <c r="W50" s="418">
        <f t="shared" si="51"/>
        <v>0</v>
      </c>
      <c r="X50" s="418">
        <v>0</v>
      </c>
      <c r="Y50" s="418">
        <v>0</v>
      </c>
      <c r="Z50" s="418">
        <v>0</v>
      </c>
      <c r="AA50" s="415">
        <v>0</v>
      </c>
      <c r="AB50" s="418">
        <v>0</v>
      </c>
      <c r="AC50" s="418">
        <v>0</v>
      </c>
      <c r="AD50" s="418">
        <f t="shared" si="52"/>
        <v>0</v>
      </c>
      <c r="AE50" s="418">
        <f t="shared" si="53"/>
        <v>0</v>
      </c>
      <c r="AF50" s="418">
        <f t="shared" si="54"/>
        <v>0</v>
      </c>
      <c r="AG50" s="418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55"/>
        <v>0</v>
      </c>
      <c r="AM50" s="418">
        <f t="shared" si="56"/>
        <v>0</v>
      </c>
      <c r="AN50" s="418">
        <f t="shared" si="57"/>
        <v>0</v>
      </c>
      <c r="AO50" s="418">
        <f t="shared" si="58"/>
        <v>0</v>
      </c>
      <c r="AP50" s="418">
        <f t="shared" si="58"/>
        <v>0</v>
      </c>
      <c r="AQ50" s="418">
        <f t="shared" si="59"/>
        <v>0</v>
      </c>
      <c r="AR50" s="68">
        <f t="shared" si="60"/>
        <v>0</v>
      </c>
      <c r="AS50" s="68">
        <f t="shared" si="61"/>
        <v>0</v>
      </c>
      <c r="AT50" s="418">
        <v>0</v>
      </c>
      <c r="AU50" s="415">
        <v>0</v>
      </c>
      <c r="AV50" s="418">
        <f t="shared" si="62"/>
        <v>0</v>
      </c>
      <c r="AW50" s="418">
        <f t="shared" si="63"/>
        <v>0</v>
      </c>
      <c r="AX50" s="419">
        <v>0</v>
      </c>
      <c r="AY50" s="419">
        <v>0</v>
      </c>
      <c r="AZ50" s="419">
        <v>0</v>
      </c>
      <c r="BA50" s="419">
        <v>0</v>
      </c>
      <c r="BB50" s="416">
        <v>0</v>
      </c>
      <c r="BC50" s="939">
        <v>0</v>
      </c>
      <c r="BD50" s="419">
        <v>0</v>
      </c>
      <c r="BE50" s="419">
        <v>0</v>
      </c>
      <c r="BF50" s="419">
        <f t="shared" si="64"/>
        <v>0</v>
      </c>
      <c r="BG50" s="419">
        <f t="shared" si="65"/>
        <v>0</v>
      </c>
      <c r="BH50" s="421">
        <f t="shared" si="66"/>
        <v>0</v>
      </c>
      <c r="BI50" s="780">
        <f t="shared" si="67"/>
        <v>2453587</v>
      </c>
      <c r="BJ50" s="418">
        <f t="shared" si="68"/>
        <v>1820168</v>
      </c>
      <c r="BK50" s="418">
        <f t="shared" si="69"/>
        <v>1820168</v>
      </c>
      <c r="BL50" s="418">
        <f t="shared" si="69"/>
        <v>0</v>
      </c>
      <c r="BM50" s="418">
        <f t="shared" si="70"/>
        <v>0</v>
      </c>
      <c r="BN50" s="418">
        <f t="shared" si="71"/>
        <v>0</v>
      </c>
      <c r="BO50" s="418">
        <f t="shared" si="71"/>
        <v>0</v>
      </c>
      <c r="BP50" s="418">
        <f t="shared" si="72"/>
        <v>615217</v>
      </c>
      <c r="BQ50" s="418">
        <f t="shared" si="72"/>
        <v>18202</v>
      </c>
      <c r="BR50" s="418">
        <f t="shared" si="73"/>
        <v>0</v>
      </c>
      <c r="BS50" s="419">
        <f t="shared" si="74"/>
        <v>3.6785000000000001</v>
      </c>
      <c r="BT50" s="419">
        <f t="shared" si="75"/>
        <v>3.6785000000000001</v>
      </c>
      <c r="BU50" s="421">
        <f t="shared" si="75"/>
        <v>0</v>
      </c>
      <c r="BV50" s="420"/>
      <c r="BW50" s="415"/>
      <c r="BX50" s="415"/>
      <c r="BY50" s="415"/>
      <c r="BZ50" s="415"/>
      <c r="CA50" s="510"/>
    </row>
    <row r="51" spans="1:79" s="221" customFormat="1" x14ac:dyDescent="0.2">
      <c r="A51" s="209">
        <v>10</v>
      </c>
      <c r="B51" s="210">
        <v>4439</v>
      </c>
      <c r="C51" s="210">
        <v>600074951</v>
      </c>
      <c r="D51" s="210">
        <v>48283088</v>
      </c>
      <c r="E51" s="208" t="s">
        <v>164</v>
      </c>
      <c r="F51" s="210">
        <v>3143</v>
      </c>
      <c r="G51" s="165" t="s">
        <v>596</v>
      </c>
      <c r="H51" s="614" t="s">
        <v>272</v>
      </c>
      <c r="I51" s="511">
        <v>54808</v>
      </c>
      <c r="J51" s="415">
        <v>39230</v>
      </c>
      <c r="K51" s="415">
        <v>0</v>
      </c>
      <c r="L51" s="415">
        <v>39230</v>
      </c>
      <c r="M51" s="415">
        <v>0</v>
      </c>
      <c r="N51" s="415">
        <v>0</v>
      </c>
      <c r="O51" s="415">
        <v>0</v>
      </c>
      <c r="P51" s="68">
        <v>13260</v>
      </c>
      <c r="Q51" s="68">
        <v>392</v>
      </c>
      <c r="R51" s="415">
        <v>1926</v>
      </c>
      <c r="S51" s="416">
        <v>0.15</v>
      </c>
      <c r="T51" s="417">
        <v>0</v>
      </c>
      <c r="U51" s="423">
        <v>0.15</v>
      </c>
      <c r="V51" s="424">
        <f t="shared" si="51"/>
        <v>0</v>
      </c>
      <c r="W51" s="418">
        <f t="shared" si="51"/>
        <v>0</v>
      </c>
      <c r="X51" s="418">
        <v>0</v>
      </c>
      <c r="Y51" s="418">
        <v>0</v>
      </c>
      <c r="Z51" s="418">
        <v>0</v>
      </c>
      <c r="AA51" s="605">
        <v>19620</v>
      </c>
      <c r="AB51" s="418">
        <v>0</v>
      </c>
      <c r="AC51" s="418">
        <v>0</v>
      </c>
      <c r="AD51" s="418">
        <f t="shared" si="52"/>
        <v>0</v>
      </c>
      <c r="AE51" s="418">
        <f t="shared" si="53"/>
        <v>19620</v>
      </c>
      <c r="AF51" s="418">
        <f t="shared" si="54"/>
        <v>19620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 t="shared" si="55"/>
        <v>0</v>
      </c>
      <c r="AM51" s="418">
        <f t="shared" si="56"/>
        <v>0</v>
      </c>
      <c r="AN51" s="418">
        <f t="shared" si="57"/>
        <v>0</v>
      </c>
      <c r="AO51" s="418">
        <f t="shared" si="58"/>
        <v>0</v>
      </c>
      <c r="AP51" s="418">
        <f t="shared" si="58"/>
        <v>19620</v>
      </c>
      <c r="AQ51" s="418">
        <f t="shared" si="59"/>
        <v>19620</v>
      </c>
      <c r="AR51" s="68">
        <f t="shared" si="60"/>
        <v>6632</v>
      </c>
      <c r="AS51" s="68">
        <f t="shared" si="61"/>
        <v>196</v>
      </c>
      <c r="AT51" s="418">
        <v>0</v>
      </c>
      <c r="AU51" s="606">
        <v>963</v>
      </c>
      <c r="AV51" s="418">
        <f t="shared" si="62"/>
        <v>963</v>
      </c>
      <c r="AW51" s="418">
        <f t="shared" si="63"/>
        <v>27411</v>
      </c>
      <c r="AX51" s="419">
        <v>0</v>
      </c>
      <c r="AY51" s="419">
        <v>0</v>
      </c>
      <c r="AZ51" s="419">
        <v>0</v>
      </c>
      <c r="BA51" s="419">
        <v>0</v>
      </c>
      <c r="BB51" s="607">
        <v>7.0000000000000007E-2</v>
      </c>
      <c r="BC51" s="939">
        <v>0</v>
      </c>
      <c r="BD51" s="419">
        <v>0</v>
      </c>
      <c r="BE51" s="419">
        <v>0</v>
      </c>
      <c r="BF51" s="419">
        <f t="shared" si="64"/>
        <v>0</v>
      </c>
      <c r="BG51" s="419">
        <f t="shared" si="65"/>
        <v>7.0000000000000007E-2</v>
      </c>
      <c r="BH51" s="421">
        <f t="shared" si="66"/>
        <v>7.0000000000000007E-2</v>
      </c>
      <c r="BI51" s="780">
        <f t="shared" si="67"/>
        <v>82219</v>
      </c>
      <c r="BJ51" s="418">
        <f t="shared" si="68"/>
        <v>58850</v>
      </c>
      <c r="BK51" s="418">
        <f t="shared" si="69"/>
        <v>0</v>
      </c>
      <c r="BL51" s="418">
        <f t="shared" si="69"/>
        <v>58850</v>
      </c>
      <c r="BM51" s="418">
        <f t="shared" si="70"/>
        <v>0</v>
      </c>
      <c r="BN51" s="418">
        <f t="shared" si="71"/>
        <v>0</v>
      </c>
      <c r="BO51" s="418">
        <f t="shared" si="71"/>
        <v>0</v>
      </c>
      <c r="BP51" s="418">
        <f t="shared" si="72"/>
        <v>19892</v>
      </c>
      <c r="BQ51" s="418">
        <f t="shared" si="72"/>
        <v>588</v>
      </c>
      <c r="BR51" s="418">
        <f t="shared" si="73"/>
        <v>2889</v>
      </c>
      <c r="BS51" s="419">
        <f t="shared" si="74"/>
        <v>0.22</v>
      </c>
      <c r="BT51" s="419">
        <f t="shared" si="75"/>
        <v>0</v>
      </c>
      <c r="BU51" s="421">
        <f t="shared" si="75"/>
        <v>0.22</v>
      </c>
      <c r="BV51" s="420"/>
      <c r="BW51" s="415"/>
      <c r="BX51" s="415"/>
      <c r="BY51" s="415"/>
      <c r="BZ51" s="415"/>
      <c r="CA51" s="510"/>
    </row>
    <row r="52" spans="1:79" s="221" customFormat="1" x14ac:dyDescent="0.2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13"/>
      <c r="I52" s="452">
        <v>37181687</v>
      </c>
      <c r="J52" s="445">
        <v>27282417</v>
      </c>
      <c r="K52" s="445">
        <v>24275673</v>
      </c>
      <c r="L52" s="445">
        <v>3006744</v>
      </c>
      <c r="M52" s="445">
        <v>30000</v>
      </c>
      <c r="N52" s="445">
        <v>30000</v>
      </c>
      <c r="O52" s="445">
        <v>0</v>
      </c>
      <c r="P52" s="445">
        <v>9231597</v>
      </c>
      <c r="Q52" s="445">
        <v>272823</v>
      </c>
      <c r="R52" s="445">
        <v>364850</v>
      </c>
      <c r="S52" s="446">
        <v>51.260399999999997</v>
      </c>
      <c r="T52" s="446">
        <v>42.100900000000003</v>
      </c>
      <c r="U52" s="450">
        <v>9.1595000000000013</v>
      </c>
      <c r="V52" s="448">
        <f t="shared" ref="V52:CA52" si="76">SUM(V46:V51)</f>
        <v>0</v>
      </c>
      <c r="W52" s="445">
        <f t="shared" si="76"/>
        <v>0</v>
      </c>
      <c r="X52" s="445">
        <f t="shared" si="76"/>
        <v>0</v>
      </c>
      <c r="Y52" s="445">
        <f t="shared" si="76"/>
        <v>0</v>
      </c>
      <c r="Z52" s="445">
        <f t="shared" si="76"/>
        <v>0</v>
      </c>
      <c r="AA52" s="445">
        <f t="shared" si="76"/>
        <v>670683</v>
      </c>
      <c r="AB52" s="445">
        <f t="shared" si="76"/>
        <v>0</v>
      </c>
      <c r="AC52" s="445">
        <f t="shared" si="76"/>
        <v>0</v>
      </c>
      <c r="AD52" s="445">
        <f t="shared" si="76"/>
        <v>0</v>
      </c>
      <c r="AE52" s="445">
        <f t="shared" si="76"/>
        <v>670683</v>
      </c>
      <c r="AF52" s="445">
        <f t="shared" si="76"/>
        <v>670683</v>
      </c>
      <c r="AG52" s="445">
        <f t="shared" si="76"/>
        <v>0</v>
      </c>
      <c r="AH52" s="445">
        <f t="shared" si="76"/>
        <v>0</v>
      </c>
      <c r="AI52" s="445">
        <f t="shared" si="76"/>
        <v>0</v>
      </c>
      <c r="AJ52" s="445">
        <f t="shared" si="76"/>
        <v>0</v>
      </c>
      <c r="AK52" s="445">
        <f t="shared" si="76"/>
        <v>0</v>
      </c>
      <c r="AL52" s="445">
        <f t="shared" si="76"/>
        <v>0</v>
      </c>
      <c r="AM52" s="445">
        <f t="shared" si="76"/>
        <v>0</v>
      </c>
      <c r="AN52" s="445">
        <f t="shared" si="76"/>
        <v>0</v>
      </c>
      <c r="AO52" s="445">
        <f t="shared" si="76"/>
        <v>0</v>
      </c>
      <c r="AP52" s="445">
        <f t="shared" si="76"/>
        <v>670683</v>
      </c>
      <c r="AQ52" s="445">
        <f t="shared" si="76"/>
        <v>670683</v>
      </c>
      <c r="AR52" s="445">
        <f t="shared" si="76"/>
        <v>226691</v>
      </c>
      <c r="AS52" s="445">
        <f t="shared" si="76"/>
        <v>6707</v>
      </c>
      <c r="AT52" s="445">
        <f t="shared" si="76"/>
        <v>0</v>
      </c>
      <c r="AU52" s="445">
        <f t="shared" si="76"/>
        <v>6284</v>
      </c>
      <c r="AV52" s="445">
        <f t="shared" si="76"/>
        <v>6284</v>
      </c>
      <c r="AW52" s="445">
        <f t="shared" si="76"/>
        <v>910365</v>
      </c>
      <c r="AX52" s="446">
        <f t="shared" si="76"/>
        <v>0</v>
      </c>
      <c r="AY52" s="446">
        <f t="shared" si="76"/>
        <v>0</v>
      </c>
      <c r="AZ52" s="446">
        <f t="shared" si="76"/>
        <v>0</v>
      </c>
      <c r="BA52" s="446">
        <f t="shared" si="76"/>
        <v>0</v>
      </c>
      <c r="BB52" s="446">
        <f t="shared" si="76"/>
        <v>2.0299999999999998</v>
      </c>
      <c r="BC52" s="948">
        <f t="shared" si="76"/>
        <v>0</v>
      </c>
      <c r="BD52" s="446">
        <f t="shared" si="76"/>
        <v>0</v>
      </c>
      <c r="BE52" s="446">
        <f t="shared" si="76"/>
        <v>0</v>
      </c>
      <c r="BF52" s="446">
        <f t="shared" si="76"/>
        <v>0</v>
      </c>
      <c r="BG52" s="446">
        <f t="shared" si="76"/>
        <v>2.0299999999999998</v>
      </c>
      <c r="BH52" s="39">
        <f t="shared" si="76"/>
        <v>2.0299999999999998</v>
      </c>
      <c r="BI52" s="452">
        <f t="shared" si="76"/>
        <v>38092052</v>
      </c>
      <c r="BJ52" s="445">
        <f t="shared" si="76"/>
        <v>27953100</v>
      </c>
      <c r="BK52" s="445">
        <f t="shared" si="76"/>
        <v>24275673</v>
      </c>
      <c r="BL52" s="445">
        <f t="shared" si="76"/>
        <v>3677427</v>
      </c>
      <c r="BM52" s="445">
        <f t="shared" si="76"/>
        <v>30000</v>
      </c>
      <c r="BN52" s="445">
        <f t="shared" si="76"/>
        <v>30000</v>
      </c>
      <c r="BO52" s="445">
        <f t="shared" si="76"/>
        <v>0</v>
      </c>
      <c r="BP52" s="445">
        <f t="shared" si="76"/>
        <v>9458288</v>
      </c>
      <c r="BQ52" s="445">
        <f t="shared" si="76"/>
        <v>279530</v>
      </c>
      <c r="BR52" s="445">
        <f t="shared" si="76"/>
        <v>371134</v>
      </c>
      <c r="BS52" s="446">
        <f t="shared" si="76"/>
        <v>53.290399999999998</v>
      </c>
      <c r="BT52" s="446">
        <f t="shared" si="76"/>
        <v>42.100900000000003</v>
      </c>
      <c r="BU52" s="39">
        <f t="shared" si="76"/>
        <v>11.189500000000001</v>
      </c>
      <c r="BV52" s="833">
        <f t="shared" si="76"/>
        <v>0</v>
      </c>
      <c r="BW52" s="715">
        <f t="shared" si="76"/>
        <v>0</v>
      </c>
      <c r="BX52" s="715">
        <f t="shared" si="76"/>
        <v>0</v>
      </c>
      <c r="BY52" s="715">
        <f t="shared" si="76"/>
        <v>0</v>
      </c>
      <c r="BZ52" s="715">
        <f t="shared" si="76"/>
        <v>0</v>
      </c>
      <c r="CA52" s="834">
        <f t="shared" si="76"/>
        <v>0</v>
      </c>
    </row>
    <row r="53" spans="1:79" s="221" customFormat="1" x14ac:dyDescent="0.2">
      <c r="A53" s="209">
        <v>11</v>
      </c>
      <c r="B53" s="210">
        <v>4443</v>
      </c>
      <c r="C53" s="210">
        <v>600074994</v>
      </c>
      <c r="D53" s="210">
        <v>46750045</v>
      </c>
      <c r="E53" s="208" t="s">
        <v>166</v>
      </c>
      <c r="F53" s="210">
        <v>3113</v>
      </c>
      <c r="G53" s="165" t="s">
        <v>293</v>
      </c>
      <c r="H53" s="626" t="s">
        <v>271</v>
      </c>
      <c r="I53" s="511">
        <v>56357583</v>
      </c>
      <c r="J53" s="415">
        <v>41049121</v>
      </c>
      <c r="K53" s="415">
        <v>38590226</v>
      </c>
      <c r="L53" s="415">
        <v>2458895</v>
      </c>
      <c r="M53" s="415">
        <v>173000</v>
      </c>
      <c r="N53" s="415">
        <v>173000</v>
      </c>
      <c r="O53" s="415">
        <v>0</v>
      </c>
      <c r="P53" s="68">
        <v>13933077</v>
      </c>
      <c r="Q53" s="68">
        <v>410491</v>
      </c>
      <c r="R53" s="415">
        <v>791894</v>
      </c>
      <c r="S53" s="416">
        <v>62.143900000000009</v>
      </c>
      <c r="T53" s="417">
        <v>54.571900000000007</v>
      </c>
      <c r="U53" s="423">
        <v>7.572000000000001</v>
      </c>
      <c r="V53" s="424">
        <f t="shared" ref="V53:W57" si="77">AG53*-1</f>
        <v>0</v>
      </c>
      <c r="W53" s="418">
        <f t="shared" si="77"/>
        <v>0</v>
      </c>
      <c r="X53" s="418">
        <v>0</v>
      </c>
      <c r="Y53" s="418">
        <v>0</v>
      </c>
      <c r="Z53" s="418">
        <v>0</v>
      </c>
      <c r="AA53" s="415">
        <v>0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0</v>
      </c>
      <c r="AF53" s="418">
        <f>SUM(AD53:AE53)</f>
        <v>0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ref="AO53:AP57" si="78">AD53+AL53</f>
        <v>0</v>
      </c>
      <c r="AP53" s="418">
        <f t="shared" si="78"/>
        <v>0</v>
      </c>
      <c r="AQ53" s="418">
        <f>SUM(AO53:AP53)</f>
        <v>0</v>
      </c>
      <c r="AR53" s="68">
        <f>ROUND((AF53+AG53+AH53+AI53)*33.8%,0)</f>
        <v>0</v>
      </c>
      <c r="AS53" s="68">
        <f>ROUND(AF53*1%,0)</f>
        <v>0</v>
      </c>
      <c r="AT53" s="418">
        <v>0</v>
      </c>
      <c r="AU53" s="415">
        <v>0</v>
      </c>
      <c r="AV53" s="418">
        <f>AT53+AU53</f>
        <v>0</v>
      </c>
      <c r="AW53" s="418">
        <f>AQ53+AR53+AS53+AV53</f>
        <v>0</v>
      </c>
      <c r="AX53" s="419">
        <v>0</v>
      </c>
      <c r="AY53" s="419">
        <v>0</v>
      </c>
      <c r="AZ53" s="419">
        <v>0</v>
      </c>
      <c r="BA53" s="419">
        <v>0</v>
      </c>
      <c r="BB53" s="416">
        <v>0</v>
      </c>
      <c r="BC53" s="93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0</v>
      </c>
      <c r="BH53" s="421">
        <f>SUM(BF53:BG53)</f>
        <v>0</v>
      </c>
      <c r="BI53" s="780">
        <f>I53+AW53</f>
        <v>56357583</v>
      </c>
      <c r="BJ53" s="418">
        <f>J53+AF53</f>
        <v>41049121</v>
      </c>
      <c r="BK53" s="418">
        <f t="shared" ref="BK53:BL57" si="79">K53+AD53</f>
        <v>38590226</v>
      </c>
      <c r="BL53" s="418">
        <f t="shared" si="79"/>
        <v>2458895</v>
      </c>
      <c r="BM53" s="418">
        <f>M53+AN53</f>
        <v>173000</v>
      </c>
      <c r="BN53" s="418">
        <f t="shared" ref="BN53:BO57" si="80">N53+AL53</f>
        <v>173000</v>
      </c>
      <c r="BO53" s="418">
        <f t="shared" si="80"/>
        <v>0</v>
      </c>
      <c r="BP53" s="418">
        <f t="shared" ref="BP53:BQ57" si="81">P53+AR53</f>
        <v>13933077</v>
      </c>
      <c r="BQ53" s="418">
        <f t="shared" si="81"/>
        <v>410491</v>
      </c>
      <c r="BR53" s="418">
        <f>R53+AV53</f>
        <v>791894</v>
      </c>
      <c r="BS53" s="419">
        <f>S53+BH53</f>
        <v>62.143900000000009</v>
      </c>
      <c r="BT53" s="419">
        <f t="shared" ref="BT53:BU57" si="82">T53+BF53</f>
        <v>54.571900000000007</v>
      </c>
      <c r="BU53" s="421">
        <f t="shared" si="82"/>
        <v>7.572000000000001</v>
      </c>
      <c r="BV53" s="420">
        <v>380136</v>
      </c>
      <c r="BW53" s="415">
        <v>282000</v>
      </c>
      <c r="BX53" s="415">
        <v>0</v>
      </c>
      <c r="BY53" s="415">
        <v>95316</v>
      </c>
      <c r="BZ53" s="415">
        <v>2820</v>
      </c>
      <c r="CA53" s="510">
        <v>0.5</v>
      </c>
    </row>
    <row r="54" spans="1:79" s="221" customFormat="1" x14ac:dyDescent="0.2">
      <c r="A54" s="209">
        <v>11</v>
      </c>
      <c r="B54" s="210">
        <v>4443</v>
      </c>
      <c r="C54" s="210">
        <v>600074994</v>
      </c>
      <c r="D54" s="210">
        <v>46750045</v>
      </c>
      <c r="E54" s="208" t="s">
        <v>166</v>
      </c>
      <c r="F54" s="210">
        <v>3113</v>
      </c>
      <c r="G54" s="165" t="s">
        <v>291</v>
      </c>
      <c r="H54" s="626" t="s">
        <v>272</v>
      </c>
      <c r="I54" s="511">
        <v>8199868</v>
      </c>
      <c r="J54" s="415">
        <v>6074457</v>
      </c>
      <c r="K54" s="415">
        <v>6074457</v>
      </c>
      <c r="L54" s="415">
        <v>0</v>
      </c>
      <c r="M54" s="415">
        <v>0</v>
      </c>
      <c r="N54" s="415">
        <v>0</v>
      </c>
      <c r="O54" s="415">
        <v>0</v>
      </c>
      <c r="P54" s="68">
        <v>2053167</v>
      </c>
      <c r="Q54" s="68">
        <v>60744</v>
      </c>
      <c r="R54" s="415">
        <v>11500</v>
      </c>
      <c r="S54" s="416">
        <v>16.380000000000003</v>
      </c>
      <c r="T54" s="417">
        <v>16.380000000000003</v>
      </c>
      <c r="U54" s="423">
        <v>0</v>
      </c>
      <c r="V54" s="424">
        <f t="shared" si="77"/>
        <v>0</v>
      </c>
      <c r="W54" s="418">
        <f t="shared" si="77"/>
        <v>0</v>
      </c>
      <c r="X54" s="418">
        <v>0</v>
      </c>
      <c r="Y54" s="418">
        <v>0</v>
      </c>
      <c r="Z54" s="418">
        <v>0</v>
      </c>
      <c r="AA54" s="415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78"/>
        <v>0</v>
      </c>
      <c r="AP54" s="418">
        <f t="shared" si="78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5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6">
        <v>0</v>
      </c>
      <c r="BC54" s="93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421">
        <f>SUM(BF54:BG54)</f>
        <v>0</v>
      </c>
      <c r="BI54" s="780">
        <f>I54+AW54</f>
        <v>8199868</v>
      </c>
      <c r="BJ54" s="418">
        <f>J54+AF54</f>
        <v>6074457</v>
      </c>
      <c r="BK54" s="418">
        <f t="shared" si="79"/>
        <v>6074457</v>
      </c>
      <c r="BL54" s="418">
        <f t="shared" si="79"/>
        <v>0</v>
      </c>
      <c r="BM54" s="418">
        <f>M54+AN54</f>
        <v>0</v>
      </c>
      <c r="BN54" s="418">
        <f t="shared" si="80"/>
        <v>0</v>
      </c>
      <c r="BO54" s="418">
        <f t="shared" si="80"/>
        <v>0</v>
      </c>
      <c r="BP54" s="418">
        <f t="shared" si="81"/>
        <v>2053167</v>
      </c>
      <c r="BQ54" s="418">
        <f t="shared" si="81"/>
        <v>60744</v>
      </c>
      <c r="BR54" s="418">
        <f>R54+AV54</f>
        <v>11500</v>
      </c>
      <c r="BS54" s="419">
        <f>S54+BH54</f>
        <v>16.380000000000003</v>
      </c>
      <c r="BT54" s="419">
        <f t="shared" si="82"/>
        <v>16.380000000000003</v>
      </c>
      <c r="BU54" s="421">
        <f t="shared" si="82"/>
        <v>0</v>
      </c>
      <c r="BV54" s="420"/>
      <c r="BW54" s="415"/>
      <c r="BX54" s="415"/>
      <c r="BY54" s="415"/>
      <c r="BZ54" s="415"/>
      <c r="CA54" s="510"/>
    </row>
    <row r="55" spans="1:79" s="221" customFormat="1" x14ac:dyDescent="0.2">
      <c r="A55" s="209">
        <v>11</v>
      </c>
      <c r="B55" s="210">
        <v>4443</v>
      </c>
      <c r="C55" s="210">
        <v>600074994</v>
      </c>
      <c r="D55" s="210">
        <v>46750045</v>
      </c>
      <c r="E55" s="208" t="s">
        <v>166</v>
      </c>
      <c r="F55" s="210">
        <v>3143</v>
      </c>
      <c r="G55" s="165" t="s">
        <v>595</v>
      </c>
      <c r="H55" s="614" t="s">
        <v>271</v>
      </c>
      <c r="I55" s="511">
        <v>5046071</v>
      </c>
      <c r="J55" s="415">
        <v>3686799</v>
      </c>
      <c r="K55" s="415">
        <v>3686799</v>
      </c>
      <c r="L55" s="415">
        <v>0</v>
      </c>
      <c r="M55" s="415">
        <v>57000</v>
      </c>
      <c r="N55" s="415">
        <v>57000</v>
      </c>
      <c r="O55" s="415">
        <v>0</v>
      </c>
      <c r="P55" s="68">
        <v>1265404</v>
      </c>
      <c r="Q55" s="68">
        <v>36868</v>
      </c>
      <c r="R55" s="415">
        <v>0</v>
      </c>
      <c r="S55" s="416">
        <v>7.2092000000000001</v>
      </c>
      <c r="T55" s="417">
        <v>7.2092000000000001</v>
      </c>
      <c r="U55" s="423">
        <v>0</v>
      </c>
      <c r="V55" s="424">
        <f t="shared" si="77"/>
        <v>0</v>
      </c>
      <c r="W55" s="418">
        <f t="shared" si="77"/>
        <v>0</v>
      </c>
      <c r="X55" s="418">
        <v>0</v>
      </c>
      <c r="Y55" s="418">
        <v>0</v>
      </c>
      <c r="Z55" s="418">
        <v>0</v>
      </c>
      <c r="AA55" s="415">
        <v>0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0</v>
      </c>
      <c r="AF55" s="418">
        <f>SUM(AD55:AE55)</f>
        <v>0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78"/>
        <v>0</v>
      </c>
      <c r="AP55" s="418">
        <f t="shared" si="78"/>
        <v>0</v>
      </c>
      <c r="AQ55" s="418">
        <f>SUM(AO55:AP55)</f>
        <v>0</v>
      </c>
      <c r="AR55" s="68">
        <f>ROUND((AF55+AG55+AH55+AI55)*33.8%,0)</f>
        <v>0</v>
      </c>
      <c r="AS55" s="68">
        <f>ROUND(AF55*1%,0)</f>
        <v>0</v>
      </c>
      <c r="AT55" s="418">
        <v>0</v>
      </c>
      <c r="AU55" s="415">
        <v>0</v>
      </c>
      <c r="AV55" s="418">
        <f>AT55+AU55</f>
        <v>0</v>
      </c>
      <c r="AW55" s="418">
        <f>AQ55+AR55+AS55+AV55</f>
        <v>0</v>
      </c>
      <c r="AX55" s="419">
        <v>0</v>
      </c>
      <c r="AY55" s="419">
        <v>0</v>
      </c>
      <c r="AZ55" s="419">
        <v>0</v>
      </c>
      <c r="BA55" s="419">
        <v>0</v>
      </c>
      <c r="BB55" s="416">
        <v>0</v>
      </c>
      <c r="BC55" s="93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</v>
      </c>
      <c r="BH55" s="421">
        <f>SUM(BF55:BG55)</f>
        <v>0</v>
      </c>
      <c r="BI55" s="780">
        <f>I55+AW55</f>
        <v>5046071</v>
      </c>
      <c r="BJ55" s="418">
        <f>J55+AF55</f>
        <v>3686799</v>
      </c>
      <c r="BK55" s="418">
        <f t="shared" si="79"/>
        <v>3686799</v>
      </c>
      <c r="BL55" s="418">
        <f t="shared" si="79"/>
        <v>0</v>
      </c>
      <c r="BM55" s="418">
        <f>M55+AN55</f>
        <v>57000</v>
      </c>
      <c r="BN55" s="418">
        <f t="shared" si="80"/>
        <v>57000</v>
      </c>
      <c r="BO55" s="418">
        <f t="shared" si="80"/>
        <v>0</v>
      </c>
      <c r="BP55" s="418">
        <f t="shared" si="81"/>
        <v>1265404</v>
      </c>
      <c r="BQ55" s="418">
        <f t="shared" si="81"/>
        <v>36868</v>
      </c>
      <c r="BR55" s="418">
        <f>R55+AV55</f>
        <v>0</v>
      </c>
      <c r="BS55" s="419">
        <f>S55+BH55</f>
        <v>7.2092000000000001</v>
      </c>
      <c r="BT55" s="419">
        <f t="shared" si="82"/>
        <v>7.2092000000000001</v>
      </c>
      <c r="BU55" s="421">
        <f t="shared" si="82"/>
        <v>0</v>
      </c>
      <c r="BV55" s="420"/>
      <c r="BW55" s="415"/>
      <c r="BX55" s="415"/>
      <c r="BY55" s="415"/>
      <c r="BZ55" s="415"/>
      <c r="CA55" s="510"/>
    </row>
    <row r="56" spans="1:79" s="221" customFormat="1" x14ac:dyDescent="0.2">
      <c r="A56" s="209">
        <v>11</v>
      </c>
      <c r="B56" s="210">
        <v>4443</v>
      </c>
      <c r="C56" s="210">
        <v>600074994</v>
      </c>
      <c r="D56" s="210">
        <v>46750045</v>
      </c>
      <c r="E56" s="208" t="s">
        <v>166</v>
      </c>
      <c r="F56" s="210">
        <v>3143</v>
      </c>
      <c r="G56" s="165" t="s">
        <v>596</v>
      </c>
      <c r="H56" s="614" t="s">
        <v>272</v>
      </c>
      <c r="I56" s="511">
        <v>110133</v>
      </c>
      <c r="J56" s="415">
        <v>78830</v>
      </c>
      <c r="K56" s="415">
        <v>0</v>
      </c>
      <c r="L56" s="415">
        <v>78830</v>
      </c>
      <c r="M56" s="415">
        <v>0</v>
      </c>
      <c r="N56" s="415">
        <v>0</v>
      </c>
      <c r="O56" s="415">
        <v>0</v>
      </c>
      <c r="P56" s="68">
        <v>26645</v>
      </c>
      <c r="Q56" s="68">
        <v>788</v>
      </c>
      <c r="R56" s="415">
        <v>3870</v>
      </c>
      <c r="S56" s="416">
        <v>0.3</v>
      </c>
      <c r="T56" s="417">
        <v>0</v>
      </c>
      <c r="U56" s="423">
        <v>0.3</v>
      </c>
      <c r="V56" s="424">
        <f t="shared" si="77"/>
        <v>0</v>
      </c>
      <c r="W56" s="418">
        <f t="shared" si="77"/>
        <v>0</v>
      </c>
      <c r="X56" s="418">
        <v>0</v>
      </c>
      <c r="Y56" s="418">
        <v>0</v>
      </c>
      <c r="Z56" s="418">
        <v>0</v>
      </c>
      <c r="AA56" s="415">
        <v>39420</v>
      </c>
      <c r="AB56" s="418">
        <v>0</v>
      </c>
      <c r="AC56" s="418">
        <v>0</v>
      </c>
      <c r="AD56" s="418">
        <f>V56+X56+Y56+Z56+AB56</f>
        <v>0</v>
      </c>
      <c r="AE56" s="418">
        <f>W56+AA56+AC56</f>
        <v>39420</v>
      </c>
      <c r="AF56" s="418">
        <f>SUM(AD56:AE56)</f>
        <v>39420</v>
      </c>
      <c r="AG56" s="418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>AG56+AI56+AJ56</f>
        <v>0</v>
      </c>
      <c r="AM56" s="418">
        <f>AH56+AK56</f>
        <v>0</v>
      </c>
      <c r="AN56" s="418">
        <f>SUM(AL56:AM56)</f>
        <v>0</v>
      </c>
      <c r="AO56" s="418">
        <f t="shared" si="78"/>
        <v>0</v>
      </c>
      <c r="AP56" s="418">
        <f t="shared" si="78"/>
        <v>39420</v>
      </c>
      <c r="AQ56" s="418">
        <f>SUM(AO56:AP56)</f>
        <v>39420</v>
      </c>
      <c r="AR56" s="68">
        <f>ROUND((AF56+AG56+AH56+AI56)*33.8%,0)</f>
        <v>13324</v>
      </c>
      <c r="AS56" s="68">
        <f>ROUND(AF56*1%,0)</f>
        <v>394</v>
      </c>
      <c r="AT56" s="418">
        <v>0</v>
      </c>
      <c r="AU56" s="606">
        <v>1935</v>
      </c>
      <c r="AV56" s="418">
        <f>AT56+AU56</f>
        <v>1935</v>
      </c>
      <c r="AW56" s="418">
        <f>AQ56+AR56+AS56+AV56</f>
        <v>55073</v>
      </c>
      <c r="AX56" s="419">
        <v>0</v>
      </c>
      <c r="AY56" s="419">
        <v>0</v>
      </c>
      <c r="AZ56" s="419">
        <v>0</v>
      </c>
      <c r="BA56" s="419">
        <v>0</v>
      </c>
      <c r="BB56" s="607">
        <v>0.15</v>
      </c>
      <c r="BC56" s="939">
        <v>0</v>
      </c>
      <c r="BD56" s="419">
        <v>0</v>
      </c>
      <c r="BE56" s="419">
        <v>0</v>
      </c>
      <c r="BF56" s="419">
        <f>AX56+AZ56+BA56+BC56+BD56</f>
        <v>0</v>
      </c>
      <c r="BG56" s="419">
        <f>AY56+BB56+BE56</f>
        <v>0.15</v>
      </c>
      <c r="BH56" s="421">
        <f>SUM(BF56:BG56)</f>
        <v>0.15</v>
      </c>
      <c r="BI56" s="780">
        <f>I56+AW56</f>
        <v>165206</v>
      </c>
      <c r="BJ56" s="418">
        <f>J56+AF56</f>
        <v>118250</v>
      </c>
      <c r="BK56" s="418">
        <f t="shared" si="79"/>
        <v>0</v>
      </c>
      <c r="BL56" s="418">
        <f t="shared" si="79"/>
        <v>118250</v>
      </c>
      <c r="BM56" s="418">
        <f>M56+AN56</f>
        <v>0</v>
      </c>
      <c r="BN56" s="418">
        <f t="shared" si="80"/>
        <v>0</v>
      </c>
      <c r="BO56" s="418">
        <f t="shared" si="80"/>
        <v>0</v>
      </c>
      <c r="BP56" s="418">
        <f t="shared" si="81"/>
        <v>39969</v>
      </c>
      <c r="BQ56" s="418">
        <f t="shared" si="81"/>
        <v>1182</v>
      </c>
      <c r="BR56" s="418">
        <f>R56+AV56</f>
        <v>5805</v>
      </c>
      <c r="BS56" s="419">
        <f>S56+BH56</f>
        <v>0.44999999999999996</v>
      </c>
      <c r="BT56" s="419">
        <f t="shared" si="82"/>
        <v>0</v>
      </c>
      <c r="BU56" s="421">
        <f t="shared" si="82"/>
        <v>0.44999999999999996</v>
      </c>
      <c r="BV56" s="420"/>
      <c r="BW56" s="415"/>
      <c r="BX56" s="415"/>
      <c r="BY56" s="415"/>
      <c r="BZ56" s="415"/>
      <c r="CA56" s="510"/>
    </row>
    <row r="57" spans="1:79" s="221" customFormat="1" x14ac:dyDescent="0.2">
      <c r="A57" s="209">
        <v>11</v>
      </c>
      <c r="B57" s="210">
        <v>4443</v>
      </c>
      <c r="C57" s="210">
        <v>600074994</v>
      </c>
      <c r="D57" s="210">
        <v>46750045</v>
      </c>
      <c r="E57" s="208" t="s">
        <v>166</v>
      </c>
      <c r="F57" s="210">
        <v>3143</v>
      </c>
      <c r="G57" s="165" t="s">
        <v>296</v>
      </c>
      <c r="H57" s="614" t="s">
        <v>272</v>
      </c>
      <c r="I57" s="511">
        <v>396017</v>
      </c>
      <c r="J57" s="415">
        <v>293514</v>
      </c>
      <c r="K57" s="415">
        <v>282505</v>
      </c>
      <c r="L57" s="415">
        <v>11009</v>
      </c>
      <c r="M57" s="415">
        <v>0</v>
      </c>
      <c r="N57" s="415">
        <v>0</v>
      </c>
      <c r="O57" s="415">
        <v>0</v>
      </c>
      <c r="P57" s="68">
        <v>99208</v>
      </c>
      <c r="Q57" s="68">
        <v>2935</v>
      </c>
      <c r="R57" s="415">
        <v>360</v>
      </c>
      <c r="S57" s="416">
        <v>0.60000000000000009</v>
      </c>
      <c r="T57" s="417">
        <v>0.56000000000000005</v>
      </c>
      <c r="U57" s="423">
        <v>0.04</v>
      </c>
      <c r="V57" s="424">
        <f t="shared" si="77"/>
        <v>0</v>
      </c>
      <c r="W57" s="418">
        <f t="shared" si="77"/>
        <v>0</v>
      </c>
      <c r="X57" s="418">
        <v>0</v>
      </c>
      <c r="Y57" s="418">
        <v>0</v>
      </c>
      <c r="Z57" s="418">
        <v>0</v>
      </c>
      <c r="AA57" s="415">
        <v>5491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5491</v>
      </c>
      <c r="AF57" s="418">
        <f>SUM(AD57:AE57)</f>
        <v>5491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 t="shared" si="78"/>
        <v>0</v>
      </c>
      <c r="AP57" s="418">
        <f t="shared" si="78"/>
        <v>5491</v>
      </c>
      <c r="AQ57" s="418">
        <f>SUM(AO57:AP57)</f>
        <v>5491</v>
      </c>
      <c r="AR57" s="68">
        <f>ROUND((AF57+AG57+AH57+AI57)*33.8%,0)</f>
        <v>1856</v>
      </c>
      <c r="AS57" s="68">
        <f>ROUND(AF57*1%,0)</f>
        <v>55</v>
      </c>
      <c r="AT57" s="418">
        <v>0</v>
      </c>
      <c r="AU57" s="606">
        <v>180</v>
      </c>
      <c r="AV57" s="418">
        <f>AT57+AU57</f>
        <v>180</v>
      </c>
      <c r="AW57" s="418">
        <f>AQ57+AR57+AS57+AV57</f>
        <v>7582</v>
      </c>
      <c r="AX57" s="419">
        <v>0</v>
      </c>
      <c r="AY57" s="419">
        <v>0</v>
      </c>
      <c r="AZ57" s="419">
        <v>0</v>
      </c>
      <c r="BA57" s="419">
        <v>0</v>
      </c>
      <c r="BB57" s="607">
        <v>0.02</v>
      </c>
      <c r="BC57" s="93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0.02</v>
      </c>
      <c r="BH57" s="421">
        <f>SUM(BF57:BG57)</f>
        <v>0.02</v>
      </c>
      <c r="BI57" s="780">
        <f>I57+AW57</f>
        <v>403599</v>
      </c>
      <c r="BJ57" s="418">
        <f>J57+AF57</f>
        <v>299005</v>
      </c>
      <c r="BK57" s="418">
        <f t="shared" si="79"/>
        <v>282505</v>
      </c>
      <c r="BL57" s="418">
        <f t="shared" si="79"/>
        <v>16500</v>
      </c>
      <c r="BM57" s="418">
        <f>M57+AN57</f>
        <v>0</v>
      </c>
      <c r="BN57" s="418">
        <f t="shared" si="80"/>
        <v>0</v>
      </c>
      <c r="BO57" s="418">
        <f t="shared" si="80"/>
        <v>0</v>
      </c>
      <c r="BP57" s="418">
        <f t="shared" si="81"/>
        <v>101064</v>
      </c>
      <c r="BQ57" s="418">
        <f t="shared" si="81"/>
        <v>2990</v>
      </c>
      <c r="BR57" s="418">
        <f>R57+AV57</f>
        <v>540</v>
      </c>
      <c r="BS57" s="419">
        <f>S57+BH57</f>
        <v>0.62000000000000011</v>
      </c>
      <c r="BT57" s="419">
        <f t="shared" si="82"/>
        <v>0.56000000000000005</v>
      </c>
      <c r="BU57" s="421">
        <f t="shared" si="82"/>
        <v>0.06</v>
      </c>
      <c r="BV57" s="420"/>
      <c r="BW57" s="415"/>
      <c r="BX57" s="415"/>
      <c r="BY57" s="415"/>
      <c r="BZ57" s="415"/>
      <c r="CA57" s="510"/>
    </row>
    <row r="58" spans="1:79" s="221" customFormat="1" x14ac:dyDescent="0.2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13"/>
      <c r="I58" s="452">
        <v>70109672</v>
      </c>
      <c r="J58" s="445">
        <v>51182721</v>
      </c>
      <c r="K58" s="445">
        <v>48633987</v>
      </c>
      <c r="L58" s="445">
        <v>2548734</v>
      </c>
      <c r="M58" s="445">
        <v>230000</v>
      </c>
      <c r="N58" s="445">
        <v>230000</v>
      </c>
      <c r="O58" s="445">
        <v>0</v>
      </c>
      <c r="P58" s="445">
        <v>17377501</v>
      </c>
      <c r="Q58" s="445">
        <v>511826</v>
      </c>
      <c r="R58" s="445">
        <v>807624</v>
      </c>
      <c r="S58" s="446">
        <v>86.633099999999999</v>
      </c>
      <c r="T58" s="446">
        <v>78.721100000000007</v>
      </c>
      <c r="U58" s="450">
        <v>7.9120000000000008</v>
      </c>
      <c r="V58" s="448">
        <f t="shared" ref="V58:CA58" si="83">SUM(V53:V57)</f>
        <v>0</v>
      </c>
      <c r="W58" s="445">
        <f t="shared" si="83"/>
        <v>0</v>
      </c>
      <c r="X58" s="445">
        <f t="shared" si="83"/>
        <v>0</v>
      </c>
      <c r="Y58" s="445">
        <f t="shared" si="83"/>
        <v>0</v>
      </c>
      <c r="Z58" s="445">
        <f t="shared" si="83"/>
        <v>0</v>
      </c>
      <c r="AA58" s="445">
        <f t="shared" si="83"/>
        <v>44911</v>
      </c>
      <c r="AB58" s="445">
        <f t="shared" si="83"/>
        <v>0</v>
      </c>
      <c r="AC58" s="445">
        <f t="shared" si="83"/>
        <v>0</v>
      </c>
      <c r="AD58" s="445">
        <f t="shared" si="83"/>
        <v>0</v>
      </c>
      <c r="AE58" s="445">
        <f t="shared" si="83"/>
        <v>44911</v>
      </c>
      <c r="AF58" s="445">
        <f t="shared" si="83"/>
        <v>44911</v>
      </c>
      <c r="AG58" s="445">
        <f t="shared" si="83"/>
        <v>0</v>
      </c>
      <c r="AH58" s="445">
        <f t="shared" si="83"/>
        <v>0</v>
      </c>
      <c r="AI58" s="445">
        <f t="shared" si="83"/>
        <v>0</v>
      </c>
      <c r="AJ58" s="445">
        <f t="shared" si="83"/>
        <v>0</v>
      </c>
      <c r="AK58" s="445">
        <f t="shared" si="83"/>
        <v>0</v>
      </c>
      <c r="AL58" s="445">
        <f t="shared" si="83"/>
        <v>0</v>
      </c>
      <c r="AM58" s="445">
        <f t="shared" si="83"/>
        <v>0</v>
      </c>
      <c r="AN58" s="445">
        <f t="shared" si="83"/>
        <v>0</v>
      </c>
      <c r="AO58" s="445">
        <f t="shared" si="83"/>
        <v>0</v>
      </c>
      <c r="AP58" s="445">
        <f t="shared" si="83"/>
        <v>44911</v>
      </c>
      <c r="AQ58" s="445">
        <f t="shared" si="83"/>
        <v>44911</v>
      </c>
      <c r="AR58" s="445">
        <f t="shared" si="83"/>
        <v>15180</v>
      </c>
      <c r="AS58" s="445">
        <f t="shared" si="83"/>
        <v>449</v>
      </c>
      <c r="AT58" s="445">
        <f t="shared" si="83"/>
        <v>0</v>
      </c>
      <c r="AU58" s="445">
        <f t="shared" si="83"/>
        <v>2115</v>
      </c>
      <c r="AV58" s="445">
        <f t="shared" si="83"/>
        <v>2115</v>
      </c>
      <c r="AW58" s="445">
        <f t="shared" si="83"/>
        <v>62655</v>
      </c>
      <c r="AX58" s="446">
        <f t="shared" si="83"/>
        <v>0</v>
      </c>
      <c r="AY58" s="446">
        <f t="shared" si="83"/>
        <v>0</v>
      </c>
      <c r="AZ58" s="446">
        <f t="shared" si="83"/>
        <v>0</v>
      </c>
      <c r="BA58" s="446">
        <f t="shared" si="83"/>
        <v>0</v>
      </c>
      <c r="BB58" s="446">
        <f t="shared" si="83"/>
        <v>0.16999999999999998</v>
      </c>
      <c r="BC58" s="948">
        <f t="shared" si="83"/>
        <v>0</v>
      </c>
      <c r="BD58" s="446">
        <f t="shared" si="83"/>
        <v>0</v>
      </c>
      <c r="BE58" s="446">
        <f t="shared" si="83"/>
        <v>0</v>
      </c>
      <c r="BF58" s="446">
        <f t="shared" si="83"/>
        <v>0</v>
      </c>
      <c r="BG58" s="446">
        <f t="shared" si="83"/>
        <v>0.16999999999999998</v>
      </c>
      <c r="BH58" s="39">
        <f t="shared" si="83"/>
        <v>0.16999999999999998</v>
      </c>
      <c r="BI58" s="452">
        <f t="shared" si="83"/>
        <v>70172327</v>
      </c>
      <c r="BJ58" s="445">
        <f t="shared" si="83"/>
        <v>51227632</v>
      </c>
      <c r="BK58" s="445">
        <f t="shared" si="83"/>
        <v>48633987</v>
      </c>
      <c r="BL58" s="445">
        <f t="shared" si="83"/>
        <v>2593645</v>
      </c>
      <c r="BM58" s="445">
        <f t="shared" si="83"/>
        <v>230000</v>
      </c>
      <c r="BN58" s="445">
        <f t="shared" si="83"/>
        <v>230000</v>
      </c>
      <c r="BO58" s="445">
        <f t="shared" si="83"/>
        <v>0</v>
      </c>
      <c r="BP58" s="445">
        <f t="shared" si="83"/>
        <v>17392681</v>
      </c>
      <c r="BQ58" s="445">
        <f t="shared" si="83"/>
        <v>512275</v>
      </c>
      <c r="BR58" s="445">
        <f t="shared" si="83"/>
        <v>809739</v>
      </c>
      <c r="BS58" s="446">
        <f t="shared" si="83"/>
        <v>86.803100000000015</v>
      </c>
      <c r="BT58" s="446">
        <f t="shared" si="83"/>
        <v>78.721100000000007</v>
      </c>
      <c r="BU58" s="39">
        <f t="shared" si="83"/>
        <v>8.0820000000000007</v>
      </c>
      <c r="BV58" s="833">
        <f t="shared" si="83"/>
        <v>380136</v>
      </c>
      <c r="BW58" s="715">
        <f t="shared" si="83"/>
        <v>282000</v>
      </c>
      <c r="BX58" s="715">
        <f t="shared" si="83"/>
        <v>0</v>
      </c>
      <c r="BY58" s="715">
        <f t="shared" si="83"/>
        <v>95316</v>
      </c>
      <c r="BZ58" s="715">
        <f t="shared" si="83"/>
        <v>2820</v>
      </c>
      <c r="CA58" s="834">
        <f t="shared" si="83"/>
        <v>0.5</v>
      </c>
    </row>
    <row r="59" spans="1:79" s="221" customFormat="1" x14ac:dyDescent="0.2">
      <c r="A59" s="209">
        <v>12</v>
      </c>
      <c r="B59" s="210">
        <v>4438</v>
      </c>
      <c r="C59" s="210">
        <v>600074871</v>
      </c>
      <c r="D59" s="210">
        <v>49864599</v>
      </c>
      <c r="E59" s="208" t="s">
        <v>168</v>
      </c>
      <c r="F59" s="210">
        <v>3113</v>
      </c>
      <c r="G59" s="165" t="s">
        <v>293</v>
      </c>
      <c r="H59" s="626" t="s">
        <v>271</v>
      </c>
      <c r="I59" s="511">
        <v>40547959</v>
      </c>
      <c r="J59" s="415">
        <v>29565495</v>
      </c>
      <c r="K59" s="415">
        <v>27736513</v>
      </c>
      <c r="L59" s="415">
        <v>1828982</v>
      </c>
      <c r="M59" s="415">
        <v>110000</v>
      </c>
      <c r="N59" s="415">
        <v>90000</v>
      </c>
      <c r="O59" s="415">
        <v>20000</v>
      </c>
      <c r="P59" s="68">
        <v>10030317</v>
      </c>
      <c r="Q59" s="68">
        <v>295654</v>
      </c>
      <c r="R59" s="415">
        <v>546493</v>
      </c>
      <c r="S59" s="416">
        <v>45.745399999999997</v>
      </c>
      <c r="T59" s="417">
        <v>40.266300000000001</v>
      </c>
      <c r="U59" s="423">
        <v>5.4791000000000007</v>
      </c>
      <c r="V59" s="424">
        <f t="shared" ref="V59:W64" si="84">AG59*-1</f>
        <v>0</v>
      </c>
      <c r="W59" s="418">
        <f t="shared" si="84"/>
        <v>0</v>
      </c>
      <c r="X59" s="418">
        <v>0</v>
      </c>
      <c r="Y59" s="418">
        <v>0</v>
      </c>
      <c r="Z59" s="418">
        <v>0</v>
      </c>
      <c r="AA59" s="415">
        <v>0</v>
      </c>
      <c r="AB59" s="418">
        <v>0</v>
      </c>
      <c r="AC59" s="418">
        <v>0</v>
      </c>
      <c r="AD59" s="418">
        <f t="shared" ref="AD59:AD64" si="85">V59+X59+Y59+Z59+AB59</f>
        <v>0</v>
      </c>
      <c r="AE59" s="418">
        <f t="shared" ref="AE59:AE64" si="86">W59+AA59+AC59</f>
        <v>0</v>
      </c>
      <c r="AF59" s="418">
        <f t="shared" ref="AF59:AF64" si="87"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ref="AL59:AL64" si="88">AG59+AI59+AJ59</f>
        <v>0</v>
      </c>
      <c r="AM59" s="418">
        <f t="shared" ref="AM59:AM64" si="89">AH59+AK59</f>
        <v>0</v>
      </c>
      <c r="AN59" s="418">
        <f t="shared" ref="AN59:AN64" si="90">SUM(AL59:AM59)</f>
        <v>0</v>
      </c>
      <c r="AO59" s="418">
        <f t="shared" ref="AO59:AP64" si="91">AD59+AL59</f>
        <v>0</v>
      </c>
      <c r="AP59" s="418">
        <f t="shared" si="91"/>
        <v>0</v>
      </c>
      <c r="AQ59" s="418">
        <f t="shared" ref="AQ59:AQ64" si="92">SUM(AO59:AP59)</f>
        <v>0</v>
      </c>
      <c r="AR59" s="68">
        <f t="shared" ref="AR59:AR64" si="93">ROUND((AF59+AG59+AH59+AI59)*33.8%,0)</f>
        <v>0</v>
      </c>
      <c r="AS59" s="68">
        <f t="shared" ref="AS59:AS64" si="94">ROUND(AF59*1%,0)</f>
        <v>0</v>
      </c>
      <c r="AT59" s="418">
        <v>0</v>
      </c>
      <c r="AU59" s="415">
        <v>0</v>
      </c>
      <c r="AV59" s="418">
        <f t="shared" ref="AV59:AV64" si="95">AT59+AU59</f>
        <v>0</v>
      </c>
      <c r="AW59" s="418">
        <f t="shared" ref="AW59:AW64" si="96"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6">
        <v>0</v>
      </c>
      <c r="BC59" s="939">
        <v>0</v>
      </c>
      <c r="BD59" s="419">
        <v>0</v>
      </c>
      <c r="BE59" s="419">
        <v>0</v>
      </c>
      <c r="BF59" s="419">
        <f t="shared" ref="BF59:BF64" si="97">AX59+AZ59+BA59+BC59+BD59</f>
        <v>0</v>
      </c>
      <c r="BG59" s="419">
        <f t="shared" ref="BG59:BG64" si="98">AY59+BB59+BE59</f>
        <v>0</v>
      </c>
      <c r="BH59" s="421">
        <f t="shared" ref="BH59:BH64" si="99">SUM(BF59:BG59)</f>
        <v>0</v>
      </c>
      <c r="BI59" s="780">
        <f t="shared" ref="BI59:BI64" si="100">I59+AW59</f>
        <v>40547959</v>
      </c>
      <c r="BJ59" s="418">
        <f t="shared" ref="BJ59:BJ64" si="101">J59+AF59</f>
        <v>29565495</v>
      </c>
      <c r="BK59" s="418">
        <f t="shared" ref="BK59:BL64" si="102">K59+AD59</f>
        <v>27736513</v>
      </c>
      <c r="BL59" s="418">
        <f t="shared" si="102"/>
        <v>1828982</v>
      </c>
      <c r="BM59" s="418">
        <f t="shared" ref="BM59:BM64" si="103">M59+AN59</f>
        <v>110000</v>
      </c>
      <c r="BN59" s="418">
        <f t="shared" ref="BN59:BO64" si="104">N59+AL59</f>
        <v>90000</v>
      </c>
      <c r="BO59" s="418">
        <f t="shared" si="104"/>
        <v>20000</v>
      </c>
      <c r="BP59" s="418">
        <f t="shared" ref="BP59:BQ64" si="105">P59+AR59</f>
        <v>10030317</v>
      </c>
      <c r="BQ59" s="418">
        <f t="shared" si="105"/>
        <v>295654</v>
      </c>
      <c r="BR59" s="418">
        <f t="shared" ref="BR59:BR64" si="106">R59+AV59</f>
        <v>546493</v>
      </c>
      <c r="BS59" s="419">
        <f t="shared" ref="BS59:BS64" si="107">S59+BH59</f>
        <v>45.745399999999997</v>
      </c>
      <c r="BT59" s="419">
        <f t="shared" ref="BT59:BU64" si="108">T59+BF59</f>
        <v>40.266300000000001</v>
      </c>
      <c r="BU59" s="421">
        <f t="shared" si="108"/>
        <v>5.4791000000000007</v>
      </c>
      <c r="BV59" s="420">
        <v>760272</v>
      </c>
      <c r="BW59" s="415">
        <v>564000</v>
      </c>
      <c r="BX59" s="415">
        <v>0</v>
      </c>
      <c r="BY59" s="415">
        <v>190632</v>
      </c>
      <c r="BZ59" s="415">
        <v>5640</v>
      </c>
      <c r="CA59" s="510">
        <v>1</v>
      </c>
    </row>
    <row r="60" spans="1:79" s="221" customFormat="1" x14ac:dyDescent="0.2">
      <c r="A60" s="209">
        <v>12</v>
      </c>
      <c r="B60" s="210">
        <v>4438</v>
      </c>
      <c r="C60" s="210">
        <v>600074871</v>
      </c>
      <c r="D60" s="210">
        <v>49864599</v>
      </c>
      <c r="E60" s="208" t="s">
        <v>168</v>
      </c>
      <c r="F60" s="210">
        <v>3113</v>
      </c>
      <c r="G60" s="165" t="s">
        <v>291</v>
      </c>
      <c r="H60" s="626" t="s">
        <v>272</v>
      </c>
      <c r="I60" s="511">
        <v>7283274</v>
      </c>
      <c r="J60" s="415">
        <v>5397310</v>
      </c>
      <c r="K60" s="415">
        <v>5397310</v>
      </c>
      <c r="L60" s="415">
        <v>0</v>
      </c>
      <c r="M60" s="415">
        <v>0</v>
      </c>
      <c r="N60" s="415">
        <v>0</v>
      </c>
      <c r="O60" s="415">
        <v>0</v>
      </c>
      <c r="P60" s="68">
        <v>1824291</v>
      </c>
      <c r="Q60" s="68">
        <v>53973</v>
      </c>
      <c r="R60" s="415">
        <v>7700</v>
      </c>
      <c r="S60" s="416">
        <v>14.66</v>
      </c>
      <c r="T60" s="417">
        <v>14.66</v>
      </c>
      <c r="U60" s="423">
        <v>0</v>
      </c>
      <c r="V60" s="424">
        <f t="shared" si="84"/>
        <v>0</v>
      </c>
      <c r="W60" s="418">
        <f t="shared" si="84"/>
        <v>0</v>
      </c>
      <c r="X60" s="418">
        <v>0</v>
      </c>
      <c r="Y60" s="418">
        <v>0</v>
      </c>
      <c r="Z60" s="418">
        <v>0</v>
      </c>
      <c r="AA60" s="415">
        <v>0</v>
      </c>
      <c r="AB60" s="418">
        <v>0</v>
      </c>
      <c r="AC60" s="418">
        <v>0</v>
      </c>
      <c r="AD60" s="418">
        <f t="shared" si="85"/>
        <v>0</v>
      </c>
      <c r="AE60" s="418">
        <f t="shared" si="86"/>
        <v>0</v>
      </c>
      <c r="AF60" s="418">
        <f t="shared" si="87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88"/>
        <v>0</v>
      </c>
      <c r="AM60" s="418">
        <f t="shared" si="89"/>
        <v>0</v>
      </c>
      <c r="AN60" s="418">
        <f t="shared" si="90"/>
        <v>0</v>
      </c>
      <c r="AO60" s="418">
        <f t="shared" si="91"/>
        <v>0</v>
      </c>
      <c r="AP60" s="418">
        <f t="shared" si="91"/>
        <v>0</v>
      </c>
      <c r="AQ60" s="418">
        <f t="shared" si="92"/>
        <v>0</v>
      </c>
      <c r="AR60" s="68">
        <f t="shared" si="93"/>
        <v>0</v>
      </c>
      <c r="AS60" s="68">
        <f t="shared" si="94"/>
        <v>0</v>
      </c>
      <c r="AT60" s="418">
        <v>0</v>
      </c>
      <c r="AU60" s="415">
        <v>0</v>
      </c>
      <c r="AV60" s="418">
        <f t="shared" si="95"/>
        <v>0</v>
      </c>
      <c r="AW60" s="418">
        <f t="shared" si="96"/>
        <v>0</v>
      </c>
      <c r="AX60" s="419">
        <v>0</v>
      </c>
      <c r="AY60" s="419">
        <v>0</v>
      </c>
      <c r="AZ60" s="419">
        <v>0</v>
      </c>
      <c r="BA60" s="419">
        <v>0</v>
      </c>
      <c r="BB60" s="416">
        <v>0</v>
      </c>
      <c r="BC60" s="939">
        <v>0</v>
      </c>
      <c r="BD60" s="419">
        <v>0</v>
      </c>
      <c r="BE60" s="419">
        <v>0</v>
      </c>
      <c r="BF60" s="419">
        <f t="shared" si="97"/>
        <v>0</v>
      </c>
      <c r="BG60" s="419">
        <f t="shared" si="98"/>
        <v>0</v>
      </c>
      <c r="BH60" s="421">
        <f t="shared" si="99"/>
        <v>0</v>
      </c>
      <c r="BI60" s="780">
        <f t="shared" si="100"/>
        <v>7283274</v>
      </c>
      <c r="BJ60" s="418">
        <f t="shared" si="101"/>
        <v>5397310</v>
      </c>
      <c r="BK60" s="418">
        <f t="shared" si="102"/>
        <v>5397310</v>
      </c>
      <c r="BL60" s="418">
        <f t="shared" si="102"/>
        <v>0</v>
      </c>
      <c r="BM60" s="418">
        <f t="shared" si="103"/>
        <v>0</v>
      </c>
      <c r="BN60" s="418">
        <f t="shared" si="104"/>
        <v>0</v>
      </c>
      <c r="BO60" s="418">
        <f t="shared" si="104"/>
        <v>0</v>
      </c>
      <c r="BP60" s="418">
        <f t="shared" si="105"/>
        <v>1824291</v>
      </c>
      <c r="BQ60" s="418">
        <f t="shared" si="105"/>
        <v>53973</v>
      </c>
      <c r="BR60" s="418">
        <f t="shared" si="106"/>
        <v>7700</v>
      </c>
      <c r="BS60" s="419">
        <f t="shared" si="107"/>
        <v>14.66</v>
      </c>
      <c r="BT60" s="419">
        <f t="shared" si="108"/>
        <v>14.66</v>
      </c>
      <c r="BU60" s="421">
        <f t="shared" si="108"/>
        <v>0</v>
      </c>
      <c r="BV60" s="420"/>
      <c r="BW60" s="415"/>
      <c r="BX60" s="415"/>
      <c r="BY60" s="415"/>
      <c r="BZ60" s="415"/>
      <c r="CA60" s="510"/>
    </row>
    <row r="61" spans="1:79" s="221" customFormat="1" x14ac:dyDescent="0.2">
      <c r="A61" s="209">
        <v>12</v>
      </c>
      <c r="B61" s="210">
        <v>4438</v>
      </c>
      <c r="C61" s="210">
        <v>600074871</v>
      </c>
      <c r="D61" s="210">
        <v>49864599</v>
      </c>
      <c r="E61" s="208" t="s">
        <v>168</v>
      </c>
      <c r="F61" s="210">
        <v>3141</v>
      </c>
      <c r="G61" s="165" t="s">
        <v>294</v>
      </c>
      <c r="H61" s="626" t="s">
        <v>272</v>
      </c>
      <c r="I61" s="511">
        <v>2149736</v>
      </c>
      <c r="J61" s="415">
        <v>1572930</v>
      </c>
      <c r="K61" s="415">
        <v>0</v>
      </c>
      <c r="L61" s="415">
        <v>1572930</v>
      </c>
      <c r="M61" s="415">
        <v>10000</v>
      </c>
      <c r="N61" s="415">
        <v>0</v>
      </c>
      <c r="O61" s="415">
        <v>10000</v>
      </c>
      <c r="P61" s="68">
        <v>535030</v>
      </c>
      <c r="Q61" s="68">
        <v>15729</v>
      </c>
      <c r="R61" s="415">
        <v>16047</v>
      </c>
      <c r="S61" s="416">
        <v>4.75</v>
      </c>
      <c r="T61" s="417">
        <v>0</v>
      </c>
      <c r="U61" s="423">
        <v>4.75</v>
      </c>
      <c r="V61" s="424">
        <f t="shared" si="84"/>
        <v>0</v>
      </c>
      <c r="W61" s="418">
        <f t="shared" si="84"/>
        <v>0</v>
      </c>
      <c r="X61" s="418">
        <v>0</v>
      </c>
      <c r="Y61" s="418">
        <v>0</v>
      </c>
      <c r="Z61" s="418">
        <v>0</v>
      </c>
      <c r="AA61" s="605">
        <v>791258</v>
      </c>
      <c r="AB61" s="418">
        <v>0</v>
      </c>
      <c r="AC61" s="418">
        <v>0</v>
      </c>
      <c r="AD61" s="418">
        <f t="shared" si="85"/>
        <v>0</v>
      </c>
      <c r="AE61" s="418">
        <f t="shared" si="86"/>
        <v>791258</v>
      </c>
      <c r="AF61" s="418">
        <f t="shared" si="87"/>
        <v>791258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88"/>
        <v>0</v>
      </c>
      <c r="AM61" s="418">
        <f t="shared" si="89"/>
        <v>0</v>
      </c>
      <c r="AN61" s="418">
        <f t="shared" si="90"/>
        <v>0</v>
      </c>
      <c r="AO61" s="418">
        <f t="shared" si="91"/>
        <v>0</v>
      </c>
      <c r="AP61" s="418">
        <f t="shared" si="91"/>
        <v>791258</v>
      </c>
      <c r="AQ61" s="418">
        <f t="shared" si="92"/>
        <v>791258</v>
      </c>
      <c r="AR61" s="68">
        <f t="shared" si="93"/>
        <v>267445</v>
      </c>
      <c r="AS61" s="68">
        <f t="shared" si="94"/>
        <v>7913</v>
      </c>
      <c r="AT61" s="418">
        <v>0</v>
      </c>
      <c r="AU61" s="605">
        <v>7785</v>
      </c>
      <c r="AV61" s="418">
        <f t="shared" si="95"/>
        <v>7785</v>
      </c>
      <c r="AW61" s="418">
        <f t="shared" si="96"/>
        <v>1074401</v>
      </c>
      <c r="AX61" s="419">
        <v>0</v>
      </c>
      <c r="AY61" s="419">
        <v>0</v>
      </c>
      <c r="AZ61" s="419">
        <v>0</v>
      </c>
      <c r="BA61" s="419">
        <v>0</v>
      </c>
      <c r="BB61" s="607">
        <v>2.37</v>
      </c>
      <c r="BC61" s="939">
        <v>0</v>
      </c>
      <c r="BD61" s="419">
        <v>0</v>
      </c>
      <c r="BE61" s="419">
        <v>0</v>
      </c>
      <c r="BF61" s="419">
        <f t="shared" si="97"/>
        <v>0</v>
      </c>
      <c r="BG61" s="419">
        <f t="shared" si="98"/>
        <v>2.37</v>
      </c>
      <c r="BH61" s="421">
        <f t="shared" si="99"/>
        <v>2.37</v>
      </c>
      <c r="BI61" s="780">
        <f t="shared" si="100"/>
        <v>3224137</v>
      </c>
      <c r="BJ61" s="418">
        <f t="shared" si="101"/>
        <v>2364188</v>
      </c>
      <c r="BK61" s="418">
        <f t="shared" si="102"/>
        <v>0</v>
      </c>
      <c r="BL61" s="418">
        <f t="shared" si="102"/>
        <v>2364188</v>
      </c>
      <c r="BM61" s="418">
        <f t="shared" si="103"/>
        <v>10000</v>
      </c>
      <c r="BN61" s="418">
        <f t="shared" si="104"/>
        <v>0</v>
      </c>
      <c r="BO61" s="418">
        <f t="shared" si="104"/>
        <v>10000</v>
      </c>
      <c r="BP61" s="418">
        <f t="shared" si="105"/>
        <v>802475</v>
      </c>
      <c r="BQ61" s="418">
        <f t="shared" si="105"/>
        <v>23642</v>
      </c>
      <c r="BR61" s="418">
        <f t="shared" si="106"/>
        <v>23832</v>
      </c>
      <c r="BS61" s="419">
        <f t="shared" si="107"/>
        <v>7.12</v>
      </c>
      <c r="BT61" s="419">
        <f t="shared" si="108"/>
        <v>0</v>
      </c>
      <c r="BU61" s="421">
        <f t="shared" si="108"/>
        <v>7.12</v>
      </c>
      <c r="BV61" s="420"/>
      <c r="BW61" s="415"/>
      <c r="BX61" s="415"/>
      <c r="BY61" s="415"/>
      <c r="BZ61" s="415"/>
      <c r="CA61" s="510"/>
    </row>
    <row r="62" spans="1:79" s="221" customFormat="1" x14ac:dyDescent="0.2">
      <c r="A62" s="209">
        <v>12</v>
      </c>
      <c r="B62" s="210">
        <v>4438</v>
      </c>
      <c r="C62" s="210">
        <v>600074871</v>
      </c>
      <c r="D62" s="210">
        <v>49864599</v>
      </c>
      <c r="E62" s="208" t="s">
        <v>168</v>
      </c>
      <c r="F62" s="210">
        <v>3143</v>
      </c>
      <c r="G62" s="165" t="s">
        <v>595</v>
      </c>
      <c r="H62" s="614" t="s">
        <v>271</v>
      </c>
      <c r="I62" s="511">
        <v>3865736</v>
      </c>
      <c r="J62" s="415">
        <v>2867756</v>
      </c>
      <c r="K62" s="415">
        <v>2867756</v>
      </c>
      <c r="L62" s="415">
        <v>0</v>
      </c>
      <c r="M62" s="415">
        <v>0</v>
      </c>
      <c r="N62" s="415">
        <v>0</v>
      </c>
      <c r="O62" s="415">
        <v>0</v>
      </c>
      <c r="P62" s="68">
        <v>969302</v>
      </c>
      <c r="Q62" s="68">
        <v>28678</v>
      </c>
      <c r="R62" s="415">
        <v>0</v>
      </c>
      <c r="S62" s="416">
        <v>5.8541999999999996</v>
      </c>
      <c r="T62" s="417">
        <v>5.8541999999999996</v>
      </c>
      <c r="U62" s="423">
        <v>0</v>
      </c>
      <c r="V62" s="424">
        <f t="shared" si="84"/>
        <v>0</v>
      </c>
      <c r="W62" s="418">
        <f t="shared" si="84"/>
        <v>0</v>
      </c>
      <c r="X62" s="418">
        <v>0</v>
      </c>
      <c r="Y62" s="418">
        <v>0</v>
      </c>
      <c r="Z62" s="418">
        <v>0</v>
      </c>
      <c r="AA62" s="415">
        <v>0</v>
      </c>
      <c r="AB62" s="418">
        <v>0</v>
      </c>
      <c r="AC62" s="418">
        <v>0</v>
      </c>
      <c r="AD62" s="418">
        <f t="shared" si="85"/>
        <v>0</v>
      </c>
      <c r="AE62" s="418">
        <f t="shared" si="86"/>
        <v>0</v>
      </c>
      <c r="AF62" s="418">
        <f t="shared" si="87"/>
        <v>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88"/>
        <v>0</v>
      </c>
      <c r="AM62" s="418">
        <f t="shared" si="89"/>
        <v>0</v>
      </c>
      <c r="AN62" s="418">
        <f t="shared" si="90"/>
        <v>0</v>
      </c>
      <c r="AO62" s="418">
        <f t="shared" si="91"/>
        <v>0</v>
      </c>
      <c r="AP62" s="418">
        <f t="shared" si="91"/>
        <v>0</v>
      </c>
      <c r="AQ62" s="418">
        <f t="shared" si="92"/>
        <v>0</v>
      </c>
      <c r="AR62" s="68">
        <f t="shared" si="93"/>
        <v>0</v>
      </c>
      <c r="AS62" s="68">
        <f t="shared" si="94"/>
        <v>0</v>
      </c>
      <c r="AT62" s="418">
        <v>0</v>
      </c>
      <c r="AU62" s="415">
        <v>0</v>
      </c>
      <c r="AV62" s="418">
        <f t="shared" si="95"/>
        <v>0</v>
      </c>
      <c r="AW62" s="418">
        <f t="shared" si="96"/>
        <v>0</v>
      </c>
      <c r="AX62" s="419">
        <v>0</v>
      </c>
      <c r="AY62" s="419">
        <v>0</v>
      </c>
      <c r="AZ62" s="419">
        <v>0</v>
      </c>
      <c r="BA62" s="419">
        <v>0</v>
      </c>
      <c r="BB62" s="416">
        <v>0</v>
      </c>
      <c r="BC62" s="939">
        <v>0</v>
      </c>
      <c r="BD62" s="419">
        <v>0</v>
      </c>
      <c r="BE62" s="419">
        <v>0</v>
      </c>
      <c r="BF62" s="419">
        <f t="shared" si="97"/>
        <v>0</v>
      </c>
      <c r="BG62" s="419">
        <f t="shared" si="98"/>
        <v>0</v>
      </c>
      <c r="BH62" s="421">
        <f t="shared" si="99"/>
        <v>0</v>
      </c>
      <c r="BI62" s="780">
        <f t="shared" si="100"/>
        <v>3865736</v>
      </c>
      <c r="BJ62" s="418">
        <f t="shared" si="101"/>
        <v>2867756</v>
      </c>
      <c r="BK62" s="418">
        <f t="shared" si="102"/>
        <v>2867756</v>
      </c>
      <c r="BL62" s="418">
        <f t="shared" si="102"/>
        <v>0</v>
      </c>
      <c r="BM62" s="418">
        <f t="shared" si="103"/>
        <v>0</v>
      </c>
      <c r="BN62" s="418">
        <f t="shared" si="104"/>
        <v>0</v>
      </c>
      <c r="BO62" s="418">
        <f t="shared" si="104"/>
        <v>0</v>
      </c>
      <c r="BP62" s="418">
        <f t="shared" si="105"/>
        <v>969302</v>
      </c>
      <c r="BQ62" s="418">
        <f t="shared" si="105"/>
        <v>28678</v>
      </c>
      <c r="BR62" s="418">
        <f t="shared" si="106"/>
        <v>0</v>
      </c>
      <c r="BS62" s="419">
        <f t="shared" si="107"/>
        <v>5.8541999999999996</v>
      </c>
      <c r="BT62" s="419">
        <f t="shared" si="108"/>
        <v>5.8541999999999996</v>
      </c>
      <c r="BU62" s="421">
        <f t="shared" si="108"/>
        <v>0</v>
      </c>
      <c r="BV62" s="420"/>
      <c r="BW62" s="415"/>
      <c r="BX62" s="415"/>
      <c r="BY62" s="415"/>
      <c r="BZ62" s="415"/>
      <c r="CA62" s="510"/>
    </row>
    <row r="63" spans="1:79" s="221" customFormat="1" x14ac:dyDescent="0.2">
      <c r="A63" s="209">
        <v>12</v>
      </c>
      <c r="B63" s="210">
        <v>4438</v>
      </c>
      <c r="C63" s="210">
        <v>600074871</v>
      </c>
      <c r="D63" s="210">
        <v>49864599</v>
      </c>
      <c r="E63" s="208" t="s">
        <v>168</v>
      </c>
      <c r="F63" s="210">
        <v>3143</v>
      </c>
      <c r="G63" s="165" t="s">
        <v>596</v>
      </c>
      <c r="H63" s="614" t="s">
        <v>272</v>
      </c>
      <c r="I63" s="511">
        <v>93205</v>
      </c>
      <c r="J63" s="415">
        <v>66713</v>
      </c>
      <c r="K63" s="415">
        <v>0</v>
      </c>
      <c r="L63" s="415">
        <v>66713</v>
      </c>
      <c r="M63" s="415">
        <v>0</v>
      </c>
      <c r="N63" s="415">
        <v>0</v>
      </c>
      <c r="O63" s="415">
        <v>0</v>
      </c>
      <c r="P63" s="68">
        <v>22549</v>
      </c>
      <c r="Q63" s="68">
        <v>667</v>
      </c>
      <c r="R63" s="415">
        <v>3276</v>
      </c>
      <c r="S63" s="416">
        <v>0.25</v>
      </c>
      <c r="T63" s="417">
        <v>0</v>
      </c>
      <c r="U63" s="423">
        <v>0.25</v>
      </c>
      <c r="V63" s="424">
        <f t="shared" si="84"/>
        <v>0</v>
      </c>
      <c r="W63" s="418">
        <f t="shared" si="84"/>
        <v>0</v>
      </c>
      <c r="X63" s="418">
        <v>0</v>
      </c>
      <c r="Y63" s="418">
        <v>0</v>
      </c>
      <c r="Z63" s="418">
        <v>0</v>
      </c>
      <c r="AA63" s="415">
        <v>33387</v>
      </c>
      <c r="AB63" s="418">
        <v>0</v>
      </c>
      <c r="AC63" s="418">
        <v>0</v>
      </c>
      <c r="AD63" s="418">
        <f t="shared" si="85"/>
        <v>0</v>
      </c>
      <c r="AE63" s="418">
        <f t="shared" si="86"/>
        <v>33387</v>
      </c>
      <c r="AF63" s="418">
        <f t="shared" si="87"/>
        <v>33387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88"/>
        <v>0</v>
      </c>
      <c r="AM63" s="418">
        <f t="shared" si="89"/>
        <v>0</v>
      </c>
      <c r="AN63" s="418">
        <f t="shared" si="90"/>
        <v>0</v>
      </c>
      <c r="AO63" s="418">
        <f t="shared" si="91"/>
        <v>0</v>
      </c>
      <c r="AP63" s="418">
        <f t="shared" si="91"/>
        <v>33387</v>
      </c>
      <c r="AQ63" s="418">
        <f t="shared" si="92"/>
        <v>33387</v>
      </c>
      <c r="AR63" s="68">
        <f t="shared" si="93"/>
        <v>11285</v>
      </c>
      <c r="AS63" s="68">
        <f t="shared" si="94"/>
        <v>334</v>
      </c>
      <c r="AT63" s="418">
        <v>0</v>
      </c>
      <c r="AU63" s="415">
        <v>1638</v>
      </c>
      <c r="AV63" s="418">
        <f t="shared" si="95"/>
        <v>1638</v>
      </c>
      <c r="AW63" s="418">
        <f t="shared" si="96"/>
        <v>46644</v>
      </c>
      <c r="AX63" s="419">
        <v>0</v>
      </c>
      <c r="AY63" s="419">
        <v>0</v>
      </c>
      <c r="AZ63" s="419">
        <v>0</v>
      </c>
      <c r="BA63" s="419">
        <v>0</v>
      </c>
      <c r="BB63" s="416">
        <v>0.13</v>
      </c>
      <c r="BC63" s="939">
        <v>0</v>
      </c>
      <c r="BD63" s="419">
        <v>0</v>
      </c>
      <c r="BE63" s="419">
        <v>0</v>
      </c>
      <c r="BF63" s="419">
        <f t="shared" si="97"/>
        <v>0</v>
      </c>
      <c r="BG63" s="419">
        <f t="shared" si="98"/>
        <v>0.13</v>
      </c>
      <c r="BH63" s="421">
        <f t="shared" si="99"/>
        <v>0.13</v>
      </c>
      <c r="BI63" s="780">
        <f t="shared" si="100"/>
        <v>139849</v>
      </c>
      <c r="BJ63" s="418">
        <f t="shared" si="101"/>
        <v>100100</v>
      </c>
      <c r="BK63" s="418">
        <f t="shared" si="102"/>
        <v>0</v>
      </c>
      <c r="BL63" s="418">
        <f t="shared" si="102"/>
        <v>100100</v>
      </c>
      <c r="BM63" s="418">
        <f t="shared" si="103"/>
        <v>0</v>
      </c>
      <c r="BN63" s="418">
        <f t="shared" si="104"/>
        <v>0</v>
      </c>
      <c r="BO63" s="418">
        <f t="shared" si="104"/>
        <v>0</v>
      </c>
      <c r="BP63" s="418">
        <f t="shared" si="105"/>
        <v>33834</v>
      </c>
      <c r="BQ63" s="418">
        <f t="shared" si="105"/>
        <v>1001</v>
      </c>
      <c r="BR63" s="418">
        <f t="shared" si="106"/>
        <v>4914</v>
      </c>
      <c r="BS63" s="419">
        <f t="shared" si="107"/>
        <v>0.38</v>
      </c>
      <c r="BT63" s="419">
        <f t="shared" si="108"/>
        <v>0</v>
      </c>
      <c r="BU63" s="421">
        <f t="shared" si="108"/>
        <v>0.38</v>
      </c>
      <c r="BV63" s="420"/>
      <c r="BW63" s="415"/>
      <c r="BX63" s="415"/>
      <c r="BY63" s="415"/>
      <c r="BZ63" s="415"/>
      <c r="CA63" s="510"/>
    </row>
    <row r="64" spans="1:79" s="221" customFormat="1" x14ac:dyDescent="0.2">
      <c r="A64" s="209">
        <v>12</v>
      </c>
      <c r="B64" s="210">
        <v>4438</v>
      </c>
      <c r="C64" s="210">
        <v>600074871</v>
      </c>
      <c r="D64" s="210">
        <v>49864599</v>
      </c>
      <c r="E64" s="208" t="s">
        <v>168</v>
      </c>
      <c r="F64" s="210">
        <v>3143</v>
      </c>
      <c r="G64" s="165" t="s">
        <v>296</v>
      </c>
      <c r="H64" s="614" t="s">
        <v>272</v>
      </c>
      <c r="I64" s="511">
        <v>411702</v>
      </c>
      <c r="J64" s="415">
        <v>305123</v>
      </c>
      <c r="K64" s="415">
        <v>293032</v>
      </c>
      <c r="L64" s="415">
        <v>12091</v>
      </c>
      <c r="M64" s="415">
        <v>0</v>
      </c>
      <c r="N64" s="415">
        <v>0</v>
      </c>
      <c r="O64" s="415">
        <v>0</v>
      </c>
      <c r="P64" s="68">
        <v>103132</v>
      </c>
      <c r="Q64" s="68">
        <v>3051</v>
      </c>
      <c r="R64" s="415">
        <v>396</v>
      </c>
      <c r="S64" s="416">
        <v>0.63</v>
      </c>
      <c r="T64" s="417">
        <v>0.57999999999999996</v>
      </c>
      <c r="U64" s="423">
        <v>0.05</v>
      </c>
      <c r="V64" s="424">
        <f t="shared" si="84"/>
        <v>0</v>
      </c>
      <c r="W64" s="418">
        <f t="shared" si="84"/>
        <v>0</v>
      </c>
      <c r="X64" s="418">
        <v>0</v>
      </c>
      <c r="Y64" s="418">
        <v>0</v>
      </c>
      <c r="Z64" s="418">
        <v>0</v>
      </c>
      <c r="AA64" s="605">
        <v>6059</v>
      </c>
      <c r="AB64" s="418">
        <v>0</v>
      </c>
      <c r="AC64" s="418">
        <v>0</v>
      </c>
      <c r="AD64" s="418">
        <f t="shared" si="85"/>
        <v>0</v>
      </c>
      <c r="AE64" s="418">
        <f t="shared" si="86"/>
        <v>6059</v>
      </c>
      <c r="AF64" s="418">
        <f t="shared" si="87"/>
        <v>6059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88"/>
        <v>0</v>
      </c>
      <c r="AM64" s="418">
        <f t="shared" si="89"/>
        <v>0</v>
      </c>
      <c r="AN64" s="418">
        <f t="shared" si="90"/>
        <v>0</v>
      </c>
      <c r="AO64" s="418">
        <f t="shared" si="91"/>
        <v>0</v>
      </c>
      <c r="AP64" s="418">
        <f t="shared" si="91"/>
        <v>6059</v>
      </c>
      <c r="AQ64" s="418">
        <f t="shared" si="92"/>
        <v>6059</v>
      </c>
      <c r="AR64" s="68">
        <f t="shared" si="93"/>
        <v>2048</v>
      </c>
      <c r="AS64" s="68">
        <f t="shared" si="94"/>
        <v>61</v>
      </c>
      <c r="AT64" s="418">
        <v>0</v>
      </c>
      <c r="AU64" s="606">
        <v>198</v>
      </c>
      <c r="AV64" s="418">
        <f t="shared" si="95"/>
        <v>198</v>
      </c>
      <c r="AW64" s="418">
        <f t="shared" si="96"/>
        <v>8366</v>
      </c>
      <c r="AX64" s="419">
        <v>0</v>
      </c>
      <c r="AY64" s="419">
        <v>0</v>
      </c>
      <c r="AZ64" s="419">
        <v>0</v>
      </c>
      <c r="BA64" s="419">
        <v>0</v>
      </c>
      <c r="BB64" s="607">
        <v>0.02</v>
      </c>
      <c r="BC64" s="939">
        <v>0</v>
      </c>
      <c r="BD64" s="419">
        <v>0</v>
      </c>
      <c r="BE64" s="419">
        <v>0</v>
      </c>
      <c r="BF64" s="419">
        <f t="shared" si="97"/>
        <v>0</v>
      </c>
      <c r="BG64" s="419">
        <f t="shared" si="98"/>
        <v>0.02</v>
      </c>
      <c r="BH64" s="421">
        <f t="shared" si="99"/>
        <v>0.02</v>
      </c>
      <c r="BI64" s="780">
        <f t="shared" si="100"/>
        <v>420068</v>
      </c>
      <c r="BJ64" s="418">
        <f t="shared" si="101"/>
        <v>311182</v>
      </c>
      <c r="BK64" s="418">
        <f t="shared" si="102"/>
        <v>293032</v>
      </c>
      <c r="BL64" s="418">
        <f t="shared" si="102"/>
        <v>18150</v>
      </c>
      <c r="BM64" s="418">
        <f t="shared" si="103"/>
        <v>0</v>
      </c>
      <c r="BN64" s="418">
        <f t="shared" si="104"/>
        <v>0</v>
      </c>
      <c r="BO64" s="418">
        <f t="shared" si="104"/>
        <v>0</v>
      </c>
      <c r="BP64" s="418">
        <f t="shared" si="105"/>
        <v>105180</v>
      </c>
      <c r="BQ64" s="418">
        <f t="shared" si="105"/>
        <v>3112</v>
      </c>
      <c r="BR64" s="418">
        <f t="shared" si="106"/>
        <v>594</v>
      </c>
      <c r="BS64" s="419">
        <f t="shared" si="107"/>
        <v>0.65</v>
      </c>
      <c r="BT64" s="419">
        <f t="shared" si="108"/>
        <v>0.57999999999999996</v>
      </c>
      <c r="BU64" s="421">
        <f t="shared" si="108"/>
        <v>7.0000000000000007E-2</v>
      </c>
      <c r="BV64" s="420"/>
      <c r="BW64" s="415"/>
      <c r="BX64" s="415"/>
      <c r="BY64" s="415"/>
      <c r="BZ64" s="415"/>
      <c r="CA64" s="510"/>
    </row>
    <row r="65" spans="1:79" s="221" customFormat="1" x14ac:dyDescent="0.2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13"/>
      <c r="I65" s="452">
        <v>54351612</v>
      </c>
      <c r="J65" s="445">
        <v>39775327</v>
      </c>
      <c r="K65" s="445">
        <v>36294611</v>
      </c>
      <c r="L65" s="445">
        <v>3480716</v>
      </c>
      <c r="M65" s="445">
        <v>120000</v>
      </c>
      <c r="N65" s="445">
        <v>90000</v>
      </c>
      <c r="O65" s="445">
        <v>30000</v>
      </c>
      <c r="P65" s="445">
        <v>13484621</v>
      </c>
      <c r="Q65" s="445">
        <v>397752</v>
      </c>
      <c r="R65" s="445">
        <v>573912</v>
      </c>
      <c r="S65" s="446">
        <v>71.889600000000002</v>
      </c>
      <c r="T65" s="446">
        <v>61.360499999999995</v>
      </c>
      <c r="U65" s="450">
        <v>10.529100000000001</v>
      </c>
      <c r="V65" s="448">
        <f t="shared" ref="V65:CA65" si="109">SUM(V59:V64)</f>
        <v>0</v>
      </c>
      <c r="W65" s="445">
        <f t="shared" si="109"/>
        <v>0</v>
      </c>
      <c r="X65" s="445">
        <f t="shared" si="109"/>
        <v>0</v>
      </c>
      <c r="Y65" s="445">
        <f t="shared" si="109"/>
        <v>0</v>
      </c>
      <c r="Z65" s="445">
        <f t="shared" si="109"/>
        <v>0</v>
      </c>
      <c r="AA65" s="445">
        <f t="shared" si="109"/>
        <v>830704</v>
      </c>
      <c r="AB65" s="445">
        <f t="shared" si="109"/>
        <v>0</v>
      </c>
      <c r="AC65" s="445">
        <f t="shared" si="109"/>
        <v>0</v>
      </c>
      <c r="AD65" s="445">
        <f t="shared" si="109"/>
        <v>0</v>
      </c>
      <c r="AE65" s="445">
        <f t="shared" si="109"/>
        <v>830704</v>
      </c>
      <c r="AF65" s="445">
        <f t="shared" si="109"/>
        <v>830704</v>
      </c>
      <c r="AG65" s="445">
        <f t="shared" si="109"/>
        <v>0</v>
      </c>
      <c r="AH65" s="445">
        <f t="shared" si="109"/>
        <v>0</v>
      </c>
      <c r="AI65" s="445">
        <f t="shared" si="109"/>
        <v>0</v>
      </c>
      <c r="AJ65" s="445">
        <f t="shared" si="109"/>
        <v>0</v>
      </c>
      <c r="AK65" s="445">
        <f t="shared" si="109"/>
        <v>0</v>
      </c>
      <c r="AL65" s="445">
        <f t="shared" si="109"/>
        <v>0</v>
      </c>
      <c r="AM65" s="445">
        <f t="shared" si="109"/>
        <v>0</v>
      </c>
      <c r="AN65" s="445">
        <f t="shared" si="109"/>
        <v>0</v>
      </c>
      <c r="AO65" s="445">
        <f t="shared" si="109"/>
        <v>0</v>
      </c>
      <c r="AP65" s="445">
        <f t="shared" si="109"/>
        <v>830704</v>
      </c>
      <c r="AQ65" s="445">
        <f t="shared" si="109"/>
        <v>830704</v>
      </c>
      <c r="AR65" s="445">
        <f t="shared" si="109"/>
        <v>280778</v>
      </c>
      <c r="AS65" s="445">
        <f t="shared" si="109"/>
        <v>8308</v>
      </c>
      <c r="AT65" s="445">
        <f t="shared" si="109"/>
        <v>0</v>
      </c>
      <c r="AU65" s="445">
        <f t="shared" si="109"/>
        <v>9621</v>
      </c>
      <c r="AV65" s="445">
        <f t="shared" si="109"/>
        <v>9621</v>
      </c>
      <c r="AW65" s="445">
        <f t="shared" si="109"/>
        <v>1129411</v>
      </c>
      <c r="AX65" s="446">
        <f t="shared" si="109"/>
        <v>0</v>
      </c>
      <c r="AY65" s="446">
        <f t="shared" si="109"/>
        <v>0</v>
      </c>
      <c r="AZ65" s="446">
        <f t="shared" si="109"/>
        <v>0</v>
      </c>
      <c r="BA65" s="446">
        <f t="shared" si="109"/>
        <v>0</v>
      </c>
      <c r="BB65" s="446">
        <f t="shared" si="109"/>
        <v>2.52</v>
      </c>
      <c r="BC65" s="948">
        <f t="shared" si="109"/>
        <v>0</v>
      </c>
      <c r="BD65" s="446">
        <f t="shared" si="109"/>
        <v>0</v>
      </c>
      <c r="BE65" s="446">
        <f t="shared" si="109"/>
        <v>0</v>
      </c>
      <c r="BF65" s="446">
        <f t="shared" si="109"/>
        <v>0</v>
      </c>
      <c r="BG65" s="446">
        <f t="shared" si="109"/>
        <v>2.52</v>
      </c>
      <c r="BH65" s="39">
        <f t="shared" si="109"/>
        <v>2.52</v>
      </c>
      <c r="BI65" s="452">
        <f t="shared" si="109"/>
        <v>55481023</v>
      </c>
      <c r="BJ65" s="445">
        <f t="shared" si="109"/>
        <v>40606031</v>
      </c>
      <c r="BK65" s="445">
        <f t="shared" si="109"/>
        <v>36294611</v>
      </c>
      <c r="BL65" s="445">
        <f t="shared" si="109"/>
        <v>4311420</v>
      </c>
      <c r="BM65" s="445">
        <f t="shared" si="109"/>
        <v>120000</v>
      </c>
      <c r="BN65" s="445">
        <f t="shared" si="109"/>
        <v>90000</v>
      </c>
      <c r="BO65" s="445">
        <f t="shared" si="109"/>
        <v>30000</v>
      </c>
      <c r="BP65" s="445">
        <f t="shared" si="109"/>
        <v>13765399</v>
      </c>
      <c r="BQ65" s="445">
        <f t="shared" si="109"/>
        <v>406060</v>
      </c>
      <c r="BR65" s="445">
        <f t="shared" si="109"/>
        <v>583533</v>
      </c>
      <c r="BS65" s="446">
        <f t="shared" si="109"/>
        <v>74.409600000000012</v>
      </c>
      <c r="BT65" s="446">
        <f t="shared" si="109"/>
        <v>61.360499999999995</v>
      </c>
      <c r="BU65" s="39">
        <f t="shared" si="109"/>
        <v>13.049100000000001</v>
      </c>
      <c r="BV65" s="833">
        <f t="shared" si="109"/>
        <v>760272</v>
      </c>
      <c r="BW65" s="715">
        <f t="shared" si="109"/>
        <v>564000</v>
      </c>
      <c r="BX65" s="715">
        <f t="shared" si="109"/>
        <v>0</v>
      </c>
      <c r="BY65" s="715">
        <f t="shared" si="109"/>
        <v>190632</v>
      </c>
      <c r="BZ65" s="715">
        <f t="shared" si="109"/>
        <v>5640</v>
      </c>
      <c r="CA65" s="834">
        <f t="shared" si="109"/>
        <v>1</v>
      </c>
    </row>
    <row r="66" spans="1:79" s="221" customFormat="1" x14ac:dyDescent="0.2">
      <c r="A66" s="209">
        <v>13</v>
      </c>
      <c r="B66" s="210">
        <v>4455</v>
      </c>
      <c r="C66" s="210">
        <v>600074889</v>
      </c>
      <c r="D66" s="210">
        <v>49864611</v>
      </c>
      <c r="E66" s="208" t="s">
        <v>170</v>
      </c>
      <c r="F66" s="210">
        <v>3113</v>
      </c>
      <c r="G66" s="165" t="s">
        <v>293</v>
      </c>
      <c r="H66" s="626" t="s">
        <v>271</v>
      </c>
      <c r="I66" s="511">
        <v>42273548</v>
      </c>
      <c r="J66" s="415">
        <v>30861663</v>
      </c>
      <c r="K66" s="415">
        <v>29023647</v>
      </c>
      <c r="L66" s="415">
        <v>1838016</v>
      </c>
      <c r="M66" s="415">
        <v>90000</v>
      </c>
      <c r="N66" s="415">
        <v>30000</v>
      </c>
      <c r="O66" s="415">
        <v>60000</v>
      </c>
      <c r="P66" s="68">
        <v>10461663</v>
      </c>
      <c r="Q66" s="68">
        <v>308616</v>
      </c>
      <c r="R66" s="415">
        <v>551606</v>
      </c>
      <c r="S66" s="416">
        <v>46.143599999999999</v>
      </c>
      <c r="T66" s="417">
        <v>40.644500000000008</v>
      </c>
      <c r="U66" s="423">
        <v>5.4991000000000003</v>
      </c>
      <c r="V66" s="424">
        <f t="shared" ref="V66:W70" si="110">AG66*-1</f>
        <v>0</v>
      </c>
      <c r="W66" s="418">
        <f t="shared" si="110"/>
        <v>0</v>
      </c>
      <c r="X66" s="418">
        <v>0</v>
      </c>
      <c r="Y66" s="418">
        <v>0</v>
      </c>
      <c r="Z66" s="418">
        <v>0</v>
      </c>
      <c r="AA66" s="415">
        <v>0</v>
      </c>
      <c r="AB66" s="418">
        <v>0</v>
      </c>
      <c r="AC66" s="418">
        <v>0</v>
      </c>
      <c r="AD66" s="418">
        <f>V66+X66+Y66+Z66+AB66</f>
        <v>0</v>
      </c>
      <c r="AE66" s="418">
        <f>W66+AA66+AC66</f>
        <v>0</v>
      </c>
      <c r="AF66" s="418">
        <f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>AG66+AI66+AJ66</f>
        <v>0</v>
      </c>
      <c r="AM66" s="418">
        <f>AH66+AK66</f>
        <v>0</v>
      </c>
      <c r="AN66" s="418">
        <f>SUM(AL66:AM66)</f>
        <v>0</v>
      </c>
      <c r="AO66" s="418">
        <f t="shared" ref="AO66:AP70" si="111">AD66+AL66</f>
        <v>0</v>
      </c>
      <c r="AP66" s="418">
        <f t="shared" si="111"/>
        <v>0</v>
      </c>
      <c r="AQ66" s="418">
        <f>SUM(AO66:AP66)</f>
        <v>0</v>
      </c>
      <c r="AR66" s="68">
        <f>ROUND((AF66+AG66+AH66+AI66)*33.8%,0)</f>
        <v>0</v>
      </c>
      <c r="AS66" s="68">
        <f>ROUND(AF66*1%,0)</f>
        <v>0</v>
      </c>
      <c r="AT66" s="418">
        <v>0</v>
      </c>
      <c r="AU66" s="415">
        <v>0</v>
      </c>
      <c r="AV66" s="418">
        <f>AT66+AU66</f>
        <v>0</v>
      </c>
      <c r="AW66" s="418">
        <f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6">
        <v>0</v>
      </c>
      <c r="BC66" s="939">
        <v>0</v>
      </c>
      <c r="BD66" s="419">
        <v>0</v>
      </c>
      <c r="BE66" s="419">
        <v>0</v>
      </c>
      <c r="BF66" s="419">
        <f>AX66+AZ66+BA66+BC66+BD66</f>
        <v>0</v>
      </c>
      <c r="BG66" s="419">
        <f>AY66+BB66+BE66</f>
        <v>0</v>
      </c>
      <c r="BH66" s="421">
        <f>SUM(BF66:BG66)</f>
        <v>0</v>
      </c>
      <c r="BI66" s="780">
        <f>I66+AW66</f>
        <v>42273548</v>
      </c>
      <c r="BJ66" s="418">
        <f>J66+AF66</f>
        <v>30861663</v>
      </c>
      <c r="BK66" s="418">
        <f t="shared" ref="BK66:BL70" si="112">K66+AD66</f>
        <v>29023647</v>
      </c>
      <c r="BL66" s="418">
        <f t="shared" si="112"/>
        <v>1838016</v>
      </c>
      <c r="BM66" s="418">
        <f>M66+AN66</f>
        <v>90000</v>
      </c>
      <c r="BN66" s="418">
        <f t="shared" ref="BN66:BO70" si="113">N66+AL66</f>
        <v>30000</v>
      </c>
      <c r="BO66" s="418">
        <f t="shared" si="113"/>
        <v>60000</v>
      </c>
      <c r="BP66" s="418">
        <f t="shared" ref="BP66:BQ70" si="114">P66+AR66</f>
        <v>10461663</v>
      </c>
      <c r="BQ66" s="418">
        <f t="shared" si="114"/>
        <v>308616</v>
      </c>
      <c r="BR66" s="418">
        <f>R66+AV66</f>
        <v>551606</v>
      </c>
      <c r="BS66" s="419">
        <f>S66+BH66</f>
        <v>46.143599999999999</v>
      </c>
      <c r="BT66" s="419">
        <f t="shared" ref="BT66:BU70" si="115">T66+BF66</f>
        <v>40.644500000000008</v>
      </c>
      <c r="BU66" s="421">
        <f t="shared" si="115"/>
        <v>5.4991000000000003</v>
      </c>
      <c r="BV66" s="420"/>
      <c r="BW66" s="415"/>
      <c r="BX66" s="415"/>
      <c r="BY66" s="415"/>
      <c r="BZ66" s="415"/>
      <c r="CA66" s="510"/>
    </row>
    <row r="67" spans="1:79" s="221" customFormat="1" x14ac:dyDescent="0.2">
      <c r="A67" s="209">
        <v>13</v>
      </c>
      <c r="B67" s="210">
        <v>4455</v>
      </c>
      <c r="C67" s="210">
        <v>600074889</v>
      </c>
      <c r="D67" s="210">
        <v>49864611</v>
      </c>
      <c r="E67" s="208" t="s">
        <v>170</v>
      </c>
      <c r="F67" s="210">
        <v>3113</v>
      </c>
      <c r="G67" s="165" t="s">
        <v>291</v>
      </c>
      <c r="H67" s="626" t="s">
        <v>272</v>
      </c>
      <c r="I67" s="511">
        <v>2640559</v>
      </c>
      <c r="J67" s="415">
        <v>1957017</v>
      </c>
      <c r="K67" s="415">
        <v>1957017</v>
      </c>
      <c r="L67" s="415">
        <v>0</v>
      </c>
      <c r="M67" s="415">
        <v>0</v>
      </c>
      <c r="N67" s="415">
        <v>0</v>
      </c>
      <c r="O67" s="415">
        <v>0</v>
      </c>
      <c r="P67" s="68">
        <v>661472</v>
      </c>
      <c r="Q67" s="68">
        <v>19570</v>
      </c>
      <c r="R67" s="415">
        <v>2500</v>
      </c>
      <c r="S67" s="416">
        <v>5.28</v>
      </c>
      <c r="T67" s="417">
        <v>5.28</v>
      </c>
      <c r="U67" s="423">
        <v>0</v>
      </c>
      <c r="V67" s="424">
        <f t="shared" si="110"/>
        <v>0</v>
      </c>
      <c r="W67" s="418">
        <f t="shared" si="110"/>
        <v>0</v>
      </c>
      <c r="X67" s="418">
        <v>-92701</v>
      </c>
      <c r="Y67" s="418">
        <v>0</v>
      </c>
      <c r="Z67" s="418">
        <v>0</v>
      </c>
      <c r="AA67" s="415">
        <v>0</v>
      </c>
      <c r="AB67" s="418">
        <v>0</v>
      </c>
      <c r="AC67" s="418">
        <v>0</v>
      </c>
      <c r="AD67" s="418">
        <f>V67+X67+Y67+Z67+AB67</f>
        <v>-92701</v>
      </c>
      <c r="AE67" s="418">
        <f>W67+AA67+AC67</f>
        <v>0</v>
      </c>
      <c r="AF67" s="418">
        <f>SUM(AD67:AE67)</f>
        <v>-92701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>AG67+AI67+AJ67</f>
        <v>0</v>
      </c>
      <c r="AM67" s="418">
        <f>AH67+AK67</f>
        <v>0</v>
      </c>
      <c r="AN67" s="418">
        <f>SUM(AL67:AM67)</f>
        <v>0</v>
      </c>
      <c r="AO67" s="418">
        <f t="shared" si="111"/>
        <v>-92701</v>
      </c>
      <c r="AP67" s="418">
        <f t="shared" si="111"/>
        <v>0</v>
      </c>
      <c r="AQ67" s="418">
        <f>SUM(AO67:AP67)</f>
        <v>-92701</v>
      </c>
      <c r="AR67" s="68">
        <f>ROUND((AF67+AG67+AH67+AI67)*33.8%,0)</f>
        <v>-31333</v>
      </c>
      <c r="AS67" s="68">
        <f>ROUND(AF67*1%,0)</f>
        <v>-927</v>
      </c>
      <c r="AT67" s="418">
        <v>0</v>
      </c>
      <c r="AU67" s="415">
        <v>0</v>
      </c>
      <c r="AV67" s="418">
        <f>AT67+AU67</f>
        <v>0</v>
      </c>
      <c r="AW67" s="418">
        <f>AQ67+AR67+AS67+AV67</f>
        <v>-124961</v>
      </c>
      <c r="AX67" s="419">
        <v>0</v>
      </c>
      <c r="AY67" s="419">
        <v>0</v>
      </c>
      <c r="AZ67" s="419">
        <v>-0.25</v>
      </c>
      <c r="BA67" s="419">
        <v>0</v>
      </c>
      <c r="BB67" s="416">
        <v>0</v>
      </c>
      <c r="BC67" s="939">
        <v>0</v>
      </c>
      <c r="BD67" s="419">
        <v>0</v>
      </c>
      <c r="BE67" s="419">
        <v>0</v>
      </c>
      <c r="BF67" s="419">
        <f>AX67+AZ67+BA67+BC67+BD67</f>
        <v>-0.25</v>
      </c>
      <c r="BG67" s="419">
        <f>AY67+BB67+BE67</f>
        <v>0</v>
      </c>
      <c r="BH67" s="421">
        <f>SUM(BF67:BG67)</f>
        <v>-0.25</v>
      </c>
      <c r="BI67" s="780">
        <f>I67+AW67</f>
        <v>2515598</v>
      </c>
      <c r="BJ67" s="418">
        <f>J67+AF67</f>
        <v>1864316</v>
      </c>
      <c r="BK67" s="418">
        <f t="shared" si="112"/>
        <v>1864316</v>
      </c>
      <c r="BL67" s="418">
        <f t="shared" si="112"/>
        <v>0</v>
      </c>
      <c r="BM67" s="418">
        <f>M67+AN67</f>
        <v>0</v>
      </c>
      <c r="BN67" s="418">
        <f t="shared" si="113"/>
        <v>0</v>
      </c>
      <c r="BO67" s="418">
        <f t="shared" si="113"/>
        <v>0</v>
      </c>
      <c r="BP67" s="418">
        <f t="shared" si="114"/>
        <v>630139</v>
      </c>
      <c r="BQ67" s="418">
        <f t="shared" si="114"/>
        <v>18643</v>
      </c>
      <c r="BR67" s="418">
        <f>R67+AV67</f>
        <v>2500</v>
      </c>
      <c r="BS67" s="419">
        <f>S67+BH67</f>
        <v>5.03</v>
      </c>
      <c r="BT67" s="419">
        <f t="shared" si="115"/>
        <v>5.03</v>
      </c>
      <c r="BU67" s="421">
        <f t="shared" si="115"/>
        <v>0</v>
      </c>
      <c r="BV67" s="420"/>
      <c r="BW67" s="415"/>
      <c r="BX67" s="415"/>
      <c r="BY67" s="415"/>
      <c r="BZ67" s="415"/>
      <c r="CA67" s="510"/>
    </row>
    <row r="68" spans="1:79" s="221" customFormat="1" x14ac:dyDescent="0.2">
      <c r="A68" s="209">
        <v>13</v>
      </c>
      <c r="B68" s="210">
        <v>4455</v>
      </c>
      <c r="C68" s="210">
        <v>600074889</v>
      </c>
      <c r="D68" s="210">
        <v>49864611</v>
      </c>
      <c r="E68" s="208" t="s">
        <v>170</v>
      </c>
      <c r="F68" s="210">
        <v>3141</v>
      </c>
      <c r="G68" s="165" t="s">
        <v>294</v>
      </c>
      <c r="H68" s="626" t="s">
        <v>272</v>
      </c>
      <c r="I68" s="511">
        <v>2041030</v>
      </c>
      <c r="J68" s="415">
        <v>1502894</v>
      </c>
      <c r="K68" s="415">
        <v>0</v>
      </c>
      <c r="L68" s="415">
        <v>1502894</v>
      </c>
      <c r="M68" s="415">
        <v>0</v>
      </c>
      <c r="N68" s="415">
        <v>0</v>
      </c>
      <c r="O68" s="415">
        <v>0</v>
      </c>
      <c r="P68" s="68">
        <v>507978</v>
      </c>
      <c r="Q68" s="68">
        <v>15029</v>
      </c>
      <c r="R68" s="415">
        <v>15129</v>
      </c>
      <c r="S68" s="416">
        <v>4.51</v>
      </c>
      <c r="T68" s="417">
        <v>0</v>
      </c>
      <c r="U68" s="423">
        <v>4.51</v>
      </c>
      <c r="V68" s="424">
        <f t="shared" si="110"/>
        <v>0</v>
      </c>
      <c r="W68" s="418">
        <f t="shared" si="110"/>
        <v>0</v>
      </c>
      <c r="X68" s="418">
        <v>0</v>
      </c>
      <c r="Y68" s="418">
        <v>0</v>
      </c>
      <c r="Z68" s="418">
        <v>0</v>
      </c>
      <c r="AA68" s="605">
        <v>750237</v>
      </c>
      <c r="AB68" s="418">
        <v>0</v>
      </c>
      <c r="AC68" s="418">
        <v>0</v>
      </c>
      <c r="AD68" s="418">
        <f>V68+X68+Y68+Z68+AB68</f>
        <v>0</v>
      </c>
      <c r="AE68" s="418">
        <f>W68+AA68+AC68</f>
        <v>750237</v>
      </c>
      <c r="AF68" s="418">
        <f>SUM(AD68:AE68)</f>
        <v>750237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>AG68+AI68+AJ68</f>
        <v>0</v>
      </c>
      <c r="AM68" s="418">
        <f>AH68+AK68</f>
        <v>0</v>
      </c>
      <c r="AN68" s="418">
        <f>SUM(AL68:AM68)</f>
        <v>0</v>
      </c>
      <c r="AO68" s="418">
        <f t="shared" si="111"/>
        <v>0</v>
      </c>
      <c r="AP68" s="418">
        <f t="shared" si="111"/>
        <v>750237</v>
      </c>
      <c r="AQ68" s="418">
        <f>SUM(AO68:AP68)</f>
        <v>750237</v>
      </c>
      <c r="AR68" s="68">
        <f>ROUND((AF68+AG68+AH68+AI68)*33.8%,0)</f>
        <v>253580</v>
      </c>
      <c r="AS68" s="68">
        <f>ROUND(AF68*1%,0)</f>
        <v>7502</v>
      </c>
      <c r="AT68" s="418">
        <v>0</v>
      </c>
      <c r="AU68" s="605">
        <v>7341</v>
      </c>
      <c r="AV68" s="418">
        <f>AT68+AU68</f>
        <v>7341</v>
      </c>
      <c r="AW68" s="418">
        <f>AQ68+AR68+AS68+AV68</f>
        <v>1018660</v>
      </c>
      <c r="AX68" s="419">
        <v>0</v>
      </c>
      <c r="AY68" s="419">
        <v>0</v>
      </c>
      <c r="AZ68" s="419">
        <v>0</v>
      </c>
      <c r="BA68" s="419">
        <v>0</v>
      </c>
      <c r="BB68" s="607">
        <v>2.25</v>
      </c>
      <c r="BC68" s="939">
        <v>0</v>
      </c>
      <c r="BD68" s="419">
        <v>0</v>
      </c>
      <c r="BE68" s="419">
        <v>0</v>
      </c>
      <c r="BF68" s="419">
        <f>AX68+AZ68+BA68+BC68+BD68</f>
        <v>0</v>
      </c>
      <c r="BG68" s="419">
        <f>AY68+BB68+BE68</f>
        <v>2.25</v>
      </c>
      <c r="BH68" s="421">
        <f>SUM(BF68:BG68)</f>
        <v>2.25</v>
      </c>
      <c r="BI68" s="780">
        <f>I68+AW68</f>
        <v>3059690</v>
      </c>
      <c r="BJ68" s="418">
        <f>J68+AF68</f>
        <v>2253131</v>
      </c>
      <c r="BK68" s="418">
        <f t="shared" si="112"/>
        <v>0</v>
      </c>
      <c r="BL68" s="418">
        <f t="shared" si="112"/>
        <v>2253131</v>
      </c>
      <c r="BM68" s="418">
        <f>M68+AN68</f>
        <v>0</v>
      </c>
      <c r="BN68" s="418">
        <f t="shared" si="113"/>
        <v>0</v>
      </c>
      <c r="BO68" s="418">
        <f t="shared" si="113"/>
        <v>0</v>
      </c>
      <c r="BP68" s="418">
        <f t="shared" si="114"/>
        <v>761558</v>
      </c>
      <c r="BQ68" s="418">
        <f t="shared" si="114"/>
        <v>22531</v>
      </c>
      <c r="BR68" s="418">
        <f>R68+AV68</f>
        <v>22470</v>
      </c>
      <c r="BS68" s="419">
        <f>S68+BH68</f>
        <v>6.76</v>
      </c>
      <c r="BT68" s="419">
        <f t="shared" si="115"/>
        <v>0</v>
      </c>
      <c r="BU68" s="421">
        <f t="shared" si="115"/>
        <v>6.76</v>
      </c>
      <c r="BV68" s="420"/>
      <c r="BW68" s="415"/>
      <c r="BX68" s="415"/>
      <c r="BY68" s="415"/>
      <c r="BZ68" s="415"/>
      <c r="CA68" s="510"/>
    </row>
    <row r="69" spans="1:79" s="221" customFormat="1" x14ac:dyDescent="0.2">
      <c r="A69" s="209">
        <v>13</v>
      </c>
      <c r="B69" s="210">
        <v>4455</v>
      </c>
      <c r="C69" s="210">
        <v>600074889</v>
      </c>
      <c r="D69" s="210">
        <v>49864611</v>
      </c>
      <c r="E69" s="208" t="s">
        <v>170</v>
      </c>
      <c r="F69" s="210">
        <v>3143</v>
      </c>
      <c r="G69" s="165" t="s">
        <v>595</v>
      </c>
      <c r="H69" s="614" t="s">
        <v>271</v>
      </c>
      <c r="I69" s="511">
        <v>3961322</v>
      </c>
      <c r="J69" s="415">
        <v>2938666</v>
      </c>
      <c r="K69" s="415">
        <v>2938666</v>
      </c>
      <c r="L69" s="415">
        <v>0</v>
      </c>
      <c r="M69" s="415">
        <v>0</v>
      </c>
      <c r="N69" s="415">
        <v>0</v>
      </c>
      <c r="O69" s="415">
        <v>0</v>
      </c>
      <c r="P69" s="68">
        <v>993269</v>
      </c>
      <c r="Q69" s="68">
        <v>29387</v>
      </c>
      <c r="R69" s="415">
        <v>0</v>
      </c>
      <c r="S69" s="416">
        <v>5.6429999999999998</v>
      </c>
      <c r="T69" s="417">
        <v>5.6429999999999998</v>
      </c>
      <c r="U69" s="423">
        <v>0</v>
      </c>
      <c r="V69" s="424">
        <f t="shared" si="110"/>
        <v>0</v>
      </c>
      <c r="W69" s="418">
        <f t="shared" si="110"/>
        <v>0</v>
      </c>
      <c r="X69" s="418">
        <v>0</v>
      </c>
      <c r="Y69" s="418">
        <v>0</v>
      </c>
      <c r="Z69" s="418">
        <v>0</v>
      </c>
      <c r="AA69" s="415">
        <v>0</v>
      </c>
      <c r="AB69" s="418">
        <v>0</v>
      </c>
      <c r="AC69" s="418">
        <v>0</v>
      </c>
      <c r="AD69" s="418">
        <f>V69+X69+Y69+Z69+AB69</f>
        <v>0</v>
      </c>
      <c r="AE69" s="418">
        <f>W69+AA69+AC69</f>
        <v>0</v>
      </c>
      <c r="AF69" s="418">
        <f>SUM(AD69:AE69)</f>
        <v>0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>AG69+AI69+AJ69</f>
        <v>0</v>
      </c>
      <c r="AM69" s="418">
        <f>AH69+AK69</f>
        <v>0</v>
      </c>
      <c r="AN69" s="418">
        <f>SUM(AL69:AM69)</f>
        <v>0</v>
      </c>
      <c r="AO69" s="418">
        <f t="shared" si="111"/>
        <v>0</v>
      </c>
      <c r="AP69" s="418">
        <f t="shared" si="111"/>
        <v>0</v>
      </c>
      <c r="AQ69" s="418">
        <f>SUM(AO69:AP69)</f>
        <v>0</v>
      </c>
      <c r="AR69" s="68">
        <f>ROUND((AF69+AG69+AH69+AI69)*33.8%,0)</f>
        <v>0</v>
      </c>
      <c r="AS69" s="68">
        <f>ROUND(AF69*1%,0)</f>
        <v>0</v>
      </c>
      <c r="AT69" s="418">
        <v>0</v>
      </c>
      <c r="AU69" s="415">
        <v>0</v>
      </c>
      <c r="AV69" s="418">
        <f>AT69+AU69</f>
        <v>0</v>
      </c>
      <c r="AW69" s="418">
        <f>AQ69+AR69+AS69+AV69</f>
        <v>0</v>
      </c>
      <c r="AX69" s="419">
        <v>0</v>
      </c>
      <c r="AY69" s="419">
        <v>0</v>
      </c>
      <c r="AZ69" s="419">
        <v>0</v>
      </c>
      <c r="BA69" s="419">
        <v>0</v>
      </c>
      <c r="BB69" s="416">
        <v>0</v>
      </c>
      <c r="BC69" s="939">
        <v>0</v>
      </c>
      <c r="BD69" s="419">
        <v>0</v>
      </c>
      <c r="BE69" s="419">
        <v>0</v>
      </c>
      <c r="BF69" s="419">
        <f>AX69+AZ69+BA69+BC69+BD69</f>
        <v>0</v>
      </c>
      <c r="BG69" s="419">
        <f>AY69+BB69+BE69</f>
        <v>0</v>
      </c>
      <c r="BH69" s="421">
        <f>SUM(BF69:BG69)</f>
        <v>0</v>
      </c>
      <c r="BI69" s="780">
        <f>I69+AW69</f>
        <v>3961322</v>
      </c>
      <c r="BJ69" s="418">
        <f>J69+AF69</f>
        <v>2938666</v>
      </c>
      <c r="BK69" s="418">
        <f t="shared" si="112"/>
        <v>2938666</v>
      </c>
      <c r="BL69" s="418">
        <f t="shared" si="112"/>
        <v>0</v>
      </c>
      <c r="BM69" s="418">
        <f>M69+AN69</f>
        <v>0</v>
      </c>
      <c r="BN69" s="418">
        <f t="shared" si="113"/>
        <v>0</v>
      </c>
      <c r="BO69" s="418">
        <f t="shared" si="113"/>
        <v>0</v>
      </c>
      <c r="BP69" s="418">
        <f t="shared" si="114"/>
        <v>993269</v>
      </c>
      <c r="BQ69" s="418">
        <f t="shared" si="114"/>
        <v>29387</v>
      </c>
      <c r="BR69" s="418">
        <f>R69+AV69</f>
        <v>0</v>
      </c>
      <c r="BS69" s="419">
        <f>S69+BH69</f>
        <v>5.6429999999999998</v>
      </c>
      <c r="BT69" s="419">
        <f t="shared" si="115"/>
        <v>5.6429999999999998</v>
      </c>
      <c r="BU69" s="421">
        <f t="shared" si="115"/>
        <v>0</v>
      </c>
      <c r="BV69" s="420"/>
      <c r="BW69" s="415"/>
      <c r="BX69" s="415"/>
      <c r="BY69" s="415"/>
      <c r="BZ69" s="415"/>
      <c r="CA69" s="510"/>
    </row>
    <row r="70" spans="1:79" s="221" customFormat="1" x14ac:dyDescent="0.2">
      <c r="A70" s="209">
        <v>13</v>
      </c>
      <c r="B70" s="210">
        <v>4455</v>
      </c>
      <c r="C70" s="210">
        <v>600074889</v>
      </c>
      <c r="D70" s="210">
        <v>49864611</v>
      </c>
      <c r="E70" s="208" t="s">
        <v>170</v>
      </c>
      <c r="F70" s="210">
        <v>3143</v>
      </c>
      <c r="G70" s="165" t="s">
        <v>596</v>
      </c>
      <c r="H70" s="614" t="s">
        <v>272</v>
      </c>
      <c r="I70" s="511">
        <v>79409</v>
      </c>
      <c r="J70" s="415">
        <v>56839</v>
      </c>
      <c r="K70" s="415">
        <v>0</v>
      </c>
      <c r="L70" s="415">
        <v>56839</v>
      </c>
      <c r="M70" s="415">
        <v>0</v>
      </c>
      <c r="N70" s="415">
        <v>0</v>
      </c>
      <c r="O70" s="415">
        <v>0</v>
      </c>
      <c r="P70" s="68">
        <v>19212</v>
      </c>
      <c r="Q70" s="68">
        <v>568</v>
      </c>
      <c r="R70" s="415">
        <v>2790</v>
      </c>
      <c r="S70" s="416">
        <v>0.22</v>
      </c>
      <c r="T70" s="417">
        <v>0</v>
      </c>
      <c r="U70" s="423">
        <v>0.22</v>
      </c>
      <c r="V70" s="424">
        <f t="shared" si="110"/>
        <v>0</v>
      </c>
      <c r="W70" s="418">
        <f t="shared" si="110"/>
        <v>0</v>
      </c>
      <c r="X70" s="418">
        <v>0</v>
      </c>
      <c r="Y70" s="418">
        <v>0</v>
      </c>
      <c r="Z70" s="418">
        <v>0</v>
      </c>
      <c r="AA70" s="605">
        <v>28411</v>
      </c>
      <c r="AB70" s="418">
        <v>0</v>
      </c>
      <c r="AC70" s="418">
        <v>0</v>
      </c>
      <c r="AD70" s="418">
        <f>V70+X70+Y70+Z70+AB70</f>
        <v>0</v>
      </c>
      <c r="AE70" s="418">
        <f>W70+AA70+AC70</f>
        <v>28411</v>
      </c>
      <c r="AF70" s="418">
        <f>SUM(AD70:AE70)</f>
        <v>28411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>AG70+AI70+AJ70</f>
        <v>0</v>
      </c>
      <c r="AM70" s="418">
        <f>AH70+AK70</f>
        <v>0</v>
      </c>
      <c r="AN70" s="418">
        <f>SUM(AL70:AM70)</f>
        <v>0</v>
      </c>
      <c r="AO70" s="418">
        <f t="shared" si="111"/>
        <v>0</v>
      </c>
      <c r="AP70" s="418">
        <f t="shared" si="111"/>
        <v>28411</v>
      </c>
      <c r="AQ70" s="418">
        <f>SUM(AO70:AP70)</f>
        <v>28411</v>
      </c>
      <c r="AR70" s="68">
        <f>ROUND((AF70+AG70+AH70+AI70)*33.8%,0)</f>
        <v>9603</v>
      </c>
      <c r="AS70" s="68">
        <f>ROUND(AF70*1%,0)</f>
        <v>284</v>
      </c>
      <c r="AT70" s="418">
        <v>0</v>
      </c>
      <c r="AU70" s="606">
        <v>1395</v>
      </c>
      <c r="AV70" s="418">
        <f>AT70+AU70</f>
        <v>1395</v>
      </c>
      <c r="AW70" s="418">
        <f>AQ70+AR70+AS70+AV70</f>
        <v>39693</v>
      </c>
      <c r="AX70" s="419">
        <v>0</v>
      </c>
      <c r="AY70" s="419">
        <v>0</v>
      </c>
      <c r="AZ70" s="419">
        <v>0</v>
      </c>
      <c r="BA70" s="419">
        <v>0</v>
      </c>
      <c r="BB70" s="607">
        <v>0.11</v>
      </c>
      <c r="BC70" s="939">
        <v>0</v>
      </c>
      <c r="BD70" s="419">
        <v>0</v>
      </c>
      <c r="BE70" s="419">
        <v>0</v>
      </c>
      <c r="BF70" s="419">
        <f>AX70+AZ70+BA70+BC70+BD70</f>
        <v>0</v>
      </c>
      <c r="BG70" s="419">
        <f>AY70+BB70+BE70</f>
        <v>0.11</v>
      </c>
      <c r="BH70" s="421">
        <f>SUM(BF70:BG70)</f>
        <v>0.11</v>
      </c>
      <c r="BI70" s="780">
        <f>I70+AW70</f>
        <v>119102</v>
      </c>
      <c r="BJ70" s="418">
        <f>J70+AF70</f>
        <v>85250</v>
      </c>
      <c r="BK70" s="418">
        <f t="shared" si="112"/>
        <v>0</v>
      </c>
      <c r="BL70" s="418">
        <f t="shared" si="112"/>
        <v>85250</v>
      </c>
      <c r="BM70" s="418">
        <f>M70+AN70</f>
        <v>0</v>
      </c>
      <c r="BN70" s="418">
        <f t="shared" si="113"/>
        <v>0</v>
      </c>
      <c r="BO70" s="418">
        <f t="shared" si="113"/>
        <v>0</v>
      </c>
      <c r="BP70" s="418">
        <f t="shared" si="114"/>
        <v>28815</v>
      </c>
      <c r="BQ70" s="418">
        <f t="shared" si="114"/>
        <v>852</v>
      </c>
      <c r="BR70" s="418">
        <f>R70+AV70</f>
        <v>4185</v>
      </c>
      <c r="BS70" s="419">
        <f>S70+BH70</f>
        <v>0.33</v>
      </c>
      <c r="BT70" s="419">
        <f t="shared" si="115"/>
        <v>0</v>
      </c>
      <c r="BU70" s="421">
        <f t="shared" si="115"/>
        <v>0.33</v>
      </c>
      <c r="BV70" s="420"/>
      <c r="BW70" s="415"/>
      <c r="BX70" s="415"/>
      <c r="BY70" s="415"/>
      <c r="BZ70" s="415"/>
      <c r="CA70" s="510"/>
    </row>
    <row r="71" spans="1:79" s="221" customFormat="1" x14ac:dyDescent="0.2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13"/>
      <c r="I71" s="452">
        <v>50995868</v>
      </c>
      <c r="J71" s="445">
        <v>37317079</v>
      </c>
      <c r="K71" s="445">
        <v>33919330</v>
      </c>
      <c r="L71" s="445">
        <v>3397749</v>
      </c>
      <c r="M71" s="445">
        <v>90000</v>
      </c>
      <c r="N71" s="445">
        <v>30000</v>
      </c>
      <c r="O71" s="445">
        <v>60000</v>
      </c>
      <c r="P71" s="445">
        <v>12643594</v>
      </c>
      <c r="Q71" s="445">
        <v>373170</v>
      </c>
      <c r="R71" s="445">
        <v>572025</v>
      </c>
      <c r="S71" s="446">
        <v>61.796599999999998</v>
      </c>
      <c r="T71" s="446">
        <v>51.56750000000001</v>
      </c>
      <c r="U71" s="450">
        <v>10.229100000000001</v>
      </c>
      <c r="V71" s="448">
        <f t="shared" ref="V71:CA71" si="116">SUM(V66:V70)</f>
        <v>0</v>
      </c>
      <c r="W71" s="445">
        <f t="shared" si="116"/>
        <v>0</v>
      </c>
      <c r="X71" s="445">
        <f t="shared" si="116"/>
        <v>-92701</v>
      </c>
      <c r="Y71" s="445">
        <f t="shared" si="116"/>
        <v>0</v>
      </c>
      <c r="Z71" s="445">
        <f t="shared" si="116"/>
        <v>0</v>
      </c>
      <c r="AA71" s="445">
        <f t="shared" si="116"/>
        <v>778648</v>
      </c>
      <c r="AB71" s="445">
        <f t="shared" si="116"/>
        <v>0</v>
      </c>
      <c r="AC71" s="445">
        <f t="shared" si="116"/>
        <v>0</v>
      </c>
      <c r="AD71" s="445">
        <f t="shared" si="116"/>
        <v>-92701</v>
      </c>
      <c r="AE71" s="445">
        <f t="shared" si="116"/>
        <v>778648</v>
      </c>
      <c r="AF71" s="445">
        <f t="shared" si="116"/>
        <v>685947</v>
      </c>
      <c r="AG71" s="445">
        <f t="shared" si="116"/>
        <v>0</v>
      </c>
      <c r="AH71" s="445">
        <f t="shared" si="116"/>
        <v>0</v>
      </c>
      <c r="AI71" s="445">
        <f t="shared" si="116"/>
        <v>0</v>
      </c>
      <c r="AJ71" s="445">
        <f t="shared" si="116"/>
        <v>0</v>
      </c>
      <c r="AK71" s="445">
        <f t="shared" si="116"/>
        <v>0</v>
      </c>
      <c r="AL71" s="445">
        <f t="shared" si="116"/>
        <v>0</v>
      </c>
      <c r="AM71" s="445">
        <f t="shared" si="116"/>
        <v>0</v>
      </c>
      <c r="AN71" s="445">
        <f t="shared" si="116"/>
        <v>0</v>
      </c>
      <c r="AO71" s="445">
        <f t="shared" si="116"/>
        <v>-92701</v>
      </c>
      <c r="AP71" s="445">
        <f t="shared" si="116"/>
        <v>778648</v>
      </c>
      <c r="AQ71" s="445">
        <f t="shared" si="116"/>
        <v>685947</v>
      </c>
      <c r="AR71" s="445">
        <f t="shared" si="116"/>
        <v>231850</v>
      </c>
      <c r="AS71" s="445">
        <f t="shared" si="116"/>
        <v>6859</v>
      </c>
      <c r="AT71" s="445">
        <f t="shared" si="116"/>
        <v>0</v>
      </c>
      <c r="AU71" s="445">
        <f t="shared" si="116"/>
        <v>8736</v>
      </c>
      <c r="AV71" s="445">
        <f t="shared" si="116"/>
        <v>8736</v>
      </c>
      <c r="AW71" s="445">
        <f t="shared" si="116"/>
        <v>933392</v>
      </c>
      <c r="AX71" s="446">
        <f t="shared" si="116"/>
        <v>0</v>
      </c>
      <c r="AY71" s="446">
        <f t="shared" si="116"/>
        <v>0</v>
      </c>
      <c r="AZ71" s="446">
        <f t="shared" si="116"/>
        <v>-0.25</v>
      </c>
      <c r="BA71" s="446">
        <f t="shared" si="116"/>
        <v>0</v>
      </c>
      <c r="BB71" s="446">
        <f t="shared" si="116"/>
        <v>2.36</v>
      </c>
      <c r="BC71" s="948">
        <f t="shared" si="116"/>
        <v>0</v>
      </c>
      <c r="BD71" s="446">
        <f t="shared" si="116"/>
        <v>0</v>
      </c>
      <c r="BE71" s="446">
        <f t="shared" si="116"/>
        <v>0</v>
      </c>
      <c r="BF71" s="446">
        <f t="shared" si="116"/>
        <v>-0.25</v>
      </c>
      <c r="BG71" s="446">
        <f t="shared" si="116"/>
        <v>2.36</v>
      </c>
      <c r="BH71" s="39">
        <f t="shared" si="116"/>
        <v>2.11</v>
      </c>
      <c r="BI71" s="452">
        <f t="shared" si="116"/>
        <v>51929260</v>
      </c>
      <c r="BJ71" s="445">
        <f t="shared" si="116"/>
        <v>38003026</v>
      </c>
      <c r="BK71" s="445">
        <f t="shared" si="116"/>
        <v>33826629</v>
      </c>
      <c r="BL71" s="445">
        <f t="shared" si="116"/>
        <v>4176397</v>
      </c>
      <c r="BM71" s="445">
        <f t="shared" si="116"/>
        <v>90000</v>
      </c>
      <c r="BN71" s="445">
        <f t="shared" si="116"/>
        <v>30000</v>
      </c>
      <c r="BO71" s="445">
        <f t="shared" si="116"/>
        <v>60000</v>
      </c>
      <c r="BP71" s="445">
        <f t="shared" si="116"/>
        <v>12875444</v>
      </c>
      <c r="BQ71" s="445">
        <f t="shared" si="116"/>
        <v>380029</v>
      </c>
      <c r="BR71" s="445">
        <f t="shared" si="116"/>
        <v>580761</v>
      </c>
      <c r="BS71" s="446">
        <f t="shared" si="116"/>
        <v>63.906599999999997</v>
      </c>
      <c r="BT71" s="446">
        <f t="shared" si="116"/>
        <v>51.31750000000001</v>
      </c>
      <c r="BU71" s="39">
        <f t="shared" si="116"/>
        <v>12.5891</v>
      </c>
      <c r="BV71" s="833">
        <f t="shared" si="116"/>
        <v>0</v>
      </c>
      <c r="BW71" s="715">
        <f t="shared" si="116"/>
        <v>0</v>
      </c>
      <c r="BX71" s="715">
        <f t="shared" si="116"/>
        <v>0</v>
      </c>
      <c r="BY71" s="715">
        <f t="shared" si="116"/>
        <v>0</v>
      </c>
      <c r="BZ71" s="715">
        <f t="shared" si="116"/>
        <v>0</v>
      </c>
      <c r="CA71" s="834">
        <f t="shared" si="116"/>
        <v>0</v>
      </c>
    </row>
    <row r="72" spans="1:79" s="221" customFormat="1" x14ac:dyDescent="0.2">
      <c r="A72" s="209">
        <v>14</v>
      </c>
      <c r="B72" s="210">
        <v>4440</v>
      </c>
      <c r="C72" s="210">
        <v>600074897</v>
      </c>
      <c r="D72" s="210">
        <v>48283029</v>
      </c>
      <c r="E72" s="208" t="s">
        <v>172</v>
      </c>
      <c r="F72" s="210">
        <v>3113</v>
      </c>
      <c r="G72" s="165" t="s">
        <v>293</v>
      </c>
      <c r="H72" s="626" t="s">
        <v>271</v>
      </c>
      <c r="I72" s="511">
        <v>30012527</v>
      </c>
      <c r="J72" s="415">
        <v>21770976</v>
      </c>
      <c r="K72" s="415">
        <v>20281431</v>
      </c>
      <c r="L72" s="415">
        <v>1489545</v>
      </c>
      <c r="M72" s="415">
        <v>195000</v>
      </c>
      <c r="N72" s="415">
        <v>175000</v>
      </c>
      <c r="O72" s="415">
        <v>20000</v>
      </c>
      <c r="P72" s="68">
        <v>7424500</v>
      </c>
      <c r="Q72" s="68">
        <v>217710</v>
      </c>
      <c r="R72" s="415">
        <v>404341</v>
      </c>
      <c r="S72" s="416">
        <v>33.632000000000005</v>
      </c>
      <c r="T72" s="417">
        <v>28.992599999999999</v>
      </c>
      <c r="U72" s="423">
        <v>4.6394000000000002</v>
      </c>
      <c r="V72" s="424">
        <f t="shared" ref="V72:W76" si="117">AG72*-1</f>
        <v>0</v>
      </c>
      <c r="W72" s="418">
        <f t="shared" si="117"/>
        <v>0</v>
      </c>
      <c r="X72" s="418">
        <v>0</v>
      </c>
      <c r="Y72" s="418">
        <v>0</v>
      </c>
      <c r="Z72" s="418">
        <v>0</v>
      </c>
      <c r="AA72" s="415">
        <v>0</v>
      </c>
      <c r="AB72" s="418">
        <v>0</v>
      </c>
      <c r="AC72" s="418">
        <v>0</v>
      </c>
      <c r="AD72" s="418">
        <f>V72+X72+Y72+Z72+AB72</f>
        <v>0</v>
      </c>
      <c r="AE72" s="418">
        <f>W72+AA72+AC72</f>
        <v>0</v>
      </c>
      <c r="AF72" s="418">
        <f>SUM(AD72:AE72)</f>
        <v>0</v>
      </c>
      <c r="AG72" s="418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>AG72+AI72+AJ72</f>
        <v>0</v>
      </c>
      <c r="AM72" s="418">
        <f>AH72+AK72</f>
        <v>0</v>
      </c>
      <c r="AN72" s="418">
        <f>SUM(AL72:AM72)</f>
        <v>0</v>
      </c>
      <c r="AO72" s="418">
        <f t="shared" ref="AO72:AP76" si="118">AD72+AL72</f>
        <v>0</v>
      </c>
      <c r="AP72" s="418">
        <f t="shared" si="118"/>
        <v>0</v>
      </c>
      <c r="AQ72" s="418">
        <f>SUM(AO72:AP72)</f>
        <v>0</v>
      </c>
      <c r="AR72" s="68">
        <f>ROUND((AF72+AG72+AH72+AI72)*33.8%,0)</f>
        <v>0</v>
      </c>
      <c r="AS72" s="68">
        <f>ROUND(AF72*1%,0)</f>
        <v>0</v>
      </c>
      <c r="AT72" s="418">
        <v>0</v>
      </c>
      <c r="AU72" s="415">
        <v>0</v>
      </c>
      <c r="AV72" s="418">
        <f>AT72+AU72</f>
        <v>0</v>
      </c>
      <c r="AW72" s="418">
        <f>AQ72+AR72+AS72+AV72</f>
        <v>0</v>
      </c>
      <c r="AX72" s="419">
        <v>0</v>
      </c>
      <c r="AY72" s="419">
        <v>0</v>
      </c>
      <c r="AZ72" s="419">
        <v>0</v>
      </c>
      <c r="BA72" s="419">
        <v>0</v>
      </c>
      <c r="BB72" s="416">
        <v>0</v>
      </c>
      <c r="BC72" s="939">
        <v>0</v>
      </c>
      <c r="BD72" s="419">
        <v>0</v>
      </c>
      <c r="BE72" s="419">
        <v>0</v>
      </c>
      <c r="BF72" s="419">
        <f>AX72+AZ72+BA72+BC72+BD72</f>
        <v>0</v>
      </c>
      <c r="BG72" s="419">
        <f>AY72+BB72+BE72</f>
        <v>0</v>
      </c>
      <c r="BH72" s="421">
        <f>SUM(BF72:BG72)</f>
        <v>0</v>
      </c>
      <c r="BI72" s="780">
        <f>I72+AW72</f>
        <v>30012527</v>
      </c>
      <c r="BJ72" s="418">
        <f>J72+AF72</f>
        <v>21770976</v>
      </c>
      <c r="BK72" s="418">
        <f t="shared" ref="BK72:BL76" si="119">K72+AD72</f>
        <v>20281431</v>
      </c>
      <c r="BL72" s="418">
        <f t="shared" si="119"/>
        <v>1489545</v>
      </c>
      <c r="BM72" s="418">
        <f>M72+AN72</f>
        <v>195000</v>
      </c>
      <c r="BN72" s="418">
        <f t="shared" ref="BN72:BO76" si="120">N72+AL72</f>
        <v>175000</v>
      </c>
      <c r="BO72" s="418">
        <f t="shared" si="120"/>
        <v>20000</v>
      </c>
      <c r="BP72" s="418">
        <f t="shared" ref="BP72:BQ76" si="121">P72+AR72</f>
        <v>7424500</v>
      </c>
      <c r="BQ72" s="418">
        <f t="shared" si="121"/>
        <v>217710</v>
      </c>
      <c r="BR72" s="418">
        <f>R72+AV72</f>
        <v>404341</v>
      </c>
      <c r="BS72" s="419">
        <f>S72+BH72</f>
        <v>33.632000000000005</v>
      </c>
      <c r="BT72" s="419">
        <f t="shared" ref="BT72:BU76" si="122">T72+BF72</f>
        <v>28.992599999999999</v>
      </c>
      <c r="BU72" s="421">
        <f t="shared" si="122"/>
        <v>4.6394000000000002</v>
      </c>
      <c r="BV72" s="420">
        <v>760272</v>
      </c>
      <c r="BW72" s="415">
        <v>564000</v>
      </c>
      <c r="BX72" s="415">
        <v>0</v>
      </c>
      <c r="BY72" s="415">
        <v>190632</v>
      </c>
      <c r="BZ72" s="415">
        <v>5640</v>
      </c>
      <c r="CA72" s="510">
        <v>1</v>
      </c>
    </row>
    <row r="73" spans="1:79" s="221" customFormat="1" x14ac:dyDescent="0.2">
      <c r="A73" s="209">
        <v>14</v>
      </c>
      <c r="B73" s="210">
        <v>4440</v>
      </c>
      <c r="C73" s="210">
        <v>600074897</v>
      </c>
      <c r="D73" s="210">
        <v>48283029</v>
      </c>
      <c r="E73" s="208" t="s">
        <v>172</v>
      </c>
      <c r="F73" s="210">
        <v>3113</v>
      </c>
      <c r="G73" s="165" t="s">
        <v>291</v>
      </c>
      <c r="H73" s="626" t="s">
        <v>272</v>
      </c>
      <c r="I73" s="511">
        <v>2651938</v>
      </c>
      <c r="J73" s="415">
        <v>1967313</v>
      </c>
      <c r="K73" s="415">
        <v>1967313</v>
      </c>
      <c r="L73" s="415">
        <v>0</v>
      </c>
      <c r="M73" s="415">
        <v>0</v>
      </c>
      <c r="N73" s="415">
        <v>0</v>
      </c>
      <c r="O73" s="415">
        <v>0</v>
      </c>
      <c r="P73" s="68">
        <v>664951</v>
      </c>
      <c r="Q73" s="68">
        <v>19674</v>
      </c>
      <c r="R73" s="415">
        <v>0</v>
      </c>
      <c r="S73" s="416">
        <v>5.31</v>
      </c>
      <c r="T73" s="417">
        <v>5.31</v>
      </c>
      <c r="U73" s="423">
        <v>0</v>
      </c>
      <c r="V73" s="424">
        <f t="shared" si="117"/>
        <v>0</v>
      </c>
      <c r="W73" s="418">
        <f t="shared" si="117"/>
        <v>0</v>
      </c>
      <c r="X73" s="418">
        <v>0</v>
      </c>
      <c r="Y73" s="418">
        <v>0</v>
      </c>
      <c r="Z73" s="418">
        <v>0</v>
      </c>
      <c r="AA73" s="415">
        <v>0</v>
      </c>
      <c r="AB73" s="418">
        <v>0</v>
      </c>
      <c r="AC73" s="418">
        <v>0</v>
      </c>
      <c r="AD73" s="418">
        <f>V73+X73+Y73+Z73+AB73</f>
        <v>0</v>
      </c>
      <c r="AE73" s="418">
        <f>W73+AA73+AC73</f>
        <v>0</v>
      </c>
      <c r="AF73" s="418">
        <f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>AG73+AI73+AJ73</f>
        <v>0</v>
      </c>
      <c r="AM73" s="418">
        <f>AH73+AK73</f>
        <v>0</v>
      </c>
      <c r="AN73" s="418">
        <f>SUM(AL73:AM73)</f>
        <v>0</v>
      </c>
      <c r="AO73" s="418">
        <f t="shared" si="118"/>
        <v>0</v>
      </c>
      <c r="AP73" s="418">
        <f t="shared" si="118"/>
        <v>0</v>
      </c>
      <c r="AQ73" s="418">
        <f>SUM(AO73:AP73)</f>
        <v>0</v>
      </c>
      <c r="AR73" s="68">
        <f>ROUND((AF73+AG73+AH73+AI73)*33.8%,0)</f>
        <v>0</v>
      </c>
      <c r="AS73" s="68">
        <f>ROUND(AF73*1%,0)</f>
        <v>0</v>
      </c>
      <c r="AT73" s="418">
        <v>0</v>
      </c>
      <c r="AU73" s="415">
        <v>0</v>
      </c>
      <c r="AV73" s="418">
        <f>AT73+AU73</f>
        <v>0</v>
      </c>
      <c r="AW73" s="418">
        <f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6">
        <v>0</v>
      </c>
      <c r="BC73" s="939">
        <v>0</v>
      </c>
      <c r="BD73" s="419">
        <v>0</v>
      </c>
      <c r="BE73" s="419">
        <v>0</v>
      </c>
      <c r="BF73" s="419">
        <f>AX73+AZ73+BA73+BC73+BD73</f>
        <v>0</v>
      </c>
      <c r="BG73" s="419">
        <f>AY73+BB73+BE73</f>
        <v>0</v>
      </c>
      <c r="BH73" s="421">
        <f>SUM(BF73:BG73)</f>
        <v>0</v>
      </c>
      <c r="BI73" s="780">
        <f>I73+AW73</f>
        <v>2651938</v>
      </c>
      <c r="BJ73" s="418">
        <f>J73+AF73</f>
        <v>1967313</v>
      </c>
      <c r="BK73" s="418">
        <f t="shared" si="119"/>
        <v>1967313</v>
      </c>
      <c r="BL73" s="418">
        <f t="shared" si="119"/>
        <v>0</v>
      </c>
      <c r="BM73" s="418">
        <f>M73+AN73</f>
        <v>0</v>
      </c>
      <c r="BN73" s="418">
        <f t="shared" si="120"/>
        <v>0</v>
      </c>
      <c r="BO73" s="418">
        <f t="shared" si="120"/>
        <v>0</v>
      </c>
      <c r="BP73" s="418">
        <f t="shared" si="121"/>
        <v>664951</v>
      </c>
      <c r="BQ73" s="418">
        <f t="shared" si="121"/>
        <v>19674</v>
      </c>
      <c r="BR73" s="418">
        <f>R73+AV73</f>
        <v>0</v>
      </c>
      <c r="BS73" s="419">
        <f>S73+BH73</f>
        <v>5.31</v>
      </c>
      <c r="BT73" s="419">
        <f t="shared" si="122"/>
        <v>5.31</v>
      </c>
      <c r="BU73" s="421">
        <f t="shared" si="122"/>
        <v>0</v>
      </c>
      <c r="BV73" s="420"/>
      <c r="BW73" s="415"/>
      <c r="BX73" s="415"/>
      <c r="BY73" s="415"/>
      <c r="BZ73" s="415"/>
      <c r="CA73" s="510"/>
    </row>
    <row r="74" spans="1:79" s="221" customFormat="1" x14ac:dyDescent="0.2">
      <c r="A74" s="209">
        <v>14</v>
      </c>
      <c r="B74" s="210">
        <v>4440</v>
      </c>
      <c r="C74" s="210">
        <v>600074897</v>
      </c>
      <c r="D74" s="210">
        <v>48283029</v>
      </c>
      <c r="E74" s="208" t="s">
        <v>172</v>
      </c>
      <c r="F74" s="210">
        <v>3141</v>
      </c>
      <c r="G74" s="165" t="s">
        <v>294</v>
      </c>
      <c r="H74" s="626" t="s">
        <v>272</v>
      </c>
      <c r="I74" s="511">
        <v>2040994</v>
      </c>
      <c r="J74" s="415">
        <v>1502894</v>
      </c>
      <c r="K74" s="415">
        <v>0</v>
      </c>
      <c r="L74" s="415">
        <v>1502894</v>
      </c>
      <c r="M74" s="415">
        <v>0</v>
      </c>
      <c r="N74" s="415">
        <v>0</v>
      </c>
      <c r="O74" s="415">
        <v>0</v>
      </c>
      <c r="P74" s="68">
        <v>507978</v>
      </c>
      <c r="Q74" s="68">
        <v>15029</v>
      </c>
      <c r="R74" s="415">
        <v>15093</v>
      </c>
      <c r="S74" s="416">
        <v>4.51</v>
      </c>
      <c r="T74" s="417">
        <v>0</v>
      </c>
      <c r="U74" s="423">
        <v>4.51</v>
      </c>
      <c r="V74" s="424">
        <f t="shared" si="117"/>
        <v>0</v>
      </c>
      <c r="W74" s="418">
        <f t="shared" si="117"/>
        <v>0</v>
      </c>
      <c r="X74" s="418">
        <v>0</v>
      </c>
      <c r="Y74" s="418">
        <v>0</v>
      </c>
      <c r="Z74" s="418">
        <v>0</v>
      </c>
      <c r="AA74" s="605">
        <v>751763</v>
      </c>
      <c r="AB74" s="418">
        <v>0</v>
      </c>
      <c r="AC74" s="418">
        <v>0</v>
      </c>
      <c r="AD74" s="418">
        <f>V74+X74+Y74+Z74+AB74</f>
        <v>0</v>
      </c>
      <c r="AE74" s="418">
        <f>W74+AA74+AC74</f>
        <v>751763</v>
      </c>
      <c r="AF74" s="418">
        <f>SUM(AD74:AE74)</f>
        <v>751763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>AG74+AI74+AJ74</f>
        <v>0</v>
      </c>
      <c r="AM74" s="418">
        <f>AH74+AK74</f>
        <v>0</v>
      </c>
      <c r="AN74" s="418">
        <f>SUM(AL74:AM74)</f>
        <v>0</v>
      </c>
      <c r="AO74" s="418">
        <f t="shared" si="118"/>
        <v>0</v>
      </c>
      <c r="AP74" s="418">
        <f t="shared" si="118"/>
        <v>751763</v>
      </c>
      <c r="AQ74" s="418">
        <f>SUM(AO74:AP74)</f>
        <v>751763</v>
      </c>
      <c r="AR74" s="68">
        <f>ROUND((AF74+AG74+AH74+AI74)*33.8%,0)</f>
        <v>254096</v>
      </c>
      <c r="AS74" s="68">
        <f>ROUND(AF74*1%,0)</f>
        <v>7518</v>
      </c>
      <c r="AT74" s="418">
        <v>0</v>
      </c>
      <c r="AU74" s="605">
        <v>7323</v>
      </c>
      <c r="AV74" s="418">
        <f>AT74+AU74</f>
        <v>7323</v>
      </c>
      <c r="AW74" s="418">
        <f>AQ74+AR74+AS74+AV74</f>
        <v>1020700</v>
      </c>
      <c r="AX74" s="419">
        <v>0</v>
      </c>
      <c r="AY74" s="419">
        <v>0</v>
      </c>
      <c r="AZ74" s="419">
        <v>0</v>
      </c>
      <c r="BA74" s="419">
        <v>0</v>
      </c>
      <c r="BB74" s="607">
        <v>2.25</v>
      </c>
      <c r="BC74" s="939">
        <v>0</v>
      </c>
      <c r="BD74" s="419">
        <v>0</v>
      </c>
      <c r="BE74" s="419">
        <v>0</v>
      </c>
      <c r="BF74" s="419">
        <f>AX74+AZ74+BA74+BC74+BD74</f>
        <v>0</v>
      </c>
      <c r="BG74" s="419">
        <f>AY74+BB74+BE74</f>
        <v>2.25</v>
      </c>
      <c r="BH74" s="421">
        <f>SUM(BF74:BG74)</f>
        <v>2.25</v>
      </c>
      <c r="BI74" s="780">
        <f>I74+AW74</f>
        <v>3061694</v>
      </c>
      <c r="BJ74" s="418">
        <f>J74+AF74</f>
        <v>2254657</v>
      </c>
      <c r="BK74" s="418">
        <f t="shared" si="119"/>
        <v>0</v>
      </c>
      <c r="BL74" s="418">
        <f t="shared" si="119"/>
        <v>2254657</v>
      </c>
      <c r="BM74" s="418">
        <f>M74+AN74</f>
        <v>0</v>
      </c>
      <c r="BN74" s="418">
        <f t="shared" si="120"/>
        <v>0</v>
      </c>
      <c r="BO74" s="418">
        <f t="shared" si="120"/>
        <v>0</v>
      </c>
      <c r="BP74" s="418">
        <f t="shared" si="121"/>
        <v>762074</v>
      </c>
      <c r="BQ74" s="418">
        <f t="shared" si="121"/>
        <v>22547</v>
      </c>
      <c r="BR74" s="418">
        <f>R74+AV74</f>
        <v>22416</v>
      </c>
      <c r="BS74" s="419">
        <f>S74+BH74</f>
        <v>6.76</v>
      </c>
      <c r="BT74" s="419">
        <f t="shared" si="122"/>
        <v>0</v>
      </c>
      <c r="BU74" s="421">
        <f t="shared" si="122"/>
        <v>6.76</v>
      </c>
      <c r="BV74" s="420"/>
      <c r="BW74" s="415"/>
      <c r="BX74" s="415"/>
      <c r="BY74" s="415"/>
      <c r="BZ74" s="415"/>
      <c r="CA74" s="510"/>
    </row>
    <row r="75" spans="1:79" s="221" customFormat="1" x14ac:dyDescent="0.2">
      <c r="A75" s="209">
        <v>14</v>
      </c>
      <c r="B75" s="210">
        <v>4440</v>
      </c>
      <c r="C75" s="210">
        <v>600074897</v>
      </c>
      <c r="D75" s="210">
        <v>48283029</v>
      </c>
      <c r="E75" s="208" t="s">
        <v>172</v>
      </c>
      <c r="F75" s="210">
        <v>3143</v>
      </c>
      <c r="G75" s="165" t="s">
        <v>595</v>
      </c>
      <c r="H75" s="614" t="s">
        <v>271</v>
      </c>
      <c r="I75" s="511">
        <v>2574794</v>
      </c>
      <c r="J75" s="415">
        <v>1905122</v>
      </c>
      <c r="K75" s="415">
        <v>1905122</v>
      </c>
      <c r="L75" s="415">
        <v>0</v>
      </c>
      <c r="M75" s="415">
        <v>5000</v>
      </c>
      <c r="N75" s="415">
        <v>5000</v>
      </c>
      <c r="O75" s="415">
        <v>0</v>
      </c>
      <c r="P75" s="68">
        <v>645621</v>
      </c>
      <c r="Q75" s="68">
        <v>19051</v>
      </c>
      <c r="R75" s="415">
        <v>0</v>
      </c>
      <c r="S75" s="416">
        <v>4.1071999999999997</v>
      </c>
      <c r="T75" s="417">
        <v>4.1071999999999997</v>
      </c>
      <c r="U75" s="423">
        <v>0</v>
      </c>
      <c r="V75" s="424">
        <f t="shared" si="117"/>
        <v>0</v>
      </c>
      <c r="W75" s="418">
        <f t="shared" si="117"/>
        <v>0</v>
      </c>
      <c r="X75" s="418">
        <v>0</v>
      </c>
      <c r="Y75" s="418">
        <v>0</v>
      </c>
      <c r="Z75" s="418">
        <v>0</v>
      </c>
      <c r="AA75" s="415">
        <v>0</v>
      </c>
      <c r="AB75" s="418">
        <v>0</v>
      </c>
      <c r="AC75" s="418">
        <v>0</v>
      </c>
      <c r="AD75" s="418">
        <f>V75+X75+Y75+Z75+AB75</f>
        <v>0</v>
      </c>
      <c r="AE75" s="418">
        <f>W75+AA75+AC75</f>
        <v>0</v>
      </c>
      <c r="AF75" s="418">
        <f>SUM(AD75:AE75)</f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>AG75+AI75+AJ75</f>
        <v>0</v>
      </c>
      <c r="AM75" s="418">
        <f>AH75+AK75</f>
        <v>0</v>
      </c>
      <c r="AN75" s="418">
        <f>SUM(AL75:AM75)</f>
        <v>0</v>
      </c>
      <c r="AO75" s="418">
        <f t="shared" si="118"/>
        <v>0</v>
      </c>
      <c r="AP75" s="418">
        <f t="shared" si="118"/>
        <v>0</v>
      </c>
      <c r="AQ75" s="418">
        <f>SUM(AO75:AP75)</f>
        <v>0</v>
      </c>
      <c r="AR75" s="68">
        <f>ROUND((AF75+AG75+AH75+AI75)*33.8%,0)</f>
        <v>0</v>
      </c>
      <c r="AS75" s="68">
        <f>ROUND(AF75*1%,0)</f>
        <v>0</v>
      </c>
      <c r="AT75" s="418">
        <v>0</v>
      </c>
      <c r="AU75" s="415">
        <v>0</v>
      </c>
      <c r="AV75" s="418">
        <f>AT75+AU75</f>
        <v>0</v>
      </c>
      <c r="AW75" s="418">
        <f>AQ75+AR75+AS75+AV75</f>
        <v>0</v>
      </c>
      <c r="AX75" s="419">
        <v>0</v>
      </c>
      <c r="AY75" s="419">
        <v>0</v>
      </c>
      <c r="AZ75" s="419">
        <v>0</v>
      </c>
      <c r="BA75" s="419">
        <v>0</v>
      </c>
      <c r="BB75" s="416">
        <v>0</v>
      </c>
      <c r="BC75" s="939">
        <v>0</v>
      </c>
      <c r="BD75" s="419">
        <v>0</v>
      </c>
      <c r="BE75" s="419">
        <v>0</v>
      </c>
      <c r="BF75" s="419">
        <f>AX75+AZ75+BA75+BC75+BD75</f>
        <v>0</v>
      </c>
      <c r="BG75" s="419">
        <f>AY75+BB75+BE75</f>
        <v>0</v>
      </c>
      <c r="BH75" s="421">
        <f>SUM(BF75:BG75)</f>
        <v>0</v>
      </c>
      <c r="BI75" s="780">
        <f>I75+AW75</f>
        <v>2574794</v>
      </c>
      <c r="BJ75" s="418">
        <f>J75+AF75</f>
        <v>1905122</v>
      </c>
      <c r="BK75" s="418">
        <f t="shared" si="119"/>
        <v>1905122</v>
      </c>
      <c r="BL75" s="418">
        <f t="shared" si="119"/>
        <v>0</v>
      </c>
      <c r="BM75" s="418">
        <f>M75+AN75</f>
        <v>5000</v>
      </c>
      <c r="BN75" s="418">
        <f t="shared" si="120"/>
        <v>5000</v>
      </c>
      <c r="BO75" s="418">
        <f t="shared" si="120"/>
        <v>0</v>
      </c>
      <c r="BP75" s="418">
        <f t="shared" si="121"/>
        <v>645621</v>
      </c>
      <c r="BQ75" s="418">
        <f t="shared" si="121"/>
        <v>19051</v>
      </c>
      <c r="BR75" s="418">
        <f>R75+AV75</f>
        <v>0</v>
      </c>
      <c r="BS75" s="419">
        <f>S75+BH75</f>
        <v>4.1071999999999997</v>
      </c>
      <c r="BT75" s="419">
        <f t="shared" si="122"/>
        <v>4.1071999999999997</v>
      </c>
      <c r="BU75" s="421">
        <f t="shared" si="122"/>
        <v>0</v>
      </c>
      <c r="BV75" s="420"/>
      <c r="BW75" s="415"/>
      <c r="BX75" s="415"/>
      <c r="BY75" s="415"/>
      <c r="BZ75" s="415"/>
      <c r="CA75" s="510"/>
    </row>
    <row r="76" spans="1:79" s="221" customFormat="1" x14ac:dyDescent="0.2">
      <c r="A76" s="209">
        <v>14</v>
      </c>
      <c r="B76" s="210">
        <v>4440</v>
      </c>
      <c r="C76" s="210">
        <v>600074897</v>
      </c>
      <c r="D76" s="210">
        <v>48283029</v>
      </c>
      <c r="E76" s="208" t="s">
        <v>172</v>
      </c>
      <c r="F76" s="210">
        <v>3143</v>
      </c>
      <c r="G76" s="165" t="s">
        <v>596</v>
      </c>
      <c r="H76" s="614" t="s">
        <v>272</v>
      </c>
      <c r="I76" s="511">
        <v>65577</v>
      </c>
      <c r="J76" s="415">
        <v>46939</v>
      </c>
      <c r="K76" s="415">
        <v>0</v>
      </c>
      <c r="L76" s="415">
        <v>46939</v>
      </c>
      <c r="M76" s="415">
        <v>0</v>
      </c>
      <c r="N76" s="415">
        <v>0</v>
      </c>
      <c r="O76" s="415">
        <v>0</v>
      </c>
      <c r="P76" s="68">
        <v>15865</v>
      </c>
      <c r="Q76" s="68">
        <v>469</v>
      </c>
      <c r="R76" s="415">
        <v>2304</v>
      </c>
      <c r="S76" s="416">
        <v>0.18</v>
      </c>
      <c r="T76" s="417">
        <v>0</v>
      </c>
      <c r="U76" s="423">
        <v>0.18</v>
      </c>
      <c r="V76" s="424">
        <f t="shared" si="117"/>
        <v>0</v>
      </c>
      <c r="W76" s="418">
        <f t="shared" si="117"/>
        <v>0</v>
      </c>
      <c r="X76" s="418">
        <v>0</v>
      </c>
      <c r="Y76" s="418">
        <v>0</v>
      </c>
      <c r="Z76" s="418">
        <v>0</v>
      </c>
      <c r="AA76" s="605">
        <v>23461</v>
      </c>
      <c r="AB76" s="418">
        <v>0</v>
      </c>
      <c r="AC76" s="418">
        <v>0</v>
      </c>
      <c r="AD76" s="418">
        <f>V76+X76+Y76+Z76+AB76</f>
        <v>0</v>
      </c>
      <c r="AE76" s="418">
        <f>W76+AA76+AC76</f>
        <v>23461</v>
      </c>
      <c r="AF76" s="418">
        <f>SUM(AD76:AE76)</f>
        <v>23461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>AG76+AI76+AJ76</f>
        <v>0</v>
      </c>
      <c r="AM76" s="418">
        <f>AH76+AK76</f>
        <v>0</v>
      </c>
      <c r="AN76" s="418">
        <f>SUM(AL76:AM76)</f>
        <v>0</v>
      </c>
      <c r="AO76" s="418">
        <f t="shared" si="118"/>
        <v>0</v>
      </c>
      <c r="AP76" s="418">
        <f t="shared" si="118"/>
        <v>23461</v>
      </c>
      <c r="AQ76" s="418">
        <f>SUM(AO76:AP76)</f>
        <v>23461</v>
      </c>
      <c r="AR76" s="68">
        <f>ROUND((AF76+AG76+AH76+AI76)*33.8%,0)</f>
        <v>7930</v>
      </c>
      <c r="AS76" s="68">
        <f>ROUND(AF76*1%,0)</f>
        <v>235</v>
      </c>
      <c r="AT76" s="418">
        <v>0</v>
      </c>
      <c r="AU76" s="606">
        <v>1152</v>
      </c>
      <c r="AV76" s="418">
        <f>AT76+AU76</f>
        <v>1152</v>
      </c>
      <c r="AW76" s="418">
        <f>AQ76+AR76+AS76+AV76</f>
        <v>32778</v>
      </c>
      <c r="AX76" s="419">
        <v>0</v>
      </c>
      <c r="AY76" s="419">
        <v>0</v>
      </c>
      <c r="AZ76" s="419">
        <v>0</v>
      </c>
      <c r="BA76" s="419">
        <v>0</v>
      </c>
      <c r="BB76" s="607">
        <v>0.09</v>
      </c>
      <c r="BC76" s="939">
        <v>0</v>
      </c>
      <c r="BD76" s="419">
        <v>0</v>
      </c>
      <c r="BE76" s="419">
        <v>0</v>
      </c>
      <c r="BF76" s="419">
        <f>AX76+AZ76+BA76+BC76+BD76</f>
        <v>0</v>
      </c>
      <c r="BG76" s="419">
        <f>AY76+BB76+BE76</f>
        <v>0.09</v>
      </c>
      <c r="BH76" s="421">
        <f>SUM(BF76:BG76)</f>
        <v>0.09</v>
      </c>
      <c r="BI76" s="780">
        <f>I76+AW76</f>
        <v>98355</v>
      </c>
      <c r="BJ76" s="418">
        <f>J76+AF76</f>
        <v>70400</v>
      </c>
      <c r="BK76" s="418">
        <f t="shared" si="119"/>
        <v>0</v>
      </c>
      <c r="BL76" s="418">
        <f t="shared" si="119"/>
        <v>70400</v>
      </c>
      <c r="BM76" s="418">
        <f>M76+AN76</f>
        <v>0</v>
      </c>
      <c r="BN76" s="418">
        <f t="shared" si="120"/>
        <v>0</v>
      </c>
      <c r="BO76" s="418">
        <f t="shared" si="120"/>
        <v>0</v>
      </c>
      <c r="BP76" s="418">
        <f t="shared" si="121"/>
        <v>23795</v>
      </c>
      <c r="BQ76" s="418">
        <f t="shared" si="121"/>
        <v>704</v>
      </c>
      <c r="BR76" s="418">
        <f>R76+AV76</f>
        <v>3456</v>
      </c>
      <c r="BS76" s="419">
        <f>S76+BH76</f>
        <v>0.27</v>
      </c>
      <c r="BT76" s="419">
        <f t="shared" si="122"/>
        <v>0</v>
      </c>
      <c r="BU76" s="421">
        <f t="shared" si="122"/>
        <v>0.27</v>
      </c>
      <c r="BV76" s="420"/>
      <c r="BW76" s="415"/>
      <c r="BX76" s="415"/>
      <c r="BY76" s="415"/>
      <c r="BZ76" s="415"/>
      <c r="CA76" s="510"/>
    </row>
    <row r="77" spans="1:79" s="221" customFormat="1" x14ac:dyDescent="0.2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13"/>
      <c r="I77" s="452">
        <v>37345830</v>
      </c>
      <c r="J77" s="445">
        <v>27193244</v>
      </c>
      <c r="K77" s="445">
        <v>24153866</v>
      </c>
      <c r="L77" s="445">
        <v>3039378</v>
      </c>
      <c r="M77" s="445">
        <v>200000</v>
      </c>
      <c r="N77" s="445">
        <v>180000</v>
      </c>
      <c r="O77" s="445">
        <v>20000</v>
      </c>
      <c r="P77" s="445">
        <v>9258915</v>
      </c>
      <c r="Q77" s="445">
        <v>271933</v>
      </c>
      <c r="R77" s="445">
        <v>421738</v>
      </c>
      <c r="S77" s="446">
        <v>47.739200000000004</v>
      </c>
      <c r="T77" s="446">
        <v>38.409799999999997</v>
      </c>
      <c r="U77" s="450">
        <v>9.3293999999999997</v>
      </c>
      <c r="V77" s="448">
        <f t="shared" ref="V77:CA77" si="123">SUM(V72:V76)</f>
        <v>0</v>
      </c>
      <c r="W77" s="445">
        <f t="shared" si="123"/>
        <v>0</v>
      </c>
      <c r="X77" s="445">
        <f t="shared" si="123"/>
        <v>0</v>
      </c>
      <c r="Y77" s="445">
        <f t="shared" si="123"/>
        <v>0</v>
      </c>
      <c r="Z77" s="445">
        <f t="shared" si="123"/>
        <v>0</v>
      </c>
      <c r="AA77" s="445">
        <f t="shared" si="123"/>
        <v>775224</v>
      </c>
      <c r="AB77" s="445">
        <f t="shared" si="123"/>
        <v>0</v>
      </c>
      <c r="AC77" s="445">
        <f t="shared" si="123"/>
        <v>0</v>
      </c>
      <c r="AD77" s="445">
        <f t="shared" si="123"/>
        <v>0</v>
      </c>
      <c r="AE77" s="445">
        <f t="shared" si="123"/>
        <v>775224</v>
      </c>
      <c r="AF77" s="445">
        <f t="shared" si="123"/>
        <v>775224</v>
      </c>
      <c r="AG77" s="445">
        <f t="shared" si="123"/>
        <v>0</v>
      </c>
      <c r="AH77" s="445">
        <f t="shared" si="123"/>
        <v>0</v>
      </c>
      <c r="AI77" s="445">
        <f t="shared" si="123"/>
        <v>0</v>
      </c>
      <c r="AJ77" s="445">
        <f t="shared" si="123"/>
        <v>0</v>
      </c>
      <c r="AK77" s="445">
        <f t="shared" si="123"/>
        <v>0</v>
      </c>
      <c r="AL77" s="445">
        <f t="shared" si="123"/>
        <v>0</v>
      </c>
      <c r="AM77" s="445">
        <f t="shared" si="123"/>
        <v>0</v>
      </c>
      <c r="AN77" s="445">
        <f t="shared" si="123"/>
        <v>0</v>
      </c>
      <c r="AO77" s="445">
        <f t="shared" si="123"/>
        <v>0</v>
      </c>
      <c r="AP77" s="445">
        <f t="shared" si="123"/>
        <v>775224</v>
      </c>
      <c r="AQ77" s="445">
        <f t="shared" si="123"/>
        <v>775224</v>
      </c>
      <c r="AR77" s="445">
        <f t="shared" si="123"/>
        <v>262026</v>
      </c>
      <c r="AS77" s="445">
        <f t="shared" si="123"/>
        <v>7753</v>
      </c>
      <c r="AT77" s="445">
        <f t="shared" si="123"/>
        <v>0</v>
      </c>
      <c r="AU77" s="445">
        <f t="shared" si="123"/>
        <v>8475</v>
      </c>
      <c r="AV77" s="445">
        <f t="shared" si="123"/>
        <v>8475</v>
      </c>
      <c r="AW77" s="445">
        <f t="shared" si="123"/>
        <v>1053478</v>
      </c>
      <c r="AX77" s="446">
        <f t="shared" si="123"/>
        <v>0</v>
      </c>
      <c r="AY77" s="446">
        <f t="shared" si="123"/>
        <v>0</v>
      </c>
      <c r="AZ77" s="446">
        <f t="shared" si="123"/>
        <v>0</v>
      </c>
      <c r="BA77" s="446">
        <f t="shared" si="123"/>
        <v>0</v>
      </c>
      <c r="BB77" s="446">
        <f t="shared" si="123"/>
        <v>2.34</v>
      </c>
      <c r="BC77" s="948">
        <f t="shared" si="123"/>
        <v>0</v>
      </c>
      <c r="BD77" s="446">
        <f t="shared" si="123"/>
        <v>0</v>
      </c>
      <c r="BE77" s="446">
        <f t="shared" si="123"/>
        <v>0</v>
      </c>
      <c r="BF77" s="446">
        <f t="shared" si="123"/>
        <v>0</v>
      </c>
      <c r="BG77" s="446">
        <f t="shared" si="123"/>
        <v>2.34</v>
      </c>
      <c r="BH77" s="39">
        <f t="shared" si="123"/>
        <v>2.34</v>
      </c>
      <c r="BI77" s="452">
        <f t="shared" si="123"/>
        <v>38399308</v>
      </c>
      <c r="BJ77" s="445">
        <f t="shared" si="123"/>
        <v>27968468</v>
      </c>
      <c r="BK77" s="445">
        <f t="shared" si="123"/>
        <v>24153866</v>
      </c>
      <c r="BL77" s="445">
        <f t="shared" si="123"/>
        <v>3814602</v>
      </c>
      <c r="BM77" s="445">
        <f t="shared" si="123"/>
        <v>200000</v>
      </c>
      <c r="BN77" s="445">
        <f t="shared" si="123"/>
        <v>180000</v>
      </c>
      <c r="BO77" s="445">
        <f t="shared" si="123"/>
        <v>20000</v>
      </c>
      <c r="BP77" s="445">
        <f t="shared" si="123"/>
        <v>9520941</v>
      </c>
      <c r="BQ77" s="445">
        <f t="shared" si="123"/>
        <v>279686</v>
      </c>
      <c r="BR77" s="445">
        <f t="shared" si="123"/>
        <v>430213</v>
      </c>
      <c r="BS77" s="446">
        <f t="shared" si="123"/>
        <v>50.079200000000007</v>
      </c>
      <c r="BT77" s="446">
        <f t="shared" si="123"/>
        <v>38.409799999999997</v>
      </c>
      <c r="BU77" s="39">
        <f t="shared" si="123"/>
        <v>11.6694</v>
      </c>
      <c r="BV77" s="833">
        <f t="shared" si="123"/>
        <v>760272</v>
      </c>
      <c r="BW77" s="715">
        <f t="shared" si="123"/>
        <v>564000</v>
      </c>
      <c r="BX77" s="715">
        <f t="shared" si="123"/>
        <v>0</v>
      </c>
      <c r="BY77" s="715">
        <f t="shared" si="123"/>
        <v>190632</v>
      </c>
      <c r="BZ77" s="715">
        <f t="shared" si="123"/>
        <v>5640</v>
      </c>
      <c r="CA77" s="834">
        <f t="shared" si="123"/>
        <v>1</v>
      </c>
    </row>
    <row r="78" spans="1:79" s="221" customFormat="1" x14ac:dyDescent="0.2">
      <c r="A78" s="209">
        <v>15</v>
      </c>
      <c r="B78" s="210">
        <v>4442</v>
      </c>
      <c r="C78" s="210">
        <v>600074901</v>
      </c>
      <c r="D78" s="210">
        <v>48283061</v>
      </c>
      <c r="E78" s="208" t="s">
        <v>174</v>
      </c>
      <c r="F78" s="210">
        <v>3113</v>
      </c>
      <c r="G78" s="165" t="s">
        <v>293</v>
      </c>
      <c r="H78" s="626" t="s">
        <v>271</v>
      </c>
      <c r="I78" s="511">
        <v>20306399</v>
      </c>
      <c r="J78" s="415">
        <v>14708249</v>
      </c>
      <c r="K78" s="415">
        <v>13648065</v>
      </c>
      <c r="L78" s="415">
        <v>1060184</v>
      </c>
      <c r="M78" s="415">
        <v>162800</v>
      </c>
      <c r="N78" s="415">
        <v>147800</v>
      </c>
      <c r="O78" s="415">
        <v>15000</v>
      </c>
      <c r="P78" s="68">
        <v>5026414</v>
      </c>
      <c r="Q78" s="68">
        <v>147083</v>
      </c>
      <c r="R78" s="415">
        <v>261853</v>
      </c>
      <c r="S78" s="416">
        <v>21.356300000000001</v>
      </c>
      <c r="T78" s="417">
        <v>18.3</v>
      </c>
      <c r="U78" s="423">
        <v>3.0563000000000002</v>
      </c>
      <c r="V78" s="424">
        <f t="shared" ref="V78:W83" si="124">AG78*-1</f>
        <v>0</v>
      </c>
      <c r="W78" s="418">
        <f t="shared" si="124"/>
        <v>0</v>
      </c>
      <c r="X78" s="418">
        <v>0</v>
      </c>
      <c r="Y78" s="418">
        <v>0</v>
      </c>
      <c r="Z78" s="418">
        <v>0</v>
      </c>
      <c r="AA78" s="415">
        <v>0</v>
      </c>
      <c r="AB78" s="418">
        <v>0</v>
      </c>
      <c r="AC78" s="418">
        <v>0</v>
      </c>
      <c r="AD78" s="418">
        <f t="shared" ref="AD78:AD83" si="125">V78+X78+Y78+Z78+AB78</f>
        <v>0</v>
      </c>
      <c r="AE78" s="418">
        <f t="shared" ref="AE78:AE83" si="126">W78+AA78+AC78</f>
        <v>0</v>
      </c>
      <c r="AF78" s="418">
        <f t="shared" ref="AF78:AF83" si="127">SUM(AD78:AE78)</f>
        <v>0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ref="AL78:AL83" si="128">AG78+AI78+AJ78</f>
        <v>0</v>
      </c>
      <c r="AM78" s="418">
        <f t="shared" ref="AM78:AM83" si="129">AH78+AK78</f>
        <v>0</v>
      </c>
      <c r="AN78" s="418">
        <f t="shared" ref="AN78:AN83" si="130">SUM(AL78:AM78)</f>
        <v>0</v>
      </c>
      <c r="AO78" s="418">
        <f t="shared" ref="AO78:AP83" si="131">AD78+AL78</f>
        <v>0</v>
      </c>
      <c r="AP78" s="418">
        <f t="shared" si="131"/>
        <v>0</v>
      </c>
      <c r="AQ78" s="418">
        <f t="shared" ref="AQ78:AQ83" si="132">SUM(AO78:AP78)</f>
        <v>0</v>
      </c>
      <c r="AR78" s="68">
        <f t="shared" ref="AR78:AR83" si="133">ROUND((AF78+AG78+AH78+AI78)*33.8%,0)</f>
        <v>0</v>
      </c>
      <c r="AS78" s="68">
        <f t="shared" ref="AS78:AS83" si="134">ROUND(AF78*1%,0)</f>
        <v>0</v>
      </c>
      <c r="AT78" s="418">
        <v>0</v>
      </c>
      <c r="AU78" s="415">
        <v>0</v>
      </c>
      <c r="AV78" s="418">
        <f t="shared" ref="AV78:AV83" si="135">AT78+AU78</f>
        <v>0</v>
      </c>
      <c r="AW78" s="418">
        <f t="shared" ref="AW78:AW83" si="136">AQ78+AR78+AS78+AV78</f>
        <v>0</v>
      </c>
      <c r="AX78" s="419">
        <v>0</v>
      </c>
      <c r="AY78" s="419">
        <v>0</v>
      </c>
      <c r="AZ78" s="419">
        <v>0</v>
      </c>
      <c r="BA78" s="419">
        <v>0</v>
      </c>
      <c r="BB78" s="416">
        <v>0</v>
      </c>
      <c r="BC78" s="939">
        <v>0</v>
      </c>
      <c r="BD78" s="419">
        <v>0</v>
      </c>
      <c r="BE78" s="419">
        <v>0</v>
      </c>
      <c r="BF78" s="419">
        <f t="shared" ref="BF78:BF83" si="137">AX78+AZ78+BA78+BC78+BD78</f>
        <v>0</v>
      </c>
      <c r="BG78" s="419">
        <f t="shared" ref="BG78:BG83" si="138">AY78+BB78+BE78</f>
        <v>0</v>
      </c>
      <c r="BH78" s="421">
        <f t="shared" ref="BH78:BH83" si="139">SUM(BF78:BG78)</f>
        <v>0</v>
      </c>
      <c r="BI78" s="780">
        <f t="shared" ref="BI78:BI83" si="140">I78+AW78</f>
        <v>20306399</v>
      </c>
      <c r="BJ78" s="418">
        <f t="shared" ref="BJ78:BJ83" si="141">J78+AF78</f>
        <v>14708249</v>
      </c>
      <c r="BK78" s="418">
        <f t="shared" ref="BK78:BL83" si="142">K78+AD78</f>
        <v>13648065</v>
      </c>
      <c r="BL78" s="418">
        <f t="shared" si="142"/>
        <v>1060184</v>
      </c>
      <c r="BM78" s="418">
        <f t="shared" ref="BM78:BM83" si="143">M78+AN78</f>
        <v>162800</v>
      </c>
      <c r="BN78" s="418">
        <f t="shared" ref="BN78:BO83" si="144">N78+AL78</f>
        <v>147800</v>
      </c>
      <c r="BO78" s="418">
        <f t="shared" si="144"/>
        <v>15000</v>
      </c>
      <c r="BP78" s="418">
        <f t="shared" ref="BP78:BQ83" si="145">P78+AR78</f>
        <v>5026414</v>
      </c>
      <c r="BQ78" s="418">
        <f t="shared" si="145"/>
        <v>147083</v>
      </c>
      <c r="BR78" s="418">
        <f t="shared" ref="BR78:BR83" si="146">R78+AV78</f>
        <v>261853</v>
      </c>
      <c r="BS78" s="419">
        <f t="shared" ref="BS78:BS83" si="147">S78+BH78</f>
        <v>21.356300000000001</v>
      </c>
      <c r="BT78" s="419">
        <f t="shared" ref="BT78:BU83" si="148">T78+BF78</f>
        <v>18.3</v>
      </c>
      <c r="BU78" s="421">
        <f t="shared" si="148"/>
        <v>3.0563000000000002</v>
      </c>
      <c r="BV78" s="420">
        <v>150926</v>
      </c>
      <c r="BW78" s="415">
        <v>0</v>
      </c>
      <c r="BX78" s="415">
        <v>112800</v>
      </c>
      <c r="BY78" s="415">
        <v>38126</v>
      </c>
      <c r="BZ78" s="415">
        <v>0</v>
      </c>
      <c r="CA78" s="510">
        <v>0</v>
      </c>
    </row>
    <row r="79" spans="1:79" s="221" customFormat="1" x14ac:dyDescent="0.2">
      <c r="A79" s="209">
        <v>15</v>
      </c>
      <c r="B79" s="210">
        <v>4442</v>
      </c>
      <c r="C79" s="210">
        <v>600074901</v>
      </c>
      <c r="D79" s="210">
        <v>48283061</v>
      </c>
      <c r="E79" s="208" t="s">
        <v>174</v>
      </c>
      <c r="F79" s="210">
        <v>3113</v>
      </c>
      <c r="G79" s="165" t="s">
        <v>291</v>
      </c>
      <c r="H79" s="626" t="s">
        <v>272</v>
      </c>
      <c r="I79" s="511">
        <v>1700858</v>
      </c>
      <c r="J79" s="415">
        <v>1261764</v>
      </c>
      <c r="K79" s="415">
        <v>1261764</v>
      </c>
      <c r="L79" s="415">
        <v>0</v>
      </c>
      <c r="M79" s="415">
        <v>0</v>
      </c>
      <c r="N79" s="415">
        <v>0</v>
      </c>
      <c r="O79" s="415">
        <v>0</v>
      </c>
      <c r="P79" s="68">
        <v>426476</v>
      </c>
      <c r="Q79" s="68">
        <v>12618</v>
      </c>
      <c r="R79" s="415">
        <v>0</v>
      </c>
      <c r="S79" s="416">
        <v>3.4099999999999997</v>
      </c>
      <c r="T79" s="417">
        <v>3.4099999999999997</v>
      </c>
      <c r="U79" s="423">
        <v>0</v>
      </c>
      <c r="V79" s="424">
        <f t="shared" si="124"/>
        <v>0</v>
      </c>
      <c r="W79" s="418">
        <f t="shared" si="124"/>
        <v>0</v>
      </c>
      <c r="X79" s="418">
        <v>0</v>
      </c>
      <c r="Y79" s="418">
        <v>0</v>
      </c>
      <c r="Z79" s="418">
        <v>0</v>
      </c>
      <c r="AA79" s="415">
        <v>0</v>
      </c>
      <c r="AB79" s="418">
        <v>0</v>
      </c>
      <c r="AC79" s="418">
        <v>0</v>
      </c>
      <c r="AD79" s="418">
        <f t="shared" si="125"/>
        <v>0</v>
      </c>
      <c r="AE79" s="418">
        <f t="shared" si="126"/>
        <v>0</v>
      </c>
      <c r="AF79" s="418">
        <f t="shared" si="127"/>
        <v>0</v>
      </c>
      <c r="AG79" s="418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128"/>
        <v>0</v>
      </c>
      <c r="AM79" s="418">
        <f t="shared" si="129"/>
        <v>0</v>
      </c>
      <c r="AN79" s="418">
        <f t="shared" si="130"/>
        <v>0</v>
      </c>
      <c r="AO79" s="418">
        <f t="shared" si="131"/>
        <v>0</v>
      </c>
      <c r="AP79" s="418">
        <f t="shared" si="131"/>
        <v>0</v>
      </c>
      <c r="AQ79" s="418">
        <f t="shared" si="132"/>
        <v>0</v>
      </c>
      <c r="AR79" s="68">
        <f t="shared" si="133"/>
        <v>0</v>
      </c>
      <c r="AS79" s="68">
        <f t="shared" si="134"/>
        <v>0</v>
      </c>
      <c r="AT79" s="418">
        <v>0</v>
      </c>
      <c r="AU79" s="415">
        <v>0</v>
      </c>
      <c r="AV79" s="418">
        <f t="shared" si="135"/>
        <v>0</v>
      </c>
      <c r="AW79" s="418">
        <f t="shared" si="136"/>
        <v>0</v>
      </c>
      <c r="AX79" s="419">
        <v>0</v>
      </c>
      <c r="AY79" s="419">
        <v>0</v>
      </c>
      <c r="AZ79" s="419">
        <v>0</v>
      </c>
      <c r="BA79" s="419">
        <v>0</v>
      </c>
      <c r="BB79" s="416">
        <v>0</v>
      </c>
      <c r="BC79" s="939">
        <v>0</v>
      </c>
      <c r="BD79" s="419">
        <v>0</v>
      </c>
      <c r="BE79" s="419">
        <v>0</v>
      </c>
      <c r="BF79" s="419">
        <f t="shared" si="137"/>
        <v>0</v>
      </c>
      <c r="BG79" s="419">
        <f t="shared" si="138"/>
        <v>0</v>
      </c>
      <c r="BH79" s="421">
        <f t="shared" si="139"/>
        <v>0</v>
      </c>
      <c r="BI79" s="780">
        <f t="shared" si="140"/>
        <v>1700858</v>
      </c>
      <c r="BJ79" s="418">
        <f t="shared" si="141"/>
        <v>1261764</v>
      </c>
      <c r="BK79" s="418">
        <f t="shared" si="142"/>
        <v>1261764</v>
      </c>
      <c r="BL79" s="418">
        <f t="shared" si="142"/>
        <v>0</v>
      </c>
      <c r="BM79" s="418">
        <f t="shared" si="143"/>
        <v>0</v>
      </c>
      <c r="BN79" s="418">
        <f t="shared" si="144"/>
        <v>0</v>
      </c>
      <c r="BO79" s="418">
        <f t="shared" si="144"/>
        <v>0</v>
      </c>
      <c r="BP79" s="418">
        <f t="shared" si="145"/>
        <v>426476</v>
      </c>
      <c r="BQ79" s="418">
        <f t="shared" si="145"/>
        <v>12618</v>
      </c>
      <c r="BR79" s="418">
        <f t="shared" si="146"/>
        <v>0</v>
      </c>
      <c r="BS79" s="419">
        <f t="shared" si="147"/>
        <v>3.4099999999999997</v>
      </c>
      <c r="BT79" s="419">
        <f t="shared" si="148"/>
        <v>3.4099999999999997</v>
      </c>
      <c r="BU79" s="421">
        <f t="shared" si="148"/>
        <v>0</v>
      </c>
      <c r="BV79" s="420"/>
      <c r="BW79" s="415"/>
      <c r="BX79" s="415"/>
      <c r="BY79" s="415"/>
      <c r="BZ79" s="415"/>
      <c r="CA79" s="510"/>
    </row>
    <row r="80" spans="1:79" s="221" customFormat="1" x14ac:dyDescent="0.2">
      <c r="A80" s="209">
        <v>15</v>
      </c>
      <c r="B80" s="210">
        <v>4442</v>
      </c>
      <c r="C80" s="210">
        <v>600074901</v>
      </c>
      <c r="D80" s="210">
        <v>48283061</v>
      </c>
      <c r="E80" s="208" t="s">
        <v>174</v>
      </c>
      <c r="F80" s="210">
        <v>3141</v>
      </c>
      <c r="G80" s="165" t="s">
        <v>294</v>
      </c>
      <c r="H80" s="626" t="s">
        <v>272</v>
      </c>
      <c r="I80" s="511">
        <v>1080421</v>
      </c>
      <c r="J80" s="415">
        <v>795917</v>
      </c>
      <c r="K80" s="415">
        <v>0</v>
      </c>
      <c r="L80" s="415">
        <v>795917</v>
      </c>
      <c r="M80" s="415">
        <v>0</v>
      </c>
      <c r="N80" s="415">
        <v>0</v>
      </c>
      <c r="O80" s="415">
        <v>0</v>
      </c>
      <c r="P80" s="68">
        <v>269020</v>
      </c>
      <c r="Q80" s="68">
        <v>7959</v>
      </c>
      <c r="R80" s="415">
        <v>7525</v>
      </c>
      <c r="S80" s="416">
        <v>2.39</v>
      </c>
      <c r="T80" s="417">
        <v>0</v>
      </c>
      <c r="U80" s="423">
        <v>2.39</v>
      </c>
      <c r="V80" s="424">
        <f t="shared" si="124"/>
        <v>0</v>
      </c>
      <c r="W80" s="418">
        <f t="shared" si="124"/>
        <v>0</v>
      </c>
      <c r="X80" s="418">
        <v>0</v>
      </c>
      <c r="Y80" s="418">
        <v>0</v>
      </c>
      <c r="Z80" s="418">
        <v>0</v>
      </c>
      <c r="AA80" s="605">
        <v>399067</v>
      </c>
      <c r="AB80" s="418">
        <v>0</v>
      </c>
      <c r="AC80" s="418">
        <v>0</v>
      </c>
      <c r="AD80" s="418">
        <f t="shared" si="125"/>
        <v>0</v>
      </c>
      <c r="AE80" s="418">
        <f t="shared" si="126"/>
        <v>399067</v>
      </c>
      <c r="AF80" s="418">
        <f t="shared" si="127"/>
        <v>399067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28"/>
        <v>0</v>
      </c>
      <c r="AM80" s="418">
        <f t="shared" si="129"/>
        <v>0</v>
      </c>
      <c r="AN80" s="418">
        <f t="shared" si="130"/>
        <v>0</v>
      </c>
      <c r="AO80" s="418">
        <f t="shared" si="131"/>
        <v>0</v>
      </c>
      <c r="AP80" s="418">
        <f t="shared" si="131"/>
        <v>399067</v>
      </c>
      <c r="AQ80" s="418">
        <f t="shared" si="132"/>
        <v>399067</v>
      </c>
      <c r="AR80" s="68">
        <f t="shared" si="133"/>
        <v>134885</v>
      </c>
      <c r="AS80" s="68">
        <f t="shared" si="134"/>
        <v>3991</v>
      </c>
      <c r="AT80" s="418">
        <v>0</v>
      </c>
      <c r="AU80" s="605">
        <v>3655</v>
      </c>
      <c r="AV80" s="418">
        <f t="shared" si="135"/>
        <v>3655</v>
      </c>
      <c r="AW80" s="418">
        <f t="shared" si="136"/>
        <v>541598</v>
      </c>
      <c r="AX80" s="419">
        <v>0</v>
      </c>
      <c r="AY80" s="419">
        <v>0</v>
      </c>
      <c r="AZ80" s="419">
        <v>0</v>
      </c>
      <c r="BA80" s="419">
        <v>0</v>
      </c>
      <c r="BB80" s="607">
        <v>1.19</v>
      </c>
      <c r="BC80" s="939">
        <v>0</v>
      </c>
      <c r="BD80" s="419">
        <v>0</v>
      </c>
      <c r="BE80" s="419">
        <v>0</v>
      </c>
      <c r="BF80" s="419">
        <f t="shared" si="137"/>
        <v>0</v>
      </c>
      <c r="BG80" s="419">
        <f t="shared" si="138"/>
        <v>1.19</v>
      </c>
      <c r="BH80" s="421">
        <f t="shared" si="139"/>
        <v>1.19</v>
      </c>
      <c r="BI80" s="780">
        <f t="shared" si="140"/>
        <v>1622019</v>
      </c>
      <c r="BJ80" s="418">
        <f t="shared" si="141"/>
        <v>1194984</v>
      </c>
      <c r="BK80" s="418">
        <f t="shared" si="142"/>
        <v>0</v>
      </c>
      <c r="BL80" s="418">
        <f t="shared" si="142"/>
        <v>1194984</v>
      </c>
      <c r="BM80" s="418">
        <f t="shared" si="143"/>
        <v>0</v>
      </c>
      <c r="BN80" s="418">
        <f t="shared" si="144"/>
        <v>0</v>
      </c>
      <c r="BO80" s="418">
        <f t="shared" si="144"/>
        <v>0</v>
      </c>
      <c r="BP80" s="418">
        <f t="shared" si="145"/>
        <v>403905</v>
      </c>
      <c r="BQ80" s="418">
        <f t="shared" si="145"/>
        <v>11950</v>
      </c>
      <c r="BR80" s="418">
        <f t="shared" si="146"/>
        <v>11180</v>
      </c>
      <c r="BS80" s="419">
        <f t="shared" si="147"/>
        <v>3.58</v>
      </c>
      <c r="BT80" s="419">
        <f t="shared" si="148"/>
        <v>0</v>
      </c>
      <c r="BU80" s="421">
        <f t="shared" si="148"/>
        <v>3.58</v>
      </c>
      <c r="BV80" s="420"/>
      <c r="BW80" s="415"/>
      <c r="BX80" s="415"/>
      <c r="BY80" s="415"/>
      <c r="BZ80" s="415"/>
      <c r="CA80" s="510"/>
    </row>
    <row r="81" spans="1:79" s="221" customFormat="1" x14ac:dyDescent="0.2">
      <c r="A81" s="209">
        <v>15</v>
      </c>
      <c r="B81" s="210">
        <v>4442</v>
      </c>
      <c r="C81" s="210">
        <v>600074901</v>
      </c>
      <c r="D81" s="210">
        <v>48283061</v>
      </c>
      <c r="E81" s="204" t="s">
        <v>174</v>
      </c>
      <c r="F81" s="210">
        <v>3143</v>
      </c>
      <c r="G81" s="165" t="s">
        <v>595</v>
      </c>
      <c r="H81" s="614" t="s">
        <v>271</v>
      </c>
      <c r="I81" s="511">
        <v>1960736</v>
      </c>
      <c r="J81" s="415">
        <v>1444626</v>
      </c>
      <c r="K81" s="415">
        <v>1444626</v>
      </c>
      <c r="L81" s="415">
        <v>0</v>
      </c>
      <c r="M81" s="415">
        <v>10000</v>
      </c>
      <c r="N81" s="415">
        <v>10000</v>
      </c>
      <c r="O81" s="415">
        <v>0</v>
      </c>
      <c r="P81" s="68">
        <v>491664</v>
      </c>
      <c r="Q81" s="68">
        <v>14446</v>
      </c>
      <c r="R81" s="415">
        <v>0</v>
      </c>
      <c r="S81" s="416">
        <v>2.6253000000000002</v>
      </c>
      <c r="T81" s="417">
        <v>2.6253000000000002</v>
      </c>
      <c r="U81" s="423">
        <v>0</v>
      </c>
      <c r="V81" s="424">
        <f t="shared" si="124"/>
        <v>0</v>
      </c>
      <c r="W81" s="418">
        <f t="shared" si="124"/>
        <v>0</v>
      </c>
      <c r="X81" s="418">
        <v>0</v>
      </c>
      <c r="Y81" s="418">
        <v>0</v>
      </c>
      <c r="Z81" s="418">
        <v>0</v>
      </c>
      <c r="AA81" s="415">
        <v>0</v>
      </c>
      <c r="AB81" s="418">
        <v>0</v>
      </c>
      <c r="AC81" s="418">
        <v>0</v>
      </c>
      <c r="AD81" s="418">
        <f t="shared" si="125"/>
        <v>0</v>
      </c>
      <c r="AE81" s="418">
        <f t="shared" si="126"/>
        <v>0</v>
      </c>
      <c r="AF81" s="418">
        <f t="shared" si="127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28"/>
        <v>0</v>
      </c>
      <c r="AM81" s="418">
        <f t="shared" si="129"/>
        <v>0</v>
      </c>
      <c r="AN81" s="418">
        <f t="shared" si="130"/>
        <v>0</v>
      </c>
      <c r="AO81" s="418">
        <f t="shared" si="131"/>
        <v>0</v>
      </c>
      <c r="AP81" s="418">
        <f t="shared" si="131"/>
        <v>0</v>
      </c>
      <c r="AQ81" s="418">
        <f t="shared" si="132"/>
        <v>0</v>
      </c>
      <c r="AR81" s="68">
        <f t="shared" si="133"/>
        <v>0</v>
      </c>
      <c r="AS81" s="68">
        <f t="shared" si="134"/>
        <v>0</v>
      </c>
      <c r="AT81" s="418">
        <v>0</v>
      </c>
      <c r="AU81" s="415">
        <v>0</v>
      </c>
      <c r="AV81" s="418">
        <f t="shared" si="135"/>
        <v>0</v>
      </c>
      <c r="AW81" s="418">
        <f t="shared" si="136"/>
        <v>0</v>
      </c>
      <c r="AX81" s="419">
        <v>0</v>
      </c>
      <c r="AY81" s="419">
        <v>0</v>
      </c>
      <c r="AZ81" s="419">
        <v>0</v>
      </c>
      <c r="BA81" s="419">
        <v>0</v>
      </c>
      <c r="BB81" s="416">
        <v>0</v>
      </c>
      <c r="BC81" s="939">
        <v>0</v>
      </c>
      <c r="BD81" s="419">
        <v>0</v>
      </c>
      <c r="BE81" s="419">
        <v>0</v>
      </c>
      <c r="BF81" s="419">
        <f t="shared" si="137"/>
        <v>0</v>
      </c>
      <c r="BG81" s="419">
        <f t="shared" si="138"/>
        <v>0</v>
      </c>
      <c r="BH81" s="421">
        <f t="shared" si="139"/>
        <v>0</v>
      </c>
      <c r="BI81" s="780">
        <f t="shared" si="140"/>
        <v>1960736</v>
      </c>
      <c r="BJ81" s="418">
        <f t="shared" si="141"/>
        <v>1444626</v>
      </c>
      <c r="BK81" s="418">
        <f t="shared" si="142"/>
        <v>1444626</v>
      </c>
      <c r="BL81" s="418">
        <f t="shared" si="142"/>
        <v>0</v>
      </c>
      <c r="BM81" s="418">
        <f t="shared" si="143"/>
        <v>10000</v>
      </c>
      <c r="BN81" s="418">
        <f t="shared" si="144"/>
        <v>10000</v>
      </c>
      <c r="BO81" s="418">
        <f t="shared" si="144"/>
        <v>0</v>
      </c>
      <c r="BP81" s="418">
        <f t="shared" si="145"/>
        <v>491664</v>
      </c>
      <c r="BQ81" s="418">
        <f t="shared" si="145"/>
        <v>14446</v>
      </c>
      <c r="BR81" s="418">
        <f t="shared" si="146"/>
        <v>0</v>
      </c>
      <c r="BS81" s="419">
        <f t="shared" si="147"/>
        <v>2.6253000000000002</v>
      </c>
      <c r="BT81" s="419">
        <f t="shared" si="148"/>
        <v>2.6253000000000002</v>
      </c>
      <c r="BU81" s="421">
        <f t="shared" si="148"/>
        <v>0</v>
      </c>
      <c r="BV81" s="420"/>
      <c r="BW81" s="415"/>
      <c r="BX81" s="415"/>
      <c r="BY81" s="415"/>
      <c r="BZ81" s="415"/>
      <c r="CA81" s="510"/>
    </row>
    <row r="82" spans="1:79" s="221" customFormat="1" x14ac:dyDescent="0.2">
      <c r="A82" s="209">
        <v>15</v>
      </c>
      <c r="B82" s="210">
        <v>4442</v>
      </c>
      <c r="C82" s="210">
        <v>600074901</v>
      </c>
      <c r="D82" s="210">
        <v>48283061</v>
      </c>
      <c r="E82" s="204" t="s">
        <v>174</v>
      </c>
      <c r="F82" s="210">
        <v>3143</v>
      </c>
      <c r="G82" s="165" t="s">
        <v>596</v>
      </c>
      <c r="H82" s="614" t="s">
        <v>272</v>
      </c>
      <c r="I82" s="511">
        <v>46104</v>
      </c>
      <c r="J82" s="415">
        <v>33000</v>
      </c>
      <c r="K82" s="415">
        <v>0</v>
      </c>
      <c r="L82" s="415">
        <v>33000</v>
      </c>
      <c r="M82" s="415">
        <v>0</v>
      </c>
      <c r="N82" s="415">
        <v>0</v>
      </c>
      <c r="O82" s="415">
        <v>0</v>
      </c>
      <c r="P82" s="68">
        <v>11154</v>
      </c>
      <c r="Q82" s="68">
        <v>330</v>
      </c>
      <c r="R82" s="415">
        <v>1620</v>
      </c>
      <c r="S82" s="416">
        <v>0.13</v>
      </c>
      <c r="T82" s="417">
        <v>0</v>
      </c>
      <c r="U82" s="423">
        <v>0.13</v>
      </c>
      <c r="V82" s="424">
        <f t="shared" si="124"/>
        <v>0</v>
      </c>
      <c r="W82" s="418">
        <f t="shared" si="124"/>
        <v>0</v>
      </c>
      <c r="X82" s="418">
        <v>0</v>
      </c>
      <c r="Y82" s="418">
        <v>0</v>
      </c>
      <c r="Z82" s="418">
        <v>0</v>
      </c>
      <c r="AA82" s="605">
        <v>16500</v>
      </c>
      <c r="AB82" s="418">
        <v>0</v>
      </c>
      <c r="AC82" s="418">
        <v>0</v>
      </c>
      <c r="AD82" s="418">
        <f t="shared" si="125"/>
        <v>0</v>
      </c>
      <c r="AE82" s="418">
        <f t="shared" si="126"/>
        <v>16500</v>
      </c>
      <c r="AF82" s="418">
        <f t="shared" si="127"/>
        <v>16500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28"/>
        <v>0</v>
      </c>
      <c r="AM82" s="418">
        <f t="shared" si="129"/>
        <v>0</v>
      </c>
      <c r="AN82" s="418">
        <f t="shared" si="130"/>
        <v>0</v>
      </c>
      <c r="AO82" s="418">
        <f t="shared" si="131"/>
        <v>0</v>
      </c>
      <c r="AP82" s="418">
        <f t="shared" si="131"/>
        <v>16500</v>
      </c>
      <c r="AQ82" s="418">
        <f t="shared" si="132"/>
        <v>16500</v>
      </c>
      <c r="AR82" s="68">
        <f t="shared" si="133"/>
        <v>5577</v>
      </c>
      <c r="AS82" s="68">
        <f t="shared" si="134"/>
        <v>165</v>
      </c>
      <c r="AT82" s="418">
        <v>0</v>
      </c>
      <c r="AU82" s="606">
        <v>810</v>
      </c>
      <c r="AV82" s="418">
        <f t="shared" si="135"/>
        <v>810</v>
      </c>
      <c r="AW82" s="418">
        <f t="shared" si="136"/>
        <v>23052</v>
      </c>
      <c r="AX82" s="419">
        <v>0</v>
      </c>
      <c r="AY82" s="419">
        <v>0</v>
      </c>
      <c r="AZ82" s="419">
        <v>0</v>
      </c>
      <c r="BA82" s="419">
        <v>0</v>
      </c>
      <c r="BB82" s="607">
        <v>0.06</v>
      </c>
      <c r="BC82" s="939">
        <v>0</v>
      </c>
      <c r="BD82" s="419">
        <v>0</v>
      </c>
      <c r="BE82" s="419">
        <v>0</v>
      </c>
      <c r="BF82" s="419">
        <f t="shared" si="137"/>
        <v>0</v>
      </c>
      <c r="BG82" s="419">
        <f t="shared" si="138"/>
        <v>0.06</v>
      </c>
      <c r="BH82" s="421">
        <f t="shared" si="139"/>
        <v>0.06</v>
      </c>
      <c r="BI82" s="780">
        <f t="shared" si="140"/>
        <v>69156</v>
      </c>
      <c r="BJ82" s="418">
        <f t="shared" si="141"/>
        <v>49500</v>
      </c>
      <c r="BK82" s="418">
        <f t="shared" si="142"/>
        <v>0</v>
      </c>
      <c r="BL82" s="418">
        <f t="shared" si="142"/>
        <v>49500</v>
      </c>
      <c r="BM82" s="418">
        <f t="shared" si="143"/>
        <v>0</v>
      </c>
      <c r="BN82" s="418">
        <f t="shared" si="144"/>
        <v>0</v>
      </c>
      <c r="BO82" s="418">
        <f t="shared" si="144"/>
        <v>0</v>
      </c>
      <c r="BP82" s="418">
        <f t="shared" si="145"/>
        <v>16731</v>
      </c>
      <c r="BQ82" s="418">
        <f t="shared" si="145"/>
        <v>495</v>
      </c>
      <c r="BR82" s="418">
        <f t="shared" si="146"/>
        <v>2430</v>
      </c>
      <c r="BS82" s="419">
        <f t="shared" si="147"/>
        <v>0.19</v>
      </c>
      <c r="BT82" s="419">
        <f t="shared" si="148"/>
        <v>0</v>
      </c>
      <c r="BU82" s="421">
        <f t="shared" si="148"/>
        <v>0.19</v>
      </c>
      <c r="BV82" s="420"/>
      <c r="BW82" s="415"/>
      <c r="BX82" s="415"/>
      <c r="BY82" s="415"/>
      <c r="BZ82" s="415"/>
      <c r="CA82" s="510"/>
    </row>
    <row r="83" spans="1:79" s="221" customFormat="1" x14ac:dyDescent="0.2">
      <c r="A83" s="209">
        <v>15</v>
      </c>
      <c r="B83" s="210">
        <v>4442</v>
      </c>
      <c r="C83" s="210">
        <v>600074901</v>
      </c>
      <c r="D83" s="210">
        <v>48283061</v>
      </c>
      <c r="E83" s="204" t="s">
        <v>174</v>
      </c>
      <c r="F83" s="210">
        <v>3143</v>
      </c>
      <c r="G83" s="165" t="s">
        <v>296</v>
      </c>
      <c r="H83" s="614" t="s">
        <v>272</v>
      </c>
      <c r="I83" s="511">
        <v>316792</v>
      </c>
      <c r="J83" s="415">
        <v>234795</v>
      </c>
      <c r="K83" s="415">
        <v>226004</v>
      </c>
      <c r="L83" s="415">
        <v>8791</v>
      </c>
      <c r="M83" s="415">
        <v>0</v>
      </c>
      <c r="N83" s="415">
        <v>0</v>
      </c>
      <c r="O83" s="415">
        <v>0</v>
      </c>
      <c r="P83" s="68">
        <v>79361</v>
      </c>
      <c r="Q83" s="68">
        <v>2348</v>
      </c>
      <c r="R83" s="415">
        <v>288</v>
      </c>
      <c r="S83" s="416">
        <v>0.48</v>
      </c>
      <c r="T83" s="417">
        <v>0.45</v>
      </c>
      <c r="U83" s="423">
        <v>0.03</v>
      </c>
      <c r="V83" s="424">
        <f t="shared" si="124"/>
        <v>0</v>
      </c>
      <c r="W83" s="418">
        <f t="shared" si="124"/>
        <v>0</v>
      </c>
      <c r="X83" s="418">
        <v>0</v>
      </c>
      <c r="Y83" s="418">
        <v>0</v>
      </c>
      <c r="Z83" s="418">
        <v>0</v>
      </c>
      <c r="AA83" s="605">
        <v>4409</v>
      </c>
      <c r="AB83" s="418">
        <v>0</v>
      </c>
      <c r="AC83" s="418">
        <v>0</v>
      </c>
      <c r="AD83" s="418">
        <f t="shared" si="125"/>
        <v>0</v>
      </c>
      <c r="AE83" s="418">
        <f t="shared" si="126"/>
        <v>4409</v>
      </c>
      <c r="AF83" s="418">
        <f t="shared" si="127"/>
        <v>4409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28"/>
        <v>0</v>
      </c>
      <c r="AM83" s="418">
        <f t="shared" si="129"/>
        <v>0</v>
      </c>
      <c r="AN83" s="418">
        <f t="shared" si="130"/>
        <v>0</v>
      </c>
      <c r="AO83" s="418">
        <f t="shared" si="131"/>
        <v>0</v>
      </c>
      <c r="AP83" s="418">
        <f t="shared" si="131"/>
        <v>4409</v>
      </c>
      <c r="AQ83" s="418">
        <f t="shared" si="132"/>
        <v>4409</v>
      </c>
      <c r="AR83" s="68">
        <f t="shared" si="133"/>
        <v>1490</v>
      </c>
      <c r="AS83" s="68">
        <f t="shared" si="134"/>
        <v>44</v>
      </c>
      <c r="AT83" s="418">
        <v>0</v>
      </c>
      <c r="AU83" s="606">
        <v>144</v>
      </c>
      <c r="AV83" s="418">
        <f t="shared" si="135"/>
        <v>144</v>
      </c>
      <c r="AW83" s="418">
        <f t="shared" si="136"/>
        <v>6087</v>
      </c>
      <c r="AX83" s="419">
        <v>0</v>
      </c>
      <c r="AY83" s="419">
        <v>0</v>
      </c>
      <c r="AZ83" s="419">
        <v>0</v>
      </c>
      <c r="BA83" s="419">
        <v>0</v>
      </c>
      <c r="BB83" s="607">
        <v>0.02</v>
      </c>
      <c r="BC83" s="939">
        <v>0</v>
      </c>
      <c r="BD83" s="419">
        <v>0</v>
      </c>
      <c r="BE83" s="419">
        <v>0</v>
      </c>
      <c r="BF83" s="419">
        <f t="shared" si="137"/>
        <v>0</v>
      </c>
      <c r="BG83" s="419">
        <f t="shared" si="138"/>
        <v>0.02</v>
      </c>
      <c r="BH83" s="421">
        <f t="shared" si="139"/>
        <v>0.02</v>
      </c>
      <c r="BI83" s="780">
        <f t="shared" si="140"/>
        <v>322879</v>
      </c>
      <c r="BJ83" s="418">
        <f t="shared" si="141"/>
        <v>239204</v>
      </c>
      <c r="BK83" s="418">
        <f t="shared" si="142"/>
        <v>226004</v>
      </c>
      <c r="BL83" s="418">
        <f t="shared" si="142"/>
        <v>13200</v>
      </c>
      <c r="BM83" s="418">
        <f t="shared" si="143"/>
        <v>0</v>
      </c>
      <c r="BN83" s="418">
        <f t="shared" si="144"/>
        <v>0</v>
      </c>
      <c r="BO83" s="418">
        <f t="shared" si="144"/>
        <v>0</v>
      </c>
      <c r="BP83" s="418">
        <f t="shared" si="145"/>
        <v>80851</v>
      </c>
      <c r="BQ83" s="418">
        <f t="shared" si="145"/>
        <v>2392</v>
      </c>
      <c r="BR83" s="418">
        <f t="shared" si="146"/>
        <v>432</v>
      </c>
      <c r="BS83" s="419">
        <f t="shared" si="147"/>
        <v>0.5</v>
      </c>
      <c r="BT83" s="419">
        <f t="shared" si="148"/>
        <v>0.45</v>
      </c>
      <c r="BU83" s="421">
        <f t="shared" si="148"/>
        <v>0.05</v>
      </c>
      <c r="BV83" s="420"/>
      <c r="BW83" s="415"/>
      <c r="BX83" s="415"/>
      <c r="BY83" s="415"/>
      <c r="BZ83" s="415"/>
      <c r="CA83" s="510"/>
    </row>
    <row r="84" spans="1:79" s="221" customFormat="1" x14ac:dyDescent="0.2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13"/>
      <c r="I84" s="452">
        <v>25411310</v>
      </c>
      <c r="J84" s="445">
        <v>18478351</v>
      </c>
      <c r="K84" s="445">
        <v>16580459</v>
      </c>
      <c r="L84" s="445">
        <v>1897892</v>
      </c>
      <c r="M84" s="445">
        <v>172800</v>
      </c>
      <c r="N84" s="445">
        <v>157800</v>
      </c>
      <c r="O84" s="445">
        <v>15000</v>
      </c>
      <c r="P84" s="445">
        <v>6304089</v>
      </c>
      <c r="Q84" s="445">
        <v>184784</v>
      </c>
      <c r="R84" s="445">
        <v>271286</v>
      </c>
      <c r="S84" s="446">
        <v>30.3916</v>
      </c>
      <c r="T84" s="446">
        <v>24.785299999999999</v>
      </c>
      <c r="U84" s="450">
        <v>5.6063000000000009</v>
      </c>
      <c r="V84" s="448">
        <f t="shared" ref="V84:CA84" si="149">SUM(V78:V83)</f>
        <v>0</v>
      </c>
      <c r="W84" s="445">
        <f t="shared" si="149"/>
        <v>0</v>
      </c>
      <c r="X84" s="445">
        <f t="shared" si="149"/>
        <v>0</v>
      </c>
      <c r="Y84" s="445">
        <f t="shared" si="149"/>
        <v>0</v>
      </c>
      <c r="Z84" s="445">
        <f t="shared" si="149"/>
        <v>0</v>
      </c>
      <c r="AA84" s="445">
        <f t="shared" si="149"/>
        <v>419976</v>
      </c>
      <c r="AB84" s="445">
        <f t="shared" si="149"/>
        <v>0</v>
      </c>
      <c r="AC84" s="445">
        <f t="shared" si="149"/>
        <v>0</v>
      </c>
      <c r="AD84" s="445">
        <f t="shared" si="149"/>
        <v>0</v>
      </c>
      <c r="AE84" s="445">
        <f t="shared" si="149"/>
        <v>419976</v>
      </c>
      <c r="AF84" s="445">
        <f t="shared" si="149"/>
        <v>419976</v>
      </c>
      <c r="AG84" s="445">
        <f t="shared" si="149"/>
        <v>0</v>
      </c>
      <c r="AH84" s="445">
        <f t="shared" si="149"/>
        <v>0</v>
      </c>
      <c r="AI84" s="445">
        <f t="shared" si="149"/>
        <v>0</v>
      </c>
      <c r="AJ84" s="445">
        <f t="shared" si="149"/>
        <v>0</v>
      </c>
      <c r="AK84" s="445">
        <f t="shared" si="149"/>
        <v>0</v>
      </c>
      <c r="AL84" s="445">
        <f t="shared" si="149"/>
        <v>0</v>
      </c>
      <c r="AM84" s="445">
        <f t="shared" si="149"/>
        <v>0</v>
      </c>
      <c r="AN84" s="445">
        <f t="shared" si="149"/>
        <v>0</v>
      </c>
      <c r="AO84" s="445">
        <f t="shared" si="149"/>
        <v>0</v>
      </c>
      <c r="AP84" s="445">
        <f t="shared" si="149"/>
        <v>419976</v>
      </c>
      <c r="AQ84" s="445">
        <f t="shared" si="149"/>
        <v>419976</v>
      </c>
      <c r="AR84" s="445">
        <f t="shared" si="149"/>
        <v>141952</v>
      </c>
      <c r="AS84" s="445">
        <f t="shared" si="149"/>
        <v>4200</v>
      </c>
      <c r="AT84" s="445">
        <f t="shared" si="149"/>
        <v>0</v>
      </c>
      <c r="AU84" s="445">
        <f t="shared" si="149"/>
        <v>4609</v>
      </c>
      <c r="AV84" s="445">
        <f t="shared" si="149"/>
        <v>4609</v>
      </c>
      <c r="AW84" s="445">
        <f t="shared" si="149"/>
        <v>570737</v>
      </c>
      <c r="AX84" s="446">
        <f t="shared" si="149"/>
        <v>0</v>
      </c>
      <c r="AY84" s="446">
        <f t="shared" si="149"/>
        <v>0</v>
      </c>
      <c r="AZ84" s="446">
        <f t="shared" si="149"/>
        <v>0</v>
      </c>
      <c r="BA84" s="446">
        <f t="shared" si="149"/>
        <v>0</v>
      </c>
      <c r="BB84" s="446">
        <f t="shared" si="149"/>
        <v>1.27</v>
      </c>
      <c r="BC84" s="948">
        <f t="shared" si="149"/>
        <v>0</v>
      </c>
      <c r="BD84" s="446">
        <f t="shared" si="149"/>
        <v>0</v>
      </c>
      <c r="BE84" s="446">
        <f t="shared" si="149"/>
        <v>0</v>
      </c>
      <c r="BF84" s="446">
        <f t="shared" si="149"/>
        <v>0</v>
      </c>
      <c r="BG84" s="446">
        <f t="shared" si="149"/>
        <v>1.27</v>
      </c>
      <c r="BH84" s="39">
        <f t="shared" si="149"/>
        <v>1.27</v>
      </c>
      <c r="BI84" s="452">
        <f t="shared" si="149"/>
        <v>25982047</v>
      </c>
      <c r="BJ84" s="445">
        <f t="shared" si="149"/>
        <v>18898327</v>
      </c>
      <c r="BK84" s="445">
        <f t="shared" si="149"/>
        <v>16580459</v>
      </c>
      <c r="BL84" s="445">
        <f t="shared" si="149"/>
        <v>2317868</v>
      </c>
      <c r="BM84" s="445">
        <f t="shared" si="149"/>
        <v>172800</v>
      </c>
      <c r="BN84" s="445">
        <f t="shared" si="149"/>
        <v>157800</v>
      </c>
      <c r="BO84" s="445">
        <f t="shared" si="149"/>
        <v>15000</v>
      </c>
      <c r="BP84" s="445">
        <f t="shared" si="149"/>
        <v>6446041</v>
      </c>
      <c r="BQ84" s="445">
        <f t="shared" si="149"/>
        <v>188984</v>
      </c>
      <c r="BR84" s="445">
        <f t="shared" si="149"/>
        <v>275895</v>
      </c>
      <c r="BS84" s="446">
        <f t="shared" si="149"/>
        <v>31.6616</v>
      </c>
      <c r="BT84" s="446">
        <f t="shared" si="149"/>
        <v>24.785299999999999</v>
      </c>
      <c r="BU84" s="39">
        <f t="shared" si="149"/>
        <v>6.8763000000000005</v>
      </c>
      <c r="BV84" s="833">
        <f t="shared" si="149"/>
        <v>150926</v>
      </c>
      <c r="BW84" s="715">
        <f t="shared" si="149"/>
        <v>0</v>
      </c>
      <c r="BX84" s="715">
        <f t="shared" si="149"/>
        <v>112800</v>
      </c>
      <c r="BY84" s="715">
        <f t="shared" si="149"/>
        <v>38126</v>
      </c>
      <c r="BZ84" s="715">
        <f t="shared" si="149"/>
        <v>0</v>
      </c>
      <c r="CA84" s="834">
        <f t="shared" si="149"/>
        <v>0</v>
      </c>
    </row>
    <row r="85" spans="1:79" s="221" customFormat="1" x14ac:dyDescent="0.2">
      <c r="A85" s="209">
        <v>16</v>
      </c>
      <c r="B85" s="210">
        <v>4436</v>
      </c>
      <c r="C85" s="210">
        <v>600074986</v>
      </c>
      <c r="D85" s="210">
        <v>70982198</v>
      </c>
      <c r="E85" s="208" t="s">
        <v>176</v>
      </c>
      <c r="F85" s="210">
        <v>3113</v>
      </c>
      <c r="G85" s="165" t="s">
        <v>293</v>
      </c>
      <c r="H85" s="626" t="s">
        <v>271</v>
      </c>
      <c r="I85" s="511">
        <v>30433976</v>
      </c>
      <c r="J85" s="415">
        <v>22271799</v>
      </c>
      <c r="K85" s="415">
        <v>20730605</v>
      </c>
      <c r="L85" s="415">
        <v>1541194</v>
      </c>
      <c r="M85" s="415">
        <v>15000</v>
      </c>
      <c r="N85" s="415">
        <v>15000</v>
      </c>
      <c r="O85" s="415">
        <v>0</v>
      </c>
      <c r="P85" s="68">
        <v>7532938</v>
      </c>
      <c r="Q85" s="68">
        <v>222718</v>
      </c>
      <c r="R85" s="415">
        <v>391521</v>
      </c>
      <c r="S85" s="416">
        <v>34.600400000000008</v>
      </c>
      <c r="T85" s="417">
        <v>30.034399999999998</v>
      </c>
      <c r="U85" s="423">
        <v>4.5659999999999998</v>
      </c>
      <c r="V85" s="424">
        <f t="shared" ref="V85:W89" si="150">AG85*-1</f>
        <v>0</v>
      </c>
      <c r="W85" s="418">
        <f t="shared" si="150"/>
        <v>0</v>
      </c>
      <c r="X85" s="418">
        <v>0</v>
      </c>
      <c r="Y85" s="418">
        <v>0</v>
      </c>
      <c r="Z85" s="418">
        <v>0</v>
      </c>
      <c r="AA85" s="415">
        <v>0</v>
      </c>
      <c r="AB85" s="418">
        <v>0</v>
      </c>
      <c r="AC85" s="418">
        <v>0</v>
      </c>
      <c r="AD85" s="418">
        <f>V85+X85+Y85+Z85+AB85</f>
        <v>0</v>
      </c>
      <c r="AE85" s="418">
        <f>W85+AA85+AC85</f>
        <v>0</v>
      </c>
      <c r="AF85" s="418">
        <f>SUM(AD85:AE85)</f>
        <v>0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>AG85+AI85+AJ85</f>
        <v>0</v>
      </c>
      <c r="AM85" s="418">
        <f>AH85+AK85</f>
        <v>0</v>
      </c>
      <c r="AN85" s="418">
        <f>SUM(AL85:AM85)</f>
        <v>0</v>
      </c>
      <c r="AO85" s="418">
        <f t="shared" ref="AO85:AP89" si="151">AD85+AL85</f>
        <v>0</v>
      </c>
      <c r="AP85" s="418">
        <f t="shared" si="151"/>
        <v>0</v>
      </c>
      <c r="AQ85" s="418">
        <f>SUM(AO85:AP85)</f>
        <v>0</v>
      </c>
      <c r="AR85" s="68">
        <f>ROUND((AF85+AG85+AH85+AI85)*33.8%,0)</f>
        <v>0</v>
      </c>
      <c r="AS85" s="68">
        <f>ROUND(AF85*1%,0)</f>
        <v>0</v>
      </c>
      <c r="AT85" s="418">
        <v>0</v>
      </c>
      <c r="AU85" s="415">
        <v>0</v>
      </c>
      <c r="AV85" s="418">
        <f>AT85+AU85</f>
        <v>0</v>
      </c>
      <c r="AW85" s="418">
        <f>AQ85+AR85+AS85+AV85</f>
        <v>0</v>
      </c>
      <c r="AX85" s="419">
        <v>0</v>
      </c>
      <c r="AY85" s="419">
        <v>0</v>
      </c>
      <c r="AZ85" s="419">
        <v>0</v>
      </c>
      <c r="BA85" s="419">
        <v>0</v>
      </c>
      <c r="BB85" s="416">
        <v>0</v>
      </c>
      <c r="BC85" s="939">
        <v>0</v>
      </c>
      <c r="BD85" s="419">
        <v>0</v>
      </c>
      <c r="BE85" s="419">
        <v>0</v>
      </c>
      <c r="BF85" s="419">
        <f>AX85+AZ85+BA85+BC85+BD85</f>
        <v>0</v>
      </c>
      <c r="BG85" s="419">
        <f>AY85+BB85+BE85</f>
        <v>0</v>
      </c>
      <c r="BH85" s="421">
        <f>SUM(BF85:BG85)</f>
        <v>0</v>
      </c>
      <c r="BI85" s="780">
        <f>I85+AW85</f>
        <v>30433976</v>
      </c>
      <c r="BJ85" s="418">
        <f>J85+AF85</f>
        <v>22271799</v>
      </c>
      <c r="BK85" s="418">
        <f t="shared" ref="BK85:BL89" si="152">K85+AD85</f>
        <v>20730605</v>
      </c>
      <c r="BL85" s="418">
        <f t="shared" si="152"/>
        <v>1541194</v>
      </c>
      <c r="BM85" s="418">
        <f>M85+AN85</f>
        <v>15000</v>
      </c>
      <c r="BN85" s="418">
        <f t="shared" ref="BN85:BO89" si="153">N85+AL85</f>
        <v>15000</v>
      </c>
      <c r="BO85" s="418">
        <f t="shared" si="153"/>
        <v>0</v>
      </c>
      <c r="BP85" s="418">
        <f t="shared" ref="BP85:BQ89" si="154">P85+AR85</f>
        <v>7532938</v>
      </c>
      <c r="BQ85" s="418">
        <f t="shared" si="154"/>
        <v>222718</v>
      </c>
      <c r="BR85" s="418">
        <f>R85+AV85</f>
        <v>391521</v>
      </c>
      <c r="BS85" s="419">
        <f>S85+BH85</f>
        <v>34.600400000000008</v>
      </c>
      <c r="BT85" s="419">
        <f t="shared" ref="BT85:BU89" si="155">T85+BF85</f>
        <v>30.034399999999998</v>
      </c>
      <c r="BU85" s="421">
        <f t="shared" si="155"/>
        <v>4.5659999999999998</v>
      </c>
      <c r="BV85" s="420"/>
      <c r="BW85" s="415"/>
      <c r="BX85" s="415"/>
      <c r="BY85" s="415"/>
      <c r="BZ85" s="415"/>
      <c r="CA85" s="510"/>
    </row>
    <row r="86" spans="1:79" s="221" customFormat="1" x14ac:dyDescent="0.2">
      <c r="A86" s="209">
        <v>16</v>
      </c>
      <c r="B86" s="210">
        <v>4436</v>
      </c>
      <c r="C86" s="210">
        <v>600074986</v>
      </c>
      <c r="D86" s="210">
        <v>70982198</v>
      </c>
      <c r="E86" s="208" t="s">
        <v>176</v>
      </c>
      <c r="F86" s="210">
        <v>3113</v>
      </c>
      <c r="G86" s="165" t="s">
        <v>291</v>
      </c>
      <c r="H86" s="626" t="s">
        <v>272</v>
      </c>
      <c r="I86" s="511">
        <v>2125892</v>
      </c>
      <c r="J86" s="415">
        <v>1570765</v>
      </c>
      <c r="K86" s="415">
        <v>1570765</v>
      </c>
      <c r="L86" s="415">
        <v>0</v>
      </c>
      <c r="M86" s="415">
        <v>0</v>
      </c>
      <c r="N86" s="415">
        <v>0</v>
      </c>
      <c r="O86" s="415">
        <v>0</v>
      </c>
      <c r="P86" s="68">
        <v>530919</v>
      </c>
      <c r="Q86" s="68">
        <v>15708</v>
      </c>
      <c r="R86" s="415">
        <v>8500</v>
      </c>
      <c r="S86" s="416">
        <v>4.24</v>
      </c>
      <c r="T86" s="417">
        <v>4.24</v>
      </c>
      <c r="U86" s="423">
        <v>0</v>
      </c>
      <c r="V86" s="424">
        <f t="shared" si="150"/>
        <v>0</v>
      </c>
      <c r="W86" s="418">
        <f t="shared" si="150"/>
        <v>0</v>
      </c>
      <c r="X86" s="418">
        <v>0</v>
      </c>
      <c r="Y86" s="418">
        <v>0</v>
      </c>
      <c r="Z86" s="418">
        <v>0</v>
      </c>
      <c r="AA86" s="415">
        <v>0</v>
      </c>
      <c r="AB86" s="418">
        <v>0</v>
      </c>
      <c r="AC86" s="418">
        <v>0</v>
      </c>
      <c r="AD86" s="418">
        <f>V86+X86+Y86+Z86+AB86</f>
        <v>0</v>
      </c>
      <c r="AE86" s="418">
        <f>W86+AA86+AC86</f>
        <v>0</v>
      </c>
      <c r="AF86" s="418">
        <f>SUM(AD86:AE86)</f>
        <v>0</v>
      </c>
      <c r="AG86" s="418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>AG86+AI86+AJ86</f>
        <v>0</v>
      </c>
      <c r="AM86" s="418">
        <f>AH86+AK86</f>
        <v>0</v>
      </c>
      <c r="AN86" s="418">
        <f>SUM(AL86:AM86)</f>
        <v>0</v>
      </c>
      <c r="AO86" s="418">
        <f t="shared" si="151"/>
        <v>0</v>
      </c>
      <c r="AP86" s="418">
        <f t="shared" si="151"/>
        <v>0</v>
      </c>
      <c r="AQ86" s="418">
        <f>SUM(AO86:AP86)</f>
        <v>0</v>
      </c>
      <c r="AR86" s="68">
        <f>ROUND((AF86+AG86+AH86+AI86)*33.8%,0)</f>
        <v>0</v>
      </c>
      <c r="AS86" s="68">
        <f>ROUND(AF86*1%,0)</f>
        <v>0</v>
      </c>
      <c r="AT86" s="418">
        <v>5750</v>
      </c>
      <c r="AU86" s="415">
        <v>0</v>
      </c>
      <c r="AV86" s="418">
        <f>AT86+AU86</f>
        <v>5750</v>
      </c>
      <c r="AW86" s="418">
        <f>AQ86+AR86+AS86+AV86</f>
        <v>5750</v>
      </c>
      <c r="AX86" s="419">
        <v>0</v>
      </c>
      <c r="AY86" s="419">
        <v>0</v>
      </c>
      <c r="AZ86" s="419">
        <v>0</v>
      </c>
      <c r="BA86" s="419">
        <v>0</v>
      </c>
      <c r="BB86" s="416">
        <v>0</v>
      </c>
      <c r="BC86" s="939">
        <v>0</v>
      </c>
      <c r="BD86" s="419">
        <v>0</v>
      </c>
      <c r="BE86" s="419">
        <v>0</v>
      </c>
      <c r="BF86" s="419">
        <f>AX86+AZ86+BA86+BC86+BD86</f>
        <v>0</v>
      </c>
      <c r="BG86" s="419">
        <f>AY86+BB86+BE86</f>
        <v>0</v>
      </c>
      <c r="BH86" s="421">
        <f>SUM(BF86:BG86)</f>
        <v>0</v>
      </c>
      <c r="BI86" s="780">
        <f>I86+AW86</f>
        <v>2131642</v>
      </c>
      <c r="BJ86" s="418">
        <f>J86+AF86</f>
        <v>1570765</v>
      </c>
      <c r="BK86" s="418">
        <f t="shared" si="152"/>
        <v>1570765</v>
      </c>
      <c r="BL86" s="418">
        <f t="shared" si="152"/>
        <v>0</v>
      </c>
      <c r="BM86" s="418">
        <f>M86+AN86</f>
        <v>0</v>
      </c>
      <c r="BN86" s="418">
        <f t="shared" si="153"/>
        <v>0</v>
      </c>
      <c r="BO86" s="418">
        <f t="shared" si="153"/>
        <v>0</v>
      </c>
      <c r="BP86" s="418">
        <f t="shared" si="154"/>
        <v>530919</v>
      </c>
      <c r="BQ86" s="418">
        <f t="shared" si="154"/>
        <v>15708</v>
      </c>
      <c r="BR86" s="418">
        <f>R86+AV86</f>
        <v>14250</v>
      </c>
      <c r="BS86" s="419">
        <f>S86+BH86</f>
        <v>4.24</v>
      </c>
      <c r="BT86" s="419">
        <f t="shared" si="155"/>
        <v>4.24</v>
      </c>
      <c r="BU86" s="421">
        <f t="shared" si="155"/>
        <v>0</v>
      </c>
      <c r="BV86" s="420"/>
      <c r="BW86" s="415"/>
      <c r="BX86" s="415"/>
      <c r="BY86" s="415"/>
      <c r="BZ86" s="415"/>
      <c r="CA86" s="510"/>
    </row>
    <row r="87" spans="1:79" s="221" customFormat="1" x14ac:dyDescent="0.2">
      <c r="A87" s="209">
        <v>16</v>
      </c>
      <c r="B87" s="210">
        <v>4436</v>
      </c>
      <c r="C87" s="210">
        <v>600074986</v>
      </c>
      <c r="D87" s="210">
        <v>70982198</v>
      </c>
      <c r="E87" s="208" t="s">
        <v>176</v>
      </c>
      <c r="F87" s="210">
        <v>3141</v>
      </c>
      <c r="G87" s="165" t="s">
        <v>294</v>
      </c>
      <c r="H87" s="626" t="s">
        <v>272</v>
      </c>
      <c r="I87" s="511">
        <v>1496914</v>
      </c>
      <c r="J87" s="415">
        <v>1087718</v>
      </c>
      <c r="K87" s="415">
        <v>0</v>
      </c>
      <c r="L87" s="415">
        <v>1087718</v>
      </c>
      <c r="M87" s="415">
        <v>15000</v>
      </c>
      <c r="N87" s="415">
        <v>0</v>
      </c>
      <c r="O87" s="415">
        <v>15000</v>
      </c>
      <c r="P87" s="68">
        <v>372719</v>
      </c>
      <c r="Q87" s="68">
        <v>10877</v>
      </c>
      <c r="R87" s="415">
        <v>10600</v>
      </c>
      <c r="S87" s="416">
        <v>3.31</v>
      </c>
      <c r="T87" s="417">
        <v>0</v>
      </c>
      <c r="U87" s="423">
        <v>3.31</v>
      </c>
      <c r="V87" s="424">
        <f t="shared" si="150"/>
        <v>0</v>
      </c>
      <c r="W87" s="418">
        <f t="shared" si="150"/>
        <v>0</v>
      </c>
      <c r="X87" s="418">
        <v>0</v>
      </c>
      <c r="Y87" s="418">
        <v>0</v>
      </c>
      <c r="Z87" s="418">
        <v>0</v>
      </c>
      <c r="AA87" s="605">
        <v>549901</v>
      </c>
      <c r="AB87" s="418">
        <v>0</v>
      </c>
      <c r="AC87" s="418">
        <v>0</v>
      </c>
      <c r="AD87" s="418">
        <f>V87+X87+Y87+Z87+AB87</f>
        <v>0</v>
      </c>
      <c r="AE87" s="418">
        <f>W87+AA87+AC87</f>
        <v>549901</v>
      </c>
      <c r="AF87" s="418">
        <f>SUM(AD87:AE87)</f>
        <v>549901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>AG87+AI87+AJ87</f>
        <v>0</v>
      </c>
      <c r="AM87" s="418">
        <f>AH87+AK87</f>
        <v>0</v>
      </c>
      <c r="AN87" s="418">
        <f>SUM(AL87:AM87)</f>
        <v>0</v>
      </c>
      <c r="AO87" s="418">
        <f t="shared" si="151"/>
        <v>0</v>
      </c>
      <c r="AP87" s="418">
        <f t="shared" si="151"/>
        <v>549901</v>
      </c>
      <c r="AQ87" s="418">
        <f>SUM(AO87:AP87)</f>
        <v>549901</v>
      </c>
      <c r="AR87" s="68">
        <f>ROUND((AF87+AG87+AH87+AI87)*33.8%,0)</f>
        <v>185867</v>
      </c>
      <c r="AS87" s="68">
        <f>ROUND(AF87*1%,0)</f>
        <v>5499</v>
      </c>
      <c r="AT87" s="418">
        <v>0</v>
      </c>
      <c r="AU87" s="605">
        <v>5146</v>
      </c>
      <c r="AV87" s="418">
        <f>AT87+AU87</f>
        <v>5146</v>
      </c>
      <c r="AW87" s="418">
        <f>AQ87+AR87+AS87+AV87</f>
        <v>746413</v>
      </c>
      <c r="AX87" s="419">
        <v>0</v>
      </c>
      <c r="AY87" s="419">
        <v>0</v>
      </c>
      <c r="AZ87" s="419">
        <v>0</v>
      </c>
      <c r="BA87" s="419">
        <v>0</v>
      </c>
      <c r="BB87" s="607">
        <v>1.65</v>
      </c>
      <c r="BC87" s="939">
        <v>0</v>
      </c>
      <c r="BD87" s="419">
        <v>0</v>
      </c>
      <c r="BE87" s="419">
        <v>0</v>
      </c>
      <c r="BF87" s="419">
        <f>AX87+AZ87+BA87+BC87+BD87</f>
        <v>0</v>
      </c>
      <c r="BG87" s="419">
        <f>AY87+BB87+BE87</f>
        <v>1.65</v>
      </c>
      <c r="BH87" s="421">
        <f>SUM(BF87:BG87)</f>
        <v>1.65</v>
      </c>
      <c r="BI87" s="780">
        <f>I87+AW87</f>
        <v>2243327</v>
      </c>
      <c r="BJ87" s="418">
        <f>J87+AF87</f>
        <v>1637619</v>
      </c>
      <c r="BK87" s="418">
        <f t="shared" si="152"/>
        <v>0</v>
      </c>
      <c r="BL87" s="418">
        <f t="shared" si="152"/>
        <v>1637619</v>
      </c>
      <c r="BM87" s="418">
        <f>M87+AN87</f>
        <v>15000</v>
      </c>
      <c r="BN87" s="418">
        <f t="shared" si="153"/>
        <v>0</v>
      </c>
      <c r="BO87" s="418">
        <f t="shared" si="153"/>
        <v>15000</v>
      </c>
      <c r="BP87" s="418">
        <f t="shared" si="154"/>
        <v>558586</v>
      </c>
      <c r="BQ87" s="418">
        <f t="shared" si="154"/>
        <v>16376</v>
      </c>
      <c r="BR87" s="418">
        <f>R87+AV87</f>
        <v>15746</v>
      </c>
      <c r="BS87" s="419">
        <f>S87+BH87</f>
        <v>4.96</v>
      </c>
      <c r="BT87" s="419">
        <f t="shared" si="155"/>
        <v>0</v>
      </c>
      <c r="BU87" s="421">
        <f t="shared" si="155"/>
        <v>4.96</v>
      </c>
      <c r="BV87" s="420"/>
      <c r="BW87" s="415"/>
      <c r="BX87" s="415"/>
      <c r="BY87" s="415"/>
      <c r="BZ87" s="415"/>
      <c r="CA87" s="510"/>
    </row>
    <row r="88" spans="1:79" s="221" customFormat="1" x14ac:dyDescent="0.2">
      <c r="A88" s="209">
        <v>16</v>
      </c>
      <c r="B88" s="210">
        <v>4436</v>
      </c>
      <c r="C88" s="210">
        <v>600074986</v>
      </c>
      <c r="D88" s="210">
        <v>70982198</v>
      </c>
      <c r="E88" s="204" t="s">
        <v>176</v>
      </c>
      <c r="F88" s="210">
        <v>3143</v>
      </c>
      <c r="G88" s="165" t="s">
        <v>595</v>
      </c>
      <c r="H88" s="614" t="s">
        <v>271</v>
      </c>
      <c r="I88" s="511">
        <v>2521648</v>
      </c>
      <c r="J88" s="415">
        <v>1865696</v>
      </c>
      <c r="K88" s="415">
        <v>1865696</v>
      </c>
      <c r="L88" s="415">
        <v>0</v>
      </c>
      <c r="M88" s="415">
        <v>5000</v>
      </c>
      <c r="N88" s="415">
        <v>5000</v>
      </c>
      <c r="O88" s="415">
        <v>0</v>
      </c>
      <c r="P88" s="68">
        <v>632295</v>
      </c>
      <c r="Q88" s="68">
        <v>18657</v>
      </c>
      <c r="R88" s="415">
        <v>0</v>
      </c>
      <c r="S88" s="416">
        <v>3.6606999999999998</v>
      </c>
      <c r="T88" s="417">
        <v>3.6606999999999998</v>
      </c>
      <c r="U88" s="423">
        <v>0</v>
      </c>
      <c r="V88" s="424">
        <f t="shared" si="150"/>
        <v>0</v>
      </c>
      <c r="W88" s="418">
        <f t="shared" si="150"/>
        <v>0</v>
      </c>
      <c r="X88" s="418">
        <v>0</v>
      </c>
      <c r="Y88" s="418">
        <v>0</v>
      </c>
      <c r="Z88" s="418">
        <v>0</v>
      </c>
      <c r="AA88" s="415">
        <v>0</v>
      </c>
      <c r="AB88" s="418">
        <v>0</v>
      </c>
      <c r="AC88" s="418">
        <v>0</v>
      </c>
      <c r="AD88" s="418">
        <f>V88+X88+Y88+Z88+AB88</f>
        <v>0</v>
      </c>
      <c r="AE88" s="418">
        <f>W88+AA88+AC88</f>
        <v>0</v>
      </c>
      <c r="AF88" s="418">
        <f>SUM(AD88:AE88)</f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>AG88+AI88+AJ88</f>
        <v>0</v>
      </c>
      <c r="AM88" s="418">
        <f>AH88+AK88</f>
        <v>0</v>
      </c>
      <c r="AN88" s="418">
        <f>SUM(AL88:AM88)</f>
        <v>0</v>
      </c>
      <c r="AO88" s="418">
        <f t="shared" si="151"/>
        <v>0</v>
      </c>
      <c r="AP88" s="418">
        <f t="shared" si="151"/>
        <v>0</v>
      </c>
      <c r="AQ88" s="418">
        <f>SUM(AO88:AP88)</f>
        <v>0</v>
      </c>
      <c r="AR88" s="68">
        <f>ROUND((AF88+AG88+AH88+AI88)*33.8%,0)</f>
        <v>0</v>
      </c>
      <c r="AS88" s="68">
        <f>ROUND(AF88*1%,0)</f>
        <v>0</v>
      </c>
      <c r="AT88" s="418">
        <v>0</v>
      </c>
      <c r="AU88" s="415">
        <v>0</v>
      </c>
      <c r="AV88" s="418">
        <f>AT88+AU88</f>
        <v>0</v>
      </c>
      <c r="AW88" s="418">
        <f>AQ88+AR88+AS88+AV88</f>
        <v>0</v>
      </c>
      <c r="AX88" s="419">
        <v>0</v>
      </c>
      <c r="AY88" s="419">
        <v>0</v>
      </c>
      <c r="AZ88" s="419">
        <v>0</v>
      </c>
      <c r="BA88" s="419">
        <v>0</v>
      </c>
      <c r="BB88" s="416">
        <v>0</v>
      </c>
      <c r="BC88" s="939">
        <v>0</v>
      </c>
      <c r="BD88" s="419">
        <v>0</v>
      </c>
      <c r="BE88" s="419">
        <v>0</v>
      </c>
      <c r="BF88" s="419">
        <f>AX88+AZ88+BA88+BC88+BD88</f>
        <v>0</v>
      </c>
      <c r="BG88" s="419">
        <f>AY88+BB88+BE88</f>
        <v>0</v>
      </c>
      <c r="BH88" s="421">
        <f>SUM(BF88:BG88)</f>
        <v>0</v>
      </c>
      <c r="BI88" s="780">
        <f>I88+AW88</f>
        <v>2521648</v>
      </c>
      <c r="BJ88" s="418">
        <f>J88+AF88</f>
        <v>1865696</v>
      </c>
      <c r="BK88" s="418">
        <f t="shared" si="152"/>
        <v>1865696</v>
      </c>
      <c r="BL88" s="418">
        <f t="shared" si="152"/>
        <v>0</v>
      </c>
      <c r="BM88" s="418">
        <f>M88+AN88</f>
        <v>5000</v>
      </c>
      <c r="BN88" s="418">
        <f t="shared" si="153"/>
        <v>5000</v>
      </c>
      <c r="BO88" s="418">
        <f t="shared" si="153"/>
        <v>0</v>
      </c>
      <c r="BP88" s="418">
        <f t="shared" si="154"/>
        <v>632295</v>
      </c>
      <c r="BQ88" s="418">
        <f t="shared" si="154"/>
        <v>18657</v>
      </c>
      <c r="BR88" s="418">
        <f>R88+AV88</f>
        <v>0</v>
      </c>
      <c r="BS88" s="419">
        <f>S88+BH88</f>
        <v>3.6606999999999998</v>
      </c>
      <c r="BT88" s="419">
        <f t="shared" si="155"/>
        <v>3.6606999999999998</v>
      </c>
      <c r="BU88" s="421">
        <f t="shared" si="155"/>
        <v>0</v>
      </c>
      <c r="BV88" s="420"/>
      <c r="BW88" s="415"/>
      <c r="BX88" s="415"/>
      <c r="BY88" s="415"/>
      <c r="BZ88" s="415"/>
      <c r="CA88" s="510"/>
    </row>
    <row r="89" spans="1:79" s="221" customFormat="1" x14ac:dyDescent="0.2">
      <c r="A89" s="209">
        <v>16</v>
      </c>
      <c r="B89" s="210">
        <v>4436</v>
      </c>
      <c r="C89" s="210">
        <v>600074986</v>
      </c>
      <c r="D89" s="210">
        <v>70982198</v>
      </c>
      <c r="E89" s="204" t="s">
        <v>176</v>
      </c>
      <c r="F89" s="210">
        <v>3143</v>
      </c>
      <c r="G89" s="165" t="s">
        <v>596</v>
      </c>
      <c r="H89" s="614" t="s">
        <v>272</v>
      </c>
      <c r="I89" s="511">
        <v>51746</v>
      </c>
      <c r="J89" s="415">
        <v>37039</v>
      </c>
      <c r="K89" s="415">
        <v>0</v>
      </c>
      <c r="L89" s="415">
        <v>37039</v>
      </c>
      <c r="M89" s="415">
        <v>0</v>
      </c>
      <c r="N89" s="415">
        <v>0</v>
      </c>
      <c r="O89" s="415">
        <v>0</v>
      </c>
      <c r="P89" s="68">
        <v>12519</v>
      </c>
      <c r="Q89" s="68">
        <v>370</v>
      </c>
      <c r="R89" s="415">
        <v>1818</v>
      </c>
      <c r="S89" s="416">
        <v>0.14000000000000001</v>
      </c>
      <c r="T89" s="417">
        <v>0</v>
      </c>
      <c r="U89" s="423">
        <v>0.14000000000000001</v>
      </c>
      <c r="V89" s="424">
        <f t="shared" si="150"/>
        <v>0</v>
      </c>
      <c r="W89" s="418">
        <f t="shared" si="150"/>
        <v>0</v>
      </c>
      <c r="X89" s="418">
        <v>0</v>
      </c>
      <c r="Y89" s="418">
        <v>0</v>
      </c>
      <c r="Z89" s="418">
        <v>0</v>
      </c>
      <c r="AA89" s="605">
        <v>18511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18511</v>
      </c>
      <c r="AF89" s="418">
        <f>SUM(AD89:AE89)</f>
        <v>18511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si="151"/>
        <v>0</v>
      </c>
      <c r="AP89" s="418">
        <f t="shared" si="151"/>
        <v>18511</v>
      </c>
      <c r="AQ89" s="418">
        <f>SUM(AO89:AP89)</f>
        <v>18511</v>
      </c>
      <c r="AR89" s="68">
        <f>ROUND((AF89+AG89+AH89+AI89)*33.8%,0)</f>
        <v>6257</v>
      </c>
      <c r="AS89" s="68">
        <f>ROUND(AF89*1%,0)</f>
        <v>185</v>
      </c>
      <c r="AT89" s="418">
        <v>0</v>
      </c>
      <c r="AU89" s="606">
        <v>909</v>
      </c>
      <c r="AV89" s="418">
        <f>AT89+AU89</f>
        <v>909</v>
      </c>
      <c r="AW89" s="418">
        <f>AQ89+AR89+AS89+AV89</f>
        <v>25862</v>
      </c>
      <c r="AX89" s="419">
        <v>0</v>
      </c>
      <c r="AY89" s="419">
        <v>0</v>
      </c>
      <c r="AZ89" s="419">
        <v>0</v>
      </c>
      <c r="BA89" s="419">
        <v>0</v>
      </c>
      <c r="BB89" s="607">
        <v>7.0000000000000007E-2</v>
      </c>
      <c r="BC89" s="93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7.0000000000000007E-2</v>
      </c>
      <c r="BH89" s="421">
        <f>SUM(BF89:BG89)</f>
        <v>7.0000000000000007E-2</v>
      </c>
      <c r="BI89" s="780">
        <f>I89+AW89</f>
        <v>77608</v>
      </c>
      <c r="BJ89" s="418">
        <f>J89+AF89</f>
        <v>55550</v>
      </c>
      <c r="BK89" s="418">
        <f t="shared" si="152"/>
        <v>0</v>
      </c>
      <c r="BL89" s="418">
        <f t="shared" si="152"/>
        <v>55550</v>
      </c>
      <c r="BM89" s="418">
        <f>M89+AN89</f>
        <v>0</v>
      </c>
      <c r="BN89" s="418">
        <f t="shared" si="153"/>
        <v>0</v>
      </c>
      <c r="BO89" s="418">
        <f t="shared" si="153"/>
        <v>0</v>
      </c>
      <c r="BP89" s="418">
        <f t="shared" si="154"/>
        <v>18776</v>
      </c>
      <c r="BQ89" s="418">
        <f t="shared" si="154"/>
        <v>555</v>
      </c>
      <c r="BR89" s="418">
        <f>R89+AV89</f>
        <v>2727</v>
      </c>
      <c r="BS89" s="419">
        <f>S89+BH89</f>
        <v>0.21000000000000002</v>
      </c>
      <c r="BT89" s="419">
        <f t="shared" si="155"/>
        <v>0</v>
      </c>
      <c r="BU89" s="421">
        <f t="shared" si="155"/>
        <v>0.21000000000000002</v>
      </c>
      <c r="BV89" s="420"/>
      <c r="BW89" s="415"/>
      <c r="BX89" s="415"/>
      <c r="BY89" s="415"/>
      <c r="BZ89" s="415"/>
      <c r="CA89" s="510"/>
    </row>
    <row r="90" spans="1:79" s="221" customFormat="1" x14ac:dyDescent="0.2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13"/>
      <c r="I90" s="452">
        <v>36630176</v>
      </c>
      <c r="J90" s="445">
        <v>26833017</v>
      </c>
      <c r="K90" s="445">
        <v>24167066</v>
      </c>
      <c r="L90" s="445">
        <v>2665951</v>
      </c>
      <c r="M90" s="445">
        <v>35000</v>
      </c>
      <c r="N90" s="445">
        <v>20000</v>
      </c>
      <c r="O90" s="445">
        <v>15000</v>
      </c>
      <c r="P90" s="445">
        <v>9081390</v>
      </c>
      <c r="Q90" s="445">
        <v>268330</v>
      </c>
      <c r="R90" s="445">
        <v>412439</v>
      </c>
      <c r="S90" s="446">
        <v>45.951100000000011</v>
      </c>
      <c r="T90" s="446">
        <v>37.935099999999998</v>
      </c>
      <c r="U90" s="450">
        <v>8.016</v>
      </c>
      <c r="V90" s="448">
        <f t="shared" ref="V90:CA90" si="156">SUM(V85:V89)</f>
        <v>0</v>
      </c>
      <c r="W90" s="445">
        <f t="shared" si="156"/>
        <v>0</v>
      </c>
      <c r="X90" s="445">
        <f t="shared" si="156"/>
        <v>0</v>
      </c>
      <c r="Y90" s="445">
        <f t="shared" si="156"/>
        <v>0</v>
      </c>
      <c r="Z90" s="445">
        <f t="shared" si="156"/>
        <v>0</v>
      </c>
      <c r="AA90" s="445">
        <f t="shared" si="156"/>
        <v>568412</v>
      </c>
      <c r="AB90" s="445">
        <f t="shared" si="156"/>
        <v>0</v>
      </c>
      <c r="AC90" s="445">
        <f t="shared" si="156"/>
        <v>0</v>
      </c>
      <c r="AD90" s="445">
        <f t="shared" si="156"/>
        <v>0</v>
      </c>
      <c r="AE90" s="445">
        <f t="shared" si="156"/>
        <v>568412</v>
      </c>
      <c r="AF90" s="445">
        <f t="shared" si="156"/>
        <v>568412</v>
      </c>
      <c r="AG90" s="445">
        <f t="shared" si="156"/>
        <v>0</v>
      </c>
      <c r="AH90" s="445">
        <f t="shared" si="156"/>
        <v>0</v>
      </c>
      <c r="AI90" s="445">
        <f t="shared" si="156"/>
        <v>0</v>
      </c>
      <c r="AJ90" s="445">
        <f t="shared" si="156"/>
        <v>0</v>
      </c>
      <c r="AK90" s="445">
        <f t="shared" si="156"/>
        <v>0</v>
      </c>
      <c r="AL90" s="445">
        <f t="shared" si="156"/>
        <v>0</v>
      </c>
      <c r="AM90" s="445">
        <f t="shared" si="156"/>
        <v>0</v>
      </c>
      <c r="AN90" s="445">
        <f t="shared" si="156"/>
        <v>0</v>
      </c>
      <c r="AO90" s="445">
        <f t="shared" si="156"/>
        <v>0</v>
      </c>
      <c r="AP90" s="445">
        <f t="shared" si="156"/>
        <v>568412</v>
      </c>
      <c r="AQ90" s="445">
        <f t="shared" si="156"/>
        <v>568412</v>
      </c>
      <c r="AR90" s="445">
        <f t="shared" si="156"/>
        <v>192124</v>
      </c>
      <c r="AS90" s="445">
        <f t="shared" si="156"/>
        <v>5684</v>
      </c>
      <c r="AT90" s="445">
        <f t="shared" si="156"/>
        <v>5750</v>
      </c>
      <c r="AU90" s="445">
        <f t="shared" si="156"/>
        <v>6055</v>
      </c>
      <c r="AV90" s="445">
        <f t="shared" si="156"/>
        <v>11805</v>
      </c>
      <c r="AW90" s="445">
        <f t="shared" si="156"/>
        <v>778025</v>
      </c>
      <c r="AX90" s="446">
        <f t="shared" si="156"/>
        <v>0</v>
      </c>
      <c r="AY90" s="446">
        <f t="shared" si="156"/>
        <v>0</v>
      </c>
      <c r="AZ90" s="446">
        <f t="shared" si="156"/>
        <v>0</v>
      </c>
      <c r="BA90" s="446">
        <f t="shared" si="156"/>
        <v>0</v>
      </c>
      <c r="BB90" s="446">
        <f t="shared" si="156"/>
        <v>1.72</v>
      </c>
      <c r="BC90" s="948">
        <f t="shared" si="156"/>
        <v>0</v>
      </c>
      <c r="BD90" s="446">
        <f t="shared" si="156"/>
        <v>0</v>
      </c>
      <c r="BE90" s="446">
        <f t="shared" si="156"/>
        <v>0</v>
      </c>
      <c r="BF90" s="446">
        <f t="shared" si="156"/>
        <v>0</v>
      </c>
      <c r="BG90" s="446">
        <f t="shared" si="156"/>
        <v>1.72</v>
      </c>
      <c r="BH90" s="39">
        <f t="shared" si="156"/>
        <v>1.72</v>
      </c>
      <c r="BI90" s="452">
        <f t="shared" si="156"/>
        <v>37408201</v>
      </c>
      <c r="BJ90" s="445">
        <f t="shared" si="156"/>
        <v>27401429</v>
      </c>
      <c r="BK90" s="445">
        <f t="shared" si="156"/>
        <v>24167066</v>
      </c>
      <c r="BL90" s="445">
        <f t="shared" si="156"/>
        <v>3234363</v>
      </c>
      <c r="BM90" s="445">
        <f t="shared" si="156"/>
        <v>35000</v>
      </c>
      <c r="BN90" s="445">
        <f t="shared" si="156"/>
        <v>20000</v>
      </c>
      <c r="BO90" s="445">
        <f t="shared" si="156"/>
        <v>15000</v>
      </c>
      <c r="BP90" s="445">
        <f t="shared" si="156"/>
        <v>9273514</v>
      </c>
      <c r="BQ90" s="445">
        <f t="shared" si="156"/>
        <v>274014</v>
      </c>
      <c r="BR90" s="445">
        <f t="shared" si="156"/>
        <v>424244</v>
      </c>
      <c r="BS90" s="446">
        <f t="shared" si="156"/>
        <v>47.67110000000001</v>
      </c>
      <c r="BT90" s="446">
        <f t="shared" si="156"/>
        <v>37.935099999999998</v>
      </c>
      <c r="BU90" s="39">
        <f t="shared" si="156"/>
        <v>9.7360000000000007</v>
      </c>
      <c r="BV90" s="833">
        <f t="shared" si="156"/>
        <v>0</v>
      </c>
      <c r="BW90" s="715">
        <f t="shared" si="156"/>
        <v>0</v>
      </c>
      <c r="BX90" s="715">
        <f t="shared" si="156"/>
        <v>0</v>
      </c>
      <c r="BY90" s="715">
        <f t="shared" si="156"/>
        <v>0</v>
      </c>
      <c r="BZ90" s="715">
        <f t="shared" si="156"/>
        <v>0</v>
      </c>
      <c r="CA90" s="834">
        <f t="shared" si="156"/>
        <v>0</v>
      </c>
    </row>
    <row r="91" spans="1:79" s="221" customFormat="1" x14ac:dyDescent="0.2">
      <c r="A91" s="209">
        <v>17</v>
      </c>
      <c r="B91" s="210">
        <v>4454</v>
      </c>
      <c r="C91" s="210">
        <v>600074811</v>
      </c>
      <c r="D91" s="210">
        <v>48283070</v>
      </c>
      <c r="E91" s="208" t="s">
        <v>178</v>
      </c>
      <c r="F91" s="210">
        <v>3113</v>
      </c>
      <c r="G91" s="165" t="s">
        <v>293</v>
      </c>
      <c r="H91" s="626" t="s">
        <v>271</v>
      </c>
      <c r="I91" s="511">
        <v>32879206</v>
      </c>
      <c r="J91" s="415">
        <v>23982340</v>
      </c>
      <c r="K91" s="415">
        <v>22307405</v>
      </c>
      <c r="L91" s="415">
        <v>1674935</v>
      </c>
      <c r="M91" s="415">
        <v>62080</v>
      </c>
      <c r="N91" s="415">
        <v>62080</v>
      </c>
      <c r="O91" s="415">
        <v>0</v>
      </c>
      <c r="P91" s="68">
        <v>8127014</v>
      </c>
      <c r="Q91" s="68">
        <v>239823</v>
      </c>
      <c r="R91" s="415">
        <v>467949</v>
      </c>
      <c r="S91" s="416">
        <v>35.0276</v>
      </c>
      <c r="T91" s="417">
        <v>29.9543</v>
      </c>
      <c r="U91" s="423">
        <v>5.0732999999999997</v>
      </c>
      <c r="V91" s="424">
        <f t="shared" ref="V91:W95" si="157">AG91*-1</f>
        <v>0</v>
      </c>
      <c r="W91" s="418">
        <f t="shared" si="157"/>
        <v>0</v>
      </c>
      <c r="X91" s="418">
        <v>0</v>
      </c>
      <c r="Y91" s="418">
        <v>0</v>
      </c>
      <c r="Z91" s="418">
        <v>0</v>
      </c>
      <c r="AA91" s="415">
        <v>0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0</v>
      </c>
      <c r="AF91" s="418">
        <f>SUM(AD91:AE91)</f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ref="AO91:AP95" si="158">AD91+AL91</f>
        <v>0</v>
      </c>
      <c r="AP91" s="418">
        <f t="shared" si="158"/>
        <v>0</v>
      </c>
      <c r="AQ91" s="418">
        <f>SUM(AO91:AP91)</f>
        <v>0</v>
      </c>
      <c r="AR91" s="68">
        <f>ROUND((AF91+AG91+AH91+AI91)*33.8%,0)</f>
        <v>0</v>
      </c>
      <c r="AS91" s="68">
        <f>ROUND(AF91*1%,0)</f>
        <v>0</v>
      </c>
      <c r="AT91" s="418">
        <v>0</v>
      </c>
      <c r="AU91" s="415">
        <v>0</v>
      </c>
      <c r="AV91" s="418">
        <f>AT91+AU91</f>
        <v>0</v>
      </c>
      <c r="AW91" s="418">
        <f>AQ91+AR91+AS91+AV91</f>
        <v>0</v>
      </c>
      <c r="AX91" s="419">
        <v>0</v>
      </c>
      <c r="AY91" s="419">
        <v>0</v>
      </c>
      <c r="AZ91" s="419">
        <v>0</v>
      </c>
      <c r="BA91" s="419">
        <v>0</v>
      </c>
      <c r="BB91" s="416">
        <v>0</v>
      </c>
      <c r="BC91" s="93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</v>
      </c>
      <c r="BH91" s="421">
        <f>SUM(BF91:BG91)</f>
        <v>0</v>
      </c>
      <c r="BI91" s="780">
        <f>I91+AW91</f>
        <v>32879206</v>
      </c>
      <c r="BJ91" s="418">
        <f>J91+AF91</f>
        <v>23982340</v>
      </c>
      <c r="BK91" s="418">
        <f t="shared" ref="BK91:BL95" si="159">K91+AD91</f>
        <v>22307405</v>
      </c>
      <c r="BL91" s="418">
        <f t="shared" si="159"/>
        <v>1674935</v>
      </c>
      <c r="BM91" s="418">
        <f>M91+AN91</f>
        <v>62080</v>
      </c>
      <c r="BN91" s="418">
        <f t="shared" ref="BN91:BO95" si="160">N91+AL91</f>
        <v>62080</v>
      </c>
      <c r="BO91" s="418">
        <f t="shared" si="160"/>
        <v>0</v>
      </c>
      <c r="BP91" s="418">
        <f t="shared" ref="BP91:BQ95" si="161">P91+AR91</f>
        <v>8127014</v>
      </c>
      <c r="BQ91" s="418">
        <f t="shared" si="161"/>
        <v>239823</v>
      </c>
      <c r="BR91" s="418">
        <f>R91+AV91</f>
        <v>467949</v>
      </c>
      <c r="BS91" s="419">
        <f>S91+BH91</f>
        <v>35.0276</v>
      </c>
      <c r="BT91" s="419">
        <f t="shared" ref="BT91:BU95" si="162">T91+BF91</f>
        <v>29.9543</v>
      </c>
      <c r="BU91" s="421">
        <f t="shared" si="162"/>
        <v>5.0732999999999997</v>
      </c>
      <c r="BV91" s="420"/>
      <c r="BW91" s="415"/>
      <c r="BX91" s="415"/>
      <c r="BY91" s="415"/>
      <c r="BZ91" s="415"/>
      <c r="CA91" s="510"/>
    </row>
    <row r="92" spans="1:79" s="221" customFormat="1" x14ac:dyDescent="0.2">
      <c r="A92" s="209">
        <v>17</v>
      </c>
      <c r="B92" s="210">
        <v>4454</v>
      </c>
      <c r="C92" s="210">
        <v>600074811</v>
      </c>
      <c r="D92" s="210">
        <v>48283070</v>
      </c>
      <c r="E92" s="208" t="s">
        <v>178</v>
      </c>
      <c r="F92" s="210">
        <v>3113</v>
      </c>
      <c r="G92" s="165" t="s">
        <v>291</v>
      </c>
      <c r="H92" s="626" t="s">
        <v>272</v>
      </c>
      <c r="I92" s="511">
        <v>3936434</v>
      </c>
      <c r="J92" s="415">
        <v>2920203</v>
      </c>
      <c r="K92" s="415">
        <v>2920203</v>
      </c>
      <c r="L92" s="415">
        <v>0</v>
      </c>
      <c r="M92" s="415">
        <v>0</v>
      </c>
      <c r="N92" s="415">
        <v>0</v>
      </c>
      <c r="O92" s="415">
        <v>0</v>
      </c>
      <c r="P92" s="68">
        <v>987029</v>
      </c>
      <c r="Q92" s="68">
        <v>29202</v>
      </c>
      <c r="R92" s="415">
        <v>0</v>
      </c>
      <c r="S92" s="416">
        <v>7.8100000000000005</v>
      </c>
      <c r="T92" s="417">
        <v>7.8100000000000005</v>
      </c>
      <c r="U92" s="423">
        <v>0</v>
      </c>
      <c r="V92" s="424">
        <f t="shared" si="157"/>
        <v>0</v>
      </c>
      <c r="W92" s="418">
        <f t="shared" si="157"/>
        <v>0</v>
      </c>
      <c r="X92" s="418">
        <f>-12379-154501</f>
        <v>-166880</v>
      </c>
      <c r="Y92" s="418">
        <v>0</v>
      </c>
      <c r="Z92" s="418">
        <v>0</v>
      </c>
      <c r="AA92" s="415">
        <v>0</v>
      </c>
      <c r="AB92" s="418">
        <v>0</v>
      </c>
      <c r="AC92" s="418">
        <v>0</v>
      </c>
      <c r="AD92" s="418">
        <f>V92+X92+Y92+Z92+AB92</f>
        <v>-166880</v>
      </c>
      <c r="AE92" s="418">
        <f>W92+AA92+AC92</f>
        <v>0</v>
      </c>
      <c r="AF92" s="418">
        <f>SUM(AD92:AE92)</f>
        <v>-166880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>AG92+AI92+AJ92</f>
        <v>0</v>
      </c>
      <c r="AM92" s="418">
        <f>AH92+AK92</f>
        <v>0</v>
      </c>
      <c r="AN92" s="418">
        <f>SUM(AL92:AM92)</f>
        <v>0</v>
      </c>
      <c r="AO92" s="418">
        <f t="shared" si="158"/>
        <v>-166880</v>
      </c>
      <c r="AP92" s="418">
        <f t="shared" si="158"/>
        <v>0</v>
      </c>
      <c r="AQ92" s="418">
        <f>SUM(AO92:AP92)</f>
        <v>-166880</v>
      </c>
      <c r="AR92" s="68">
        <f>ROUND((AF92+AG92+AH92+AI92)*33.8%,0)</f>
        <v>-56405</v>
      </c>
      <c r="AS92" s="68">
        <f>ROUND(AF92*1%,0)</f>
        <v>-1669</v>
      </c>
      <c r="AT92" s="418">
        <v>0</v>
      </c>
      <c r="AU92" s="415">
        <v>0</v>
      </c>
      <c r="AV92" s="418">
        <f>AT92+AU92</f>
        <v>0</v>
      </c>
      <c r="AW92" s="418">
        <f>AQ92+AR92+AS92+AV92</f>
        <v>-224954</v>
      </c>
      <c r="AX92" s="419">
        <v>0</v>
      </c>
      <c r="AY92" s="419">
        <v>0</v>
      </c>
      <c r="AZ92" s="419">
        <f>-0.03-0.42</f>
        <v>-0.44999999999999996</v>
      </c>
      <c r="BA92" s="419">
        <v>0</v>
      </c>
      <c r="BB92" s="416">
        <v>0</v>
      </c>
      <c r="BC92" s="939">
        <v>0</v>
      </c>
      <c r="BD92" s="419">
        <v>0</v>
      </c>
      <c r="BE92" s="419">
        <v>0</v>
      </c>
      <c r="BF92" s="419">
        <f>AX92+AZ92+BA92+BC92+BD92</f>
        <v>-0.44999999999999996</v>
      </c>
      <c r="BG92" s="419">
        <f>AY92+BB92+BE92</f>
        <v>0</v>
      </c>
      <c r="BH92" s="421">
        <f>SUM(BF92:BG92)</f>
        <v>-0.44999999999999996</v>
      </c>
      <c r="BI92" s="780">
        <f>I92+AW92</f>
        <v>3711480</v>
      </c>
      <c r="BJ92" s="418">
        <f>J92+AF92</f>
        <v>2753323</v>
      </c>
      <c r="BK92" s="418">
        <f t="shared" si="159"/>
        <v>2753323</v>
      </c>
      <c r="BL92" s="418">
        <f t="shared" si="159"/>
        <v>0</v>
      </c>
      <c r="BM92" s="418">
        <f>M92+AN92</f>
        <v>0</v>
      </c>
      <c r="BN92" s="418">
        <f t="shared" si="160"/>
        <v>0</v>
      </c>
      <c r="BO92" s="418">
        <f t="shared" si="160"/>
        <v>0</v>
      </c>
      <c r="BP92" s="418">
        <f t="shared" si="161"/>
        <v>930624</v>
      </c>
      <c r="BQ92" s="418">
        <f t="shared" si="161"/>
        <v>27533</v>
      </c>
      <c r="BR92" s="418">
        <f>R92+AV92</f>
        <v>0</v>
      </c>
      <c r="BS92" s="419">
        <f>S92+BH92</f>
        <v>7.36</v>
      </c>
      <c r="BT92" s="419">
        <f t="shared" si="162"/>
        <v>7.36</v>
      </c>
      <c r="BU92" s="421">
        <f t="shared" si="162"/>
        <v>0</v>
      </c>
      <c r="BV92" s="420"/>
      <c r="BW92" s="415"/>
      <c r="BX92" s="415"/>
      <c r="BY92" s="415"/>
      <c r="BZ92" s="415"/>
      <c r="CA92" s="510"/>
    </row>
    <row r="93" spans="1:79" s="221" customFormat="1" x14ac:dyDescent="0.2">
      <c r="A93" s="209">
        <v>17</v>
      </c>
      <c r="B93" s="210">
        <v>4454</v>
      </c>
      <c r="C93" s="210">
        <v>600074811</v>
      </c>
      <c r="D93" s="210">
        <v>48283070</v>
      </c>
      <c r="E93" s="208" t="s">
        <v>178</v>
      </c>
      <c r="F93" s="210">
        <v>3141</v>
      </c>
      <c r="G93" s="165" t="s">
        <v>294</v>
      </c>
      <c r="H93" s="626" t="s">
        <v>272</v>
      </c>
      <c r="I93" s="511">
        <v>2212121</v>
      </c>
      <c r="J93" s="415">
        <v>1627382</v>
      </c>
      <c r="K93" s="415">
        <v>0</v>
      </c>
      <c r="L93" s="415">
        <v>1627382</v>
      </c>
      <c r="M93" s="415">
        <v>0</v>
      </c>
      <c r="N93" s="415">
        <v>0</v>
      </c>
      <c r="O93" s="415">
        <v>0</v>
      </c>
      <c r="P93" s="68">
        <v>550055</v>
      </c>
      <c r="Q93" s="68">
        <v>16274</v>
      </c>
      <c r="R93" s="415">
        <v>18410</v>
      </c>
      <c r="S93" s="416">
        <v>4.88</v>
      </c>
      <c r="T93" s="417">
        <v>0</v>
      </c>
      <c r="U93" s="423">
        <v>4.88</v>
      </c>
      <c r="V93" s="424">
        <f t="shared" si="157"/>
        <v>0</v>
      </c>
      <c r="W93" s="418">
        <f t="shared" si="157"/>
        <v>0</v>
      </c>
      <c r="X93" s="418">
        <v>0</v>
      </c>
      <c r="Y93" s="418">
        <v>0</v>
      </c>
      <c r="Z93" s="418">
        <v>0</v>
      </c>
      <c r="AA93" s="605">
        <v>813032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813032</v>
      </c>
      <c r="AF93" s="418">
        <f>SUM(AD93:AE93)</f>
        <v>813032</v>
      </c>
      <c r="AG93" s="418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si="158"/>
        <v>0</v>
      </c>
      <c r="AP93" s="418">
        <f t="shared" si="158"/>
        <v>813032</v>
      </c>
      <c r="AQ93" s="418">
        <f>SUM(AO93:AP93)</f>
        <v>813032</v>
      </c>
      <c r="AR93" s="68">
        <f>ROUND((AF93+AG93+AH93+AI93)*33.8%,0)</f>
        <v>274805</v>
      </c>
      <c r="AS93" s="68">
        <f>ROUND(AF93*1%,0)</f>
        <v>8130</v>
      </c>
      <c r="AT93" s="418">
        <v>0</v>
      </c>
      <c r="AU93" s="605">
        <v>8942</v>
      </c>
      <c r="AV93" s="418">
        <f>AT93+AU93</f>
        <v>8942</v>
      </c>
      <c r="AW93" s="418">
        <f>AQ93+AR93+AS93+AV93</f>
        <v>1104909</v>
      </c>
      <c r="AX93" s="419">
        <v>0</v>
      </c>
      <c r="AY93" s="419">
        <v>0</v>
      </c>
      <c r="AZ93" s="419">
        <v>0</v>
      </c>
      <c r="BA93" s="419">
        <v>0</v>
      </c>
      <c r="BB93" s="607">
        <v>2.4400000000000004</v>
      </c>
      <c r="BC93" s="93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2.4400000000000004</v>
      </c>
      <c r="BH93" s="421">
        <f>SUM(BF93:BG93)</f>
        <v>2.4400000000000004</v>
      </c>
      <c r="BI93" s="780">
        <f>I93+AW93</f>
        <v>3317030</v>
      </c>
      <c r="BJ93" s="418">
        <f>J93+AF93</f>
        <v>2440414</v>
      </c>
      <c r="BK93" s="418">
        <f t="shared" si="159"/>
        <v>0</v>
      </c>
      <c r="BL93" s="418">
        <f t="shared" si="159"/>
        <v>2440414</v>
      </c>
      <c r="BM93" s="418">
        <f>M93+AN93</f>
        <v>0</v>
      </c>
      <c r="BN93" s="418">
        <f t="shared" si="160"/>
        <v>0</v>
      </c>
      <c r="BO93" s="418">
        <f t="shared" si="160"/>
        <v>0</v>
      </c>
      <c r="BP93" s="418">
        <f t="shared" si="161"/>
        <v>824860</v>
      </c>
      <c r="BQ93" s="418">
        <f t="shared" si="161"/>
        <v>24404</v>
      </c>
      <c r="BR93" s="418">
        <f>R93+AV93</f>
        <v>27352</v>
      </c>
      <c r="BS93" s="419">
        <f>S93+BH93</f>
        <v>7.32</v>
      </c>
      <c r="BT93" s="419">
        <f t="shared" si="162"/>
        <v>0</v>
      </c>
      <c r="BU93" s="421">
        <f t="shared" si="162"/>
        <v>7.32</v>
      </c>
      <c r="BV93" s="420"/>
      <c r="BW93" s="415"/>
      <c r="BX93" s="415"/>
      <c r="BY93" s="415"/>
      <c r="BZ93" s="415"/>
      <c r="CA93" s="510"/>
    </row>
    <row r="94" spans="1:79" s="221" customFormat="1" x14ac:dyDescent="0.2">
      <c r="A94" s="209">
        <v>17</v>
      </c>
      <c r="B94" s="210">
        <v>4454</v>
      </c>
      <c r="C94" s="210">
        <v>600074811</v>
      </c>
      <c r="D94" s="210">
        <v>48283070</v>
      </c>
      <c r="E94" s="204" t="s">
        <v>178</v>
      </c>
      <c r="F94" s="210">
        <v>3143</v>
      </c>
      <c r="G94" s="165" t="s">
        <v>595</v>
      </c>
      <c r="H94" s="614" t="s">
        <v>271</v>
      </c>
      <c r="I94" s="511">
        <v>3362330</v>
      </c>
      <c r="J94" s="415">
        <v>2474458</v>
      </c>
      <c r="K94" s="415">
        <v>2474458</v>
      </c>
      <c r="L94" s="415">
        <v>0</v>
      </c>
      <c r="M94" s="415">
        <v>20000</v>
      </c>
      <c r="N94" s="415">
        <v>20000</v>
      </c>
      <c r="O94" s="415">
        <v>0</v>
      </c>
      <c r="P94" s="68">
        <v>843127</v>
      </c>
      <c r="Q94" s="68">
        <v>24745</v>
      </c>
      <c r="R94" s="415">
        <v>0</v>
      </c>
      <c r="S94" s="416">
        <v>4.7140000000000004</v>
      </c>
      <c r="T94" s="417">
        <v>4.7140000000000004</v>
      </c>
      <c r="U94" s="423">
        <v>0</v>
      </c>
      <c r="V94" s="424">
        <f t="shared" si="157"/>
        <v>0</v>
      </c>
      <c r="W94" s="418">
        <f t="shared" si="157"/>
        <v>0</v>
      </c>
      <c r="X94" s="418">
        <v>0</v>
      </c>
      <c r="Y94" s="418">
        <v>0</v>
      </c>
      <c r="Z94" s="418">
        <v>0</v>
      </c>
      <c r="AA94" s="415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418">
        <f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158"/>
        <v>0</v>
      </c>
      <c r="AP94" s="418">
        <f t="shared" si="158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5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6">
        <v>0</v>
      </c>
      <c r="BC94" s="93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421">
        <f>SUM(BF94:BG94)</f>
        <v>0</v>
      </c>
      <c r="BI94" s="780">
        <f>I94+AW94</f>
        <v>3362330</v>
      </c>
      <c r="BJ94" s="418">
        <f>J94+AF94</f>
        <v>2474458</v>
      </c>
      <c r="BK94" s="418">
        <f t="shared" si="159"/>
        <v>2474458</v>
      </c>
      <c r="BL94" s="418">
        <f t="shared" si="159"/>
        <v>0</v>
      </c>
      <c r="BM94" s="418">
        <f>M94+AN94</f>
        <v>20000</v>
      </c>
      <c r="BN94" s="418">
        <f t="shared" si="160"/>
        <v>20000</v>
      </c>
      <c r="BO94" s="418">
        <f t="shared" si="160"/>
        <v>0</v>
      </c>
      <c r="BP94" s="418">
        <f t="shared" si="161"/>
        <v>843127</v>
      </c>
      <c r="BQ94" s="418">
        <f t="shared" si="161"/>
        <v>24745</v>
      </c>
      <c r="BR94" s="418">
        <f>R94+AV94</f>
        <v>0</v>
      </c>
      <c r="BS94" s="419">
        <f>S94+BH94</f>
        <v>4.7140000000000004</v>
      </c>
      <c r="BT94" s="419">
        <f t="shared" si="162"/>
        <v>4.7140000000000004</v>
      </c>
      <c r="BU94" s="421">
        <f t="shared" si="162"/>
        <v>0</v>
      </c>
      <c r="BV94" s="420"/>
      <c r="BW94" s="415"/>
      <c r="BX94" s="415"/>
      <c r="BY94" s="415"/>
      <c r="BZ94" s="415"/>
      <c r="CA94" s="510"/>
    </row>
    <row r="95" spans="1:79" s="221" customFormat="1" x14ac:dyDescent="0.2">
      <c r="A95" s="209">
        <v>17</v>
      </c>
      <c r="B95" s="210">
        <v>4454</v>
      </c>
      <c r="C95" s="210">
        <v>600074811</v>
      </c>
      <c r="D95" s="210">
        <v>48283070</v>
      </c>
      <c r="E95" s="204" t="s">
        <v>178</v>
      </c>
      <c r="F95" s="210">
        <v>3143</v>
      </c>
      <c r="G95" s="165" t="s">
        <v>596</v>
      </c>
      <c r="H95" s="614" t="s">
        <v>272</v>
      </c>
      <c r="I95" s="511">
        <v>67091</v>
      </c>
      <c r="J95" s="415">
        <v>48022</v>
      </c>
      <c r="K95" s="415">
        <v>0</v>
      </c>
      <c r="L95" s="415">
        <v>48022</v>
      </c>
      <c r="M95" s="415">
        <v>0</v>
      </c>
      <c r="N95" s="415">
        <v>0</v>
      </c>
      <c r="O95" s="415">
        <v>0</v>
      </c>
      <c r="P95" s="68">
        <v>16231</v>
      </c>
      <c r="Q95" s="68">
        <v>480</v>
      </c>
      <c r="R95" s="415">
        <v>2358</v>
      </c>
      <c r="S95" s="416">
        <v>0.18</v>
      </c>
      <c r="T95" s="417">
        <v>0</v>
      </c>
      <c r="U95" s="423">
        <v>0.18</v>
      </c>
      <c r="V95" s="424">
        <f t="shared" si="157"/>
        <v>0</v>
      </c>
      <c r="W95" s="418">
        <f t="shared" si="157"/>
        <v>0</v>
      </c>
      <c r="X95" s="418">
        <v>0</v>
      </c>
      <c r="Y95" s="418">
        <v>0</v>
      </c>
      <c r="Z95" s="418">
        <v>0</v>
      </c>
      <c r="AA95" s="605">
        <v>24028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24028</v>
      </c>
      <c r="AF95" s="418">
        <f>SUM(AD95:AE95)</f>
        <v>24028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158"/>
        <v>0</v>
      </c>
      <c r="AP95" s="418">
        <f t="shared" si="158"/>
        <v>24028</v>
      </c>
      <c r="AQ95" s="418">
        <f>SUM(AO95:AP95)</f>
        <v>24028</v>
      </c>
      <c r="AR95" s="68">
        <f>ROUND((AF95+AG95+AH95+AI95)*33.8%,0)</f>
        <v>8121</v>
      </c>
      <c r="AS95" s="68">
        <f>ROUND(AF95*1%,0)</f>
        <v>240</v>
      </c>
      <c r="AT95" s="418">
        <v>0</v>
      </c>
      <c r="AU95" s="606">
        <v>1179</v>
      </c>
      <c r="AV95" s="418">
        <f>AT95+AU95</f>
        <v>1179</v>
      </c>
      <c r="AW95" s="418">
        <f>AQ95+AR95+AS95+AV95</f>
        <v>33568</v>
      </c>
      <c r="AX95" s="419">
        <v>0</v>
      </c>
      <c r="AY95" s="419">
        <v>0</v>
      </c>
      <c r="AZ95" s="419">
        <v>0</v>
      </c>
      <c r="BA95" s="419">
        <v>0</v>
      </c>
      <c r="BB95" s="607">
        <v>0.09</v>
      </c>
      <c r="BC95" s="93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0.09</v>
      </c>
      <c r="BH95" s="421">
        <f>SUM(BF95:BG95)</f>
        <v>0.09</v>
      </c>
      <c r="BI95" s="780">
        <f>I95+AW95</f>
        <v>100659</v>
      </c>
      <c r="BJ95" s="418">
        <f>J95+AF95</f>
        <v>72050</v>
      </c>
      <c r="BK95" s="418">
        <f t="shared" si="159"/>
        <v>0</v>
      </c>
      <c r="BL95" s="418">
        <f t="shared" si="159"/>
        <v>72050</v>
      </c>
      <c r="BM95" s="418">
        <f>M95+AN95</f>
        <v>0</v>
      </c>
      <c r="BN95" s="418">
        <f t="shared" si="160"/>
        <v>0</v>
      </c>
      <c r="BO95" s="418">
        <f t="shared" si="160"/>
        <v>0</v>
      </c>
      <c r="BP95" s="418">
        <f t="shared" si="161"/>
        <v>24352</v>
      </c>
      <c r="BQ95" s="418">
        <f t="shared" si="161"/>
        <v>720</v>
      </c>
      <c r="BR95" s="418">
        <f>R95+AV95</f>
        <v>3537</v>
      </c>
      <c r="BS95" s="419">
        <f>S95+BH95</f>
        <v>0.27</v>
      </c>
      <c r="BT95" s="419">
        <f t="shared" si="162"/>
        <v>0</v>
      </c>
      <c r="BU95" s="421">
        <f t="shared" si="162"/>
        <v>0.27</v>
      </c>
      <c r="BV95" s="420"/>
      <c r="BW95" s="415"/>
      <c r="BX95" s="415"/>
      <c r="BY95" s="415"/>
      <c r="BZ95" s="415"/>
      <c r="CA95" s="510"/>
    </row>
    <row r="96" spans="1:79" s="221" customFormat="1" x14ac:dyDescent="0.2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13"/>
      <c r="I96" s="452">
        <v>42457182</v>
      </c>
      <c r="J96" s="445">
        <v>31052405</v>
      </c>
      <c r="K96" s="445">
        <v>27702066</v>
      </c>
      <c r="L96" s="445">
        <v>3350339</v>
      </c>
      <c r="M96" s="445">
        <v>82080</v>
      </c>
      <c r="N96" s="445">
        <v>82080</v>
      </c>
      <c r="O96" s="445">
        <v>0</v>
      </c>
      <c r="P96" s="445">
        <v>10523456</v>
      </c>
      <c r="Q96" s="445">
        <v>310524</v>
      </c>
      <c r="R96" s="445">
        <v>488717</v>
      </c>
      <c r="S96" s="446">
        <v>52.611600000000003</v>
      </c>
      <c r="T96" s="446">
        <v>42.478299999999997</v>
      </c>
      <c r="U96" s="450">
        <v>10.133299999999998</v>
      </c>
      <c r="V96" s="448">
        <f t="shared" ref="V96:CA96" si="163">SUM(V91:V95)</f>
        <v>0</v>
      </c>
      <c r="W96" s="445">
        <f t="shared" si="163"/>
        <v>0</v>
      </c>
      <c r="X96" s="445">
        <f t="shared" si="163"/>
        <v>-166880</v>
      </c>
      <c r="Y96" s="445">
        <f t="shared" si="163"/>
        <v>0</v>
      </c>
      <c r="Z96" s="445">
        <f t="shared" si="163"/>
        <v>0</v>
      </c>
      <c r="AA96" s="445">
        <f t="shared" si="163"/>
        <v>837060</v>
      </c>
      <c r="AB96" s="445">
        <f t="shared" si="163"/>
        <v>0</v>
      </c>
      <c r="AC96" s="445">
        <f t="shared" si="163"/>
        <v>0</v>
      </c>
      <c r="AD96" s="445">
        <f t="shared" si="163"/>
        <v>-166880</v>
      </c>
      <c r="AE96" s="445">
        <f t="shared" si="163"/>
        <v>837060</v>
      </c>
      <c r="AF96" s="445">
        <f t="shared" si="163"/>
        <v>670180</v>
      </c>
      <c r="AG96" s="445">
        <f t="shared" si="163"/>
        <v>0</v>
      </c>
      <c r="AH96" s="445">
        <f t="shared" si="163"/>
        <v>0</v>
      </c>
      <c r="AI96" s="445">
        <f t="shared" si="163"/>
        <v>0</v>
      </c>
      <c r="AJ96" s="445">
        <f t="shared" si="163"/>
        <v>0</v>
      </c>
      <c r="AK96" s="445">
        <f t="shared" si="163"/>
        <v>0</v>
      </c>
      <c r="AL96" s="445">
        <f t="shared" si="163"/>
        <v>0</v>
      </c>
      <c r="AM96" s="445">
        <f t="shared" si="163"/>
        <v>0</v>
      </c>
      <c r="AN96" s="445">
        <f t="shared" si="163"/>
        <v>0</v>
      </c>
      <c r="AO96" s="445">
        <f t="shared" si="163"/>
        <v>-166880</v>
      </c>
      <c r="AP96" s="445">
        <f t="shared" si="163"/>
        <v>837060</v>
      </c>
      <c r="AQ96" s="445">
        <f t="shared" si="163"/>
        <v>670180</v>
      </c>
      <c r="AR96" s="445">
        <f t="shared" si="163"/>
        <v>226521</v>
      </c>
      <c r="AS96" s="445">
        <f t="shared" si="163"/>
        <v>6701</v>
      </c>
      <c r="AT96" s="445">
        <f t="shared" si="163"/>
        <v>0</v>
      </c>
      <c r="AU96" s="445">
        <f t="shared" si="163"/>
        <v>10121</v>
      </c>
      <c r="AV96" s="445">
        <f t="shared" si="163"/>
        <v>10121</v>
      </c>
      <c r="AW96" s="445">
        <f t="shared" si="163"/>
        <v>913523</v>
      </c>
      <c r="AX96" s="446">
        <f t="shared" si="163"/>
        <v>0</v>
      </c>
      <c r="AY96" s="446">
        <f t="shared" si="163"/>
        <v>0</v>
      </c>
      <c r="AZ96" s="446">
        <f t="shared" si="163"/>
        <v>-0.44999999999999996</v>
      </c>
      <c r="BA96" s="446">
        <f t="shared" si="163"/>
        <v>0</v>
      </c>
      <c r="BB96" s="446">
        <f t="shared" si="163"/>
        <v>2.5300000000000002</v>
      </c>
      <c r="BC96" s="948">
        <f t="shared" si="163"/>
        <v>0</v>
      </c>
      <c r="BD96" s="446">
        <f t="shared" si="163"/>
        <v>0</v>
      </c>
      <c r="BE96" s="446">
        <f t="shared" si="163"/>
        <v>0</v>
      </c>
      <c r="BF96" s="446">
        <f t="shared" si="163"/>
        <v>-0.44999999999999996</v>
      </c>
      <c r="BG96" s="446">
        <f t="shared" si="163"/>
        <v>2.5300000000000002</v>
      </c>
      <c r="BH96" s="39">
        <f t="shared" si="163"/>
        <v>2.0800000000000005</v>
      </c>
      <c r="BI96" s="452">
        <f t="shared" si="163"/>
        <v>43370705</v>
      </c>
      <c r="BJ96" s="445">
        <f t="shared" si="163"/>
        <v>31722585</v>
      </c>
      <c r="BK96" s="445">
        <f t="shared" si="163"/>
        <v>27535186</v>
      </c>
      <c r="BL96" s="445">
        <f t="shared" si="163"/>
        <v>4187399</v>
      </c>
      <c r="BM96" s="445">
        <f t="shared" si="163"/>
        <v>82080</v>
      </c>
      <c r="BN96" s="445">
        <f t="shared" si="163"/>
        <v>82080</v>
      </c>
      <c r="BO96" s="445">
        <f t="shared" si="163"/>
        <v>0</v>
      </c>
      <c r="BP96" s="445">
        <f t="shared" si="163"/>
        <v>10749977</v>
      </c>
      <c r="BQ96" s="445">
        <f t="shared" si="163"/>
        <v>317225</v>
      </c>
      <c r="BR96" s="445">
        <f t="shared" si="163"/>
        <v>498838</v>
      </c>
      <c r="BS96" s="446">
        <f t="shared" si="163"/>
        <v>54.691600000000001</v>
      </c>
      <c r="BT96" s="446">
        <f t="shared" si="163"/>
        <v>42.028300000000002</v>
      </c>
      <c r="BU96" s="39">
        <f t="shared" si="163"/>
        <v>12.6633</v>
      </c>
      <c r="BV96" s="833">
        <f t="shared" si="163"/>
        <v>0</v>
      </c>
      <c r="BW96" s="715">
        <f t="shared" si="163"/>
        <v>0</v>
      </c>
      <c r="BX96" s="715">
        <f t="shared" si="163"/>
        <v>0</v>
      </c>
      <c r="BY96" s="715">
        <f t="shared" si="163"/>
        <v>0</v>
      </c>
      <c r="BZ96" s="715">
        <f t="shared" si="163"/>
        <v>0</v>
      </c>
      <c r="CA96" s="834">
        <f t="shared" si="163"/>
        <v>0</v>
      </c>
    </row>
    <row r="97" spans="1:79" s="221" customFormat="1" x14ac:dyDescent="0.2">
      <c r="A97" s="209">
        <v>18</v>
      </c>
      <c r="B97" s="210">
        <v>4479</v>
      </c>
      <c r="C97" s="210">
        <v>600075150</v>
      </c>
      <c r="D97" s="210">
        <v>70982228</v>
      </c>
      <c r="E97" s="208" t="s">
        <v>180</v>
      </c>
      <c r="F97" s="210">
        <v>3111</v>
      </c>
      <c r="G97" s="165" t="s">
        <v>290</v>
      </c>
      <c r="H97" s="626" t="s">
        <v>271</v>
      </c>
      <c r="I97" s="511">
        <v>3395237</v>
      </c>
      <c r="J97" s="415">
        <v>2507253</v>
      </c>
      <c r="K97" s="415">
        <v>2367477</v>
      </c>
      <c r="L97" s="415">
        <v>139776</v>
      </c>
      <c r="M97" s="415">
        <v>0</v>
      </c>
      <c r="N97" s="415">
        <v>0</v>
      </c>
      <c r="O97" s="415">
        <v>0</v>
      </c>
      <c r="P97" s="68">
        <v>847452</v>
      </c>
      <c r="Q97" s="68">
        <v>25073</v>
      </c>
      <c r="R97" s="415">
        <v>15459</v>
      </c>
      <c r="S97" s="416">
        <v>4.5600000000000005</v>
      </c>
      <c r="T97" s="417">
        <v>4</v>
      </c>
      <c r="U97" s="423">
        <v>0.56000000000000005</v>
      </c>
      <c r="V97" s="424">
        <f t="shared" ref="V97:W106" si="164">AG97*-1</f>
        <v>0</v>
      </c>
      <c r="W97" s="418">
        <f t="shared" si="164"/>
        <v>0</v>
      </c>
      <c r="X97" s="418">
        <v>0</v>
      </c>
      <c r="Y97" s="418">
        <v>0</v>
      </c>
      <c r="Z97" s="418">
        <v>0</v>
      </c>
      <c r="AA97" s="415">
        <v>0</v>
      </c>
      <c r="AB97" s="418">
        <v>0</v>
      </c>
      <c r="AC97" s="418">
        <v>0</v>
      </c>
      <c r="AD97" s="418">
        <f t="shared" ref="AD97:AD106" si="165">V97+X97+Y97+Z97+AB97</f>
        <v>0</v>
      </c>
      <c r="AE97" s="418">
        <f t="shared" ref="AE97:AE106" si="166">W97+AA97+AC97</f>
        <v>0</v>
      </c>
      <c r="AF97" s="418">
        <f t="shared" ref="AF97:AF106" si="167">SUM(AD97:AE97)</f>
        <v>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ref="AL97:AL106" si="168">AG97+AI97+AJ97</f>
        <v>0</v>
      </c>
      <c r="AM97" s="418">
        <f t="shared" ref="AM97:AM106" si="169">AH97+AK97</f>
        <v>0</v>
      </c>
      <c r="AN97" s="418">
        <f t="shared" ref="AN97:AN106" si="170">SUM(AL97:AM97)</f>
        <v>0</v>
      </c>
      <c r="AO97" s="418">
        <f t="shared" ref="AO97:AP106" si="171">AD97+AL97</f>
        <v>0</v>
      </c>
      <c r="AP97" s="418">
        <f t="shared" si="171"/>
        <v>0</v>
      </c>
      <c r="AQ97" s="418">
        <f t="shared" ref="AQ97:AQ106" si="172">SUM(AO97:AP97)</f>
        <v>0</v>
      </c>
      <c r="AR97" s="68">
        <f t="shared" ref="AR97:AR106" si="173">ROUND((AF97+AG97+AH97+AI97)*33.8%,0)</f>
        <v>0</v>
      </c>
      <c r="AS97" s="68">
        <f t="shared" ref="AS97:AS106" si="174">ROUND(AF97*1%,0)</f>
        <v>0</v>
      </c>
      <c r="AT97" s="418">
        <v>0</v>
      </c>
      <c r="AU97" s="415">
        <v>0</v>
      </c>
      <c r="AV97" s="418">
        <f t="shared" ref="AV97:AV106" si="175">AT97+AU97</f>
        <v>0</v>
      </c>
      <c r="AW97" s="418">
        <f t="shared" ref="AW97:AW106" si="176">AQ97+AR97+AS97+AV97</f>
        <v>0</v>
      </c>
      <c r="AX97" s="419">
        <v>0</v>
      </c>
      <c r="AY97" s="419">
        <v>0</v>
      </c>
      <c r="AZ97" s="419">
        <v>0</v>
      </c>
      <c r="BA97" s="419">
        <v>0</v>
      </c>
      <c r="BB97" s="416">
        <v>0</v>
      </c>
      <c r="BC97" s="939">
        <v>0</v>
      </c>
      <c r="BD97" s="419">
        <v>0</v>
      </c>
      <c r="BE97" s="419">
        <v>0</v>
      </c>
      <c r="BF97" s="419">
        <f t="shared" ref="BF97:BF106" si="177">AX97+AZ97+BA97+BC97+BD97</f>
        <v>0</v>
      </c>
      <c r="BG97" s="419">
        <f t="shared" ref="BG97:BG106" si="178">AY97+BB97+BE97</f>
        <v>0</v>
      </c>
      <c r="BH97" s="421">
        <f t="shared" ref="BH97:BH106" si="179">SUM(BF97:BG97)</f>
        <v>0</v>
      </c>
      <c r="BI97" s="780">
        <f t="shared" ref="BI97:BI106" si="180">I97+AW97</f>
        <v>3395237</v>
      </c>
      <c r="BJ97" s="418">
        <f t="shared" ref="BJ97:BJ106" si="181">J97+AF97</f>
        <v>2507253</v>
      </c>
      <c r="BK97" s="418">
        <f t="shared" ref="BK97:BL106" si="182">K97+AD97</f>
        <v>2367477</v>
      </c>
      <c r="BL97" s="418">
        <f t="shared" si="182"/>
        <v>139776</v>
      </c>
      <c r="BM97" s="418">
        <f t="shared" ref="BM97:BM106" si="183">M97+AN97</f>
        <v>0</v>
      </c>
      <c r="BN97" s="418">
        <f t="shared" ref="BN97:BO106" si="184">N97+AL97</f>
        <v>0</v>
      </c>
      <c r="BO97" s="418">
        <f t="shared" si="184"/>
        <v>0</v>
      </c>
      <c r="BP97" s="418">
        <f t="shared" ref="BP97:BQ106" si="185">P97+AR97</f>
        <v>847452</v>
      </c>
      <c r="BQ97" s="418">
        <f t="shared" si="185"/>
        <v>25073</v>
      </c>
      <c r="BR97" s="418">
        <f t="shared" ref="BR97:BR106" si="186">R97+AV97</f>
        <v>15459</v>
      </c>
      <c r="BS97" s="419">
        <f t="shared" ref="BS97:BS106" si="187">S97+BH97</f>
        <v>4.5600000000000005</v>
      </c>
      <c r="BT97" s="419">
        <f t="shared" ref="BT97:BU106" si="188">T97+BF97</f>
        <v>4</v>
      </c>
      <c r="BU97" s="421">
        <f t="shared" si="188"/>
        <v>0.56000000000000005</v>
      </c>
      <c r="BV97" s="420"/>
      <c r="BW97" s="415"/>
      <c r="BX97" s="415"/>
      <c r="BY97" s="415"/>
      <c r="BZ97" s="415"/>
      <c r="CA97" s="510"/>
    </row>
    <row r="98" spans="1:79" s="221" customFormat="1" x14ac:dyDescent="0.2">
      <c r="A98" s="209">
        <v>18</v>
      </c>
      <c r="B98" s="210">
        <v>4479</v>
      </c>
      <c r="C98" s="210">
        <v>600075150</v>
      </c>
      <c r="D98" s="210">
        <v>70982228</v>
      </c>
      <c r="E98" s="208" t="s">
        <v>180</v>
      </c>
      <c r="F98" s="210">
        <v>3111</v>
      </c>
      <c r="G98" s="165" t="s">
        <v>292</v>
      </c>
      <c r="H98" s="626" t="s">
        <v>271</v>
      </c>
      <c r="I98" s="511">
        <v>547719</v>
      </c>
      <c r="J98" s="415">
        <v>406320</v>
      </c>
      <c r="K98" s="415">
        <v>406320</v>
      </c>
      <c r="L98" s="415">
        <v>0</v>
      </c>
      <c r="M98" s="415">
        <v>0</v>
      </c>
      <c r="N98" s="415">
        <v>0</v>
      </c>
      <c r="O98" s="415">
        <v>0</v>
      </c>
      <c r="P98" s="68">
        <v>137336</v>
      </c>
      <c r="Q98" s="68">
        <v>4063</v>
      </c>
      <c r="R98" s="415">
        <v>0</v>
      </c>
      <c r="S98" s="416">
        <v>1</v>
      </c>
      <c r="T98" s="417">
        <v>1</v>
      </c>
      <c r="U98" s="423">
        <v>0</v>
      </c>
      <c r="V98" s="424">
        <f t="shared" si="164"/>
        <v>0</v>
      </c>
      <c r="W98" s="418">
        <f t="shared" si="164"/>
        <v>0</v>
      </c>
      <c r="X98" s="418">
        <v>0</v>
      </c>
      <c r="Y98" s="418">
        <v>0</v>
      </c>
      <c r="Z98" s="418">
        <v>0</v>
      </c>
      <c r="AA98" s="415">
        <v>0</v>
      </c>
      <c r="AB98" s="418">
        <v>0</v>
      </c>
      <c r="AC98" s="418">
        <v>0</v>
      </c>
      <c r="AD98" s="418">
        <f t="shared" si="165"/>
        <v>0</v>
      </c>
      <c r="AE98" s="418">
        <f t="shared" si="166"/>
        <v>0</v>
      </c>
      <c r="AF98" s="418">
        <f t="shared" si="167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168"/>
        <v>0</v>
      </c>
      <c r="AM98" s="418">
        <f t="shared" si="169"/>
        <v>0</v>
      </c>
      <c r="AN98" s="418">
        <f t="shared" si="170"/>
        <v>0</v>
      </c>
      <c r="AO98" s="418">
        <f t="shared" si="171"/>
        <v>0</v>
      </c>
      <c r="AP98" s="418">
        <f t="shared" si="171"/>
        <v>0</v>
      </c>
      <c r="AQ98" s="418">
        <f t="shared" si="172"/>
        <v>0</v>
      </c>
      <c r="AR98" s="68">
        <f t="shared" si="173"/>
        <v>0</v>
      </c>
      <c r="AS98" s="68">
        <f t="shared" si="174"/>
        <v>0</v>
      </c>
      <c r="AT98" s="418">
        <v>0</v>
      </c>
      <c r="AU98" s="415">
        <v>0</v>
      </c>
      <c r="AV98" s="418">
        <f t="shared" si="175"/>
        <v>0</v>
      </c>
      <c r="AW98" s="418">
        <f t="shared" si="176"/>
        <v>0</v>
      </c>
      <c r="AX98" s="419">
        <v>0</v>
      </c>
      <c r="AY98" s="419">
        <v>0</v>
      </c>
      <c r="AZ98" s="419">
        <v>0</v>
      </c>
      <c r="BA98" s="419">
        <v>0</v>
      </c>
      <c r="BB98" s="416">
        <v>0</v>
      </c>
      <c r="BC98" s="939">
        <v>0</v>
      </c>
      <c r="BD98" s="419">
        <v>0</v>
      </c>
      <c r="BE98" s="419">
        <v>0</v>
      </c>
      <c r="BF98" s="419">
        <f t="shared" si="177"/>
        <v>0</v>
      </c>
      <c r="BG98" s="419">
        <f t="shared" si="178"/>
        <v>0</v>
      </c>
      <c r="BH98" s="421">
        <f t="shared" si="179"/>
        <v>0</v>
      </c>
      <c r="BI98" s="780">
        <f t="shared" si="180"/>
        <v>547719</v>
      </c>
      <c r="BJ98" s="418">
        <f t="shared" si="181"/>
        <v>406320</v>
      </c>
      <c r="BK98" s="418">
        <f t="shared" si="182"/>
        <v>406320</v>
      </c>
      <c r="BL98" s="418">
        <f t="shared" si="182"/>
        <v>0</v>
      </c>
      <c r="BM98" s="418">
        <f t="shared" si="183"/>
        <v>0</v>
      </c>
      <c r="BN98" s="418">
        <f t="shared" si="184"/>
        <v>0</v>
      </c>
      <c r="BO98" s="418">
        <f t="shared" si="184"/>
        <v>0</v>
      </c>
      <c r="BP98" s="418">
        <f t="shared" si="185"/>
        <v>137336</v>
      </c>
      <c r="BQ98" s="418">
        <f t="shared" si="185"/>
        <v>4063</v>
      </c>
      <c r="BR98" s="418">
        <f t="shared" si="186"/>
        <v>0</v>
      </c>
      <c r="BS98" s="419">
        <f t="shared" si="187"/>
        <v>1</v>
      </c>
      <c r="BT98" s="419">
        <f t="shared" si="188"/>
        <v>1</v>
      </c>
      <c r="BU98" s="421">
        <f t="shared" si="188"/>
        <v>0</v>
      </c>
      <c r="BV98" s="420"/>
      <c r="BW98" s="415"/>
      <c r="BX98" s="415"/>
      <c r="BY98" s="415"/>
      <c r="BZ98" s="415"/>
      <c r="CA98" s="510"/>
    </row>
    <row r="99" spans="1:79" s="221" customFormat="1" x14ac:dyDescent="0.2">
      <c r="A99" s="209">
        <v>18</v>
      </c>
      <c r="B99" s="210">
        <v>4479</v>
      </c>
      <c r="C99" s="210">
        <v>600075150</v>
      </c>
      <c r="D99" s="210">
        <v>70982228</v>
      </c>
      <c r="E99" s="208" t="s">
        <v>180</v>
      </c>
      <c r="F99" s="210">
        <v>3114</v>
      </c>
      <c r="G99" s="165" t="s">
        <v>525</v>
      </c>
      <c r="H99" s="626" t="s">
        <v>271</v>
      </c>
      <c r="I99" s="511">
        <v>39473997</v>
      </c>
      <c r="J99" s="415">
        <v>29053204</v>
      </c>
      <c r="K99" s="415">
        <v>26827116</v>
      </c>
      <c r="L99" s="415">
        <v>2226088</v>
      </c>
      <c r="M99" s="415">
        <v>0</v>
      </c>
      <c r="N99" s="415">
        <v>0</v>
      </c>
      <c r="O99" s="415">
        <v>0</v>
      </c>
      <c r="P99" s="68">
        <v>9819982</v>
      </c>
      <c r="Q99" s="68">
        <v>290533</v>
      </c>
      <c r="R99" s="415">
        <v>310278</v>
      </c>
      <c r="S99" s="416">
        <v>42.415399999999991</v>
      </c>
      <c r="T99" s="417">
        <v>35.595299999999995</v>
      </c>
      <c r="U99" s="423">
        <v>6.8201000000000001</v>
      </c>
      <c r="V99" s="424">
        <f t="shared" si="164"/>
        <v>0</v>
      </c>
      <c r="W99" s="418">
        <f t="shared" si="164"/>
        <v>0</v>
      </c>
      <c r="X99" s="418">
        <v>0</v>
      </c>
      <c r="Y99" s="418">
        <v>0</v>
      </c>
      <c r="Z99" s="418">
        <v>0</v>
      </c>
      <c r="AA99" s="415">
        <v>0</v>
      </c>
      <c r="AB99" s="418">
        <v>0</v>
      </c>
      <c r="AC99" s="418">
        <v>0</v>
      </c>
      <c r="AD99" s="418">
        <f t="shared" si="165"/>
        <v>0</v>
      </c>
      <c r="AE99" s="418">
        <f t="shared" si="166"/>
        <v>0</v>
      </c>
      <c r="AF99" s="418">
        <f t="shared" si="167"/>
        <v>0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168"/>
        <v>0</v>
      </c>
      <c r="AM99" s="418">
        <f t="shared" si="169"/>
        <v>0</v>
      </c>
      <c r="AN99" s="418">
        <f t="shared" si="170"/>
        <v>0</v>
      </c>
      <c r="AO99" s="418">
        <f t="shared" si="171"/>
        <v>0</v>
      </c>
      <c r="AP99" s="418">
        <f t="shared" si="171"/>
        <v>0</v>
      </c>
      <c r="AQ99" s="418">
        <f t="shared" si="172"/>
        <v>0</v>
      </c>
      <c r="AR99" s="68">
        <f t="shared" si="173"/>
        <v>0</v>
      </c>
      <c r="AS99" s="68">
        <f t="shared" si="174"/>
        <v>0</v>
      </c>
      <c r="AT99" s="418">
        <v>0</v>
      </c>
      <c r="AU99" s="415">
        <v>0</v>
      </c>
      <c r="AV99" s="418">
        <f t="shared" si="175"/>
        <v>0</v>
      </c>
      <c r="AW99" s="418">
        <f t="shared" si="176"/>
        <v>0</v>
      </c>
      <c r="AX99" s="419">
        <v>0</v>
      </c>
      <c r="AY99" s="419">
        <v>0</v>
      </c>
      <c r="AZ99" s="419">
        <v>0</v>
      </c>
      <c r="BA99" s="419">
        <v>0</v>
      </c>
      <c r="BB99" s="416">
        <v>0</v>
      </c>
      <c r="BC99" s="939">
        <v>0</v>
      </c>
      <c r="BD99" s="419">
        <v>0</v>
      </c>
      <c r="BE99" s="419">
        <v>0</v>
      </c>
      <c r="BF99" s="419">
        <f t="shared" si="177"/>
        <v>0</v>
      </c>
      <c r="BG99" s="419">
        <f t="shared" si="178"/>
        <v>0</v>
      </c>
      <c r="BH99" s="421">
        <f t="shared" si="179"/>
        <v>0</v>
      </c>
      <c r="BI99" s="780">
        <f t="shared" si="180"/>
        <v>39473997</v>
      </c>
      <c r="BJ99" s="418">
        <f t="shared" si="181"/>
        <v>29053204</v>
      </c>
      <c r="BK99" s="418">
        <f t="shared" si="182"/>
        <v>26827116</v>
      </c>
      <c r="BL99" s="418">
        <f t="shared" si="182"/>
        <v>2226088</v>
      </c>
      <c r="BM99" s="418">
        <f t="shared" si="183"/>
        <v>0</v>
      </c>
      <c r="BN99" s="418">
        <f t="shared" si="184"/>
        <v>0</v>
      </c>
      <c r="BO99" s="418">
        <f t="shared" si="184"/>
        <v>0</v>
      </c>
      <c r="BP99" s="418">
        <f t="shared" si="185"/>
        <v>9819982</v>
      </c>
      <c r="BQ99" s="418">
        <f t="shared" si="185"/>
        <v>290533</v>
      </c>
      <c r="BR99" s="418">
        <f t="shared" si="186"/>
        <v>310278</v>
      </c>
      <c r="BS99" s="419">
        <f t="shared" si="187"/>
        <v>42.415399999999991</v>
      </c>
      <c r="BT99" s="419">
        <f t="shared" si="188"/>
        <v>35.595299999999995</v>
      </c>
      <c r="BU99" s="421">
        <f t="shared" si="188"/>
        <v>6.8201000000000001</v>
      </c>
      <c r="BV99" s="420"/>
      <c r="BW99" s="415"/>
      <c r="BX99" s="415"/>
      <c r="BY99" s="415"/>
      <c r="BZ99" s="415"/>
      <c r="CA99" s="510"/>
    </row>
    <row r="100" spans="1:79" s="221" customFormat="1" x14ac:dyDescent="0.2">
      <c r="A100" s="209">
        <v>18</v>
      </c>
      <c r="B100" s="210">
        <v>4479</v>
      </c>
      <c r="C100" s="210">
        <v>600075150</v>
      </c>
      <c r="D100" s="210">
        <v>70982228</v>
      </c>
      <c r="E100" s="208" t="s">
        <v>180</v>
      </c>
      <c r="F100" s="210">
        <v>3114</v>
      </c>
      <c r="G100" s="165" t="s">
        <v>292</v>
      </c>
      <c r="H100" s="626" t="s">
        <v>271</v>
      </c>
      <c r="I100" s="511">
        <v>10619878</v>
      </c>
      <c r="J100" s="415">
        <v>7878248</v>
      </c>
      <c r="K100" s="415">
        <v>7878248</v>
      </c>
      <c r="L100" s="415">
        <v>0</v>
      </c>
      <c r="M100" s="415">
        <v>0</v>
      </c>
      <c r="N100" s="415">
        <v>0</v>
      </c>
      <c r="O100" s="415">
        <v>0</v>
      </c>
      <c r="P100" s="68">
        <v>2662848</v>
      </c>
      <c r="Q100" s="68">
        <v>78782</v>
      </c>
      <c r="R100" s="415">
        <v>0</v>
      </c>
      <c r="S100" s="416">
        <v>20.124600000000001</v>
      </c>
      <c r="T100" s="417">
        <v>20.124600000000001</v>
      </c>
      <c r="U100" s="423">
        <v>0</v>
      </c>
      <c r="V100" s="424">
        <f t="shared" si="164"/>
        <v>0</v>
      </c>
      <c r="W100" s="418">
        <f t="shared" si="164"/>
        <v>0</v>
      </c>
      <c r="X100" s="418">
        <v>0</v>
      </c>
      <c r="Y100" s="418">
        <v>0</v>
      </c>
      <c r="Z100" s="418">
        <v>0</v>
      </c>
      <c r="AA100" s="415">
        <v>0</v>
      </c>
      <c r="AB100" s="418">
        <v>0</v>
      </c>
      <c r="AC100" s="418">
        <v>0</v>
      </c>
      <c r="AD100" s="418">
        <f t="shared" si="165"/>
        <v>0</v>
      </c>
      <c r="AE100" s="418">
        <f t="shared" si="166"/>
        <v>0</v>
      </c>
      <c r="AF100" s="418">
        <f t="shared" si="167"/>
        <v>0</v>
      </c>
      <c r="AG100" s="418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 t="shared" si="168"/>
        <v>0</v>
      </c>
      <c r="AM100" s="418">
        <f t="shared" si="169"/>
        <v>0</v>
      </c>
      <c r="AN100" s="418">
        <f t="shared" si="170"/>
        <v>0</v>
      </c>
      <c r="AO100" s="418">
        <f t="shared" si="171"/>
        <v>0</v>
      </c>
      <c r="AP100" s="418">
        <f t="shared" si="171"/>
        <v>0</v>
      </c>
      <c r="AQ100" s="418">
        <f t="shared" si="172"/>
        <v>0</v>
      </c>
      <c r="AR100" s="68">
        <f t="shared" si="173"/>
        <v>0</v>
      </c>
      <c r="AS100" s="68">
        <f t="shared" si="174"/>
        <v>0</v>
      </c>
      <c r="AT100" s="418">
        <v>0</v>
      </c>
      <c r="AU100" s="415">
        <v>0</v>
      </c>
      <c r="AV100" s="418">
        <f t="shared" si="175"/>
        <v>0</v>
      </c>
      <c r="AW100" s="418">
        <f t="shared" si="176"/>
        <v>0</v>
      </c>
      <c r="AX100" s="419">
        <v>0</v>
      </c>
      <c r="AY100" s="419">
        <v>0</v>
      </c>
      <c r="AZ100" s="419">
        <v>0</v>
      </c>
      <c r="BA100" s="419">
        <v>0</v>
      </c>
      <c r="BB100" s="416">
        <v>0</v>
      </c>
      <c r="BC100" s="939">
        <v>0</v>
      </c>
      <c r="BD100" s="419">
        <v>0</v>
      </c>
      <c r="BE100" s="419">
        <v>0</v>
      </c>
      <c r="BF100" s="419">
        <f t="shared" si="177"/>
        <v>0</v>
      </c>
      <c r="BG100" s="419">
        <f t="shared" si="178"/>
        <v>0</v>
      </c>
      <c r="BH100" s="421">
        <f t="shared" si="179"/>
        <v>0</v>
      </c>
      <c r="BI100" s="780">
        <f t="shared" si="180"/>
        <v>10619878</v>
      </c>
      <c r="BJ100" s="418">
        <f t="shared" si="181"/>
        <v>7878248</v>
      </c>
      <c r="BK100" s="418">
        <f t="shared" si="182"/>
        <v>7878248</v>
      </c>
      <c r="BL100" s="418">
        <f t="shared" si="182"/>
        <v>0</v>
      </c>
      <c r="BM100" s="418">
        <f t="shared" si="183"/>
        <v>0</v>
      </c>
      <c r="BN100" s="418">
        <f t="shared" si="184"/>
        <v>0</v>
      </c>
      <c r="BO100" s="418">
        <f t="shared" si="184"/>
        <v>0</v>
      </c>
      <c r="BP100" s="418">
        <f t="shared" si="185"/>
        <v>2662848</v>
      </c>
      <c r="BQ100" s="418">
        <f t="shared" si="185"/>
        <v>78782</v>
      </c>
      <c r="BR100" s="418">
        <f t="shared" si="186"/>
        <v>0</v>
      </c>
      <c r="BS100" s="419">
        <f t="shared" si="187"/>
        <v>20.124600000000001</v>
      </c>
      <c r="BT100" s="419">
        <f t="shared" si="188"/>
        <v>20.124600000000001</v>
      </c>
      <c r="BU100" s="421">
        <f t="shared" si="188"/>
        <v>0</v>
      </c>
      <c r="BV100" s="420"/>
      <c r="BW100" s="415"/>
      <c r="BX100" s="415"/>
      <c r="BY100" s="415"/>
      <c r="BZ100" s="415"/>
      <c r="CA100" s="510"/>
    </row>
    <row r="101" spans="1:79" s="221" customFormat="1" x14ac:dyDescent="0.2">
      <c r="A101" s="209">
        <v>18</v>
      </c>
      <c r="B101" s="210">
        <v>4479</v>
      </c>
      <c r="C101" s="210">
        <v>600075150</v>
      </c>
      <c r="D101" s="210">
        <v>70982228</v>
      </c>
      <c r="E101" s="208" t="s">
        <v>180</v>
      </c>
      <c r="F101" s="210">
        <v>3124</v>
      </c>
      <c r="G101" s="165" t="s">
        <v>299</v>
      </c>
      <c r="H101" s="626" t="s">
        <v>271</v>
      </c>
      <c r="I101" s="511">
        <v>3722836</v>
      </c>
      <c r="J101" s="415">
        <v>2752542</v>
      </c>
      <c r="K101" s="415">
        <v>2650048</v>
      </c>
      <c r="L101" s="415">
        <v>102494</v>
      </c>
      <c r="M101" s="415">
        <v>0</v>
      </c>
      <c r="N101" s="415">
        <v>0</v>
      </c>
      <c r="O101" s="415">
        <v>0</v>
      </c>
      <c r="P101" s="68">
        <v>930359</v>
      </c>
      <c r="Q101" s="68">
        <v>27525</v>
      </c>
      <c r="R101" s="415">
        <v>12410</v>
      </c>
      <c r="S101" s="416">
        <v>3.7344999999999997</v>
      </c>
      <c r="T101" s="417">
        <v>3.4285999999999999</v>
      </c>
      <c r="U101" s="423">
        <v>0.30590000000000001</v>
      </c>
      <c r="V101" s="424">
        <f t="shared" si="164"/>
        <v>0</v>
      </c>
      <c r="W101" s="418">
        <f t="shared" si="164"/>
        <v>0</v>
      </c>
      <c r="X101" s="418">
        <v>0</v>
      </c>
      <c r="Y101" s="418">
        <v>0</v>
      </c>
      <c r="Z101" s="418">
        <v>0</v>
      </c>
      <c r="AA101" s="415">
        <v>0</v>
      </c>
      <c r="AB101" s="418">
        <v>0</v>
      </c>
      <c r="AC101" s="418">
        <v>0</v>
      </c>
      <c r="AD101" s="418">
        <f t="shared" si="165"/>
        <v>0</v>
      </c>
      <c r="AE101" s="418">
        <f t="shared" si="166"/>
        <v>0</v>
      </c>
      <c r="AF101" s="418">
        <f t="shared" si="167"/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si="168"/>
        <v>0</v>
      </c>
      <c r="AM101" s="418">
        <f t="shared" si="169"/>
        <v>0</v>
      </c>
      <c r="AN101" s="418">
        <f t="shared" si="170"/>
        <v>0</v>
      </c>
      <c r="AO101" s="418">
        <f t="shared" si="171"/>
        <v>0</v>
      </c>
      <c r="AP101" s="418">
        <f t="shared" si="171"/>
        <v>0</v>
      </c>
      <c r="AQ101" s="418">
        <f t="shared" si="172"/>
        <v>0</v>
      </c>
      <c r="AR101" s="68">
        <f t="shared" si="173"/>
        <v>0</v>
      </c>
      <c r="AS101" s="68">
        <f t="shared" si="174"/>
        <v>0</v>
      </c>
      <c r="AT101" s="418">
        <v>0</v>
      </c>
      <c r="AU101" s="415">
        <v>0</v>
      </c>
      <c r="AV101" s="418">
        <f t="shared" si="175"/>
        <v>0</v>
      </c>
      <c r="AW101" s="418">
        <f t="shared" si="176"/>
        <v>0</v>
      </c>
      <c r="AX101" s="419">
        <v>0</v>
      </c>
      <c r="AY101" s="419">
        <v>0</v>
      </c>
      <c r="AZ101" s="419">
        <v>0</v>
      </c>
      <c r="BA101" s="419">
        <v>0</v>
      </c>
      <c r="BB101" s="416">
        <v>0</v>
      </c>
      <c r="BC101" s="939">
        <v>0</v>
      </c>
      <c r="BD101" s="419">
        <v>0</v>
      </c>
      <c r="BE101" s="419">
        <v>0</v>
      </c>
      <c r="BF101" s="419">
        <f t="shared" si="177"/>
        <v>0</v>
      </c>
      <c r="BG101" s="419">
        <f t="shared" si="178"/>
        <v>0</v>
      </c>
      <c r="BH101" s="421">
        <f t="shared" si="179"/>
        <v>0</v>
      </c>
      <c r="BI101" s="780">
        <f t="shared" si="180"/>
        <v>3722836</v>
      </c>
      <c r="BJ101" s="418">
        <f t="shared" si="181"/>
        <v>2752542</v>
      </c>
      <c r="BK101" s="418">
        <f t="shared" si="182"/>
        <v>2650048</v>
      </c>
      <c r="BL101" s="418">
        <f t="shared" si="182"/>
        <v>102494</v>
      </c>
      <c r="BM101" s="418">
        <f t="shared" si="183"/>
        <v>0</v>
      </c>
      <c r="BN101" s="418">
        <f t="shared" si="184"/>
        <v>0</v>
      </c>
      <c r="BO101" s="418">
        <f t="shared" si="184"/>
        <v>0</v>
      </c>
      <c r="BP101" s="418">
        <f t="shared" si="185"/>
        <v>930359</v>
      </c>
      <c r="BQ101" s="418">
        <f t="shared" si="185"/>
        <v>27525</v>
      </c>
      <c r="BR101" s="418">
        <f t="shared" si="186"/>
        <v>12410</v>
      </c>
      <c r="BS101" s="419">
        <f t="shared" si="187"/>
        <v>3.7344999999999997</v>
      </c>
      <c r="BT101" s="419">
        <f t="shared" si="188"/>
        <v>3.4285999999999999</v>
      </c>
      <c r="BU101" s="421">
        <f t="shared" si="188"/>
        <v>0.30590000000000001</v>
      </c>
      <c r="BV101" s="420"/>
      <c r="BW101" s="415"/>
      <c r="BX101" s="415"/>
      <c r="BY101" s="415"/>
      <c r="BZ101" s="415"/>
      <c r="CA101" s="510"/>
    </row>
    <row r="102" spans="1:79" s="221" customFormat="1" x14ac:dyDescent="0.2">
      <c r="A102" s="209">
        <v>18</v>
      </c>
      <c r="B102" s="210">
        <v>4479</v>
      </c>
      <c r="C102" s="210">
        <v>600075150</v>
      </c>
      <c r="D102" s="210">
        <v>70982228</v>
      </c>
      <c r="E102" s="208" t="s">
        <v>180</v>
      </c>
      <c r="F102" s="210">
        <v>3124</v>
      </c>
      <c r="G102" s="165" t="s">
        <v>300</v>
      </c>
      <c r="H102" s="626" t="s">
        <v>271</v>
      </c>
      <c r="I102" s="511">
        <v>387271</v>
      </c>
      <c r="J102" s="415">
        <v>287293</v>
      </c>
      <c r="K102" s="415">
        <v>287293</v>
      </c>
      <c r="L102" s="415">
        <v>0</v>
      </c>
      <c r="M102" s="415">
        <v>0</v>
      </c>
      <c r="N102" s="415">
        <v>0</v>
      </c>
      <c r="O102" s="415">
        <v>0</v>
      </c>
      <c r="P102" s="68">
        <v>97105</v>
      </c>
      <c r="Q102" s="68">
        <v>2873</v>
      </c>
      <c r="R102" s="415">
        <v>0</v>
      </c>
      <c r="S102" s="416">
        <v>0.88890000000000002</v>
      </c>
      <c r="T102" s="417">
        <v>0.88890000000000002</v>
      </c>
      <c r="U102" s="423">
        <v>0</v>
      </c>
      <c r="V102" s="424">
        <f t="shared" si="164"/>
        <v>0</v>
      </c>
      <c r="W102" s="418">
        <f t="shared" si="164"/>
        <v>0</v>
      </c>
      <c r="X102" s="418">
        <v>0</v>
      </c>
      <c r="Y102" s="418">
        <v>0</v>
      </c>
      <c r="Z102" s="418">
        <v>0</v>
      </c>
      <c r="AA102" s="415">
        <v>0</v>
      </c>
      <c r="AB102" s="418">
        <v>0</v>
      </c>
      <c r="AC102" s="418">
        <v>0</v>
      </c>
      <c r="AD102" s="418">
        <f t="shared" si="165"/>
        <v>0</v>
      </c>
      <c r="AE102" s="418">
        <f t="shared" si="166"/>
        <v>0</v>
      </c>
      <c r="AF102" s="418">
        <f t="shared" si="167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168"/>
        <v>0</v>
      </c>
      <c r="AM102" s="418">
        <f t="shared" si="169"/>
        <v>0</v>
      </c>
      <c r="AN102" s="418">
        <f t="shared" si="170"/>
        <v>0</v>
      </c>
      <c r="AO102" s="418">
        <f t="shared" si="171"/>
        <v>0</v>
      </c>
      <c r="AP102" s="418">
        <f t="shared" si="171"/>
        <v>0</v>
      </c>
      <c r="AQ102" s="418">
        <f t="shared" si="172"/>
        <v>0</v>
      </c>
      <c r="AR102" s="68">
        <f t="shared" si="173"/>
        <v>0</v>
      </c>
      <c r="AS102" s="68">
        <f t="shared" si="174"/>
        <v>0</v>
      </c>
      <c r="AT102" s="418">
        <v>0</v>
      </c>
      <c r="AU102" s="415"/>
      <c r="AV102" s="418">
        <f t="shared" si="175"/>
        <v>0</v>
      </c>
      <c r="AW102" s="418">
        <f t="shared" si="176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6">
        <v>0</v>
      </c>
      <c r="BC102" s="939">
        <v>0</v>
      </c>
      <c r="BD102" s="419">
        <v>0</v>
      </c>
      <c r="BE102" s="419">
        <v>0</v>
      </c>
      <c r="BF102" s="419">
        <f t="shared" si="177"/>
        <v>0</v>
      </c>
      <c r="BG102" s="419">
        <f t="shared" si="178"/>
        <v>0</v>
      </c>
      <c r="BH102" s="421">
        <f t="shared" si="179"/>
        <v>0</v>
      </c>
      <c r="BI102" s="780">
        <f t="shared" si="180"/>
        <v>387271</v>
      </c>
      <c r="BJ102" s="418">
        <f t="shared" si="181"/>
        <v>287293</v>
      </c>
      <c r="BK102" s="418">
        <f t="shared" si="182"/>
        <v>287293</v>
      </c>
      <c r="BL102" s="418">
        <f t="shared" si="182"/>
        <v>0</v>
      </c>
      <c r="BM102" s="418">
        <f t="shared" si="183"/>
        <v>0</v>
      </c>
      <c r="BN102" s="418">
        <f t="shared" si="184"/>
        <v>0</v>
      </c>
      <c r="BO102" s="418">
        <f t="shared" si="184"/>
        <v>0</v>
      </c>
      <c r="BP102" s="418">
        <f t="shared" si="185"/>
        <v>97105</v>
      </c>
      <c r="BQ102" s="418">
        <f t="shared" si="185"/>
        <v>2873</v>
      </c>
      <c r="BR102" s="418">
        <f t="shared" si="186"/>
        <v>0</v>
      </c>
      <c r="BS102" s="419">
        <f t="shared" si="187"/>
        <v>0.88890000000000002</v>
      </c>
      <c r="BT102" s="419">
        <f t="shared" si="188"/>
        <v>0.88890000000000002</v>
      </c>
      <c r="BU102" s="421">
        <f t="shared" si="188"/>
        <v>0</v>
      </c>
      <c r="BV102" s="420"/>
      <c r="BW102" s="415"/>
      <c r="BX102" s="415"/>
      <c r="BY102" s="415"/>
      <c r="BZ102" s="415"/>
      <c r="CA102" s="510"/>
    </row>
    <row r="103" spans="1:79" s="221" customFormat="1" x14ac:dyDescent="0.2">
      <c r="A103" s="209">
        <v>18</v>
      </c>
      <c r="B103" s="210">
        <v>4479</v>
      </c>
      <c r="C103" s="210">
        <v>600075150</v>
      </c>
      <c r="D103" s="210">
        <v>70982228</v>
      </c>
      <c r="E103" s="204" t="s">
        <v>180</v>
      </c>
      <c r="F103" s="210">
        <v>3141</v>
      </c>
      <c r="G103" s="165" t="s">
        <v>294</v>
      </c>
      <c r="H103" s="626" t="s">
        <v>272</v>
      </c>
      <c r="I103" s="511">
        <v>1132545</v>
      </c>
      <c r="J103" s="415">
        <v>835935</v>
      </c>
      <c r="K103" s="415">
        <v>0</v>
      </c>
      <c r="L103" s="415">
        <v>835935</v>
      </c>
      <c r="M103" s="415">
        <v>0</v>
      </c>
      <c r="N103" s="415">
        <v>0</v>
      </c>
      <c r="O103" s="415">
        <v>0</v>
      </c>
      <c r="P103" s="68">
        <v>282546</v>
      </c>
      <c r="Q103" s="68">
        <v>8359</v>
      </c>
      <c r="R103" s="415">
        <v>5705</v>
      </c>
      <c r="S103" s="416">
        <v>2.5099999999999998</v>
      </c>
      <c r="T103" s="417">
        <v>0</v>
      </c>
      <c r="U103" s="423">
        <v>2.5099999999999998</v>
      </c>
      <c r="V103" s="424">
        <f t="shared" si="164"/>
        <v>0</v>
      </c>
      <c r="W103" s="418">
        <f t="shared" si="164"/>
        <v>0</v>
      </c>
      <c r="X103" s="418">
        <v>0</v>
      </c>
      <c r="Y103" s="418">
        <v>0</v>
      </c>
      <c r="Z103" s="418">
        <v>0</v>
      </c>
      <c r="AA103" s="415">
        <v>416812</v>
      </c>
      <c r="AB103" s="418">
        <v>0</v>
      </c>
      <c r="AC103" s="418">
        <v>0</v>
      </c>
      <c r="AD103" s="418">
        <f t="shared" si="165"/>
        <v>0</v>
      </c>
      <c r="AE103" s="418">
        <f t="shared" si="166"/>
        <v>416812</v>
      </c>
      <c r="AF103" s="418">
        <f t="shared" si="167"/>
        <v>416812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168"/>
        <v>0</v>
      </c>
      <c r="AM103" s="418">
        <f t="shared" si="169"/>
        <v>0</v>
      </c>
      <c r="AN103" s="418">
        <f t="shared" si="170"/>
        <v>0</v>
      </c>
      <c r="AO103" s="418">
        <f t="shared" si="171"/>
        <v>0</v>
      </c>
      <c r="AP103" s="418">
        <f t="shared" si="171"/>
        <v>416812</v>
      </c>
      <c r="AQ103" s="418">
        <f t="shared" si="172"/>
        <v>416812</v>
      </c>
      <c r="AR103" s="68">
        <f t="shared" si="173"/>
        <v>140882</v>
      </c>
      <c r="AS103" s="68">
        <f t="shared" si="174"/>
        <v>4168</v>
      </c>
      <c r="AT103" s="418">
        <v>0</v>
      </c>
      <c r="AU103" s="415">
        <v>2747</v>
      </c>
      <c r="AV103" s="418">
        <f t="shared" si="175"/>
        <v>2747</v>
      </c>
      <c r="AW103" s="418">
        <f t="shared" si="176"/>
        <v>564609</v>
      </c>
      <c r="AX103" s="419">
        <v>0</v>
      </c>
      <c r="AY103" s="419">
        <v>0</v>
      </c>
      <c r="AZ103" s="419">
        <v>0</v>
      </c>
      <c r="BA103" s="419">
        <v>0</v>
      </c>
      <c r="BB103" s="416">
        <v>1.25</v>
      </c>
      <c r="BC103" s="939">
        <v>0</v>
      </c>
      <c r="BD103" s="419">
        <v>0</v>
      </c>
      <c r="BE103" s="419">
        <v>0</v>
      </c>
      <c r="BF103" s="419">
        <f t="shared" si="177"/>
        <v>0</v>
      </c>
      <c r="BG103" s="419">
        <f t="shared" si="178"/>
        <v>1.25</v>
      </c>
      <c r="BH103" s="421">
        <f t="shared" si="179"/>
        <v>1.25</v>
      </c>
      <c r="BI103" s="780">
        <f t="shared" si="180"/>
        <v>1697154</v>
      </c>
      <c r="BJ103" s="418">
        <f t="shared" si="181"/>
        <v>1252747</v>
      </c>
      <c r="BK103" s="418">
        <f t="shared" si="182"/>
        <v>0</v>
      </c>
      <c r="BL103" s="418">
        <f t="shared" si="182"/>
        <v>1252747</v>
      </c>
      <c r="BM103" s="418">
        <f t="shared" si="183"/>
        <v>0</v>
      </c>
      <c r="BN103" s="418">
        <f t="shared" si="184"/>
        <v>0</v>
      </c>
      <c r="BO103" s="418">
        <f t="shared" si="184"/>
        <v>0</v>
      </c>
      <c r="BP103" s="418">
        <f t="shared" si="185"/>
        <v>423428</v>
      </c>
      <c r="BQ103" s="418">
        <f t="shared" si="185"/>
        <v>12527</v>
      </c>
      <c r="BR103" s="418">
        <f t="shared" si="186"/>
        <v>8452</v>
      </c>
      <c r="BS103" s="419">
        <f t="shared" si="187"/>
        <v>3.76</v>
      </c>
      <c r="BT103" s="419">
        <f t="shared" si="188"/>
        <v>0</v>
      </c>
      <c r="BU103" s="421">
        <f t="shared" si="188"/>
        <v>3.76</v>
      </c>
      <c r="BV103" s="420"/>
      <c r="BW103" s="415"/>
      <c r="BX103" s="415"/>
      <c r="BY103" s="415"/>
      <c r="BZ103" s="415"/>
      <c r="CA103" s="510"/>
    </row>
    <row r="104" spans="1:79" s="221" customFormat="1" x14ac:dyDescent="0.2">
      <c r="A104" s="209">
        <v>18</v>
      </c>
      <c r="B104" s="210">
        <v>4479</v>
      </c>
      <c r="C104" s="210">
        <v>600075150</v>
      </c>
      <c r="D104" s="210">
        <v>70982228</v>
      </c>
      <c r="E104" s="208" t="s">
        <v>180</v>
      </c>
      <c r="F104" s="210">
        <v>3143</v>
      </c>
      <c r="G104" s="165" t="s">
        <v>595</v>
      </c>
      <c r="H104" s="614" t="s">
        <v>271</v>
      </c>
      <c r="I104" s="511">
        <v>2741336</v>
      </c>
      <c r="J104" s="415">
        <v>2033632</v>
      </c>
      <c r="K104" s="415">
        <v>2033632</v>
      </c>
      <c r="L104" s="415">
        <v>0</v>
      </c>
      <c r="M104" s="415">
        <v>0</v>
      </c>
      <c r="N104" s="415">
        <v>0</v>
      </c>
      <c r="O104" s="415">
        <v>0</v>
      </c>
      <c r="P104" s="68">
        <v>687368</v>
      </c>
      <c r="Q104" s="68">
        <v>20336</v>
      </c>
      <c r="R104" s="415">
        <v>0</v>
      </c>
      <c r="S104" s="416">
        <v>4.0536000000000003</v>
      </c>
      <c r="T104" s="417">
        <v>4.0536000000000003</v>
      </c>
      <c r="U104" s="423">
        <v>0</v>
      </c>
      <c r="V104" s="424">
        <f t="shared" si="164"/>
        <v>0</v>
      </c>
      <c r="W104" s="418">
        <f t="shared" si="164"/>
        <v>0</v>
      </c>
      <c r="X104" s="418">
        <v>0</v>
      </c>
      <c r="Y104" s="418">
        <v>0</v>
      </c>
      <c r="Z104" s="418">
        <v>0</v>
      </c>
      <c r="AA104" s="415">
        <v>0</v>
      </c>
      <c r="AB104" s="418">
        <v>0</v>
      </c>
      <c r="AC104" s="418">
        <v>0</v>
      </c>
      <c r="AD104" s="418">
        <f t="shared" si="165"/>
        <v>0</v>
      </c>
      <c r="AE104" s="418">
        <f t="shared" si="166"/>
        <v>0</v>
      </c>
      <c r="AF104" s="418">
        <f t="shared" si="167"/>
        <v>0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168"/>
        <v>0</v>
      </c>
      <c r="AM104" s="418">
        <f t="shared" si="169"/>
        <v>0</v>
      </c>
      <c r="AN104" s="418">
        <f t="shared" si="170"/>
        <v>0</v>
      </c>
      <c r="AO104" s="418">
        <f t="shared" si="171"/>
        <v>0</v>
      </c>
      <c r="AP104" s="418">
        <f t="shared" si="171"/>
        <v>0</v>
      </c>
      <c r="AQ104" s="418">
        <f t="shared" si="172"/>
        <v>0</v>
      </c>
      <c r="AR104" s="68">
        <f t="shared" si="173"/>
        <v>0</v>
      </c>
      <c r="AS104" s="68">
        <f t="shared" si="174"/>
        <v>0</v>
      </c>
      <c r="AT104" s="418">
        <v>0</v>
      </c>
      <c r="AU104" s="415">
        <v>0</v>
      </c>
      <c r="AV104" s="418">
        <f t="shared" si="175"/>
        <v>0</v>
      </c>
      <c r="AW104" s="418">
        <f t="shared" si="176"/>
        <v>0</v>
      </c>
      <c r="AX104" s="419">
        <v>0</v>
      </c>
      <c r="AY104" s="419">
        <v>0</v>
      </c>
      <c r="AZ104" s="419">
        <v>0</v>
      </c>
      <c r="BA104" s="419">
        <v>0</v>
      </c>
      <c r="BB104" s="416">
        <v>0</v>
      </c>
      <c r="BC104" s="939">
        <v>0</v>
      </c>
      <c r="BD104" s="419">
        <v>0</v>
      </c>
      <c r="BE104" s="419">
        <v>0</v>
      </c>
      <c r="BF104" s="419">
        <f t="shared" si="177"/>
        <v>0</v>
      </c>
      <c r="BG104" s="419">
        <f t="shared" si="178"/>
        <v>0</v>
      </c>
      <c r="BH104" s="421">
        <f t="shared" si="179"/>
        <v>0</v>
      </c>
      <c r="BI104" s="780">
        <f t="shared" si="180"/>
        <v>2741336</v>
      </c>
      <c r="BJ104" s="418">
        <f t="shared" si="181"/>
        <v>2033632</v>
      </c>
      <c r="BK104" s="418">
        <f t="shared" si="182"/>
        <v>2033632</v>
      </c>
      <c r="BL104" s="418">
        <f t="shared" si="182"/>
        <v>0</v>
      </c>
      <c r="BM104" s="418">
        <f t="shared" si="183"/>
        <v>0</v>
      </c>
      <c r="BN104" s="418">
        <f t="shared" si="184"/>
        <v>0</v>
      </c>
      <c r="BO104" s="418">
        <f t="shared" si="184"/>
        <v>0</v>
      </c>
      <c r="BP104" s="418">
        <f t="shared" si="185"/>
        <v>687368</v>
      </c>
      <c r="BQ104" s="418">
        <f t="shared" si="185"/>
        <v>20336</v>
      </c>
      <c r="BR104" s="418">
        <f t="shared" si="186"/>
        <v>0</v>
      </c>
      <c r="BS104" s="419">
        <f t="shared" si="187"/>
        <v>4.0536000000000003</v>
      </c>
      <c r="BT104" s="419">
        <f t="shared" si="188"/>
        <v>4.0536000000000003</v>
      </c>
      <c r="BU104" s="421">
        <f t="shared" si="188"/>
        <v>0</v>
      </c>
      <c r="BV104" s="420"/>
      <c r="BW104" s="415"/>
      <c r="BX104" s="415"/>
      <c r="BY104" s="415"/>
      <c r="BZ104" s="415"/>
      <c r="CA104" s="510"/>
    </row>
    <row r="105" spans="1:79" s="221" customFormat="1" x14ac:dyDescent="0.2">
      <c r="A105" s="209">
        <v>18</v>
      </c>
      <c r="B105" s="210">
        <v>4479</v>
      </c>
      <c r="C105" s="210">
        <v>600075150</v>
      </c>
      <c r="D105" s="210">
        <v>70982228</v>
      </c>
      <c r="E105" s="208" t="s">
        <v>180</v>
      </c>
      <c r="F105" s="210">
        <v>3143</v>
      </c>
      <c r="G105" s="165" t="s">
        <v>596</v>
      </c>
      <c r="H105" s="614" t="s">
        <v>272</v>
      </c>
      <c r="I105" s="511">
        <v>24049</v>
      </c>
      <c r="J105" s="415">
        <v>17213</v>
      </c>
      <c r="K105" s="415">
        <v>0</v>
      </c>
      <c r="L105" s="415">
        <v>17213</v>
      </c>
      <c r="M105" s="415">
        <v>0</v>
      </c>
      <c r="N105" s="415">
        <v>0</v>
      </c>
      <c r="O105" s="415">
        <v>0</v>
      </c>
      <c r="P105" s="68">
        <v>5818</v>
      </c>
      <c r="Q105" s="68">
        <v>172</v>
      </c>
      <c r="R105" s="415">
        <v>846</v>
      </c>
      <c r="S105" s="416">
        <v>0.06</v>
      </c>
      <c r="T105" s="417">
        <v>0</v>
      </c>
      <c r="U105" s="423">
        <v>0.06</v>
      </c>
      <c r="V105" s="424">
        <f t="shared" si="164"/>
        <v>0</v>
      </c>
      <c r="W105" s="418">
        <f t="shared" si="164"/>
        <v>0</v>
      </c>
      <c r="X105" s="418">
        <v>0</v>
      </c>
      <c r="Y105" s="418">
        <v>0</v>
      </c>
      <c r="Z105" s="418">
        <v>0</v>
      </c>
      <c r="AA105" s="415">
        <v>8637</v>
      </c>
      <c r="AB105" s="418">
        <v>0</v>
      </c>
      <c r="AC105" s="418">
        <v>0</v>
      </c>
      <c r="AD105" s="418">
        <f t="shared" si="165"/>
        <v>0</v>
      </c>
      <c r="AE105" s="418">
        <f t="shared" si="166"/>
        <v>8637</v>
      </c>
      <c r="AF105" s="418">
        <f t="shared" si="167"/>
        <v>8637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168"/>
        <v>0</v>
      </c>
      <c r="AM105" s="418">
        <f t="shared" si="169"/>
        <v>0</v>
      </c>
      <c r="AN105" s="418">
        <f t="shared" si="170"/>
        <v>0</v>
      </c>
      <c r="AO105" s="418">
        <f t="shared" si="171"/>
        <v>0</v>
      </c>
      <c r="AP105" s="418">
        <f t="shared" si="171"/>
        <v>8637</v>
      </c>
      <c r="AQ105" s="418">
        <f t="shared" si="172"/>
        <v>8637</v>
      </c>
      <c r="AR105" s="68">
        <f t="shared" si="173"/>
        <v>2919</v>
      </c>
      <c r="AS105" s="68">
        <f t="shared" si="174"/>
        <v>86</v>
      </c>
      <c r="AT105" s="418">
        <v>0</v>
      </c>
      <c r="AU105" s="415">
        <v>423</v>
      </c>
      <c r="AV105" s="418">
        <f t="shared" si="175"/>
        <v>423</v>
      </c>
      <c r="AW105" s="418">
        <f t="shared" si="176"/>
        <v>12065</v>
      </c>
      <c r="AX105" s="419">
        <v>0</v>
      </c>
      <c r="AY105" s="419">
        <v>0</v>
      </c>
      <c r="AZ105" s="419">
        <v>0</v>
      </c>
      <c r="BA105" s="419">
        <v>0</v>
      </c>
      <c r="BB105" s="416">
        <v>0.03</v>
      </c>
      <c r="BC105" s="939">
        <v>0</v>
      </c>
      <c r="BD105" s="419">
        <v>0</v>
      </c>
      <c r="BE105" s="419">
        <v>0</v>
      </c>
      <c r="BF105" s="419">
        <f t="shared" si="177"/>
        <v>0</v>
      </c>
      <c r="BG105" s="419">
        <f t="shared" si="178"/>
        <v>0.03</v>
      </c>
      <c r="BH105" s="421">
        <f t="shared" si="179"/>
        <v>0.03</v>
      </c>
      <c r="BI105" s="780">
        <f t="shared" si="180"/>
        <v>36114</v>
      </c>
      <c r="BJ105" s="418">
        <f t="shared" si="181"/>
        <v>25850</v>
      </c>
      <c r="BK105" s="418">
        <f t="shared" si="182"/>
        <v>0</v>
      </c>
      <c r="BL105" s="418">
        <f t="shared" si="182"/>
        <v>25850</v>
      </c>
      <c r="BM105" s="418">
        <f t="shared" si="183"/>
        <v>0</v>
      </c>
      <c r="BN105" s="418">
        <f t="shared" si="184"/>
        <v>0</v>
      </c>
      <c r="BO105" s="418">
        <f t="shared" si="184"/>
        <v>0</v>
      </c>
      <c r="BP105" s="418">
        <f t="shared" si="185"/>
        <v>8737</v>
      </c>
      <c r="BQ105" s="418">
        <f t="shared" si="185"/>
        <v>258</v>
      </c>
      <c r="BR105" s="418">
        <f t="shared" si="186"/>
        <v>1269</v>
      </c>
      <c r="BS105" s="419">
        <f t="shared" si="187"/>
        <v>0.09</v>
      </c>
      <c r="BT105" s="419">
        <f t="shared" si="188"/>
        <v>0</v>
      </c>
      <c r="BU105" s="421">
        <f t="shared" si="188"/>
        <v>0.09</v>
      </c>
      <c r="BV105" s="420"/>
      <c r="BW105" s="415"/>
      <c r="BX105" s="415"/>
      <c r="BY105" s="415"/>
      <c r="BZ105" s="415"/>
      <c r="CA105" s="510"/>
    </row>
    <row r="106" spans="1:79" s="221" customFormat="1" x14ac:dyDescent="0.2">
      <c r="A106" s="209">
        <v>18</v>
      </c>
      <c r="B106" s="210">
        <v>4479</v>
      </c>
      <c r="C106" s="210">
        <v>600075150</v>
      </c>
      <c r="D106" s="210">
        <v>70982228</v>
      </c>
      <c r="E106" s="208" t="s">
        <v>180</v>
      </c>
      <c r="F106" s="210">
        <v>3143</v>
      </c>
      <c r="G106" s="165" t="s">
        <v>296</v>
      </c>
      <c r="H106" s="614" t="s">
        <v>272</v>
      </c>
      <c r="I106" s="511">
        <v>226721</v>
      </c>
      <c r="J106" s="415">
        <v>168031</v>
      </c>
      <c r="K106" s="415">
        <v>161431</v>
      </c>
      <c r="L106" s="415">
        <v>6600</v>
      </c>
      <c r="M106" s="415">
        <v>0</v>
      </c>
      <c r="N106" s="415">
        <v>0</v>
      </c>
      <c r="O106" s="415">
        <v>0</v>
      </c>
      <c r="P106" s="68">
        <v>56794</v>
      </c>
      <c r="Q106" s="68">
        <v>1680</v>
      </c>
      <c r="R106" s="415">
        <v>216</v>
      </c>
      <c r="S106" s="416">
        <v>0.35</v>
      </c>
      <c r="T106" s="417">
        <v>0.32</v>
      </c>
      <c r="U106" s="423">
        <v>0.03</v>
      </c>
      <c r="V106" s="424">
        <f t="shared" si="164"/>
        <v>0</v>
      </c>
      <c r="W106" s="418">
        <f t="shared" si="164"/>
        <v>0</v>
      </c>
      <c r="X106" s="418">
        <v>0</v>
      </c>
      <c r="Y106" s="418">
        <v>0</v>
      </c>
      <c r="Z106" s="418">
        <v>0</v>
      </c>
      <c r="AA106" s="605">
        <v>3300</v>
      </c>
      <c r="AB106" s="418">
        <v>0</v>
      </c>
      <c r="AC106" s="418">
        <v>0</v>
      </c>
      <c r="AD106" s="418">
        <f t="shared" si="165"/>
        <v>0</v>
      </c>
      <c r="AE106" s="418">
        <f t="shared" si="166"/>
        <v>3300</v>
      </c>
      <c r="AF106" s="418">
        <f t="shared" si="167"/>
        <v>3300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168"/>
        <v>0</v>
      </c>
      <c r="AM106" s="418">
        <f t="shared" si="169"/>
        <v>0</v>
      </c>
      <c r="AN106" s="418">
        <f t="shared" si="170"/>
        <v>0</v>
      </c>
      <c r="AO106" s="418">
        <f t="shared" si="171"/>
        <v>0</v>
      </c>
      <c r="AP106" s="418">
        <f t="shared" si="171"/>
        <v>3300</v>
      </c>
      <c r="AQ106" s="418">
        <f t="shared" si="172"/>
        <v>3300</v>
      </c>
      <c r="AR106" s="68">
        <f t="shared" si="173"/>
        <v>1115</v>
      </c>
      <c r="AS106" s="68">
        <f t="shared" si="174"/>
        <v>33</v>
      </c>
      <c r="AT106" s="418">
        <v>0</v>
      </c>
      <c r="AU106" s="606">
        <v>108</v>
      </c>
      <c r="AV106" s="418">
        <f t="shared" si="175"/>
        <v>108</v>
      </c>
      <c r="AW106" s="418">
        <f t="shared" si="176"/>
        <v>4556</v>
      </c>
      <c r="AX106" s="419">
        <v>0</v>
      </c>
      <c r="AY106" s="419">
        <v>0</v>
      </c>
      <c r="AZ106" s="419">
        <v>0</v>
      </c>
      <c r="BA106" s="419">
        <v>0</v>
      </c>
      <c r="BB106" s="607">
        <v>0.01</v>
      </c>
      <c r="BC106" s="939">
        <v>0</v>
      </c>
      <c r="BD106" s="419">
        <v>0</v>
      </c>
      <c r="BE106" s="419">
        <v>0</v>
      </c>
      <c r="BF106" s="419">
        <f t="shared" si="177"/>
        <v>0</v>
      </c>
      <c r="BG106" s="419">
        <f t="shared" si="178"/>
        <v>0.01</v>
      </c>
      <c r="BH106" s="421">
        <f t="shared" si="179"/>
        <v>0.01</v>
      </c>
      <c r="BI106" s="780">
        <f t="shared" si="180"/>
        <v>231277</v>
      </c>
      <c r="BJ106" s="418">
        <f t="shared" si="181"/>
        <v>171331</v>
      </c>
      <c r="BK106" s="418">
        <f t="shared" si="182"/>
        <v>161431</v>
      </c>
      <c r="BL106" s="418">
        <f t="shared" si="182"/>
        <v>9900</v>
      </c>
      <c r="BM106" s="418">
        <f t="shared" si="183"/>
        <v>0</v>
      </c>
      <c r="BN106" s="418">
        <f t="shared" si="184"/>
        <v>0</v>
      </c>
      <c r="BO106" s="418">
        <f t="shared" si="184"/>
        <v>0</v>
      </c>
      <c r="BP106" s="418">
        <f t="shared" si="185"/>
        <v>57909</v>
      </c>
      <c r="BQ106" s="418">
        <f t="shared" si="185"/>
        <v>1713</v>
      </c>
      <c r="BR106" s="418">
        <f t="shared" si="186"/>
        <v>324</v>
      </c>
      <c r="BS106" s="419">
        <f t="shared" si="187"/>
        <v>0.36</v>
      </c>
      <c r="BT106" s="419">
        <f t="shared" si="188"/>
        <v>0.32</v>
      </c>
      <c r="BU106" s="421">
        <f t="shared" si="188"/>
        <v>0.04</v>
      </c>
      <c r="BV106" s="420"/>
      <c r="BW106" s="415"/>
      <c r="BX106" s="415"/>
      <c r="BY106" s="415"/>
      <c r="BZ106" s="415"/>
      <c r="CA106" s="510"/>
    </row>
    <row r="107" spans="1:79" s="221" customFormat="1" x14ac:dyDescent="0.2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13"/>
      <c r="I107" s="452">
        <v>62271589</v>
      </c>
      <c r="J107" s="445">
        <v>45939671</v>
      </c>
      <c r="K107" s="445">
        <v>42611565</v>
      </c>
      <c r="L107" s="445">
        <v>3328106</v>
      </c>
      <c r="M107" s="445">
        <v>0</v>
      </c>
      <c r="N107" s="445">
        <v>0</v>
      </c>
      <c r="O107" s="445">
        <v>0</v>
      </c>
      <c r="P107" s="445">
        <v>15527608</v>
      </c>
      <c r="Q107" s="445">
        <v>459396</v>
      </c>
      <c r="R107" s="445">
        <v>344914</v>
      </c>
      <c r="S107" s="446">
        <v>79.697000000000003</v>
      </c>
      <c r="T107" s="446">
        <v>69.411000000000001</v>
      </c>
      <c r="U107" s="450">
        <v>10.286000000000001</v>
      </c>
      <c r="V107" s="448">
        <f t="shared" ref="V107:CA107" si="189">SUM(V97:V106)</f>
        <v>0</v>
      </c>
      <c r="W107" s="445">
        <f t="shared" si="189"/>
        <v>0</v>
      </c>
      <c r="X107" s="445">
        <f t="shared" si="189"/>
        <v>0</v>
      </c>
      <c r="Y107" s="445">
        <f t="shared" si="189"/>
        <v>0</v>
      </c>
      <c r="Z107" s="445">
        <f t="shared" si="189"/>
        <v>0</v>
      </c>
      <c r="AA107" s="445">
        <f t="shared" si="189"/>
        <v>428749</v>
      </c>
      <c r="AB107" s="445">
        <f t="shared" si="189"/>
        <v>0</v>
      </c>
      <c r="AC107" s="445">
        <f t="shared" si="189"/>
        <v>0</v>
      </c>
      <c r="AD107" s="445">
        <f t="shared" si="189"/>
        <v>0</v>
      </c>
      <c r="AE107" s="445">
        <f t="shared" si="189"/>
        <v>428749</v>
      </c>
      <c r="AF107" s="445">
        <f t="shared" si="189"/>
        <v>428749</v>
      </c>
      <c r="AG107" s="445">
        <f t="shared" si="189"/>
        <v>0</v>
      </c>
      <c r="AH107" s="445">
        <f t="shared" si="189"/>
        <v>0</v>
      </c>
      <c r="AI107" s="445">
        <f t="shared" si="189"/>
        <v>0</v>
      </c>
      <c r="AJ107" s="445">
        <f t="shared" si="189"/>
        <v>0</v>
      </c>
      <c r="AK107" s="445">
        <f t="shared" si="189"/>
        <v>0</v>
      </c>
      <c r="AL107" s="445">
        <f t="shared" si="189"/>
        <v>0</v>
      </c>
      <c r="AM107" s="445">
        <f t="shared" si="189"/>
        <v>0</v>
      </c>
      <c r="AN107" s="445">
        <f t="shared" si="189"/>
        <v>0</v>
      </c>
      <c r="AO107" s="445">
        <f t="shared" si="189"/>
        <v>0</v>
      </c>
      <c r="AP107" s="445">
        <f t="shared" si="189"/>
        <v>428749</v>
      </c>
      <c r="AQ107" s="445">
        <f t="shared" si="189"/>
        <v>428749</v>
      </c>
      <c r="AR107" s="445">
        <f t="shared" si="189"/>
        <v>144916</v>
      </c>
      <c r="AS107" s="445">
        <f t="shared" si="189"/>
        <v>4287</v>
      </c>
      <c r="AT107" s="445">
        <f t="shared" si="189"/>
        <v>0</v>
      </c>
      <c r="AU107" s="445">
        <f t="shared" si="189"/>
        <v>3278</v>
      </c>
      <c r="AV107" s="445">
        <f t="shared" si="189"/>
        <v>3278</v>
      </c>
      <c r="AW107" s="445">
        <f t="shared" si="189"/>
        <v>581230</v>
      </c>
      <c r="AX107" s="446">
        <f t="shared" si="189"/>
        <v>0</v>
      </c>
      <c r="AY107" s="446">
        <f t="shared" si="189"/>
        <v>0</v>
      </c>
      <c r="AZ107" s="446">
        <f t="shared" si="189"/>
        <v>0</v>
      </c>
      <c r="BA107" s="446">
        <f t="shared" si="189"/>
        <v>0</v>
      </c>
      <c r="BB107" s="446">
        <f t="shared" si="189"/>
        <v>1.29</v>
      </c>
      <c r="BC107" s="948">
        <f t="shared" si="189"/>
        <v>0</v>
      </c>
      <c r="BD107" s="446">
        <f t="shared" si="189"/>
        <v>0</v>
      </c>
      <c r="BE107" s="446">
        <f t="shared" si="189"/>
        <v>0</v>
      </c>
      <c r="BF107" s="446">
        <f t="shared" si="189"/>
        <v>0</v>
      </c>
      <c r="BG107" s="446">
        <f t="shared" si="189"/>
        <v>1.29</v>
      </c>
      <c r="BH107" s="39">
        <f t="shared" si="189"/>
        <v>1.29</v>
      </c>
      <c r="BI107" s="452">
        <f t="shared" si="189"/>
        <v>62852819</v>
      </c>
      <c r="BJ107" s="445">
        <f t="shared" si="189"/>
        <v>46368420</v>
      </c>
      <c r="BK107" s="445">
        <f t="shared" si="189"/>
        <v>42611565</v>
      </c>
      <c r="BL107" s="445">
        <f t="shared" si="189"/>
        <v>3756855</v>
      </c>
      <c r="BM107" s="445">
        <f t="shared" si="189"/>
        <v>0</v>
      </c>
      <c r="BN107" s="445">
        <f t="shared" si="189"/>
        <v>0</v>
      </c>
      <c r="BO107" s="445">
        <f t="shared" si="189"/>
        <v>0</v>
      </c>
      <c r="BP107" s="445">
        <f t="shared" si="189"/>
        <v>15672524</v>
      </c>
      <c r="BQ107" s="445">
        <f t="shared" si="189"/>
        <v>463683</v>
      </c>
      <c r="BR107" s="445">
        <f t="shared" si="189"/>
        <v>348192</v>
      </c>
      <c r="BS107" s="446">
        <f t="shared" si="189"/>
        <v>80.987000000000009</v>
      </c>
      <c r="BT107" s="446">
        <f t="shared" si="189"/>
        <v>69.411000000000001</v>
      </c>
      <c r="BU107" s="39">
        <f t="shared" si="189"/>
        <v>11.576000000000001</v>
      </c>
      <c r="BV107" s="833">
        <f t="shared" si="189"/>
        <v>0</v>
      </c>
      <c r="BW107" s="715">
        <f t="shared" si="189"/>
        <v>0</v>
      </c>
      <c r="BX107" s="715">
        <f t="shared" si="189"/>
        <v>0</v>
      </c>
      <c r="BY107" s="715">
        <f t="shared" si="189"/>
        <v>0</v>
      </c>
      <c r="BZ107" s="715">
        <f t="shared" si="189"/>
        <v>0</v>
      </c>
      <c r="CA107" s="834">
        <f t="shared" si="189"/>
        <v>0</v>
      </c>
    </row>
    <row r="108" spans="1:79" s="221" customFormat="1" x14ac:dyDescent="0.2">
      <c r="A108" s="209">
        <v>19</v>
      </c>
      <c r="B108" s="210">
        <v>4473</v>
      </c>
      <c r="C108" s="210">
        <v>600075117</v>
      </c>
      <c r="D108" s="210">
        <v>62237021</v>
      </c>
      <c r="E108" s="208" t="s">
        <v>182</v>
      </c>
      <c r="F108" s="210">
        <v>3231</v>
      </c>
      <c r="G108" s="165" t="s">
        <v>295</v>
      </c>
      <c r="H108" s="626" t="s">
        <v>271</v>
      </c>
      <c r="I108" s="511">
        <v>32506866</v>
      </c>
      <c r="J108" s="415">
        <v>24087092</v>
      </c>
      <c r="K108" s="415">
        <v>23201776</v>
      </c>
      <c r="L108" s="415">
        <v>885316</v>
      </c>
      <c r="M108" s="415">
        <v>0</v>
      </c>
      <c r="N108" s="415">
        <v>0</v>
      </c>
      <c r="O108" s="415">
        <v>0</v>
      </c>
      <c r="P108" s="68">
        <v>8141437</v>
      </c>
      <c r="Q108" s="68">
        <v>240871</v>
      </c>
      <c r="R108" s="415">
        <v>37466</v>
      </c>
      <c r="S108" s="416">
        <v>39.182299999999998</v>
      </c>
      <c r="T108" s="417">
        <v>36.698099999999997</v>
      </c>
      <c r="U108" s="423">
        <v>2.4842</v>
      </c>
      <c r="V108" s="424">
        <f>AG108*-1</f>
        <v>0</v>
      </c>
      <c r="W108" s="418">
        <f>AH108*-1</f>
        <v>0</v>
      </c>
      <c r="X108" s="418">
        <v>0</v>
      </c>
      <c r="Y108" s="418">
        <v>0</v>
      </c>
      <c r="Z108" s="418">
        <v>0</v>
      </c>
      <c r="AA108" s="415">
        <v>0</v>
      </c>
      <c r="AB108" s="418">
        <v>0</v>
      </c>
      <c r="AC108" s="418">
        <v>0</v>
      </c>
      <c r="AD108" s="418">
        <f>V108+X108+Y108+Z108+AB108</f>
        <v>0</v>
      </c>
      <c r="AE108" s="418">
        <f>W108+AA108+AC108</f>
        <v>0</v>
      </c>
      <c r="AF108" s="418">
        <f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>AG108+AI108+AJ108</f>
        <v>0</v>
      </c>
      <c r="AM108" s="418">
        <f>AH108+AK108</f>
        <v>0</v>
      </c>
      <c r="AN108" s="418">
        <f>SUM(AL108:AM108)</f>
        <v>0</v>
      </c>
      <c r="AO108" s="418">
        <f>AD108+AL108</f>
        <v>0</v>
      </c>
      <c r="AP108" s="418">
        <f>AE108+AM108</f>
        <v>0</v>
      </c>
      <c r="AQ108" s="418">
        <f>SUM(AO108:AP108)</f>
        <v>0</v>
      </c>
      <c r="AR108" s="68">
        <f>ROUND((AF108+AG108+AH108+AI108)*33.8%,0)</f>
        <v>0</v>
      </c>
      <c r="AS108" s="68">
        <f>ROUND(AF108*1%,0)</f>
        <v>0</v>
      </c>
      <c r="AT108" s="418">
        <v>0</v>
      </c>
      <c r="AU108" s="415">
        <v>0</v>
      </c>
      <c r="AV108" s="418">
        <f>AT108+AU108</f>
        <v>0</v>
      </c>
      <c r="AW108" s="418">
        <f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6">
        <v>0</v>
      </c>
      <c r="BC108" s="939">
        <v>0</v>
      </c>
      <c r="BD108" s="419">
        <v>0</v>
      </c>
      <c r="BE108" s="419">
        <v>0</v>
      </c>
      <c r="BF108" s="419">
        <f>AX108+AZ108+BA108+BC108+BD108</f>
        <v>0</v>
      </c>
      <c r="BG108" s="419">
        <f>AY108+BB108+BE108</f>
        <v>0</v>
      </c>
      <c r="BH108" s="421">
        <f>SUM(BF108:BG108)</f>
        <v>0</v>
      </c>
      <c r="BI108" s="780">
        <f>I108+AW108</f>
        <v>32506866</v>
      </c>
      <c r="BJ108" s="418">
        <f>J108+AF108</f>
        <v>24087092</v>
      </c>
      <c r="BK108" s="418">
        <f>K108+AD108</f>
        <v>23201776</v>
      </c>
      <c r="BL108" s="418">
        <f>L108+AE108</f>
        <v>885316</v>
      </c>
      <c r="BM108" s="418">
        <f>M108+AN108</f>
        <v>0</v>
      </c>
      <c r="BN108" s="418">
        <f>N108+AL108</f>
        <v>0</v>
      </c>
      <c r="BO108" s="418">
        <f>O108+AM108</f>
        <v>0</v>
      </c>
      <c r="BP108" s="418">
        <f>P108+AR108</f>
        <v>8141437</v>
      </c>
      <c r="BQ108" s="418">
        <f>Q108+AS108</f>
        <v>240871</v>
      </c>
      <c r="BR108" s="418">
        <f>R108+AV108</f>
        <v>37466</v>
      </c>
      <c r="BS108" s="419">
        <f>S108+BH108</f>
        <v>39.182299999999998</v>
      </c>
      <c r="BT108" s="419">
        <f>T108+BF108</f>
        <v>36.698099999999997</v>
      </c>
      <c r="BU108" s="421">
        <f>U108+BG108</f>
        <v>2.4842</v>
      </c>
      <c r="BV108" s="420"/>
      <c r="BW108" s="415"/>
      <c r="BX108" s="415"/>
      <c r="BY108" s="415"/>
      <c r="BZ108" s="415"/>
      <c r="CA108" s="510"/>
    </row>
    <row r="109" spans="1:79" s="221" customFormat="1" x14ac:dyDescent="0.2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13"/>
      <c r="I109" s="452">
        <v>32506866</v>
      </c>
      <c r="J109" s="445">
        <v>24087092</v>
      </c>
      <c r="K109" s="445">
        <v>23201776</v>
      </c>
      <c r="L109" s="445">
        <v>885316</v>
      </c>
      <c r="M109" s="445">
        <v>0</v>
      </c>
      <c r="N109" s="445">
        <v>0</v>
      </c>
      <c r="O109" s="445">
        <v>0</v>
      </c>
      <c r="P109" s="445">
        <v>8141437</v>
      </c>
      <c r="Q109" s="445">
        <v>240871</v>
      </c>
      <c r="R109" s="445">
        <v>37466</v>
      </c>
      <c r="S109" s="446">
        <v>39.182299999999998</v>
      </c>
      <c r="T109" s="446">
        <v>36.698099999999997</v>
      </c>
      <c r="U109" s="450">
        <v>2.4842</v>
      </c>
      <c r="V109" s="448">
        <f t="shared" ref="V109:CA109" si="190">SUM(V108)</f>
        <v>0</v>
      </c>
      <c r="W109" s="445">
        <f t="shared" si="190"/>
        <v>0</v>
      </c>
      <c r="X109" s="445">
        <f t="shared" si="190"/>
        <v>0</v>
      </c>
      <c r="Y109" s="445">
        <f t="shared" si="190"/>
        <v>0</v>
      </c>
      <c r="Z109" s="445">
        <f t="shared" si="190"/>
        <v>0</v>
      </c>
      <c r="AA109" s="445">
        <f t="shared" si="190"/>
        <v>0</v>
      </c>
      <c r="AB109" s="445">
        <f t="shared" si="190"/>
        <v>0</v>
      </c>
      <c r="AC109" s="445">
        <f t="shared" si="190"/>
        <v>0</v>
      </c>
      <c r="AD109" s="445">
        <f t="shared" si="190"/>
        <v>0</v>
      </c>
      <c r="AE109" s="445">
        <f t="shared" si="190"/>
        <v>0</v>
      </c>
      <c r="AF109" s="445">
        <f t="shared" si="190"/>
        <v>0</v>
      </c>
      <c r="AG109" s="445">
        <f t="shared" si="190"/>
        <v>0</v>
      </c>
      <c r="AH109" s="445">
        <f t="shared" si="190"/>
        <v>0</v>
      </c>
      <c r="AI109" s="445">
        <f t="shared" si="190"/>
        <v>0</v>
      </c>
      <c r="AJ109" s="445">
        <f t="shared" si="190"/>
        <v>0</v>
      </c>
      <c r="AK109" s="445">
        <f t="shared" si="190"/>
        <v>0</v>
      </c>
      <c r="AL109" s="445">
        <f t="shared" si="190"/>
        <v>0</v>
      </c>
      <c r="AM109" s="445">
        <f t="shared" si="190"/>
        <v>0</v>
      </c>
      <c r="AN109" s="445">
        <f t="shared" si="190"/>
        <v>0</v>
      </c>
      <c r="AO109" s="445">
        <f t="shared" si="190"/>
        <v>0</v>
      </c>
      <c r="AP109" s="445">
        <f t="shared" si="190"/>
        <v>0</v>
      </c>
      <c r="AQ109" s="445">
        <f t="shared" si="190"/>
        <v>0</v>
      </c>
      <c r="AR109" s="445">
        <f t="shared" si="190"/>
        <v>0</v>
      </c>
      <c r="AS109" s="445">
        <f t="shared" si="190"/>
        <v>0</v>
      </c>
      <c r="AT109" s="445">
        <f t="shared" si="190"/>
        <v>0</v>
      </c>
      <c r="AU109" s="445">
        <f t="shared" si="190"/>
        <v>0</v>
      </c>
      <c r="AV109" s="445">
        <f t="shared" si="190"/>
        <v>0</v>
      </c>
      <c r="AW109" s="445">
        <f t="shared" si="190"/>
        <v>0</v>
      </c>
      <c r="AX109" s="446">
        <f t="shared" si="190"/>
        <v>0</v>
      </c>
      <c r="AY109" s="446">
        <f t="shared" si="190"/>
        <v>0</v>
      </c>
      <c r="AZ109" s="446">
        <f t="shared" si="190"/>
        <v>0</v>
      </c>
      <c r="BA109" s="446">
        <f t="shared" si="190"/>
        <v>0</v>
      </c>
      <c r="BB109" s="446">
        <f t="shared" si="190"/>
        <v>0</v>
      </c>
      <c r="BC109" s="948">
        <f t="shared" si="190"/>
        <v>0</v>
      </c>
      <c r="BD109" s="446">
        <f t="shared" si="190"/>
        <v>0</v>
      </c>
      <c r="BE109" s="446">
        <f t="shared" si="190"/>
        <v>0</v>
      </c>
      <c r="BF109" s="446">
        <f t="shared" si="190"/>
        <v>0</v>
      </c>
      <c r="BG109" s="446">
        <f t="shared" si="190"/>
        <v>0</v>
      </c>
      <c r="BH109" s="39">
        <f t="shared" si="190"/>
        <v>0</v>
      </c>
      <c r="BI109" s="452">
        <f t="shared" si="190"/>
        <v>32506866</v>
      </c>
      <c r="BJ109" s="445">
        <f t="shared" si="190"/>
        <v>24087092</v>
      </c>
      <c r="BK109" s="445">
        <f t="shared" si="190"/>
        <v>23201776</v>
      </c>
      <c r="BL109" s="445">
        <f t="shared" si="190"/>
        <v>885316</v>
      </c>
      <c r="BM109" s="445">
        <f t="shared" si="190"/>
        <v>0</v>
      </c>
      <c r="BN109" s="445">
        <f t="shared" si="190"/>
        <v>0</v>
      </c>
      <c r="BO109" s="445">
        <f t="shared" si="190"/>
        <v>0</v>
      </c>
      <c r="BP109" s="445">
        <f t="shared" si="190"/>
        <v>8141437</v>
      </c>
      <c r="BQ109" s="445">
        <f t="shared" si="190"/>
        <v>240871</v>
      </c>
      <c r="BR109" s="445">
        <f t="shared" si="190"/>
        <v>37466</v>
      </c>
      <c r="BS109" s="446">
        <f t="shared" si="190"/>
        <v>39.182299999999998</v>
      </c>
      <c r="BT109" s="446">
        <f t="shared" si="190"/>
        <v>36.698099999999997</v>
      </c>
      <c r="BU109" s="39">
        <f t="shared" si="190"/>
        <v>2.4842</v>
      </c>
      <c r="BV109" s="833">
        <f t="shared" si="190"/>
        <v>0</v>
      </c>
      <c r="BW109" s="715">
        <f t="shared" si="190"/>
        <v>0</v>
      </c>
      <c r="BX109" s="715">
        <f t="shared" si="190"/>
        <v>0</v>
      </c>
      <c r="BY109" s="715">
        <f t="shared" si="190"/>
        <v>0</v>
      </c>
      <c r="BZ109" s="715">
        <f t="shared" si="190"/>
        <v>0</v>
      </c>
      <c r="CA109" s="834">
        <f t="shared" si="190"/>
        <v>0</v>
      </c>
    </row>
    <row r="110" spans="1:79" s="221" customFormat="1" x14ac:dyDescent="0.2">
      <c r="A110" s="209">
        <v>20</v>
      </c>
      <c r="B110" s="210">
        <v>4485</v>
      </c>
      <c r="C110" s="210">
        <v>600074102</v>
      </c>
      <c r="D110" s="210">
        <v>70695113</v>
      </c>
      <c r="E110" s="208" t="s">
        <v>184</v>
      </c>
      <c r="F110" s="210">
        <v>3111</v>
      </c>
      <c r="G110" s="165" t="s">
        <v>290</v>
      </c>
      <c r="H110" s="626" t="s">
        <v>271</v>
      </c>
      <c r="I110" s="511">
        <v>3292829</v>
      </c>
      <c r="J110" s="415">
        <v>2392499</v>
      </c>
      <c r="K110" s="415">
        <v>2212707</v>
      </c>
      <c r="L110" s="415">
        <v>179792</v>
      </c>
      <c r="M110" s="415">
        <v>42000</v>
      </c>
      <c r="N110" s="415">
        <v>0</v>
      </c>
      <c r="O110" s="415">
        <v>42000</v>
      </c>
      <c r="P110" s="68">
        <v>822861</v>
      </c>
      <c r="Q110" s="68">
        <v>23925</v>
      </c>
      <c r="R110" s="415">
        <v>11544</v>
      </c>
      <c r="S110" s="416">
        <v>4.5766999999999998</v>
      </c>
      <c r="T110" s="417">
        <v>4</v>
      </c>
      <c r="U110" s="423">
        <v>0.57669999999999999</v>
      </c>
      <c r="V110" s="424">
        <f t="shared" ref="V110:W112" si="191">AG110*-1</f>
        <v>0</v>
      </c>
      <c r="W110" s="418">
        <f t="shared" si="191"/>
        <v>0</v>
      </c>
      <c r="X110" s="418">
        <v>0</v>
      </c>
      <c r="Y110" s="418">
        <v>0</v>
      </c>
      <c r="Z110" s="418">
        <v>0</v>
      </c>
      <c r="AA110" s="415">
        <v>0</v>
      </c>
      <c r="AB110" s="418">
        <v>0</v>
      </c>
      <c r="AC110" s="418">
        <v>0</v>
      </c>
      <c r="AD110" s="418">
        <f>V110+X110+Y110+Z110+AB110</f>
        <v>0</v>
      </c>
      <c r="AE110" s="418">
        <f>W110+AA110+AC110</f>
        <v>0</v>
      </c>
      <c r="AF110" s="418">
        <f>SUM(AD110:AE110)</f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>AG110+AI110+AJ110</f>
        <v>0</v>
      </c>
      <c r="AM110" s="418">
        <f>AH110+AK110</f>
        <v>0</v>
      </c>
      <c r="AN110" s="418">
        <f>SUM(AL110:AM110)</f>
        <v>0</v>
      </c>
      <c r="AO110" s="418">
        <f t="shared" ref="AO110:AP112" si="192">AD110+AL110</f>
        <v>0</v>
      </c>
      <c r="AP110" s="418">
        <f t="shared" si="192"/>
        <v>0</v>
      </c>
      <c r="AQ110" s="418">
        <f>SUM(AO110:AP110)</f>
        <v>0</v>
      </c>
      <c r="AR110" s="68">
        <f>ROUND((AF110+AG110+AH110+AI110)*33.8%,0)</f>
        <v>0</v>
      </c>
      <c r="AS110" s="68">
        <f>ROUND(AF110*1%,0)</f>
        <v>0</v>
      </c>
      <c r="AT110" s="418">
        <v>0</v>
      </c>
      <c r="AU110" s="415">
        <v>0</v>
      </c>
      <c r="AV110" s="418">
        <f>AT110+AU110</f>
        <v>0</v>
      </c>
      <c r="AW110" s="418">
        <f>AQ110+AR110+AS110+AV110</f>
        <v>0</v>
      </c>
      <c r="AX110" s="419">
        <v>0</v>
      </c>
      <c r="AY110" s="419">
        <v>0</v>
      </c>
      <c r="AZ110" s="419">
        <v>0</v>
      </c>
      <c r="BA110" s="419">
        <v>0</v>
      </c>
      <c r="BB110" s="416">
        <v>0</v>
      </c>
      <c r="BC110" s="939">
        <v>0</v>
      </c>
      <c r="BD110" s="419">
        <v>0</v>
      </c>
      <c r="BE110" s="419">
        <v>0</v>
      </c>
      <c r="BF110" s="419">
        <f>AX110+AZ110+BA110+BC110+BD110</f>
        <v>0</v>
      </c>
      <c r="BG110" s="419">
        <f>AY110+BB110+BE110</f>
        <v>0</v>
      </c>
      <c r="BH110" s="421">
        <f>SUM(BF110:BG110)</f>
        <v>0</v>
      </c>
      <c r="BI110" s="780">
        <f>I110+AW110</f>
        <v>3292829</v>
      </c>
      <c r="BJ110" s="418">
        <f>J110+AF110</f>
        <v>2392499</v>
      </c>
      <c r="BK110" s="418">
        <f t="shared" ref="BK110:BL112" si="193">K110+AD110</f>
        <v>2212707</v>
      </c>
      <c r="BL110" s="418">
        <f t="shared" si="193"/>
        <v>179792</v>
      </c>
      <c r="BM110" s="418">
        <f>M110+AN110</f>
        <v>42000</v>
      </c>
      <c r="BN110" s="418">
        <f t="shared" ref="BN110:BO112" si="194">N110+AL110</f>
        <v>0</v>
      </c>
      <c r="BO110" s="418">
        <f t="shared" si="194"/>
        <v>42000</v>
      </c>
      <c r="BP110" s="418">
        <f t="shared" ref="BP110:BQ112" si="195">P110+AR110</f>
        <v>822861</v>
      </c>
      <c r="BQ110" s="418">
        <f t="shared" si="195"/>
        <v>23925</v>
      </c>
      <c r="BR110" s="418">
        <f>R110+AV110</f>
        <v>11544</v>
      </c>
      <c r="BS110" s="419">
        <f>S110+BH110</f>
        <v>4.5766999999999998</v>
      </c>
      <c r="BT110" s="419">
        <f t="shared" ref="BT110:BU112" si="196">T110+BF110</f>
        <v>4</v>
      </c>
      <c r="BU110" s="421">
        <f t="shared" si="196"/>
        <v>0.57669999999999999</v>
      </c>
      <c r="BV110" s="420"/>
      <c r="BW110" s="415"/>
      <c r="BX110" s="415"/>
      <c r="BY110" s="415"/>
      <c r="BZ110" s="415"/>
      <c r="CA110" s="510"/>
    </row>
    <row r="111" spans="1:79" s="221" customFormat="1" x14ac:dyDescent="0.2">
      <c r="A111" s="209">
        <v>20</v>
      </c>
      <c r="B111" s="210">
        <v>4485</v>
      </c>
      <c r="C111" s="210">
        <v>600074102</v>
      </c>
      <c r="D111" s="210">
        <v>70695113</v>
      </c>
      <c r="E111" s="208" t="s">
        <v>184</v>
      </c>
      <c r="F111" s="210">
        <v>3111</v>
      </c>
      <c r="G111" s="165" t="s">
        <v>291</v>
      </c>
      <c r="H111" s="626" t="s">
        <v>272</v>
      </c>
      <c r="I111" s="511">
        <v>583146</v>
      </c>
      <c r="J111" s="415">
        <v>432601</v>
      </c>
      <c r="K111" s="415">
        <v>432601</v>
      </c>
      <c r="L111" s="415">
        <v>0</v>
      </c>
      <c r="M111" s="415">
        <v>0</v>
      </c>
      <c r="N111" s="415">
        <v>0</v>
      </c>
      <c r="O111" s="415">
        <v>0</v>
      </c>
      <c r="P111" s="68">
        <v>146219</v>
      </c>
      <c r="Q111" s="68">
        <v>4326</v>
      </c>
      <c r="R111" s="415">
        <v>0</v>
      </c>
      <c r="S111" s="416">
        <v>1.17</v>
      </c>
      <c r="T111" s="417">
        <v>1.17</v>
      </c>
      <c r="U111" s="423">
        <v>0</v>
      </c>
      <c r="V111" s="424">
        <f t="shared" si="191"/>
        <v>0</v>
      </c>
      <c r="W111" s="418">
        <f t="shared" si="191"/>
        <v>0</v>
      </c>
      <c r="X111" s="418">
        <v>0</v>
      </c>
      <c r="Y111" s="418">
        <v>0</v>
      </c>
      <c r="Z111" s="418">
        <v>0</v>
      </c>
      <c r="AA111" s="415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418">
        <f>SUM(AD111:AE111)</f>
        <v>0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si="192"/>
        <v>0</v>
      </c>
      <c r="AP111" s="418">
        <f t="shared" si="192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5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6">
        <v>0</v>
      </c>
      <c r="BC111" s="93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421">
        <f>SUM(BF111:BG111)</f>
        <v>0</v>
      </c>
      <c r="BI111" s="780">
        <f>I111+AW111</f>
        <v>583146</v>
      </c>
      <c r="BJ111" s="418">
        <f>J111+AF111</f>
        <v>432601</v>
      </c>
      <c r="BK111" s="418">
        <f t="shared" si="193"/>
        <v>432601</v>
      </c>
      <c r="BL111" s="418">
        <f t="shared" si="193"/>
        <v>0</v>
      </c>
      <c r="BM111" s="418">
        <f>M111+AN111</f>
        <v>0</v>
      </c>
      <c r="BN111" s="418">
        <f t="shared" si="194"/>
        <v>0</v>
      </c>
      <c r="BO111" s="418">
        <f t="shared" si="194"/>
        <v>0</v>
      </c>
      <c r="BP111" s="418">
        <f t="shared" si="195"/>
        <v>146219</v>
      </c>
      <c r="BQ111" s="418">
        <f t="shared" si="195"/>
        <v>4326</v>
      </c>
      <c r="BR111" s="418">
        <f>R111+AV111</f>
        <v>0</v>
      </c>
      <c r="BS111" s="419">
        <f>S111+BH111</f>
        <v>1.17</v>
      </c>
      <c r="BT111" s="419">
        <f t="shared" si="196"/>
        <v>1.17</v>
      </c>
      <c r="BU111" s="421">
        <f t="shared" si="196"/>
        <v>0</v>
      </c>
      <c r="BV111" s="420"/>
      <c r="BW111" s="415"/>
      <c r="BX111" s="415"/>
      <c r="BY111" s="415"/>
      <c r="BZ111" s="415"/>
      <c r="CA111" s="510"/>
    </row>
    <row r="112" spans="1:79" s="221" customFormat="1" x14ac:dyDescent="0.2">
      <c r="A112" s="209">
        <v>20</v>
      </c>
      <c r="B112" s="210">
        <v>4485</v>
      </c>
      <c r="C112" s="210">
        <v>600074102</v>
      </c>
      <c r="D112" s="210">
        <v>70695113</v>
      </c>
      <c r="E112" s="208" t="s">
        <v>184</v>
      </c>
      <c r="F112" s="210">
        <v>3141</v>
      </c>
      <c r="G112" s="165" t="s">
        <v>294</v>
      </c>
      <c r="H112" s="626" t="s">
        <v>272</v>
      </c>
      <c r="I112" s="511">
        <v>604527</v>
      </c>
      <c r="J112" s="415">
        <v>446863</v>
      </c>
      <c r="K112" s="415">
        <v>0</v>
      </c>
      <c r="L112" s="415">
        <v>446863</v>
      </c>
      <c r="M112" s="415">
        <v>0</v>
      </c>
      <c r="N112" s="415">
        <v>0</v>
      </c>
      <c r="O112" s="415">
        <v>0</v>
      </c>
      <c r="P112" s="68">
        <v>151040</v>
      </c>
      <c r="Q112" s="68">
        <v>4469</v>
      </c>
      <c r="R112" s="415">
        <v>2155</v>
      </c>
      <c r="S112" s="416">
        <v>1.34</v>
      </c>
      <c r="T112" s="417">
        <v>0</v>
      </c>
      <c r="U112" s="423">
        <v>1.34</v>
      </c>
      <c r="V112" s="424">
        <f t="shared" si="191"/>
        <v>0</v>
      </c>
      <c r="W112" s="418">
        <f t="shared" si="191"/>
        <v>0</v>
      </c>
      <c r="X112" s="418">
        <v>0</v>
      </c>
      <c r="Y112" s="418">
        <v>0</v>
      </c>
      <c r="Z112" s="418">
        <v>0</v>
      </c>
      <c r="AA112" s="605">
        <v>222879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222879</v>
      </c>
      <c r="AF112" s="418">
        <f>SUM(AD112:AE112)</f>
        <v>222879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192"/>
        <v>0</v>
      </c>
      <c r="AP112" s="418">
        <f t="shared" si="192"/>
        <v>222879</v>
      </c>
      <c r="AQ112" s="418">
        <f>SUM(AO112:AP112)</f>
        <v>222879</v>
      </c>
      <c r="AR112" s="68">
        <f>ROUND((AF112+AG112+AH112+AI112)*33.8%,0)</f>
        <v>75333</v>
      </c>
      <c r="AS112" s="68">
        <f>ROUND(AF112*1%,0)</f>
        <v>2229</v>
      </c>
      <c r="AT112" s="418">
        <v>0</v>
      </c>
      <c r="AU112" s="605">
        <v>1039</v>
      </c>
      <c r="AV112" s="418">
        <f>AT112+AU112</f>
        <v>1039</v>
      </c>
      <c r="AW112" s="418">
        <f>AQ112+AR112+AS112+AV112</f>
        <v>301480</v>
      </c>
      <c r="AX112" s="419">
        <v>0</v>
      </c>
      <c r="AY112" s="419">
        <v>0</v>
      </c>
      <c r="AZ112" s="419">
        <v>0</v>
      </c>
      <c r="BA112" s="419">
        <v>0</v>
      </c>
      <c r="BB112" s="607">
        <v>0.66999999999999971</v>
      </c>
      <c r="BC112" s="93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0.66999999999999971</v>
      </c>
      <c r="BH112" s="421">
        <f>SUM(BF112:BG112)</f>
        <v>0.66999999999999971</v>
      </c>
      <c r="BI112" s="780">
        <f>I112+AW112</f>
        <v>906007</v>
      </c>
      <c r="BJ112" s="418">
        <f>J112+AF112</f>
        <v>669742</v>
      </c>
      <c r="BK112" s="418">
        <f t="shared" si="193"/>
        <v>0</v>
      </c>
      <c r="BL112" s="418">
        <f t="shared" si="193"/>
        <v>669742</v>
      </c>
      <c r="BM112" s="418">
        <f>M112+AN112</f>
        <v>0</v>
      </c>
      <c r="BN112" s="418">
        <f t="shared" si="194"/>
        <v>0</v>
      </c>
      <c r="BO112" s="418">
        <f t="shared" si="194"/>
        <v>0</v>
      </c>
      <c r="BP112" s="418">
        <f t="shared" si="195"/>
        <v>226373</v>
      </c>
      <c r="BQ112" s="418">
        <f t="shared" si="195"/>
        <v>6698</v>
      </c>
      <c r="BR112" s="418">
        <f>R112+AV112</f>
        <v>3194</v>
      </c>
      <c r="BS112" s="419">
        <f>S112+BH112</f>
        <v>2.0099999999999998</v>
      </c>
      <c r="BT112" s="419">
        <f t="shared" si="196"/>
        <v>0</v>
      </c>
      <c r="BU112" s="421">
        <f t="shared" si="196"/>
        <v>2.0099999999999998</v>
      </c>
      <c r="BV112" s="420"/>
      <c r="BW112" s="415"/>
      <c r="BX112" s="415"/>
      <c r="BY112" s="415"/>
      <c r="BZ112" s="415"/>
      <c r="CA112" s="510"/>
    </row>
    <row r="113" spans="1:79" s="221" customFormat="1" x14ac:dyDescent="0.2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13"/>
      <c r="I113" s="452">
        <v>4480502</v>
      </c>
      <c r="J113" s="445">
        <v>3271963</v>
      </c>
      <c r="K113" s="445">
        <v>2645308</v>
      </c>
      <c r="L113" s="445">
        <v>626655</v>
      </c>
      <c r="M113" s="445">
        <v>42000</v>
      </c>
      <c r="N113" s="445">
        <v>0</v>
      </c>
      <c r="O113" s="445">
        <v>42000</v>
      </c>
      <c r="P113" s="445">
        <v>1120120</v>
      </c>
      <c r="Q113" s="445">
        <v>32720</v>
      </c>
      <c r="R113" s="445">
        <v>13699</v>
      </c>
      <c r="S113" s="446">
        <v>7.0866999999999996</v>
      </c>
      <c r="T113" s="446">
        <v>5.17</v>
      </c>
      <c r="U113" s="450">
        <v>1.9167000000000001</v>
      </c>
      <c r="V113" s="448">
        <f t="shared" ref="V113:CA113" si="197">SUM(V110:V112)</f>
        <v>0</v>
      </c>
      <c r="W113" s="445">
        <f t="shared" si="197"/>
        <v>0</v>
      </c>
      <c r="X113" s="445">
        <f t="shared" si="197"/>
        <v>0</v>
      </c>
      <c r="Y113" s="445">
        <f t="shared" si="197"/>
        <v>0</v>
      </c>
      <c r="Z113" s="445">
        <f t="shared" si="197"/>
        <v>0</v>
      </c>
      <c r="AA113" s="445">
        <f t="shared" si="197"/>
        <v>222879</v>
      </c>
      <c r="AB113" s="445">
        <f t="shared" si="197"/>
        <v>0</v>
      </c>
      <c r="AC113" s="445">
        <f t="shared" si="197"/>
        <v>0</v>
      </c>
      <c r="AD113" s="445">
        <f t="shared" si="197"/>
        <v>0</v>
      </c>
      <c r="AE113" s="445">
        <f t="shared" si="197"/>
        <v>222879</v>
      </c>
      <c r="AF113" s="445">
        <f t="shared" si="197"/>
        <v>222879</v>
      </c>
      <c r="AG113" s="445">
        <f t="shared" si="197"/>
        <v>0</v>
      </c>
      <c r="AH113" s="445">
        <f t="shared" si="197"/>
        <v>0</v>
      </c>
      <c r="AI113" s="445">
        <f t="shared" si="197"/>
        <v>0</v>
      </c>
      <c r="AJ113" s="445">
        <f t="shared" si="197"/>
        <v>0</v>
      </c>
      <c r="AK113" s="445">
        <f t="shared" si="197"/>
        <v>0</v>
      </c>
      <c r="AL113" s="445">
        <f t="shared" si="197"/>
        <v>0</v>
      </c>
      <c r="AM113" s="445">
        <f t="shared" si="197"/>
        <v>0</v>
      </c>
      <c r="AN113" s="445">
        <f t="shared" si="197"/>
        <v>0</v>
      </c>
      <c r="AO113" s="445">
        <f t="shared" si="197"/>
        <v>0</v>
      </c>
      <c r="AP113" s="445">
        <f t="shared" si="197"/>
        <v>222879</v>
      </c>
      <c r="AQ113" s="445">
        <f t="shared" si="197"/>
        <v>222879</v>
      </c>
      <c r="AR113" s="445">
        <f t="shared" si="197"/>
        <v>75333</v>
      </c>
      <c r="AS113" s="445">
        <f t="shared" si="197"/>
        <v>2229</v>
      </c>
      <c r="AT113" s="445">
        <f t="shared" si="197"/>
        <v>0</v>
      </c>
      <c r="AU113" s="445">
        <f t="shared" si="197"/>
        <v>1039</v>
      </c>
      <c r="AV113" s="445">
        <f t="shared" si="197"/>
        <v>1039</v>
      </c>
      <c r="AW113" s="445">
        <f t="shared" si="197"/>
        <v>301480</v>
      </c>
      <c r="AX113" s="446">
        <f t="shared" si="197"/>
        <v>0</v>
      </c>
      <c r="AY113" s="446">
        <f t="shared" si="197"/>
        <v>0</v>
      </c>
      <c r="AZ113" s="446">
        <f t="shared" si="197"/>
        <v>0</v>
      </c>
      <c r="BA113" s="446">
        <f t="shared" si="197"/>
        <v>0</v>
      </c>
      <c r="BB113" s="446">
        <f t="shared" si="197"/>
        <v>0.66999999999999971</v>
      </c>
      <c r="BC113" s="948">
        <f t="shared" si="197"/>
        <v>0</v>
      </c>
      <c r="BD113" s="446">
        <f t="shared" si="197"/>
        <v>0</v>
      </c>
      <c r="BE113" s="446">
        <f t="shared" si="197"/>
        <v>0</v>
      </c>
      <c r="BF113" s="446">
        <f t="shared" si="197"/>
        <v>0</v>
      </c>
      <c r="BG113" s="446">
        <f t="shared" si="197"/>
        <v>0.66999999999999971</v>
      </c>
      <c r="BH113" s="39">
        <f t="shared" si="197"/>
        <v>0.66999999999999971</v>
      </c>
      <c r="BI113" s="452">
        <f t="shared" si="197"/>
        <v>4781982</v>
      </c>
      <c r="BJ113" s="445">
        <f t="shared" si="197"/>
        <v>3494842</v>
      </c>
      <c r="BK113" s="445">
        <f t="shared" si="197"/>
        <v>2645308</v>
      </c>
      <c r="BL113" s="445">
        <f t="shared" si="197"/>
        <v>849534</v>
      </c>
      <c r="BM113" s="445">
        <f t="shared" si="197"/>
        <v>42000</v>
      </c>
      <c r="BN113" s="445">
        <f t="shared" si="197"/>
        <v>0</v>
      </c>
      <c r="BO113" s="445">
        <f t="shared" si="197"/>
        <v>42000</v>
      </c>
      <c r="BP113" s="445">
        <f t="shared" si="197"/>
        <v>1195453</v>
      </c>
      <c r="BQ113" s="445">
        <f t="shared" si="197"/>
        <v>34949</v>
      </c>
      <c r="BR113" s="445">
        <f t="shared" si="197"/>
        <v>14738</v>
      </c>
      <c r="BS113" s="446">
        <f t="shared" si="197"/>
        <v>7.7566999999999995</v>
      </c>
      <c r="BT113" s="446">
        <f t="shared" si="197"/>
        <v>5.17</v>
      </c>
      <c r="BU113" s="39">
        <f t="shared" si="197"/>
        <v>2.5866999999999996</v>
      </c>
      <c r="BV113" s="833">
        <f t="shared" si="197"/>
        <v>0</v>
      </c>
      <c r="BW113" s="715">
        <f t="shared" si="197"/>
        <v>0</v>
      </c>
      <c r="BX113" s="715">
        <f t="shared" si="197"/>
        <v>0</v>
      </c>
      <c r="BY113" s="715">
        <f t="shared" si="197"/>
        <v>0</v>
      </c>
      <c r="BZ113" s="715">
        <f t="shared" si="197"/>
        <v>0</v>
      </c>
      <c r="CA113" s="834">
        <f t="shared" si="197"/>
        <v>0</v>
      </c>
    </row>
    <row r="114" spans="1:79" s="221" customFormat="1" x14ac:dyDescent="0.2">
      <c r="A114" s="209">
        <v>21</v>
      </c>
      <c r="B114" s="210">
        <v>4435</v>
      </c>
      <c r="C114" s="210">
        <v>650034295</v>
      </c>
      <c r="D114" s="210">
        <v>72744669</v>
      </c>
      <c r="E114" s="208" t="s">
        <v>186</v>
      </c>
      <c r="F114" s="210">
        <v>3111</v>
      </c>
      <c r="G114" s="165" t="s">
        <v>290</v>
      </c>
      <c r="H114" s="626" t="s">
        <v>271</v>
      </c>
      <c r="I114" s="511">
        <v>3328610</v>
      </c>
      <c r="J114" s="415">
        <v>2430803</v>
      </c>
      <c r="K114" s="415">
        <v>2307667</v>
      </c>
      <c r="L114" s="415">
        <v>123136</v>
      </c>
      <c r="M114" s="415">
        <v>30000</v>
      </c>
      <c r="N114" s="415">
        <v>20000</v>
      </c>
      <c r="O114" s="415">
        <v>10000</v>
      </c>
      <c r="P114" s="68">
        <v>831751</v>
      </c>
      <c r="Q114" s="68">
        <v>24308</v>
      </c>
      <c r="R114" s="415">
        <v>11748</v>
      </c>
      <c r="S114" s="416">
        <v>4.5334000000000003</v>
      </c>
      <c r="T114" s="417">
        <v>4</v>
      </c>
      <c r="U114" s="423">
        <v>0.53339999999999999</v>
      </c>
      <c r="V114" s="424">
        <f t="shared" ref="V114:W119" si="198">AG114*-1</f>
        <v>0</v>
      </c>
      <c r="W114" s="418">
        <f t="shared" si="198"/>
        <v>0</v>
      </c>
      <c r="X114" s="418">
        <v>0</v>
      </c>
      <c r="Y114" s="418">
        <v>0</v>
      </c>
      <c r="Z114" s="418">
        <v>0</v>
      </c>
      <c r="AA114" s="415">
        <v>0</v>
      </c>
      <c r="AB114" s="418">
        <v>0</v>
      </c>
      <c r="AC114" s="418">
        <v>0</v>
      </c>
      <c r="AD114" s="418">
        <f t="shared" ref="AD114:AD119" si="199">V114+X114+Y114+Z114+AB114</f>
        <v>0</v>
      </c>
      <c r="AE114" s="418">
        <f t="shared" ref="AE114:AE119" si="200">W114+AA114+AC114</f>
        <v>0</v>
      </c>
      <c r="AF114" s="418">
        <f t="shared" ref="AF114:AF119" si="201">SUM(AD114:AE114)</f>
        <v>0</v>
      </c>
      <c r="AG114" s="418">
        <v>0</v>
      </c>
      <c r="AH114" s="418">
        <v>0</v>
      </c>
      <c r="AI114" s="418">
        <v>0</v>
      </c>
      <c r="AJ114" s="418">
        <v>0</v>
      </c>
      <c r="AK114" s="418">
        <v>0</v>
      </c>
      <c r="AL114" s="418">
        <f t="shared" ref="AL114:AL119" si="202">AG114+AI114+AJ114</f>
        <v>0</v>
      </c>
      <c r="AM114" s="418">
        <f t="shared" ref="AM114:AM119" si="203">AH114+AK114</f>
        <v>0</v>
      </c>
      <c r="AN114" s="418">
        <f t="shared" ref="AN114:AN119" si="204">SUM(AL114:AM114)</f>
        <v>0</v>
      </c>
      <c r="AO114" s="418">
        <f t="shared" ref="AO114:AP119" si="205">AD114+AL114</f>
        <v>0</v>
      </c>
      <c r="AP114" s="418">
        <f t="shared" si="205"/>
        <v>0</v>
      </c>
      <c r="AQ114" s="418">
        <f t="shared" ref="AQ114:AQ119" si="206">SUM(AO114:AP114)</f>
        <v>0</v>
      </c>
      <c r="AR114" s="68">
        <f t="shared" ref="AR114:AR119" si="207">ROUND((AF114+AG114+AH114+AI114)*33.8%,0)</f>
        <v>0</v>
      </c>
      <c r="AS114" s="68">
        <f t="shared" ref="AS114:AS119" si="208">ROUND(AF114*1%,0)</f>
        <v>0</v>
      </c>
      <c r="AT114" s="418">
        <v>0</v>
      </c>
      <c r="AU114" s="415">
        <v>0</v>
      </c>
      <c r="AV114" s="418">
        <f t="shared" ref="AV114:AV119" si="209">AT114+AU114</f>
        <v>0</v>
      </c>
      <c r="AW114" s="418">
        <f t="shared" ref="AW114:AW119" si="210">AQ114+AR114+AS114+AV114</f>
        <v>0</v>
      </c>
      <c r="AX114" s="419">
        <v>0</v>
      </c>
      <c r="AY114" s="419">
        <v>0</v>
      </c>
      <c r="AZ114" s="419">
        <v>0</v>
      </c>
      <c r="BA114" s="419">
        <v>0</v>
      </c>
      <c r="BB114" s="416">
        <v>0</v>
      </c>
      <c r="BC114" s="939">
        <v>0</v>
      </c>
      <c r="BD114" s="419">
        <v>0</v>
      </c>
      <c r="BE114" s="419">
        <v>0</v>
      </c>
      <c r="BF114" s="419">
        <f t="shared" ref="BF114:BF119" si="211">AX114+AZ114+BA114+BC114+BD114</f>
        <v>0</v>
      </c>
      <c r="BG114" s="419">
        <f t="shared" ref="BG114:BG119" si="212">AY114+BB114+BE114</f>
        <v>0</v>
      </c>
      <c r="BH114" s="421">
        <f t="shared" ref="BH114:BH119" si="213">SUM(BF114:BG114)</f>
        <v>0</v>
      </c>
      <c r="BI114" s="780">
        <f t="shared" ref="BI114:BI119" si="214">I114+AW114</f>
        <v>3328610</v>
      </c>
      <c r="BJ114" s="418">
        <f t="shared" ref="BJ114:BJ119" si="215">J114+AF114</f>
        <v>2430803</v>
      </c>
      <c r="BK114" s="418">
        <f t="shared" ref="BK114:BL119" si="216">K114+AD114</f>
        <v>2307667</v>
      </c>
      <c r="BL114" s="418">
        <f t="shared" si="216"/>
        <v>123136</v>
      </c>
      <c r="BM114" s="418">
        <f t="shared" ref="BM114:BM119" si="217">M114+AN114</f>
        <v>30000</v>
      </c>
      <c r="BN114" s="418">
        <f t="shared" ref="BN114:BO119" si="218">N114+AL114</f>
        <v>20000</v>
      </c>
      <c r="BO114" s="418">
        <f t="shared" si="218"/>
        <v>10000</v>
      </c>
      <c r="BP114" s="418">
        <f t="shared" ref="BP114:BQ119" si="219">P114+AR114</f>
        <v>831751</v>
      </c>
      <c r="BQ114" s="418">
        <f t="shared" si="219"/>
        <v>24308</v>
      </c>
      <c r="BR114" s="418">
        <f t="shared" ref="BR114:BR119" si="220">R114+AV114</f>
        <v>11748</v>
      </c>
      <c r="BS114" s="419">
        <f t="shared" ref="BS114:BS119" si="221">S114+BH114</f>
        <v>4.5334000000000003</v>
      </c>
      <c r="BT114" s="419">
        <f t="shared" ref="BT114:BU119" si="222">T114+BF114</f>
        <v>4</v>
      </c>
      <c r="BU114" s="421">
        <f t="shared" si="222"/>
        <v>0.53339999999999999</v>
      </c>
      <c r="BV114" s="420"/>
      <c r="BW114" s="415"/>
      <c r="BX114" s="415"/>
      <c r="BY114" s="415"/>
      <c r="BZ114" s="415"/>
      <c r="CA114" s="510"/>
    </row>
    <row r="115" spans="1:79" s="221" customFormat="1" x14ac:dyDescent="0.2">
      <c r="A115" s="209">
        <v>21</v>
      </c>
      <c r="B115" s="210">
        <v>4435</v>
      </c>
      <c r="C115" s="210">
        <v>650034295</v>
      </c>
      <c r="D115" s="210">
        <v>72744669</v>
      </c>
      <c r="E115" s="208" t="s">
        <v>186</v>
      </c>
      <c r="F115" s="210">
        <v>3117</v>
      </c>
      <c r="G115" s="165" t="s">
        <v>293</v>
      </c>
      <c r="H115" s="626" t="s">
        <v>271</v>
      </c>
      <c r="I115" s="511">
        <v>5511056</v>
      </c>
      <c r="J115" s="415">
        <v>3945722</v>
      </c>
      <c r="K115" s="415">
        <v>3364737</v>
      </c>
      <c r="L115" s="415">
        <v>580985</v>
      </c>
      <c r="M115" s="415">
        <v>90000</v>
      </c>
      <c r="N115" s="415">
        <v>80000</v>
      </c>
      <c r="O115" s="415">
        <v>10000</v>
      </c>
      <c r="P115" s="68">
        <v>1364074</v>
      </c>
      <c r="Q115" s="68">
        <v>39457</v>
      </c>
      <c r="R115" s="415">
        <v>71803</v>
      </c>
      <c r="S115" s="416">
        <v>6.8452000000000002</v>
      </c>
      <c r="T115" s="417">
        <v>5.1741999999999999</v>
      </c>
      <c r="U115" s="423">
        <v>1.671</v>
      </c>
      <c r="V115" s="424">
        <f t="shared" si="198"/>
        <v>0</v>
      </c>
      <c r="W115" s="418">
        <f t="shared" si="198"/>
        <v>0</v>
      </c>
      <c r="X115" s="418">
        <v>0</v>
      </c>
      <c r="Y115" s="418">
        <v>0</v>
      </c>
      <c r="Z115" s="418">
        <v>0</v>
      </c>
      <c r="AA115" s="415">
        <v>0</v>
      </c>
      <c r="AB115" s="418">
        <v>0</v>
      </c>
      <c r="AC115" s="418">
        <v>0</v>
      </c>
      <c r="AD115" s="418">
        <f t="shared" si="199"/>
        <v>0</v>
      </c>
      <c r="AE115" s="418">
        <f t="shared" si="200"/>
        <v>0</v>
      </c>
      <c r="AF115" s="418">
        <f t="shared" si="201"/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 t="shared" si="202"/>
        <v>0</v>
      </c>
      <c r="AM115" s="418">
        <f t="shared" si="203"/>
        <v>0</v>
      </c>
      <c r="AN115" s="418">
        <f t="shared" si="204"/>
        <v>0</v>
      </c>
      <c r="AO115" s="418">
        <f t="shared" si="205"/>
        <v>0</v>
      </c>
      <c r="AP115" s="418">
        <f t="shared" si="205"/>
        <v>0</v>
      </c>
      <c r="AQ115" s="418">
        <f t="shared" si="206"/>
        <v>0</v>
      </c>
      <c r="AR115" s="68">
        <f t="shared" si="207"/>
        <v>0</v>
      </c>
      <c r="AS115" s="68">
        <f t="shared" si="208"/>
        <v>0</v>
      </c>
      <c r="AT115" s="418">
        <v>0</v>
      </c>
      <c r="AU115" s="415">
        <v>0</v>
      </c>
      <c r="AV115" s="418">
        <f t="shared" si="209"/>
        <v>0</v>
      </c>
      <c r="AW115" s="418">
        <f t="shared" si="210"/>
        <v>0</v>
      </c>
      <c r="AX115" s="419">
        <v>0</v>
      </c>
      <c r="AY115" s="419">
        <v>0</v>
      </c>
      <c r="AZ115" s="419">
        <v>0</v>
      </c>
      <c r="BA115" s="419">
        <v>0</v>
      </c>
      <c r="BB115" s="416">
        <v>0</v>
      </c>
      <c r="BC115" s="939">
        <v>0</v>
      </c>
      <c r="BD115" s="419">
        <v>0</v>
      </c>
      <c r="BE115" s="419">
        <v>0</v>
      </c>
      <c r="BF115" s="419">
        <f t="shared" si="211"/>
        <v>0</v>
      </c>
      <c r="BG115" s="419">
        <f t="shared" si="212"/>
        <v>0</v>
      </c>
      <c r="BH115" s="421">
        <f t="shared" si="213"/>
        <v>0</v>
      </c>
      <c r="BI115" s="780">
        <f t="shared" si="214"/>
        <v>5511056</v>
      </c>
      <c r="BJ115" s="418">
        <f t="shared" si="215"/>
        <v>3945722</v>
      </c>
      <c r="BK115" s="418">
        <f t="shared" si="216"/>
        <v>3364737</v>
      </c>
      <c r="BL115" s="418">
        <f t="shared" si="216"/>
        <v>580985</v>
      </c>
      <c r="BM115" s="418">
        <f t="shared" si="217"/>
        <v>90000</v>
      </c>
      <c r="BN115" s="418">
        <f t="shared" si="218"/>
        <v>80000</v>
      </c>
      <c r="BO115" s="418">
        <f t="shared" si="218"/>
        <v>10000</v>
      </c>
      <c r="BP115" s="418">
        <f t="shared" si="219"/>
        <v>1364074</v>
      </c>
      <c r="BQ115" s="418">
        <f t="shared" si="219"/>
        <v>39457</v>
      </c>
      <c r="BR115" s="418">
        <f t="shared" si="220"/>
        <v>71803</v>
      </c>
      <c r="BS115" s="419">
        <f t="shared" si="221"/>
        <v>6.8452000000000002</v>
      </c>
      <c r="BT115" s="419">
        <f t="shared" si="222"/>
        <v>5.1741999999999999</v>
      </c>
      <c r="BU115" s="421">
        <f t="shared" si="222"/>
        <v>1.671</v>
      </c>
      <c r="BV115" s="420"/>
      <c r="BW115" s="415"/>
      <c r="BX115" s="415"/>
      <c r="BY115" s="415"/>
      <c r="BZ115" s="415"/>
      <c r="CA115" s="510"/>
    </row>
    <row r="116" spans="1:79" s="221" customFormat="1" x14ac:dyDescent="0.2">
      <c r="A116" s="209">
        <v>21</v>
      </c>
      <c r="B116" s="210">
        <v>4435</v>
      </c>
      <c r="C116" s="210">
        <v>650034295</v>
      </c>
      <c r="D116" s="210">
        <v>72744669</v>
      </c>
      <c r="E116" s="208" t="s">
        <v>186</v>
      </c>
      <c r="F116" s="210">
        <v>3117</v>
      </c>
      <c r="G116" s="165" t="s">
        <v>291</v>
      </c>
      <c r="H116" s="626" t="s">
        <v>272</v>
      </c>
      <c r="I116" s="511">
        <v>1069108</v>
      </c>
      <c r="J116" s="415">
        <v>793107</v>
      </c>
      <c r="K116" s="415">
        <v>793107</v>
      </c>
      <c r="L116" s="415">
        <v>0</v>
      </c>
      <c r="M116" s="415">
        <v>0</v>
      </c>
      <c r="N116" s="415">
        <v>0</v>
      </c>
      <c r="O116" s="415">
        <v>0</v>
      </c>
      <c r="P116" s="68">
        <v>268070</v>
      </c>
      <c r="Q116" s="68">
        <v>7931</v>
      </c>
      <c r="R116" s="415">
        <v>0</v>
      </c>
      <c r="S116" s="416">
        <v>2.14</v>
      </c>
      <c r="T116" s="417">
        <v>2.14</v>
      </c>
      <c r="U116" s="423">
        <v>0</v>
      </c>
      <c r="V116" s="424">
        <f t="shared" si="198"/>
        <v>0</v>
      </c>
      <c r="W116" s="418">
        <f t="shared" si="198"/>
        <v>0</v>
      </c>
      <c r="X116" s="418">
        <v>0</v>
      </c>
      <c r="Y116" s="418">
        <v>0</v>
      </c>
      <c r="Z116" s="418">
        <v>0</v>
      </c>
      <c r="AA116" s="415">
        <v>0</v>
      </c>
      <c r="AB116" s="418">
        <v>0</v>
      </c>
      <c r="AC116" s="418">
        <v>0</v>
      </c>
      <c r="AD116" s="418">
        <f t="shared" si="199"/>
        <v>0</v>
      </c>
      <c r="AE116" s="418">
        <f t="shared" si="200"/>
        <v>0</v>
      </c>
      <c r="AF116" s="418">
        <f t="shared" si="201"/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 t="shared" si="202"/>
        <v>0</v>
      </c>
      <c r="AM116" s="418">
        <f t="shared" si="203"/>
        <v>0</v>
      </c>
      <c r="AN116" s="418">
        <f t="shared" si="204"/>
        <v>0</v>
      </c>
      <c r="AO116" s="418">
        <f t="shared" si="205"/>
        <v>0</v>
      </c>
      <c r="AP116" s="418">
        <f t="shared" si="205"/>
        <v>0</v>
      </c>
      <c r="AQ116" s="418">
        <f t="shared" si="206"/>
        <v>0</v>
      </c>
      <c r="AR116" s="68">
        <f t="shared" si="207"/>
        <v>0</v>
      </c>
      <c r="AS116" s="68">
        <f t="shared" si="208"/>
        <v>0</v>
      </c>
      <c r="AT116" s="418">
        <v>0</v>
      </c>
      <c r="AU116" s="415">
        <v>0</v>
      </c>
      <c r="AV116" s="418">
        <f t="shared" si="209"/>
        <v>0</v>
      </c>
      <c r="AW116" s="418">
        <f t="shared" si="210"/>
        <v>0</v>
      </c>
      <c r="AX116" s="419">
        <v>0</v>
      </c>
      <c r="AY116" s="419">
        <v>0</v>
      </c>
      <c r="AZ116" s="419">
        <v>0</v>
      </c>
      <c r="BA116" s="419">
        <v>0</v>
      </c>
      <c r="BB116" s="416">
        <v>0</v>
      </c>
      <c r="BC116" s="939">
        <v>0</v>
      </c>
      <c r="BD116" s="419">
        <v>0</v>
      </c>
      <c r="BE116" s="419">
        <v>0</v>
      </c>
      <c r="BF116" s="419">
        <f t="shared" si="211"/>
        <v>0</v>
      </c>
      <c r="BG116" s="419">
        <f t="shared" si="212"/>
        <v>0</v>
      </c>
      <c r="BH116" s="421">
        <f t="shared" si="213"/>
        <v>0</v>
      </c>
      <c r="BI116" s="780">
        <f t="shared" si="214"/>
        <v>1069108</v>
      </c>
      <c r="BJ116" s="418">
        <f t="shared" si="215"/>
        <v>793107</v>
      </c>
      <c r="BK116" s="418">
        <f t="shared" si="216"/>
        <v>793107</v>
      </c>
      <c r="BL116" s="418">
        <f t="shared" si="216"/>
        <v>0</v>
      </c>
      <c r="BM116" s="418">
        <f t="shared" si="217"/>
        <v>0</v>
      </c>
      <c r="BN116" s="418">
        <f t="shared" si="218"/>
        <v>0</v>
      </c>
      <c r="BO116" s="418">
        <f t="shared" si="218"/>
        <v>0</v>
      </c>
      <c r="BP116" s="418">
        <f t="shared" si="219"/>
        <v>268070</v>
      </c>
      <c r="BQ116" s="418">
        <f t="shared" si="219"/>
        <v>7931</v>
      </c>
      <c r="BR116" s="418">
        <f t="shared" si="220"/>
        <v>0</v>
      </c>
      <c r="BS116" s="419">
        <f t="shared" si="221"/>
        <v>2.14</v>
      </c>
      <c r="BT116" s="419">
        <f t="shared" si="222"/>
        <v>2.14</v>
      </c>
      <c r="BU116" s="421">
        <f t="shared" si="222"/>
        <v>0</v>
      </c>
      <c r="BV116" s="420"/>
      <c r="BW116" s="415"/>
      <c r="BX116" s="415"/>
      <c r="BY116" s="415"/>
      <c r="BZ116" s="415"/>
      <c r="CA116" s="510"/>
    </row>
    <row r="117" spans="1:79" s="221" customFormat="1" x14ac:dyDescent="0.2">
      <c r="A117" s="209">
        <v>21</v>
      </c>
      <c r="B117" s="210">
        <v>4435</v>
      </c>
      <c r="C117" s="210">
        <v>650034295</v>
      </c>
      <c r="D117" s="210">
        <v>72744669</v>
      </c>
      <c r="E117" s="204" t="s">
        <v>186</v>
      </c>
      <c r="F117" s="210">
        <v>3141</v>
      </c>
      <c r="G117" s="165" t="s">
        <v>294</v>
      </c>
      <c r="H117" s="626" t="s">
        <v>272</v>
      </c>
      <c r="I117" s="511">
        <v>822303</v>
      </c>
      <c r="J117" s="415">
        <v>601933</v>
      </c>
      <c r="K117" s="415">
        <v>0</v>
      </c>
      <c r="L117" s="415">
        <v>601933</v>
      </c>
      <c r="M117" s="415">
        <v>5000</v>
      </c>
      <c r="N117" s="415">
        <v>0</v>
      </c>
      <c r="O117" s="415">
        <v>5000</v>
      </c>
      <c r="P117" s="68">
        <v>205143</v>
      </c>
      <c r="Q117" s="68">
        <v>6019</v>
      </c>
      <c r="R117" s="415">
        <v>4208</v>
      </c>
      <c r="S117" s="416">
        <v>1.82</v>
      </c>
      <c r="T117" s="417">
        <v>0</v>
      </c>
      <c r="U117" s="423">
        <v>1.82</v>
      </c>
      <c r="V117" s="424">
        <f t="shared" si="198"/>
        <v>0</v>
      </c>
      <c r="W117" s="418">
        <f t="shared" si="198"/>
        <v>0</v>
      </c>
      <c r="X117" s="418">
        <v>0</v>
      </c>
      <c r="Y117" s="418">
        <v>0</v>
      </c>
      <c r="Z117" s="418">
        <v>0</v>
      </c>
      <c r="AA117" s="415">
        <v>301907</v>
      </c>
      <c r="AB117" s="418">
        <v>0</v>
      </c>
      <c r="AC117" s="418">
        <v>0</v>
      </c>
      <c r="AD117" s="418">
        <f t="shared" si="199"/>
        <v>0</v>
      </c>
      <c r="AE117" s="418">
        <f t="shared" si="200"/>
        <v>301907</v>
      </c>
      <c r="AF117" s="418">
        <f t="shared" si="201"/>
        <v>301907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 t="shared" si="202"/>
        <v>0</v>
      </c>
      <c r="AM117" s="418">
        <f t="shared" si="203"/>
        <v>0</v>
      </c>
      <c r="AN117" s="418">
        <f t="shared" si="204"/>
        <v>0</v>
      </c>
      <c r="AO117" s="418">
        <f t="shared" si="205"/>
        <v>0</v>
      </c>
      <c r="AP117" s="418">
        <f t="shared" si="205"/>
        <v>301907</v>
      </c>
      <c r="AQ117" s="418">
        <f t="shared" si="206"/>
        <v>301907</v>
      </c>
      <c r="AR117" s="68">
        <f t="shared" si="207"/>
        <v>102045</v>
      </c>
      <c r="AS117" s="68">
        <f t="shared" si="208"/>
        <v>3019</v>
      </c>
      <c r="AT117" s="418">
        <v>0</v>
      </c>
      <c r="AU117" s="415">
        <v>2024</v>
      </c>
      <c r="AV117" s="418">
        <f t="shared" si="209"/>
        <v>2024</v>
      </c>
      <c r="AW117" s="418">
        <f t="shared" si="210"/>
        <v>408995</v>
      </c>
      <c r="AX117" s="419">
        <v>0</v>
      </c>
      <c r="AY117" s="419">
        <v>0</v>
      </c>
      <c r="AZ117" s="419">
        <v>0</v>
      </c>
      <c r="BA117" s="419">
        <v>0</v>
      </c>
      <c r="BB117" s="416">
        <v>0.91</v>
      </c>
      <c r="BC117" s="939">
        <v>0</v>
      </c>
      <c r="BD117" s="419">
        <v>0</v>
      </c>
      <c r="BE117" s="419">
        <v>0</v>
      </c>
      <c r="BF117" s="419">
        <f t="shared" si="211"/>
        <v>0</v>
      </c>
      <c r="BG117" s="419">
        <f t="shared" si="212"/>
        <v>0.91</v>
      </c>
      <c r="BH117" s="421">
        <f t="shared" si="213"/>
        <v>0.91</v>
      </c>
      <c r="BI117" s="780">
        <f t="shared" si="214"/>
        <v>1231298</v>
      </c>
      <c r="BJ117" s="418">
        <f t="shared" si="215"/>
        <v>903840</v>
      </c>
      <c r="BK117" s="418">
        <f t="shared" si="216"/>
        <v>0</v>
      </c>
      <c r="BL117" s="418">
        <f t="shared" si="216"/>
        <v>903840</v>
      </c>
      <c r="BM117" s="418">
        <f t="shared" si="217"/>
        <v>5000</v>
      </c>
      <c r="BN117" s="418">
        <f t="shared" si="218"/>
        <v>0</v>
      </c>
      <c r="BO117" s="418">
        <f t="shared" si="218"/>
        <v>5000</v>
      </c>
      <c r="BP117" s="418">
        <f t="shared" si="219"/>
        <v>307188</v>
      </c>
      <c r="BQ117" s="418">
        <f t="shared" si="219"/>
        <v>9038</v>
      </c>
      <c r="BR117" s="418">
        <f t="shared" si="220"/>
        <v>6232</v>
      </c>
      <c r="BS117" s="419">
        <f t="shared" si="221"/>
        <v>2.73</v>
      </c>
      <c r="BT117" s="419">
        <f t="shared" si="222"/>
        <v>0</v>
      </c>
      <c r="BU117" s="421">
        <f t="shared" si="222"/>
        <v>2.73</v>
      </c>
      <c r="BV117" s="420"/>
      <c r="BW117" s="415"/>
      <c r="BX117" s="415"/>
      <c r="BY117" s="415"/>
      <c r="BZ117" s="415"/>
      <c r="CA117" s="510"/>
    </row>
    <row r="118" spans="1:79" s="221" customFormat="1" x14ac:dyDescent="0.2">
      <c r="A118" s="209">
        <v>21</v>
      </c>
      <c r="B118" s="210">
        <v>4435</v>
      </c>
      <c r="C118" s="210">
        <v>650034295</v>
      </c>
      <c r="D118" s="210">
        <v>72744669</v>
      </c>
      <c r="E118" s="208" t="s">
        <v>186</v>
      </c>
      <c r="F118" s="210">
        <v>3143</v>
      </c>
      <c r="G118" s="165" t="s">
        <v>595</v>
      </c>
      <c r="H118" s="614" t="s">
        <v>271</v>
      </c>
      <c r="I118" s="511">
        <v>687844</v>
      </c>
      <c r="J118" s="415">
        <v>505307</v>
      </c>
      <c r="K118" s="415">
        <v>505307</v>
      </c>
      <c r="L118" s="415">
        <v>0</v>
      </c>
      <c r="M118" s="415">
        <v>5000</v>
      </c>
      <c r="N118" s="415">
        <v>5000</v>
      </c>
      <c r="O118" s="415">
        <v>0</v>
      </c>
      <c r="P118" s="68">
        <v>172484</v>
      </c>
      <c r="Q118" s="68">
        <v>5053</v>
      </c>
      <c r="R118" s="415">
        <v>0</v>
      </c>
      <c r="S118" s="416">
        <v>0.9375</v>
      </c>
      <c r="T118" s="417">
        <v>0.9375</v>
      </c>
      <c r="U118" s="423">
        <v>0</v>
      </c>
      <c r="V118" s="424">
        <f t="shared" si="198"/>
        <v>0</v>
      </c>
      <c r="W118" s="418">
        <f t="shared" si="198"/>
        <v>0</v>
      </c>
      <c r="X118" s="418">
        <v>0</v>
      </c>
      <c r="Y118" s="418">
        <v>0</v>
      </c>
      <c r="Z118" s="418">
        <v>0</v>
      </c>
      <c r="AA118" s="415">
        <v>0</v>
      </c>
      <c r="AB118" s="418">
        <v>0</v>
      </c>
      <c r="AC118" s="418">
        <v>0</v>
      </c>
      <c r="AD118" s="418">
        <f t="shared" si="199"/>
        <v>0</v>
      </c>
      <c r="AE118" s="418">
        <f t="shared" si="200"/>
        <v>0</v>
      </c>
      <c r="AF118" s="418">
        <f t="shared" si="201"/>
        <v>0</v>
      </c>
      <c r="AG118" s="418">
        <v>0</v>
      </c>
      <c r="AH118" s="418">
        <v>0</v>
      </c>
      <c r="AI118" s="418">
        <v>0</v>
      </c>
      <c r="AJ118" s="418">
        <v>0</v>
      </c>
      <c r="AK118" s="418">
        <v>0</v>
      </c>
      <c r="AL118" s="418">
        <f t="shared" si="202"/>
        <v>0</v>
      </c>
      <c r="AM118" s="418">
        <f t="shared" si="203"/>
        <v>0</v>
      </c>
      <c r="AN118" s="418">
        <f t="shared" si="204"/>
        <v>0</v>
      </c>
      <c r="AO118" s="418">
        <f t="shared" si="205"/>
        <v>0</v>
      </c>
      <c r="AP118" s="418">
        <f t="shared" si="205"/>
        <v>0</v>
      </c>
      <c r="AQ118" s="418">
        <f t="shared" si="206"/>
        <v>0</v>
      </c>
      <c r="AR118" s="68">
        <f t="shared" si="207"/>
        <v>0</v>
      </c>
      <c r="AS118" s="68">
        <f t="shared" si="208"/>
        <v>0</v>
      </c>
      <c r="AT118" s="418">
        <v>0</v>
      </c>
      <c r="AU118" s="415">
        <v>0</v>
      </c>
      <c r="AV118" s="418">
        <f t="shared" si="209"/>
        <v>0</v>
      </c>
      <c r="AW118" s="418">
        <f t="shared" si="210"/>
        <v>0</v>
      </c>
      <c r="AX118" s="419">
        <v>0</v>
      </c>
      <c r="AY118" s="419">
        <v>0</v>
      </c>
      <c r="AZ118" s="419">
        <v>0</v>
      </c>
      <c r="BA118" s="419">
        <v>0</v>
      </c>
      <c r="BB118" s="416">
        <v>0</v>
      </c>
      <c r="BC118" s="939">
        <v>0</v>
      </c>
      <c r="BD118" s="419">
        <v>0</v>
      </c>
      <c r="BE118" s="419">
        <v>0</v>
      </c>
      <c r="BF118" s="419">
        <f t="shared" si="211"/>
        <v>0</v>
      </c>
      <c r="BG118" s="419">
        <f t="shared" si="212"/>
        <v>0</v>
      </c>
      <c r="BH118" s="421">
        <f t="shared" si="213"/>
        <v>0</v>
      </c>
      <c r="BI118" s="780">
        <f t="shared" si="214"/>
        <v>687844</v>
      </c>
      <c r="BJ118" s="418">
        <f t="shared" si="215"/>
        <v>505307</v>
      </c>
      <c r="BK118" s="418">
        <f t="shared" si="216"/>
        <v>505307</v>
      </c>
      <c r="BL118" s="418">
        <f t="shared" si="216"/>
        <v>0</v>
      </c>
      <c r="BM118" s="418">
        <f t="shared" si="217"/>
        <v>5000</v>
      </c>
      <c r="BN118" s="418">
        <f t="shared" si="218"/>
        <v>5000</v>
      </c>
      <c r="BO118" s="418">
        <f t="shared" si="218"/>
        <v>0</v>
      </c>
      <c r="BP118" s="418">
        <f t="shared" si="219"/>
        <v>172484</v>
      </c>
      <c r="BQ118" s="418">
        <f t="shared" si="219"/>
        <v>5053</v>
      </c>
      <c r="BR118" s="418">
        <f t="shared" si="220"/>
        <v>0</v>
      </c>
      <c r="BS118" s="419">
        <f t="shared" si="221"/>
        <v>0.9375</v>
      </c>
      <c r="BT118" s="419">
        <f t="shared" si="222"/>
        <v>0.9375</v>
      </c>
      <c r="BU118" s="421">
        <f t="shared" si="222"/>
        <v>0</v>
      </c>
      <c r="BV118" s="420"/>
      <c r="BW118" s="415"/>
      <c r="BX118" s="415"/>
      <c r="BY118" s="415"/>
      <c r="BZ118" s="415"/>
      <c r="CA118" s="510"/>
    </row>
    <row r="119" spans="1:79" s="221" customFormat="1" x14ac:dyDescent="0.2">
      <c r="A119" s="209">
        <v>21</v>
      </c>
      <c r="B119" s="210">
        <v>4435</v>
      </c>
      <c r="C119" s="210">
        <v>650034295</v>
      </c>
      <c r="D119" s="210">
        <v>72744669</v>
      </c>
      <c r="E119" s="208" t="s">
        <v>186</v>
      </c>
      <c r="F119" s="210">
        <v>3143</v>
      </c>
      <c r="G119" s="165" t="s">
        <v>596</v>
      </c>
      <c r="H119" s="614" t="s">
        <v>272</v>
      </c>
      <c r="I119" s="511">
        <v>15380</v>
      </c>
      <c r="J119" s="415">
        <v>11009</v>
      </c>
      <c r="K119" s="415">
        <v>0</v>
      </c>
      <c r="L119" s="415">
        <v>11009</v>
      </c>
      <c r="M119" s="415">
        <v>0</v>
      </c>
      <c r="N119" s="415">
        <v>0</v>
      </c>
      <c r="O119" s="415">
        <v>0</v>
      </c>
      <c r="P119" s="68">
        <v>3721</v>
      </c>
      <c r="Q119" s="68">
        <v>110</v>
      </c>
      <c r="R119" s="415">
        <v>540</v>
      </c>
      <c r="S119" s="416">
        <v>0.04</v>
      </c>
      <c r="T119" s="417">
        <v>0</v>
      </c>
      <c r="U119" s="423">
        <v>0.04</v>
      </c>
      <c r="V119" s="424">
        <f t="shared" si="198"/>
        <v>0</v>
      </c>
      <c r="W119" s="418">
        <f t="shared" si="198"/>
        <v>0</v>
      </c>
      <c r="X119" s="418">
        <v>0</v>
      </c>
      <c r="Y119" s="418">
        <v>0</v>
      </c>
      <c r="Z119" s="418">
        <v>0</v>
      </c>
      <c r="AA119" s="605">
        <v>5491</v>
      </c>
      <c r="AB119" s="418">
        <v>0</v>
      </c>
      <c r="AC119" s="418">
        <v>0</v>
      </c>
      <c r="AD119" s="418">
        <f t="shared" si="199"/>
        <v>0</v>
      </c>
      <c r="AE119" s="418">
        <f t="shared" si="200"/>
        <v>5491</v>
      </c>
      <c r="AF119" s="418">
        <f t="shared" si="201"/>
        <v>5491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 t="shared" si="202"/>
        <v>0</v>
      </c>
      <c r="AM119" s="418">
        <f t="shared" si="203"/>
        <v>0</v>
      </c>
      <c r="AN119" s="418">
        <f t="shared" si="204"/>
        <v>0</v>
      </c>
      <c r="AO119" s="418">
        <f t="shared" si="205"/>
        <v>0</v>
      </c>
      <c r="AP119" s="418">
        <f t="shared" si="205"/>
        <v>5491</v>
      </c>
      <c r="AQ119" s="418">
        <f t="shared" si="206"/>
        <v>5491</v>
      </c>
      <c r="AR119" s="68">
        <f t="shared" si="207"/>
        <v>1856</v>
      </c>
      <c r="AS119" s="68">
        <f t="shared" si="208"/>
        <v>55</v>
      </c>
      <c r="AT119" s="418">
        <v>0</v>
      </c>
      <c r="AU119" s="606">
        <v>270</v>
      </c>
      <c r="AV119" s="418">
        <f t="shared" si="209"/>
        <v>270</v>
      </c>
      <c r="AW119" s="418">
        <f t="shared" si="210"/>
        <v>7672</v>
      </c>
      <c r="AX119" s="419">
        <v>0</v>
      </c>
      <c r="AY119" s="419">
        <v>0</v>
      </c>
      <c r="AZ119" s="419">
        <v>0</v>
      </c>
      <c r="BA119" s="419">
        <v>0</v>
      </c>
      <c r="BB119" s="607">
        <v>0.02</v>
      </c>
      <c r="BC119" s="939">
        <v>0</v>
      </c>
      <c r="BD119" s="419">
        <v>0</v>
      </c>
      <c r="BE119" s="419">
        <v>0</v>
      </c>
      <c r="BF119" s="419">
        <f t="shared" si="211"/>
        <v>0</v>
      </c>
      <c r="BG119" s="419">
        <f t="shared" si="212"/>
        <v>0.02</v>
      </c>
      <c r="BH119" s="421">
        <f t="shared" si="213"/>
        <v>0.02</v>
      </c>
      <c r="BI119" s="780">
        <f t="shared" si="214"/>
        <v>23052</v>
      </c>
      <c r="BJ119" s="418">
        <f t="shared" si="215"/>
        <v>16500</v>
      </c>
      <c r="BK119" s="418">
        <f t="shared" si="216"/>
        <v>0</v>
      </c>
      <c r="BL119" s="418">
        <f t="shared" si="216"/>
        <v>16500</v>
      </c>
      <c r="BM119" s="418">
        <f t="shared" si="217"/>
        <v>0</v>
      </c>
      <c r="BN119" s="418">
        <f t="shared" si="218"/>
        <v>0</v>
      </c>
      <c r="BO119" s="418">
        <f t="shared" si="218"/>
        <v>0</v>
      </c>
      <c r="BP119" s="418">
        <f t="shared" si="219"/>
        <v>5577</v>
      </c>
      <c r="BQ119" s="418">
        <f t="shared" si="219"/>
        <v>165</v>
      </c>
      <c r="BR119" s="418">
        <f t="shared" si="220"/>
        <v>810</v>
      </c>
      <c r="BS119" s="419">
        <f t="shared" si="221"/>
        <v>0.06</v>
      </c>
      <c r="BT119" s="419">
        <f t="shared" si="222"/>
        <v>0</v>
      </c>
      <c r="BU119" s="421">
        <f t="shared" si="222"/>
        <v>0.06</v>
      </c>
      <c r="BV119" s="420"/>
      <c r="BW119" s="415"/>
      <c r="BX119" s="415"/>
      <c r="BY119" s="415"/>
      <c r="BZ119" s="415"/>
      <c r="CA119" s="510"/>
    </row>
    <row r="120" spans="1:79" s="221" customFormat="1" x14ac:dyDescent="0.2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13"/>
      <c r="I120" s="452">
        <v>11434301</v>
      </c>
      <c r="J120" s="445">
        <v>8287881</v>
      </c>
      <c r="K120" s="445">
        <v>6970818</v>
      </c>
      <c r="L120" s="445">
        <v>1317063</v>
      </c>
      <c r="M120" s="445">
        <v>130000</v>
      </c>
      <c r="N120" s="445">
        <v>105000</v>
      </c>
      <c r="O120" s="445">
        <v>25000</v>
      </c>
      <c r="P120" s="445">
        <v>2845243</v>
      </c>
      <c r="Q120" s="445">
        <v>82878</v>
      </c>
      <c r="R120" s="445">
        <v>88299</v>
      </c>
      <c r="S120" s="446">
        <v>16.316099999999999</v>
      </c>
      <c r="T120" s="446">
        <v>12.2517</v>
      </c>
      <c r="U120" s="450">
        <v>4.0644</v>
      </c>
      <c r="V120" s="448">
        <f t="shared" ref="V120:CA120" si="223">SUM(V114:V119)</f>
        <v>0</v>
      </c>
      <c r="W120" s="445">
        <f t="shared" si="223"/>
        <v>0</v>
      </c>
      <c r="X120" s="445">
        <f t="shared" si="223"/>
        <v>0</v>
      </c>
      <c r="Y120" s="445">
        <f t="shared" si="223"/>
        <v>0</v>
      </c>
      <c r="Z120" s="445">
        <f t="shared" si="223"/>
        <v>0</v>
      </c>
      <c r="AA120" s="445">
        <f t="shared" si="223"/>
        <v>307398</v>
      </c>
      <c r="AB120" s="445">
        <f t="shared" si="223"/>
        <v>0</v>
      </c>
      <c r="AC120" s="445">
        <f t="shared" si="223"/>
        <v>0</v>
      </c>
      <c r="AD120" s="445">
        <f t="shared" si="223"/>
        <v>0</v>
      </c>
      <c r="AE120" s="445">
        <f t="shared" si="223"/>
        <v>307398</v>
      </c>
      <c r="AF120" s="445">
        <f t="shared" si="223"/>
        <v>307398</v>
      </c>
      <c r="AG120" s="445">
        <f t="shared" si="223"/>
        <v>0</v>
      </c>
      <c r="AH120" s="445">
        <f t="shared" si="223"/>
        <v>0</v>
      </c>
      <c r="AI120" s="445">
        <f t="shared" si="223"/>
        <v>0</v>
      </c>
      <c r="AJ120" s="445">
        <f t="shared" si="223"/>
        <v>0</v>
      </c>
      <c r="AK120" s="445">
        <f t="shared" si="223"/>
        <v>0</v>
      </c>
      <c r="AL120" s="445">
        <f t="shared" si="223"/>
        <v>0</v>
      </c>
      <c r="AM120" s="445">
        <f t="shared" si="223"/>
        <v>0</v>
      </c>
      <c r="AN120" s="445">
        <f t="shared" si="223"/>
        <v>0</v>
      </c>
      <c r="AO120" s="445">
        <f t="shared" si="223"/>
        <v>0</v>
      </c>
      <c r="AP120" s="445">
        <f t="shared" si="223"/>
        <v>307398</v>
      </c>
      <c r="AQ120" s="445">
        <f t="shared" si="223"/>
        <v>307398</v>
      </c>
      <c r="AR120" s="445">
        <f t="shared" si="223"/>
        <v>103901</v>
      </c>
      <c r="AS120" s="445">
        <f t="shared" si="223"/>
        <v>3074</v>
      </c>
      <c r="AT120" s="445">
        <f t="shared" si="223"/>
        <v>0</v>
      </c>
      <c r="AU120" s="445">
        <f t="shared" si="223"/>
        <v>2294</v>
      </c>
      <c r="AV120" s="445">
        <f t="shared" si="223"/>
        <v>2294</v>
      </c>
      <c r="AW120" s="445">
        <f t="shared" si="223"/>
        <v>416667</v>
      </c>
      <c r="AX120" s="446">
        <f t="shared" si="223"/>
        <v>0</v>
      </c>
      <c r="AY120" s="446">
        <f t="shared" si="223"/>
        <v>0</v>
      </c>
      <c r="AZ120" s="446">
        <f t="shared" si="223"/>
        <v>0</v>
      </c>
      <c r="BA120" s="446">
        <f t="shared" si="223"/>
        <v>0</v>
      </c>
      <c r="BB120" s="446">
        <f t="shared" si="223"/>
        <v>0.93</v>
      </c>
      <c r="BC120" s="948">
        <f t="shared" si="223"/>
        <v>0</v>
      </c>
      <c r="BD120" s="446">
        <f t="shared" si="223"/>
        <v>0</v>
      </c>
      <c r="BE120" s="446">
        <f t="shared" si="223"/>
        <v>0</v>
      </c>
      <c r="BF120" s="446">
        <f t="shared" si="223"/>
        <v>0</v>
      </c>
      <c r="BG120" s="446">
        <f t="shared" si="223"/>
        <v>0.93</v>
      </c>
      <c r="BH120" s="39">
        <f t="shared" si="223"/>
        <v>0.93</v>
      </c>
      <c r="BI120" s="452">
        <f t="shared" si="223"/>
        <v>11850968</v>
      </c>
      <c r="BJ120" s="445">
        <f t="shared" si="223"/>
        <v>8595279</v>
      </c>
      <c r="BK120" s="445">
        <f t="shared" si="223"/>
        <v>6970818</v>
      </c>
      <c r="BL120" s="445">
        <f t="shared" si="223"/>
        <v>1624461</v>
      </c>
      <c r="BM120" s="445">
        <f t="shared" si="223"/>
        <v>130000</v>
      </c>
      <c r="BN120" s="445">
        <f t="shared" si="223"/>
        <v>105000</v>
      </c>
      <c r="BO120" s="445">
        <f t="shared" si="223"/>
        <v>25000</v>
      </c>
      <c r="BP120" s="445">
        <f t="shared" si="223"/>
        <v>2949144</v>
      </c>
      <c r="BQ120" s="445">
        <f t="shared" si="223"/>
        <v>85952</v>
      </c>
      <c r="BR120" s="445">
        <f t="shared" si="223"/>
        <v>90593</v>
      </c>
      <c r="BS120" s="446">
        <f t="shared" si="223"/>
        <v>17.246099999999998</v>
      </c>
      <c r="BT120" s="446">
        <f t="shared" si="223"/>
        <v>12.2517</v>
      </c>
      <c r="BU120" s="39">
        <f t="shared" si="223"/>
        <v>4.9943999999999997</v>
      </c>
      <c r="BV120" s="833">
        <f t="shared" si="223"/>
        <v>0</v>
      </c>
      <c r="BW120" s="715">
        <f t="shared" si="223"/>
        <v>0</v>
      </c>
      <c r="BX120" s="715">
        <f t="shared" si="223"/>
        <v>0</v>
      </c>
      <c r="BY120" s="715">
        <f t="shared" si="223"/>
        <v>0</v>
      </c>
      <c r="BZ120" s="715">
        <f t="shared" si="223"/>
        <v>0</v>
      </c>
      <c r="CA120" s="834">
        <f t="shared" si="223"/>
        <v>0</v>
      </c>
    </row>
    <row r="121" spans="1:79" s="221" customFormat="1" x14ac:dyDescent="0.2">
      <c r="A121" s="209">
        <v>22</v>
      </c>
      <c r="B121" s="210">
        <v>4412</v>
      </c>
      <c r="C121" s="210">
        <v>600074447</v>
      </c>
      <c r="D121" s="210">
        <v>70698554</v>
      </c>
      <c r="E121" s="208" t="s">
        <v>188</v>
      </c>
      <c r="F121" s="210">
        <v>3111</v>
      </c>
      <c r="G121" s="165" t="s">
        <v>290</v>
      </c>
      <c r="H121" s="626" t="s">
        <v>271</v>
      </c>
      <c r="I121" s="511">
        <v>3565280</v>
      </c>
      <c r="J121" s="415">
        <v>2636746</v>
      </c>
      <c r="K121" s="415">
        <v>2414954</v>
      </c>
      <c r="L121" s="415">
        <v>221792</v>
      </c>
      <c r="M121" s="415">
        <v>0</v>
      </c>
      <c r="N121" s="415">
        <v>0</v>
      </c>
      <c r="O121" s="415">
        <v>0</v>
      </c>
      <c r="P121" s="68">
        <v>891220</v>
      </c>
      <c r="Q121" s="68">
        <v>26367</v>
      </c>
      <c r="R121" s="415">
        <v>10947</v>
      </c>
      <c r="S121" s="416">
        <v>4.7466999999999997</v>
      </c>
      <c r="T121" s="417">
        <v>4</v>
      </c>
      <c r="U121" s="423">
        <v>0.74669999999999992</v>
      </c>
      <c r="V121" s="424">
        <f t="shared" ref="V121:W123" si="224">AG121*-1</f>
        <v>0</v>
      </c>
      <c r="W121" s="418">
        <f t="shared" si="224"/>
        <v>0</v>
      </c>
      <c r="X121" s="418">
        <v>0</v>
      </c>
      <c r="Y121" s="418">
        <v>0</v>
      </c>
      <c r="Z121" s="418">
        <v>0</v>
      </c>
      <c r="AA121" s="415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ref="AO121:AP123" si="225">AD121+AL121</f>
        <v>0</v>
      </c>
      <c r="AP121" s="418">
        <f t="shared" si="225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5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6">
        <v>0</v>
      </c>
      <c r="BC121" s="93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780">
        <f>I121+AW121</f>
        <v>3565280</v>
      </c>
      <c r="BJ121" s="418">
        <f>J121+AF121</f>
        <v>2636746</v>
      </c>
      <c r="BK121" s="418">
        <f t="shared" ref="BK121:BL123" si="226">K121+AD121</f>
        <v>2414954</v>
      </c>
      <c r="BL121" s="418">
        <f t="shared" si="226"/>
        <v>221792</v>
      </c>
      <c r="BM121" s="418">
        <f>M121+AN121</f>
        <v>0</v>
      </c>
      <c r="BN121" s="418">
        <f t="shared" ref="BN121:BO123" si="227">N121+AL121</f>
        <v>0</v>
      </c>
      <c r="BO121" s="418">
        <f t="shared" si="227"/>
        <v>0</v>
      </c>
      <c r="BP121" s="418">
        <f t="shared" ref="BP121:BQ123" si="228">P121+AR121</f>
        <v>891220</v>
      </c>
      <c r="BQ121" s="418">
        <f t="shared" si="228"/>
        <v>26367</v>
      </c>
      <c r="BR121" s="418">
        <f>R121+AV121</f>
        <v>10947</v>
      </c>
      <c r="BS121" s="419">
        <f>S121+BH121</f>
        <v>4.7466999999999997</v>
      </c>
      <c r="BT121" s="419">
        <f t="shared" ref="BT121:BU123" si="229">T121+BF121</f>
        <v>4</v>
      </c>
      <c r="BU121" s="421">
        <f t="shared" si="229"/>
        <v>0.74669999999999992</v>
      </c>
      <c r="BV121" s="420"/>
      <c r="BW121" s="415"/>
      <c r="BX121" s="415"/>
      <c r="BY121" s="415"/>
      <c r="BZ121" s="415"/>
      <c r="CA121" s="510"/>
    </row>
    <row r="122" spans="1:79" s="221" customFormat="1" x14ac:dyDescent="0.2">
      <c r="A122" s="209">
        <v>22</v>
      </c>
      <c r="B122" s="210">
        <v>4412</v>
      </c>
      <c r="C122" s="210">
        <v>600074447</v>
      </c>
      <c r="D122" s="210">
        <v>70698554</v>
      </c>
      <c r="E122" s="208" t="s">
        <v>188</v>
      </c>
      <c r="F122" s="210">
        <v>3111</v>
      </c>
      <c r="G122" s="165" t="s">
        <v>291</v>
      </c>
      <c r="H122" s="626" t="s">
        <v>272</v>
      </c>
      <c r="I122" s="511">
        <v>874720</v>
      </c>
      <c r="J122" s="415">
        <v>648902</v>
      </c>
      <c r="K122" s="415">
        <v>648902</v>
      </c>
      <c r="L122" s="415">
        <v>0</v>
      </c>
      <c r="M122" s="415">
        <v>0</v>
      </c>
      <c r="N122" s="415">
        <v>0</v>
      </c>
      <c r="O122" s="415">
        <v>0</v>
      </c>
      <c r="P122" s="68">
        <v>219329</v>
      </c>
      <c r="Q122" s="68">
        <v>6489</v>
      </c>
      <c r="R122" s="415">
        <v>0</v>
      </c>
      <c r="S122" s="416">
        <v>1.75</v>
      </c>
      <c r="T122" s="417">
        <v>1.75</v>
      </c>
      <c r="U122" s="423">
        <v>0</v>
      </c>
      <c r="V122" s="424">
        <f t="shared" si="224"/>
        <v>0</v>
      </c>
      <c r="W122" s="418">
        <f t="shared" si="224"/>
        <v>0</v>
      </c>
      <c r="X122" s="418">
        <v>0</v>
      </c>
      <c r="Y122" s="418">
        <v>0</v>
      </c>
      <c r="Z122" s="418">
        <v>0</v>
      </c>
      <c r="AA122" s="415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418">
        <f>SUM(AD122:AE122)</f>
        <v>0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225"/>
        <v>0</v>
      </c>
      <c r="AP122" s="418">
        <f t="shared" si="225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5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6">
        <v>0</v>
      </c>
      <c r="BC122" s="93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421">
        <f>SUM(BF122:BG122)</f>
        <v>0</v>
      </c>
      <c r="BI122" s="780">
        <f>I122+AW122</f>
        <v>874720</v>
      </c>
      <c r="BJ122" s="418">
        <f>J122+AF122</f>
        <v>648902</v>
      </c>
      <c r="BK122" s="418">
        <f t="shared" si="226"/>
        <v>648902</v>
      </c>
      <c r="BL122" s="418">
        <f t="shared" si="226"/>
        <v>0</v>
      </c>
      <c r="BM122" s="418">
        <f>M122+AN122</f>
        <v>0</v>
      </c>
      <c r="BN122" s="418">
        <f t="shared" si="227"/>
        <v>0</v>
      </c>
      <c r="BO122" s="418">
        <f t="shared" si="227"/>
        <v>0</v>
      </c>
      <c r="BP122" s="418">
        <f t="shared" si="228"/>
        <v>219329</v>
      </c>
      <c r="BQ122" s="418">
        <f t="shared" si="228"/>
        <v>6489</v>
      </c>
      <c r="BR122" s="418">
        <f>R122+AV122</f>
        <v>0</v>
      </c>
      <c r="BS122" s="419">
        <f>S122+BH122</f>
        <v>1.75</v>
      </c>
      <c r="BT122" s="419">
        <f t="shared" si="229"/>
        <v>1.75</v>
      </c>
      <c r="BU122" s="421">
        <f t="shared" si="229"/>
        <v>0</v>
      </c>
      <c r="BV122" s="420"/>
      <c r="BW122" s="415"/>
      <c r="BX122" s="415"/>
      <c r="BY122" s="415"/>
      <c r="BZ122" s="415"/>
      <c r="CA122" s="510"/>
    </row>
    <row r="123" spans="1:79" s="221" customFormat="1" x14ac:dyDescent="0.2">
      <c r="A123" s="209">
        <v>22</v>
      </c>
      <c r="B123" s="210">
        <v>4412</v>
      </c>
      <c r="C123" s="210">
        <v>600074447</v>
      </c>
      <c r="D123" s="210">
        <v>70698554</v>
      </c>
      <c r="E123" s="204" t="s">
        <v>188</v>
      </c>
      <c r="F123" s="210">
        <v>3141</v>
      </c>
      <c r="G123" s="165" t="s">
        <v>294</v>
      </c>
      <c r="H123" s="626" t="s">
        <v>272</v>
      </c>
      <c r="I123" s="511">
        <v>403002</v>
      </c>
      <c r="J123" s="415">
        <v>297898</v>
      </c>
      <c r="K123" s="415">
        <v>0</v>
      </c>
      <c r="L123" s="415">
        <v>297898</v>
      </c>
      <c r="M123" s="415">
        <v>0</v>
      </c>
      <c r="N123" s="415">
        <v>0</v>
      </c>
      <c r="O123" s="415">
        <v>0</v>
      </c>
      <c r="P123" s="68">
        <v>100690</v>
      </c>
      <c r="Q123" s="68">
        <v>2979</v>
      </c>
      <c r="R123" s="415">
        <v>1435</v>
      </c>
      <c r="S123" s="416">
        <v>0.89</v>
      </c>
      <c r="T123" s="417">
        <v>0</v>
      </c>
      <c r="U123" s="423">
        <v>0.89</v>
      </c>
      <c r="V123" s="424">
        <f t="shared" si="224"/>
        <v>0</v>
      </c>
      <c r="W123" s="418">
        <f t="shared" si="224"/>
        <v>0</v>
      </c>
      <c r="X123" s="418">
        <v>0</v>
      </c>
      <c r="Y123" s="418">
        <v>0</v>
      </c>
      <c r="Z123" s="418">
        <v>0</v>
      </c>
      <c r="AA123" s="605">
        <v>150474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150474</v>
      </c>
      <c r="AF123" s="418">
        <f>SUM(AD123:AE123)</f>
        <v>150474</v>
      </c>
      <c r="AG123" s="418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225"/>
        <v>0</v>
      </c>
      <c r="AP123" s="418">
        <f t="shared" si="225"/>
        <v>150474</v>
      </c>
      <c r="AQ123" s="418">
        <f>SUM(AO123:AP123)</f>
        <v>150474</v>
      </c>
      <c r="AR123" s="68">
        <f>ROUND((AF123+AG123+AH123+AI123)*33.8%,0)</f>
        <v>50860</v>
      </c>
      <c r="AS123" s="68">
        <f>ROUND(AF123*1%,0)</f>
        <v>1505</v>
      </c>
      <c r="AT123" s="418">
        <v>0</v>
      </c>
      <c r="AU123" s="605">
        <v>697</v>
      </c>
      <c r="AV123" s="418">
        <f>AT123+AU123</f>
        <v>697</v>
      </c>
      <c r="AW123" s="418">
        <f>AQ123+AR123+AS123+AV123</f>
        <v>203536</v>
      </c>
      <c r="AX123" s="419">
        <v>0</v>
      </c>
      <c r="AY123" s="419">
        <v>0</v>
      </c>
      <c r="AZ123" s="419">
        <v>0</v>
      </c>
      <c r="BA123" s="419">
        <v>0</v>
      </c>
      <c r="BB123" s="607">
        <v>0.45</v>
      </c>
      <c r="BC123" s="93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0.45</v>
      </c>
      <c r="BH123" s="421">
        <f>SUM(BF123:BG123)</f>
        <v>0.45</v>
      </c>
      <c r="BI123" s="780">
        <f>I123+AW123</f>
        <v>606538</v>
      </c>
      <c r="BJ123" s="418">
        <f>J123+AF123</f>
        <v>448372</v>
      </c>
      <c r="BK123" s="418">
        <f t="shared" si="226"/>
        <v>0</v>
      </c>
      <c r="BL123" s="418">
        <f t="shared" si="226"/>
        <v>448372</v>
      </c>
      <c r="BM123" s="418">
        <f>M123+AN123</f>
        <v>0</v>
      </c>
      <c r="BN123" s="418">
        <f t="shared" si="227"/>
        <v>0</v>
      </c>
      <c r="BO123" s="418">
        <f t="shared" si="227"/>
        <v>0</v>
      </c>
      <c r="BP123" s="418">
        <f t="shared" si="228"/>
        <v>151550</v>
      </c>
      <c r="BQ123" s="418">
        <f t="shared" si="228"/>
        <v>4484</v>
      </c>
      <c r="BR123" s="418">
        <f>R123+AV123</f>
        <v>2132</v>
      </c>
      <c r="BS123" s="419">
        <f>S123+BH123</f>
        <v>1.34</v>
      </c>
      <c r="BT123" s="419">
        <f t="shared" si="229"/>
        <v>0</v>
      </c>
      <c r="BU123" s="421">
        <f t="shared" si="229"/>
        <v>1.34</v>
      </c>
      <c r="BV123" s="420"/>
      <c r="BW123" s="415"/>
      <c r="BX123" s="415"/>
      <c r="BY123" s="415"/>
      <c r="BZ123" s="415"/>
      <c r="CA123" s="510"/>
    </row>
    <row r="124" spans="1:79" s="221" customFormat="1" x14ac:dyDescent="0.2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13"/>
      <c r="I124" s="452">
        <v>4843002</v>
      </c>
      <c r="J124" s="445">
        <v>3583546</v>
      </c>
      <c r="K124" s="445">
        <v>3063856</v>
      </c>
      <c r="L124" s="445">
        <v>519690</v>
      </c>
      <c r="M124" s="445">
        <v>0</v>
      </c>
      <c r="N124" s="445">
        <v>0</v>
      </c>
      <c r="O124" s="445">
        <v>0</v>
      </c>
      <c r="P124" s="445">
        <v>1211239</v>
      </c>
      <c r="Q124" s="445">
        <v>35835</v>
      </c>
      <c r="R124" s="445">
        <v>12382</v>
      </c>
      <c r="S124" s="446">
        <v>7.3866999999999994</v>
      </c>
      <c r="T124" s="446">
        <v>5.75</v>
      </c>
      <c r="U124" s="450">
        <v>1.6366999999999998</v>
      </c>
      <c r="V124" s="448">
        <f t="shared" ref="V124:CA124" si="230">SUM(V121:V123)</f>
        <v>0</v>
      </c>
      <c r="W124" s="445">
        <f t="shared" si="230"/>
        <v>0</v>
      </c>
      <c r="X124" s="445">
        <f t="shared" si="230"/>
        <v>0</v>
      </c>
      <c r="Y124" s="445">
        <f t="shared" si="230"/>
        <v>0</v>
      </c>
      <c r="Z124" s="445">
        <f t="shared" si="230"/>
        <v>0</v>
      </c>
      <c r="AA124" s="445">
        <f t="shared" si="230"/>
        <v>150474</v>
      </c>
      <c r="AB124" s="445">
        <f t="shared" si="230"/>
        <v>0</v>
      </c>
      <c r="AC124" s="445">
        <f t="shared" si="230"/>
        <v>0</v>
      </c>
      <c r="AD124" s="445">
        <f t="shared" si="230"/>
        <v>0</v>
      </c>
      <c r="AE124" s="445">
        <f t="shared" si="230"/>
        <v>150474</v>
      </c>
      <c r="AF124" s="445">
        <f t="shared" si="230"/>
        <v>150474</v>
      </c>
      <c r="AG124" s="445">
        <f t="shared" si="230"/>
        <v>0</v>
      </c>
      <c r="AH124" s="445">
        <f t="shared" si="230"/>
        <v>0</v>
      </c>
      <c r="AI124" s="445">
        <f t="shared" si="230"/>
        <v>0</v>
      </c>
      <c r="AJ124" s="445">
        <f t="shared" si="230"/>
        <v>0</v>
      </c>
      <c r="AK124" s="445">
        <f t="shared" si="230"/>
        <v>0</v>
      </c>
      <c r="AL124" s="445">
        <f t="shared" si="230"/>
        <v>0</v>
      </c>
      <c r="AM124" s="445">
        <f t="shared" si="230"/>
        <v>0</v>
      </c>
      <c r="AN124" s="445">
        <f t="shared" si="230"/>
        <v>0</v>
      </c>
      <c r="AO124" s="445">
        <f t="shared" si="230"/>
        <v>0</v>
      </c>
      <c r="AP124" s="445">
        <f t="shared" si="230"/>
        <v>150474</v>
      </c>
      <c r="AQ124" s="445">
        <f t="shared" si="230"/>
        <v>150474</v>
      </c>
      <c r="AR124" s="445">
        <f t="shared" si="230"/>
        <v>50860</v>
      </c>
      <c r="AS124" s="445">
        <f t="shared" si="230"/>
        <v>1505</v>
      </c>
      <c r="AT124" s="445">
        <f t="shared" si="230"/>
        <v>0</v>
      </c>
      <c r="AU124" s="445">
        <f t="shared" si="230"/>
        <v>697</v>
      </c>
      <c r="AV124" s="445">
        <f t="shared" si="230"/>
        <v>697</v>
      </c>
      <c r="AW124" s="445">
        <f t="shared" si="230"/>
        <v>203536</v>
      </c>
      <c r="AX124" s="446">
        <f t="shared" si="230"/>
        <v>0</v>
      </c>
      <c r="AY124" s="446">
        <f t="shared" si="230"/>
        <v>0</v>
      </c>
      <c r="AZ124" s="446">
        <f t="shared" si="230"/>
        <v>0</v>
      </c>
      <c r="BA124" s="446">
        <f t="shared" si="230"/>
        <v>0</v>
      </c>
      <c r="BB124" s="446">
        <f t="shared" si="230"/>
        <v>0.45</v>
      </c>
      <c r="BC124" s="948">
        <f t="shared" si="230"/>
        <v>0</v>
      </c>
      <c r="BD124" s="446">
        <f t="shared" si="230"/>
        <v>0</v>
      </c>
      <c r="BE124" s="446">
        <f t="shared" si="230"/>
        <v>0</v>
      </c>
      <c r="BF124" s="446">
        <f t="shared" si="230"/>
        <v>0</v>
      </c>
      <c r="BG124" s="446">
        <f t="shared" si="230"/>
        <v>0.45</v>
      </c>
      <c r="BH124" s="39">
        <f t="shared" si="230"/>
        <v>0.45</v>
      </c>
      <c r="BI124" s="452">
        <f t="shared" si="230"/>
        <v>5046538</v>
      </c>
      <c r="BJ124" s="445">
        <f t="shared" si="230"/>
        <v>3734020</v>
      </c>
      <c r="BK124" s="445">
        <f t="shared" si="230"/>
        <v>3063856</v>
      </c>
      <c r="BL124" s="445">
        <f t="shared" si="230"/>
        <v>670164</v>
      </c>
      <c r="BM124" s="445">
        <f t="shared" si="230"/>
        <v>0</v>
      </c>
      <c r="BN124" s="445">
        <f t="shared" si="230"/>
        <v>0</v>
      </c>
      <c r="BO124" s="445">
        <f t="shared" si="230"/>
        <v>0</v>
      </c>
      <c r="BP124" s="445">
        <f t="shared" si="230"/>
        <v>1262099</v>
      </c>
      <c r="BQ124" s="445">
        <f t="shared" si="230"/>
        <v>37340</v>
      </c>
      <c r="BR124" s="445">
        <f t="shared" si="230"/>
        <v>13079</v>
      </c>
      <c r="BS124" s="446">
        <f t="shared" si="230"/>
        <v>7.8366999999999996</v>
      </c>
      <c r="BT124" s="446">
        <f t="shared" si="230"/>
        <v>5.75</v>
      </c>
      <c r="BU124" s="39">
        <f t="shared" si="230"/>
        <v>2.0867</v>
      </c>
      <c r="BV124" s="833">
        <f t="shared" si="230"/>
        <v>0</v>
      </c>
      <c r="BW124" s="715">
        <f t="shared" si="230"/>
        <v>0</v>
      </c>
      <c r="BX124" s="715">
        <f t="shared" si="230"/>
        <v>0</v>
      </c>
      <c r="BY124" s="715">
        <f t="shared" si="230"/>
        <v>0</v>
      </c>
      <c r="BZ124" s="715">
        <f t="shared" si="230"/>
        <v>0</v>
      </c>
      <c r="CA124" s="834">
        <f t="shared" si="230"/>
        <v>0</v>
      </c>
    </row>
    <row r="125" spans="1:79" s="221" customFormat="1" x14ac:dyDescent="0.2">
      <c r="A125" s="209">
        <v>23</v>
      </c>
      <c r="B125" s="210">
        <v>4413</v>
      </c>
      <c r="C125" s="210">
        <v>600074455</v>
      </c>
      <c r="D125" s="210">
        <v>70695369</v>
      </c>
      <c r="E125" s="208" t="s">
        <v>190</v>
      </c>
      <c r="F125" s="210">
        <v>3111</v>
      </c>
      <c r="G125" s="165" t="s">
        <v>290</v>
      </c>
      <c r="H125" s="626" t="s">
        <v>271</v>
      </c>
      <c r="I125" s="511">
        <v>9644530</v>
      </c>
      <c r="J125" s="415">
        <v>7130729</v>
      </c>
      <c r="K125" s="415">
        <v>6545510</v>
      </c>
      <c r="L125" s="415">
        <v>585219</v>
      </c>
      <c r="M125" s="415">
        <v>0</v>
      </c>
      <c r="N125" s="415">
        <v>0</v>
      </c>
      <c r="O125" s="415">
        <v>0</v>
      </c>
      <c r="P125" s="68">
        <v>2410187</v>
      </c>
      <c r="Q125" s="68">
        <v>71307</v>
      </c>
      <c r="R125" s="415">
        <v>32307</v>
      </c>
      <c r="S125" s="416">
        <v>12.993500000000001</v>
      </c>
      <c r="T125" s="417">
        <v>11</v>
      </c>
      <c r="U125" s="423">
        <v>1.9935</v>
      </c>
      <c r="V125" s="424">
        <f t="shared" ref="V125:W129" si="231">AG125*-1</f>
        <v>0</v>
      </c>
      <c r="W125" s="418">
        <f t="shared" si="231"/>
        <v>0</v>
      </c>
      <c r="X125" s="418">
        <v>0</v>
      </c>
      <c r="Y125" s="418">
        <v>0</v>
      </c>
      <c r="Z125" s="418">
        <v>0</v>
      </c>
      <c r="AA125" s="415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418">
        <f>SUM(AD125:AE125)</f>
        <v>0</v>
      </c>
      <c r="AG125" s="418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 t="shared" ref="AO125:AP129" si="232">AD125+AL125</f>
        <v>0</v>
      </c>
      <c r="AP125" s="418">
        <f t="shared" si="232"/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5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6">
        <v>0</v>
      </c>
      <c r="BC125" s="93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421">
        <f>SUM(BF125:BG125)</f>
        <v>0</v>
      </c>
      <c r="BI125" s="780">
        <f>I125+AW125</f>
        <v>9644530</v>
      </c>
      <c r="BJ125" s="418">
        <f>J125+AF125</f>
        <v>7130729</v>
      </c>
      <c r="BK125" s="418">
        <f t="shared" ref="BK125:BL129" si="233">K125+AD125</f>
        <v>6545510</v>
      </c>
      <c r="BL125" s="418">
        <f t="shared" si="233"/>
        <v>585219</v>
      </c>
      <c r="BM125" s="418">
        <f>M125+AN125</f>
        <v>0</v>
      </c>
      <c r="BN125" s="418">
        <f t="shared" ref="BN125:BO129" si="234">N125+AL125</f>
        <v>0</v>
      </c>
      <c r="BO125" s="418">
        <f t="shared" si="234"/>
        <v>0</v>
      </c>
      <c r="BP125" s="418">
        <f t="shared" ref="BP125:BQ129" si="235">P125+AR125</f>
        <v>2410187</v>
      </c>
      <c r="BQ125" s="418">
        <f t="shared" si="235"/>
        <v>71307</v>
      </c>
      <c r="BR125" s="418">
        <f>R125+AV125</f>
        <v>32307</v>
      </c>
      <c r="BS125" s="419">
        <f>S125+BH125</f>
        <v>12.993500000000001</v>
      </c>
      <c r="BT125" s="419">
        <f t="shared" ref="BT125:BU129" si="236">T125+BF125</f>
        <v>11</v>
      </c>
      <c r="BU125" s="421">
        <f t="shared" si="236"/>
        <v>1.9935</v>
      </c>
      <c r="BV125" s="420"/>
      <c r="BW125" s="415"/>
      <c r="BX125" s="415"/>
      <c r="BY125" s="415"/>
      <c r="BZ125" s="415"/>
      <c r="CA125" s="510"/>
    </row>
    <row r="126" spans="1:79" s="221" customFormat="1" x14ac:dyDescent="0.2">
      <c r="A126" s="209">
        <v>23</v>
      </c>
      <c r="B126" s="210">
        <v>4413</v>
      </c>
      <c r="C126" s="210">
        <v>600074455</v>
      </c>
      <c r="D126" s="210">
        <v>70695369</v>
      </c>
      <c r="E126" s="208" t="s">
        <v>190</v>
      </c>
      <c r="F126" s="210">
        <v>3111</v>
      </c>
      <c r="G126" s="165" t="s">
        <v>291</v>
      </c>
      <c r="H126" s="626" t="s">
        <v>272</v>
      </c>
      <c r="I126" s="511">
        <v>2249279</v>
      </c>
      <c r="J126" s="415">
        <v>1668605</v>
      </c>
      <c r="K126" s="415">
        <v>1668605</v>
      </c>
      <c r="L126" s="415">
        <v>0</v>
      </c>
      <c r="M126" s="415">
        <v>0</v>
      </c>
      <c r="N126" s="415">
        <v>0</v>
      </c>
      <c r="O126" s="415">
        <v>0</v>
      </c>
      <c r="P126" s="68">
        <v>563988</v>
      </c>
      <c r="Q126" s="68">
        <v>16686</v>
      </c>
      <c r="R126" s="415">
        <v>0</v>
      </c>
      <c r="S126" s="416">
        <v>4.5</v>
      </c>
      <c r="T126" s="417">
        <v>4.5</v>
      </c>
      <c r="U126" s="423">
        <v>0</v>
      </c>
      <c r="V126" s="424">
        <f t="shared" si="231"/>
        <v>0</v>
      </c>
      <c r="W126" s="418">
        <f t="shared" si="231"/>
        <v>0</v>
      </c>
      <c r="X126" s="418">
        <v>0</v>
      </c>
      <c r="Y126" s="418">
        <v>0</v>
      </c>
      <c r="Z126" s="418">
        <v>0</v>
      </c>
      <c r="AA126" s="415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418">
        <f>SUM(AD126:AE126)</f>
        <v>0</v>
      </c>
      <c r="AG126" s="418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 t="shared" si="232"/>
        <v>0</v>
      </c>
      <c r="AP126" s="418">
        <f t="shared" si="232"/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5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6">
        <v>0</v>
      </c>
      <c r="BC126" s="93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421">
        <f>SUM(BF126:BG126)</f>
        <v>0</v>
      </c>
      <c r="BI126" s="780">
        <f>I126+AW126</f>
        <v>2249279</v>
      </c>
      <c r="BJ126" s="418">
        <f>J126+AF126</f>
        <v>1668605</v>
      </c>
      <c r="BK126" s="418">
        <f t="shared" si="233"/>
        <v>1668605</v>
      </c>
      <c r="BL126" s="418">
        <f t="shared" si="233"/>
        <v>0</v>
      </c>
      <c r="BM126" s="418">
        <f>M126+AN126</f>
        <v>0</v>
      </c>
      <c r="BN126" s="418">
        <f t="shared" si="234"/>
        <v>0</v>
      </c>
      <c r="BO126" s="418">
        <f t="shared" si="234"/>
        <v>0</v>
      </c>
      <c r="BP126" s="418">
        <f t="shared" si="235"/>
        <v>563988</v>
      </c>
      <c r="BQ126" s="418">
        <f t="shared" si="235"/>
        <v>16686</v>
      </c>
      <c r="BR126" s="418">
        <f>R126+AV126</f>
        <v>0</v>
      </c>
      <c r="BS126" s="419">
        <f>S126+BH126</f>
        <v>4.5</v>
      </c>
      <c r="BT126" s="419">
        <f t="shared" si="236"/>
        <v>4.5</v>
      </c>
      <c r="BU126" s="421">
        <f t="shared" si="236"/>
        <v>0</v>
      </c>
      <c r="BV126" s="420"/>
      <c r="BW126" s="415"/>
      <c r="BX126" s="415"/>
      <c r="BY126" s="415"/>
      <c r="BZ126" s="415"/>
      <c r="CA126" s="510"/>
    </row>
    <row r="127" spans="1:79" s="221" customFormat="1" x14ac:dyDescent="0.2">
      <c r="A127" s="209">
        <v>23</v>
      </c>
      <c r="B127" s="210">
        <v>4413</v>
      </c>
      <c r="C127" s="210">
        <v>600074455</v>
      </c>
      <c r="D127" s="210">
        <v>70695369</v>
      </c>
      <c r="E127" s="208" t="s">
        <v>190</v>
      </c>
      <c r="F127" s="210">
        <v>3141</v>
      </c>
      <c r="G127" s="165" t="s">
        <v>294</v>
      </c>
      <c r="H127" s="626" t="s">
        <v>272</v>
      </c>
      <c r="I127" s="511">
        <v>867370</v>
      </c>
      <c r="J127" s="415">
        <v>640282</v>
      </c>
      <c r="K127" s="415">
        <v>0</v>
      </c>
      <c r="L127" s="415">
        <v>640282</v>
      </c>
      <c r="M127" s="415">
        <v>0</v>
      </c>
      <c r="N127" s="415">
        <v>0</v>
      </c>
      <c r="O127" s="415">
        <v>0</v>
      </c>
      <c r="P127" s="68">
        <v>216415</v>
      </c>
      <c r="Q127" s="68">
        <v>6403</v>
      </c>
      <c r="R127" s="415">
        <v>4270</v>
      </c>
      <c r="S127" s="416">
        <v>1.92</v>
      </c>
      <c r="T127" s="417">
        <v>0</v>
      </c>
      <c r="U127" s="423">
        <v>1.92</v>
      </c>
      <c r="V127" s="424">
        <f t="shared" si="231"/>
        <v>0</v>
      </c>
      <c r="W127" s="418">
        <f t="shared" si="231"/>
        <v>0</v>
      </c>
      <c r="X127" s="418">
        <v>0</v>
      </c>
      <c r="Y127" s="418">
        <v>0</v>
      </c>
      <c r="Z127" s="418">
        <v>0</v>
      </c>
      <c r="AA127" s="605">
        <v>319852</v>
      </c>
      <c r="AB127" s="418">
        <v>0</v>
      </c>
      <c r="AC127" s="418">
        <v>0</v>
      </c>
      <c r="AD127" s="418">
        <f>V127+X127+Y127+Z127+AB127</f>
        <v>0</v>
      </c>
      <c r="AE127" s="418">
        <f>W127+AA127+AC127</f>
        <v>319852</v>
      </c>
      <c r="AF127" s="418">
        <f>SUM(AD127:AE127)</f>
        <v>319852</v>
      </c>
      <c r="AG127" s="418">
        <v>0</v>
      </c>
      <c r="AH127" s="418">
        <v>0</v>
      </c>
      <c r="AI127" s="418">
        <v>0</v>
      </c>
      <c r="AJ127" s="418">
        <v>0</v>
      </c>
      <c r="AK127" s="418">
        <v>0</v>
      </c>
      <c r="AL127" s="418">
        <f>AG127+AI127+AJ127</f>
        <v>0</v>
      </c>
      <c r="AM127" s="418">
        <f>AH127+AK127</f>
        <v>0</v>
      </c>
      <c r="AN127" s="418">
        <f>SUM(AL127:AM127)</f>
        <v>0</v>
      </c>
      <c r="AO127" s="418">
        <f t="shared" si="232"/>
        <v>0</v>
      </c>
      <c r="AP127" s="418">
        <f t="shared" si="232"/>
        <v>319852</v>
      </c>
      <c r="AQ127" s="418">
        <f>SUM(AO127:AP127)</f>
        <v>319852</v>
      </c>
      <c r="AR127" s="68">
        <f>ROUND((AF127+AG127+AH127+AI127)*33.8%,0)</f>
        <v>108110</v>
      </c>
      <c r="AS127" s="68">
        <f>ROUND(AF127*1%,0)</f>
        <v>3199</v>
      </c>
      <c r="AT127" s="418">
        <v>0</v>
      </c>
      <c r="AU127" s="605">
        <v>2074</v>
      </c>
      <c r="AV127" s="418">
        <f>AT127+AU127</f>
        <v>2074</v>
      </c>
      <c r="AW127" s="418">
        <f>AQ127+AR127+AS127+AV127</f>
        <v>433235</v>
      </c>
      <c r="AX127" s="419">
        <v>0</v>
      </c>
      <c r="AY127" s="419">
        <v>0</v>
      </c>
      <c r="AZ127" s="419">
        <v>0</v>
      </c>
      <c r="BA127" s="419">
        <v>0</v>
      </c>
      <c r="BB127" s="607">
        <v>0.96</v>
      </c>
      <c r="BC127" s="939">
        <v>0</v>
      </c>
      <c r="BD127" s="419">
        <v>0</v>
      </c>
      <c r="BE127" s="419">
        <v>0</v>
      </c>
      <c r="BF127" s="419">
        <f>AX127+AZ127+BA127+BC127+BD127</f>
        <v>0</v>
      </c>
      <c r="BG127" s="419">
        <f>AY127+BB127+BE127</f>
        <v>0.96</v>
      </c>
      <c r="BH127" s="421">
        <f>SUM(BF127:BG127)</f>
        <v>0.96</v>
      </c>
      <c r="BI127" s="780">
        <f>I127+AW127</f>
        <v>1300605</v>
      </c>
      <c r="BJ127" s="418">
        <f>J127+AF127</f>
        <v>960134</v>
      </c>
      <c r="BK127" s="418">
        <f t="shared" si="233"/>
        <v>0</v>
      </c>
      <c r="BL127" s="418">
        <f t="shared" si="233"/>
        <v>960134</v>
      </c>
      <c r="BM127" s="418">
        <f>M127+AN127</f>
        <v>0</v>
      </c>
      <c r="BN127" s="418">
        <f t="shared" si="234"/>
        <v>0</v>
      </c>
      <c r="BO127" s="418">
        <f t="shared" si="234"/>
        <v>0</v>
      </c>
      <c r="BP127" s="418">
        <f t="shared" si="235"/>
        <v>324525</v>
      </c>
      <c r="BQ127" s="418">
        <f t="shared" si="235"/>
        <v>9602</v>
      </c>
      <c r="BR127" s="418">
        <f>R127+AV127</f>
        <v>6344</v>
      </c>
      <c r="BS127" s="419">
        <f>S127+BH127</f>
        <v>2.88</v>
      </c>
      <c r="BT127" s="419">
        <f t="shared" si="236"/>
        <v>0</v>
      </c>
      <c r="BU127" s="421">
        <f t="shared" si="236"/>
        <v>2.88</v>
      </c>
      <c r="BV127" s="420"/>
      <c r="BW127" s="415"/>
      <c r="BX127" s="415"/>
      <c r="BY127" s="415"/>
      <c r="BZ127" s="415"/>
      <c r="CA127" s="510"/>
    </row>
    <row r="128" spans="1:79" s="221" customFormat="1" x14ac:dyDescent="0.2">
      <c r="A128" s="209">
        <v>23</v>
      </c>
      <c r="B128" s="210">
        <v>4413</v>
      </c>
      <c r="C128" s="210">
        <v>600074455</v>
      </c>
      <c r="D128" s="210">
        <v>70695369</v>
      </c>
      <c r="E128" s="208" t="s">
        <v>190</v>
      </c>
      <c r="F128" s="210">
        <v>3143</v>
      </c>
      <c r="G128" s="165" t="s">
        <v>595</v>
      </c>
      <c r="H128" s="614" t="s">
        <v>271</v>
      </c>
      <c r="I128" s="511">
        <v>1292678</v>
      </c>
      <c r="J128" s="415">
        <v>958960</v>
      </c>
      <c r="K128" s="415">
        <v>958960</v>
      </c>
      <c r="L128" s="415">
        <v>0</v>
      </c>
      <c r="M128" s="415">
        <v>0</v>
      </c>
      <c r="N128" s="415">
        <v>0</v>
      </c>
      <c r="O128" s="415">
        <v>0</v>
      </c>
      <c r="P128" s="68">
        <v>324128</v>
      </c>
      <c r="Q128" s="68">
        <v>9590</v>
      </c>
      <c r="R128" s="415">
        <v>0</v>
      </c>
      <c r="S128" s="416">
        <v>2</v>
      </c>
      <c r="T128" s="417">
        <v>2</v>
      </c>
      <c r="U128" s="423">
        <v>0</v>
      </c>
      <c r="V128" s="424">
        <f t="shared" si="231"/>
        <v>0</v>
      </c>
      <c r="W128" s="418">
        <f t="shared" si="231"/>
        <v>0</v>
      </c>
      <c r="X128" s="418">
        <v>0</v>
      </c>
      <c r="Y128" s="418">
        <v>0</v>
      </c>
      <c r="Z128" s="418">
        <v>0</v>
      </c>
      <c r="AA128" s="415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418">
        <f>SUM(AD128:AE128)</f>
        <v>0</v>
      </c>
      <c r="AG128" s="418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 t="shared" si="232"/>
        <v>0</v>
      </c>
      <c r="AP128" s="418">
        <f t="shared" si="232"/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5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6">
        <v>0</v>
      </c>
      <c r="BC128" s="93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421">
        <f>SUM(BF128:BG128)</f>
        <v>0</v>
      </c>
      <c r="BI128" s="780">
        <f>I128+AW128</f>
        <v>1292678</v>
      </c>
      <c r="BJ128" s="418">
        <f>J128+AF128</f>
        <v>958960</v>
      </c>
      <c r="BK128" s="418">
        <f t="shared" si="233"/>
        <v>958960</v>
      </c>
      <c r="BL128" s="418">
        <f t="shared" si="233"/>
        <v>0</v>
      </c>
      <c r="BM128" s="418">
        <f>M128+AN128</f>
        <v>0</v>
      </c>
      <c r="BN128" s="418">
        <f t="shared" si="234"/>
        <v>0</v>
      </c>
      <c r="BO128" s="418">
        <f t="shared" si="234"/>
        <v>0</v>
      </c>
      <c r="BP128" s="418">
        <f t="shared" si="235"/>
        <v>324128</v>
      </c>
      <c r="BQ128" s="418">
        <f t="shared" si="235"/>
        <v>9590</v>
      </c>
      <c r="BR128" s="418">
        <f>R128+AV128</f>
        <v>0</v>
      </c>
      <c r="BS128" s="419">
        <f>S128+BH128</f>
        <v>2</v>
      </c>
      <c r="BT128" s="419">
        <f t="shared" si="236"/>
        <v>2</v>
      </c>
      <c r="BU128" s="421">
        <f t="shared" si="236"/>
        <v>0</v>
      </c>
      <c r="BV128" s="420"/>
      <c r="BW128" s="415"/>
      <c r="BX128" s="415"/>
      <c r="BY128" s="415"/>
      <c r="BZ128" s="415"/>
      <c r="CA128" s="510"/>
    </row>
    <row r="129" spans="1:79" s="221" customFormat="1" x14ac:dyDescent="0.2">
      <c r="A129" s="209">
        <v>23</v>
      </c>
      <c r="B129" s="210">
        <v>4413</v>
      </c>
      <c r="C129" s="210">
        <v>600074455</v>
      </c>
      <c r="D129" s="210">
        <v>70695369</v>
      </c>
      <c r="E129" s="208" t="s">
        <v>190</v>
      </c>
      <c r="F129" s="210">
        <v>3143</v>
      </c>
      <c r="G129" s="165" t="s">
        <v>596</v>
      </c>
      <c r="H129" s="614" t="s">
        <v>272</v>
      </c>
      <c r="I129" s="511">
        <v>17925</v>
      </c>
      <c r="J129" s="415">
        <v>12830</v>
      </c>
      <c r="K129" s="415">
        <v>0</v>
      </c>
      <c r="L129" s="415">
        <v>12830</v>
      </c>
      <c r="M129" s="415">
        <v>0</v>
      </c>
      <c r="N129" s="415">
        <v>0</v>
      </c>
      <c r="O129" s="415">
        <v>0</v>
      </c>
      <c r="P129" s="68">
        <v>4337</v>
      </c>
      <c r="Q129" s="68">
        <v>128</v>
      </c>
      <c r="R129" s="415">
        <v>630</v>
      </c>
      <c r="S129" s="416">
        <v>0.05</v>
      </c>
      <c r="T129" s="417">
        <v>0</v>
      </c>
      <c r="U129" s="423">
        <v>0.05</v>
      </c>
      <c r="V129" s="424">
        <f t="shared" si="231"/>
        <v>0</v>
      </c>
      <c r="W129" s="418">
        <f t="shared" si="231"/>
        <v>0</v>
      </c>
      <c r="X129" s="418">
        <v>0</v>
      </c>
      <c r="Y129" s="418">
        <v>0</v>
      </c>
      <c r="Z129" s="418">
        <v>0</v>
      </c>
      <c r="AA129" s="605">
        <v>6420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6420</v>
      </c>
      <c r="AF129" s="418">
        <f>SUM(AD129:AE129)</f>
        <v>6420</v>
      </c>
      <c r="AG129" s="418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 t="shared" si="232"/>
        <v>0</v>
      </c>
      <c r="AP129" s="418">
        <f t="shared" si="232"/>
        <v>6420</v>
      </c>
      <c r="AQ129" s="418">
        <f>SUM(AO129:AP129)</f>
        <v>6420</v>
      </c>
      <c r="AR129" s="68">
        <f>ROUND((AF129+AG129+AH129+AI129)*33.8%,0)</f>
        <v>2170</v>
      </c>
      <c r="AS129" s="68">
        <f>ROUND(AF129*1%,0)</f>
        <v>64</v>
      </c>
      <c r="AT129" s="418">
        <v>0</v>
      </c>
      <c r="AU129" s="606">
        <v>315</v>
      </c>
      <c r="AV129" s="418">
        <f>AT129+AU129</f>
        <v>315</v>
      </c>
      <c r="AW129" s="418">
        <f>AQ129+AR129+AS129+AV129</f>
        <v>8969</v>
      </c>
      <c r="AX129" s="419">
        <v>0</v>
      </c>
      <c r="AY129" s="419">
        <v>0</v>
      </c>
      <c r="AZ129" s="419">
        <v>0</v>
      </c>
      <c r="BA129" s="419">
        <v>0</v>
      </c>
      <c r="BB129" s="607">
        <v>0.02</v>
      </c>
      <c r="BC129" s="93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0.02</v>
      </c>
      <c r="BH129" s="421">
        <f>SUM(BF129:BG129)</f>
        <v>0.02</v>
      </c>
      <c r="BI129" s="780">
        <f>I129+AW129</f>
        <v>26894</v>
      </c>
      <c r="BJ129" s="418">
        <f>J129+AF129</f>
        <v>19250</v>
      </c>
      <c r="BK129" s="418">
        <f t="shared" si="233"/>
        <v>0</v>
      </c>
      <c r="BL129" s="418">
        <f t="shared" si="233"/>
        <v>19250</v>
      </c>
      <c r="BM129" s="418">
        <f>M129+AN129</f>
        <v>0</v>
      </c>
      <c r="BN129" s="418">
        <f t="shared" si="234"/>
        <v>0</v>
      </c>
      <c r="BO129" s="418">
        <f t="shared" si="234"/>
        <v>0</v>
      </c>
      <c r="BP129" s="418">
        <f t="shared" si="235"/>
        <v>6507</v>
      </c>
      <c r="BQ129" s="418">
        <f t="shared" si="235"/>
        <v>192</v>
      </c>
      <c r="BR129" s="418">
        <f>R129+AV129</f>
        <v>945</v>
      </c>
      <c r="BS129" s="419">
        <f>S129+BH129</f>
        <v>7.0000000000000007E-2</v>
      </c>
      <c r="BT129" s="419">
        <f t="shared" si="236"/>
        <v>0</v>
      </c>
      <c r="BU129" s="421">
        <f t="shared" si="236"/>
        <v>7.0000000000000007E-2</v>
      </c>
      <c r="BV129" s="420"/>
      <c r="BW129" s="415"/>
      <c r="BX129" s="415"/>
      <c r="BY129" s="415"/>
      <c r="BZ129" s="415"/>
      <c r="CA129" s="510"/>
    </row>
    <row r="130" spans="1:79" s="221" customFormat="1" x14ac:dyDescent="0.2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13"/>
      <c r="I130" s="452">
        <v>14071782</v>
      </c>
      <c r="J130" s="445">
        <v>10411406</v>
      </c>
      <c r="K130" s="445">
        <v>9173075</v>
      </c>
      <c r="L130" s="445">
        <v>1238331</v>
      </c>
      <c r="M130" s="445">
        <v>0</v>
      </c>
      <c r="N130" s="445">
        <v>0</v>
      </c>
      <c r="O130" s="445">
        <v>0</v>
      </c>
      <c r="P130" s="445">
        <v>3519055</v>
      </c>
      <c r="Q130" s="445">
        <v>104114</v>
      </c>
      <c r="R130" s="445">
        <v>37207</v>
      </c>
      <c r="S130" s="446">
        <v>21.4635</v>
      </c>
      <c r="T130" s="446">
        <v>17.5</v>
      </c>
      <c r="U130" s="450">
        <v>3.9634999999999998</v>
      </c>
      <c r="V130" s="448">
        <f t="shared" ref="V130:CA130" si="237">SUM(V125:V129)</f>
        <v>0</v>
      </c>
      <c r="W130" s="445">
        <f t="shared" si="237"/>
        <v>0</v>
      </c>
      <c r="X130" s="445">
        <f t="shared" si="237"/>
        <v>0</v>
      </c>
      <c r="Y130" s="445">
        <f t="shared" si="237"/>
        <v>0</v>
      </c>
      <c r="Z130" s="445">
        <f t="shared" si="237"/>
        <v>0</v>
      </c>
      <c r="AA130" s="445">
        <f t="shared" si="237"/>
        <v>326272</v>
      </c>
      <c r="AB130" s="445">
        <f t="shared" si="237"/>
        <v>0</v>
      </c>
      <c r="AC130" s="445">
        <f t="shared" si="237"/>
        <v>0</v>
      </c>
      <c r="AD130" s="445">
        <f t="shared" si="237"/>
        <v>0</v>
      </c>
      <c r="AE130" s="445">
        <f t="shared" si="237"/>
        <v>326272</v>
      </c>
      <c r="AF130" s="445">
        <f t="shared" si="237"/>
        <v>326272</v>
      </c>
      <c r="AG130" s="445">
        <f t="shared" si="237"/>
        <v>0</v>
      </c>
      <c r="AH130" s="445">
        <f t="shared" si="237"/>
        <v>0</v>
      </c>
      <c r="AI130" s="445">
        <f t="shared" si="237"/>
        <v>0</v>
      </c>
      <c r="AJ130" s="445">
        <f t="shared" si="237"/>
        <v>0</v>
      </c>
      <c r="AK130" s="445">
        <f t="shared" si="237"/>
        <v>0</v>
      </c>
      <c r="AL130" s="445">
        <f t="shared" si="237"/>
        <v>0</v>
      </c>
      <c r="AM130" s="445">
        <f t="shared" si="237"/>
        <v>0</v>
      </c>
      <c r="AN130" s="445">
        <f t="shared" si="237"/>
        <v>0</v>
      </c>
      <c r="AO130" s="445">
        <f t="shared" si="237"/>
        <v>0</v>
      </c>
      <c r="AP130" s="445">
        <f t="shared" si="237"/>
        <v>326272</v>
      </c>
      <c r="AQ130" s="445">
        <f t="shared" si="237"/>
        <v>326272</v>
      </c>
      <c r="AR130" s="445">
        <f t="shared" si="237"/>
        <v>110280</v>
      </c>
      <c r="AS130" s="445">
        <f t="shared" si="237"/>
        <v>3263</v>
      </c>
      <c r="AT130" s="445">
        <f t="shared" si="237"/>
        <v>0</v>
      </c>
      <c r="AU130" s="445">
        <f t="shared" si="237"/>
        <v>2389</v>
      </c>
      <c r="AV130" s="445">
        <f t="shared" si="237"/>
        <v>2389</v>
      </c>
      <c r="AW130" s="445">
        <f t="shared" si="237"/>
        <v>442204</v>
      </c>
      <c r="AX130" s="446">
        <f t="shared" si="237"/>
        <v>0</v>
      </c>
      <c r="AY130" s="446">
        <f t="shared" si="237"/>
        <v>0</v>
      </c>
      <c r="AZ130" s="446">
        <f t="shared" si="237"/>
        <v>0</v>
      </c>
      <c r="BA130" s="446">
        <f t="shared" si="237"/>
        <v>0</v>
      </c>
      <c r="BB130" s="446">
        <f t="shared" si="237"/>
        <v>0.98</v>
      </c>
      <c r="BC130" s="948">
        <f t="shared" si="237"/>
        <v>0</v>
      </c>
      <c r="BD130" s="446">
        <f t="shared" si="237"/>
        <v>0</v>
      </c>
      <c r="BE130" s="446">
        <f t="shared" si="237"/>
        <v>0</v>
      </c>
      <c r="BF130" s="446">
        <f t="shared" si="237"/>
        <v>0</v>
      </c>
      <c r="BG130" s="446">
        <f t="shared" si="237"/>
        <v>0.98</v>
      </c>
      <c r="BH130" s="39">
        <f t="shared" si="237"/>
        <v>0.98</v>
      </c>
      <c r="BI130" s="452">
        <f t="shared" si="237"/>
        <v>14513986</v>
      </c>
      <c r="BJ130" s="445">
        <f t="shared" si="237"/>
        <v>10737678</v>
      </c>
      <c r="BK130" s="445">
        <f t="shared" si="237"/>
        <v>9173075</v>
      </c>
      <c r="BL130" s="445">
        <f t="shared" si="237"/>
        <v>1564603</v>
      </c>
      <c r="BM130" s="445">
        <f t="shared" si="237"/>
        <v>0</v>
      </c>
      <c r="BN130" s="445">
        <f t="shared" si="237"/>
        <v>0</v>
      </c>
      <c r="BO130" s="445">
        <f t="shared" si="237"/>
        <v>0</v>
      </c>
      <c r="BP130" s="445">
        <f t="shared" si="237"/>
        <v>3629335</v>
      </c>
      <c r="BQ130" s="445">
        <f t="shared" si="237"/>
        <v>107377</v>
      </c>
      <c r="BR130" s="445">
        <f t="shared" si="237"/>
        <v>39596</v>
      </c>
      <c r="BS130" s="446">
        <f t="shared" si="237"/>
        <v>22.4435</v>
      </c>
      <c r="BT130" s="446">
        <f t="shared" si="237"/>
        <v>17.5</v>
      </c>
      <c r="BU130" s="39">
        <f t="shared" si="237"/>
        <v>4.9435000000000002</v>
      </c>
      <c r="BV130" s="833">
        <f t="shared" si="237"/>
        <v>0</v>
      </c>
      <c r="BW130" s="715">
        <f t="shared" si="237"/>
        <v>0</v>
      </c>
      <c r="BX130" s="715">
        <f t="shared" si="237"/>
        <v>0</v>
      </c>
      <c r="BY130" s="715">
        <f t="shared" si="237"/>
        <v>0</v>
      </c>
      <c r="BZ130" s="715">
        <f t="shared" si="237"/>
        <v>0</v>
      </c>
      <c r="CA130" s="834">
        <f t="shared" si="237"/>
        <v>0</v>
      </c>
    </row>
    <row r="131" spans="1:79" s="221" customFormat="1" x14ac:dyDescent="0.2">
      <c r="A131" s="209">
        <v>24</v>
      </c>
      <c r="B131" s="210">
        <v>4429</v>
      </c>
      <c r="C131" s="210">
        <v>600074595</v>
      </c>
      <c r="D131" s="210">
        <v>70698520</v>
      </c>
      <c r="E131" s="208" t="s">
        <v>192</v>
      </c>
      <c r="F131" s="210">
        <v>3111</v>
      </c>
      <c r="G131" s="165" t="s">
        <v>290</v>
      </c>
      <c r="H131" s="626" t="s">
        <v>271</v>
      </c>
      <c r="I131" s="511">
        <v>1477989</v>
      </c>
      <c r="J131" s="415">
        <v>1080558</v>
      </c>
      <c r="K131" s="415">
        <v>1020654</v>
      </c>
      <c r="L131" s="415">
        <v>59904</v>
      </c>
      <c r="M131" s="415">
        <v>12000</v>
      </c>
      <c r="N131" s="415">
        <v>12000</v>
      </c>
      <c r="O131" s="415">
        <v>0</v>
      </c>
      <c r="P131" s="68">
        <v>369285</v>
      </c>
      <c r="Q131" s="68">
        <v>10806</v>
      </c>
      <c r="R131" s="415">
        <v>5340</v>
      </c>
      <c r="S131" s="416">
        <v>2.2400000000000002</v>
      </c>
      <c r="T131" s="417">
        <v>2</v>
      </c>
      <c r="U131" s="423">
        <v>0.24</v>
      </c>
      <c r="V131" s="424">
        <f t="shared" ref="V131:W136" si="238">AG131*-1</f>
        <v>0</v>
      </c>
      <c r="W131" s="418">
        <f t="shared" si="238"/>
        <v>0</v>
      </c>
      <c r="X131" s="418">
        <v>0</v>
      </c>
      <c r="Y131" s="418">
        <v>0</v>
      </c>
      <c r="Z131" s="418">
        <v>0</v>
      </c>
      <c r="AA131" s="415">
        <v>0</v>
      </c>
      <c r="AB131" s="418">
        <v>0</v>
      </c>
      <c r="AC131" s="418">
        <v>0</v>
      </c>
      <c r="AD131" s="418">
        <f t="shared" ref="AD131:AD136" si="239">V131+X131+Y131+Z131+AB131</f>
        <v>0</v>
      </c>
      <c r="AE131" s="418">
        <f t="shared" ref="AE131:AE136" si="240">W131+AA131+AC131</f>
        <v>0</v>
      </c>
      <c r="AF131" s="418">
        <f t="shared" ref="AF131:AF136" si="241">SUM(AD131:AE131)</f>
        <v>0</v>
      </c>
      <c r="AG131" s="418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242">AG131+AI131+AJ131</f>
        <v>0</v>
      </c>
      <c r="AM131" s="418">
        <f t="shared" ref="AM131:AM136" si="243">AH131+AK131</f>
        <v>0</v>
      </c>
      <c r="AN131" s="418">
        <f t="shared" ref="AN131:AN136" si="244">SUM(AL131:AM131)</f>
        <v>0</v>
      </c>
      <c r="AO131" s="418">
        <f t="shared" ref="AO131:AP136" si="245">AD131+AL131</f>
        <v>0</v>
      </c>
      <c r="AP131" s="418">
        <f t="shared" si="245"/>
        <v>0</v>
      </c>
      <c r="AQ131" s="418">
        <f t="shared" ref="AQ131:AQ136" si="246">SUM(AO131:AP131)</f>
        <v>0</v>
      </c>
      <c r="AR131" s="68">
        <f t="shared" ref="AR131:AR136" si="247">ROUND((AF131+AG131+AH131+AI131)*33.8%,0)</f>
        <v>0</v>
      </c>
      <c r="AS131" s="68">
        <f t="shared" ref="AS131:AS136" si="248">ROUND(AF131*1%,0)</f>
        <v>0</v>
      </c>
      <c r="AT131" s="418">
        <v>0</v>
      </c>
      <c r="AU131" s="415">
        <v>0</v>
      </c>
      <c r="AV131" s="418">
        <f t="shared" ref="AV131:AV136" si="249">AT131+AU131</f>
        <v>0</v>
      </c>
      <c r="AW131" s="418">
        <f t="shared" ref="AW131:AW136" si="250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6">
        <v>0</v>
      </c>
      <c r="BC131" s="939">
        <v>0</v>
      </c>
      <c r="BD131" s="419">
        <v>0</v>
      </c>
      <c r="BE131" s="419">
        <v>0</v>
      </c>
      <c r="BF131" s="419">
        <f t="shared" ref="BF131:BF136" si="251">AX131+AZ131+BA131+BC131+BD131</f>
        <v>0</v>
      </c>
      <c r="BG131" s="419">
        <f t="shared" ref="BG131:BG136" si="252">AY131+BB131+BE131</f>
        <v>0</v>
      </c>
      <c r="BH131" s="421">
        <f t="shared" ref="BH131:BH136" si="253">SUM(BF131:BG131)</f>
        <v>0</v>
      </c>
      <c r="BI131" s="780">
        <f t="shared" ref="BI131:BI136" si="254">I131+AW131</f>
        <v>1477989</v>
      </c>
      <c r="BJ131" s="418">
        <f t="shared" ref="BJ131:BJ136" si="255">J131+AF131</f>
        <v>1080558</v>
      </c>
      <c r="BK131" s="418">
        <f t="shared" ref="BK131:BL136" si="256">K131+AD131</f>
        <v>1020654</v>
      </c>
      <c r="BL131" s="418">
        <f t="shared" si="256"/>
        <v>59904</v>
      </c>
      <c r="BM131" s="418">
        <f t="shared" ref="BM131:BM136" si="257">M131+AN131</f>
        <v>12000</v>
      </c>
      <c r="BN131" s="418">
        <f t="shared" ref="BN131:BO136" si="258">N131+AL131</f>
        <v>12000</v>
      </c>
      <c r="BO131" s="418">
        <f t="shared" si="258"/>
        <v>0</v>
      </c>
      <c r="BP131" s="418">
        <f t="shared" ref="BP131:BQ136" si="259">P131+AR131</f>
        <v>369285</v>
      </c>
      <c r="BQ131" s="418">
        <f t="shared" si="259"/>
        <v>10806</v>
      </c>
      <c r="BR131" s="418">
        <f t="shared" ref="BR131:BR136" si="260">R131+AV131</f>
        <v>5340</v>
      </c>
      <c r="BS131" s="419">
        <f t="shared" ref="BS131:BS136" si="261">S131+BH131</f>
        <v>2.2400000000000002</v>
      </c>
      <c r="BT131" s="419">
        <f t="shared" ref="BT131:BU136" si="262">T131+BF131</f>
        <v>2</v>
      </c>
      <c r="BU131" s="421">
        <f t="shared" si="262"/>
        <v>0.24</v>
      </c>
      <c r="BV131" s="826">
        <f>SUM(BW132:BZ132)</f>
        <v>0</v>
      </c>
      <c r="BW131" s="678"/>
      <c r="BX131" s="678"/>
      <c r="BY131" s="678"/>
      <c r="BZ131" s="678"/>
      <c r="CA131" s="827"/>
    </row>
    <row r="132" spans="1:79" s="221" customFormat="1" x14ac:dyDescent="0.2">
      <c r="A132" s="209">
        <v>24</v>
      </c>
      <c r="B132" s="210">
        <v>4429</v>
      </c>
      <c r="C132" s="210">
        <v>600074595</v>
      </c>
      <c r="D132" s="210">
        <v>70698520</v>
      </c>
      <c r="E132" s="208" t="s">
        <v>192</v>
      </c>
      <c r="F132" s="210">
        <v>3117</v>
      </c>
      <c r="G132" s="165" t="s">
        <v>293</v>
      </c>
      <c r="H132" s="626" t="s">
        <v>271</v>
      </c>
      <c r="I132" s="511">
        <v>3169275</v>
      </c>
      <c r="J132" s="415">
        <v>2309570</v>
      </c>
      <c r="K132" s="415">
        <v>2036500</v>
      </c>
      <c r="L132" s="415">
        <v>273070</v>
      </c>
      <c r="M132" s="415">
        <v>10000</v>
      </c>
      <c r="N132" s="415">
        <v>10000</v>
      </c>
      <c r="O132" s="415">
        <v>0</v>
      </c>
      <c r="P132" s="68">
        <v>784014</v>
      </c>
      <c r="Q132" s="68">
        <v>23096</v>
      </c>
      <c r="R132" s="415">
        <v>42595</v>
      </c>
      <c r="S132" s="416">
        <v>4.1524999999999999</v>
      </c>
      <c r="T132" s="417">
        <v>3.4550000000000001</v>
      </c>
      <c r="U132" s="423">
        <v>0.69750000000000001</v>
      </c>
      <c r="V132" s="424">
        <f t="shared" si="238"/>
        <v>0</v>
      </c>
      <c r="W132" s="418">
        <f t="shared" si="238"/>
        <v>0</v>
      </c>
      <c r="X132" s="418">
        <v>0</v>
      </c>
      <c r="Y132" s="418">
        <v>0</v>
      </c>
      <c r="Z132" s="418">
        <v>0</v>
      </c>
      <c r="AA132" s="415">
        <v>0</v>
      </c>
      <c r="AB132" s="418">
        <v>0</v>
      </c>
      <c r="AC132" s="418">
        <v>0</v>
      </c>
      <c r="AD132" s="418">
        <f t="shared" si="239"/>
        <v>0</v>
      </c>
      <c r="AE132" s="418">
        <f t="shared" si="240"/>
        <v>0</v>
      </c>
      <c r="AF132" s="418">
        <f t="shared" si="241"/>
        <v>0</v>
      </c>
      <c r="AG132" s="418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242"/>
        <v>0</v>
      </c>
      <c r="AM132" s="418">
        <f t="shared" si="243"/>
        <v>0</v>
      </c>
      <c r="AN132" s="418">
        <f t="shared" si="244"/>
        <v>0</v>
      </c>
      <c r="AO132" s="418">
        <f t="shared" si="245"/>
        <v>0</v>
      </c>
      <c r="AP132" s="418">
        <f t="shared" si="245"/>
        <v>0</v>
      </c>
      <c r="AQ132" s="418">
        <f t="shared" si="246"/>
        <v>0</v>
      </c>
      <c r="AR132" s="68">
        <f t="shared" si="247"/>
        <v>0</v>
      </c>
      <c r="AS132" s="68">
        <f t="shared" si="248"/>
        <v>0</v>
      </c>
      <c r="AT132" s="418">
        <v>0</v>
      </c>
      <c r="AU132" s="415">
        <v>0</v>
      </c>
      <c r="AV132" s="418">
        <f t="shared" si="249"/>
        <v>0</v>
      </c>
      <c r="AW132" s="418">
        <f t="shared" si="250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6">
        <v>0</v>
      </c>
      <c r="BC132" s="939">
        <v>0</v>
      </c>
      <c r="BD132" s="419">
        <v>0</v>
      </c>
      <c r="BE132" s="419">
        <v>0</v>
      </c>
      <c r="BF132" s="419">
        <f t="shared" si="251"/>
        <v>0</v>
      </c>
      <c r="BG132" s="419">
        <f t="shared" si="252"/>
        <v>0</v>
      </c>
      <c r="BH132" s="421">
        <f t="shared" si="253"/>
        <v>0</v>
      </c>
      <c r="BI132" s="780">
        <f t="shared" si="254"/>
        <v>3169275</v>
      </c>
      <c r="BJ132" s="418">
        <f t="shared" si="255"/>
        <v>2309570</v>
      </c>
      <c r="BK132" s="418">
        <f t="shared" si="256"/>
        <v>2036500</v>
      </c>
      <c r="BL132" s="418">
        <f t="shared" si="256"/>
        <v>273070</v>
      </c>
      <c r="BM132" s="418">
        <f t="shared" si="257"/>
        <v>10000</v>
      </c>
      <c r="BN132" s="418">
        <f t="shared" si="258"/>
        <v>10000</v>
      </c>
      <c r="BO132" s="418">
        <f t="shared" si="258"/>
        <v>0</v>
      </c>
      <c r="BP132" s="418">
        <f t="shared" si="259"/>
        <v>784014</v>
      </c>
      <c r="BQ132" s="418">
        <f t="shared" si="259"/>
        <v>23096</v>
      </c>
      <c r="BR132" s="418">
        <f t="shared" si="260"/>
        <v>42595</v>
      </c>
      <c r="BS132" s="419">
        <f t="shared" si="261"/>
        <v>4.1524999999999999</v>
      </c>
      <c r="BT132" s="419">
        <f t="shared" si="262"/>
        <v>3.4550000000000001</v>
      </c>
      <c r="BU132" s="421">
        <f t="shared" si="262"/>
        <v>0.69750000000000001</v>
      </c>
      <c r="BV132" s="420"/>
      <c r="BW132" s="415"/>
      <c r="BX132" s="415"/>
      <c r="BY132" s="415"/>
      <c r="BZ132" s="415"/>
      <c r="CA132" s="510"/>
    </row>
    <row r="133" spans="1:79" s="221" customFormat="1" x14ac:dyDescent="0.2">
      <c r="A133" s="209">
        <v>24</v>
      </c>
      <c r="B133" s="210">
        <v>4429</v>
      </c>
      <c r="C133" s="210">
        <v>600074595</v>
      </c>
      <c r="D133" s="210">
        <v>70698520</v>
      </c>
      <c r="E133" s="208" t="s">
        <v>192</v>
      </c>
      <c r="F133" s="210">
        <v>3117</v>
      </c>
      <c r="G133" s="165" t="s">
        <v>291</v>
      </c>
      <c r="H133" s="626" t="s">
        <v>272</v>
      </c>
      <c r="I133" s="511">
        <v>1053879</v>
      </c>
      <c r="J133" s="415">
        <v>781810</v>
      </c>
      <c r="K133" s="415">
        <v>781810</v>
      </c>
      <c r="L133" s="415">
        <v>0</v>
      </c>
      <c r="M133" s="415">
        <v>0</v>
      </c>
      <c r="N133" s="415">
        <v>0</v>
      </c>
      <c r="O133" s="415">
        <v>0</v>
      </c>
      <c r="P133" s="68">
        <v>264251</v>
      </c>
      <c r="Q133" s="68">
        <v>7818</v>
      </c>
      <c r="R133" s="415">
        <v>0</v>
      </c>
      <c r="S133" s="416">
        <v>2.0999999999999996</v>
      </c>
      <c r="T133" s="417">
        <v>2.0999999999999996</v>
      </c>
      <c r="U133" s="423">
        <v>0</v>
      </c>
      <c r="V133" s="424">
        <f t="shared" si="238"/>
        <v>0</v>
      </c>
      <c r="W133" s="418">
        <f t="shared" si="238"/>
        <v>0</v>
      </c>
      <c r="X133" s="418">
        <v>0</v>
      </c>
      <c r="Y133" s="418">
        <v>0</v>
      </c>
      <c r="Z133" s="418">
        <v>0</v>
      </c>
      <c r="AA133" s="415">
        <v>0</v>
      </c>
      <c r="AB133" s="418">
        <v>0</v>
      </c>
      <c r="AC133" s="418">
        <v>0</v>
      </c>
      <c r="AD133" s="418">
        <f t="shared" si="239"/>
        <v>0</v>
      </c>
      <c r="AE133" s="418">
        <f t="shared" si="240"/>
        <v>0</v>
      </c>
      <c r="AF133" s="418">
        <f t="shared" si="241"/>
        <v>0</v>
      </c>
      <c r="AG133" s="418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242"/>
        <v>0</v>
      </c>
      <c r="AM133" s="418">
        <f t="shared" si="243"/>
        <v>0</v>
      </c>
      <c r="AN133" s="418">
        <f t="shared" si="244"/>
        <v>0</v>
      </c>
      <c r="AO133" s="418">
        <f t="shared" si="245"/>
        <v>0</v>
      </c>
      <c r="AP133" s="418">
        <f t="shared" si="245"/>
        <v>0</v>
      </c>
      <c r="AQ133" s="418">
        <f t="shared" si="246"/>
        <v>0</v>
      </c>
      <c r="AR133" s="68">
        <f t="shared" si="247"/>
        <v>0</v>
      </c>
      <c r="AS133" s="68">
        <f t="shared" si="248"/>
        <v>0</v>
      </c>
      <c r="AT133" s="418">
        <v>0</v>
      </c>
      <c r="AU133" s="415">
        <v>0</v>
      </c>
      <c r="AV133" s="418">
        <f t="shared" si="249"/>
        <v>0</v>
      </c>
      <c r="AW133" s="418">
        <f t="shared" si="250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6">
        <v>0</v>
      </c>
      <c r="BC133" s="939">
        <v>0</v>
      </c>
      <c r="BD133" s="419">
        <v>0</v>
      </c>
      <c r="BE133" s="419">
        <v>0</v>
      </c>
      <c r="BF133" s="419">
        <f t="shared" si="251"/>
        <v>0</v>
      </c>
      <c r="BG133" s="419">
        <f t="shared" si="252"/>
        <v>0</v>
      </c>
      <c r="BH133" s="421">
        <f t="shared" si="253"/>
        <v>0</v>
      </c>
      <c r="BI133" s="780">
        <f t="shared" si="254"/>
        <v>1053879</v>
      </c>
      <c r="BJ133" s="418">
        <f t="shared" si="255"/>
        <v>781810</v>
      </c>
      <c r="BK133" s="418">
        <f t="shared" si="256"/>
        <v>781810</v>
      </c>
      <c r="BL133" s="418">
        <f t="shared" si="256"/>
        <v>0</v>
      </c>
      <c r="BM133" s="418">
        <f t="shared" si="257"/>
        <v>0</v>
      </c>
      <c r="BN133" s="418">
        <f t="shared" si="258"/>
        <v>0</v>
      </c>
      <c r="BO133" s="418">
        <f t="shared" si="258"/>
        <v>0</v>
      </c>
      <c r="BP133" s="418">
        <f t="shared" si="259"/>
        <v>264251</v>
      </c>
      <c r="BQ133" s="418">
        <f t="shared" si="259"/>
        <v>7818</v>
      </c>
      <c r="BR133" s="418">
        <f t="shared" si="260"/>
        <v>0</v>
      </c>
      <c r="BS133" s="419">
        <f t="shared" si="261"/>
        <v>2.0999999999999996</v>
      </c>
      <c r="BT133" s="419">
        <f t="shared" si="262"/>
        <v>2.0999999999999996</v>
      </c>
      <c r="BU133" s="421">
        <f t="shared" si="262"/>
        <v>0</v>
      </c>
      <c r="BV133" s="420"/>
      <c r="BW133" s="415"/>
      <c r="BX133" s="415"/>
      <c r="BY133" s="415"/>
      <c r="BZ133" s="415"/>
      <c r="CA133" s="510"/>
    </row>
    <row r="134" spans="1:79" s="221" customFormat="1" x14ac:dyDescent="0.2">
      <c r="A134" s="209">
        <v>24</v>
      </c>
      <c r="B134" s="210">
        <v>4429</v>
      </c>
      <c r="C134" s="210">
        <v>600074595</v>
      </c>
      <c r="D134" s="210">
        <v>70698520</v>
      </c>
      <c r="E134" s="208" t="s">
        <v>192</v>
      </c>
      <c r="F134" s="210">
        <v>3141</v>
      </c>
      <c r="G134" s="165" t="s">
        <v>294</v>
      </c>
      <c r="H134" s="626" t="s">
        <v>272</v>
      </c>
      <c r="I134" s="511">
        <v>439104</v>
      </c>
      <c r="J134" s="415">
        <v>324576</v>
      </c>
      <c r="K134" s="415">
        <v>0</v>
      </c>
      <c r="L134" s="415">
        <v>324576</v>
      </c>
      <c r="M134" s="415">
        <v>0</v>
      </c>
      <c r="N134" s="415">
        <v>0</v>
      </c>
      <c r="O134" s="415">
        <v>0</v>
      </c>
      <c r="P134" s="68">
        <v>109707</v>
      </c>
      <c r="Q134" s="68">
        <v>3246</v>
      </c>
      <c r="R134" s="415">
        <v>1575</v>
      </c>
      <c r="S134" s="416">
        <v>0.97</v>
      </c>
      <c r="T134" s="417">
        <v>0</v>
      </c>
      <c r="U134" s="423">
        <v>0.97</v>
      </c>
      <c r="V134" s="424">
        <f t="shared" si="238"/>
        <v>0</v>
      </c>
      <c r="W134" s="418">
        <f t="shared" si="238"/>
        <v>0</v>
      </c>
      <c r="X134" s="418">
        <v>0</v>
      </c>
      <c r="Y134" s="418">
        <v>0</v>
      </c>
      <c r="Z134" s="418">
        <v>0</v>
      </c>
      <c r="AA134" s="605">
        <v>162853</v>
      </c>
      <c r="AB134" s="418">
        <v>0</v>
      </c>
      <c r="AC134" s="418">
        <v>0</v>
      </c>
      <c r="AD134" s="418">
        <f t="shared" si="239"/>
        <v>0</v>
      </c>
      <c r="AE134" s="418">
        <f t="shared" si="240"/>
        <v>162853</v>
      </c>
      <c r="AF134" s="418">
        <f t="shared" si="241"/>
        <v>162853</v>
      </c>
      <c r="AG134" s="418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242"/>
        <v>0</v>
      </c>
      <c r="AM134" s="418">
        <f t="shared" si="243"/>
        <v>0</v>
      </c>
      <c r="AN134" s="418">
        <f t="shared" si="244"/>
        <v>0</v>
      </c>
      <c r="AO134" s="418">
        <f t="shared" si="245"/>
        <v>0</v>
      </c>
      <c r="AP134" s="418">
        <f t="shared" si="245"/>
        <v>162853</v>
      </c>
      <c r="AQ134" s="418">
        <f t="shared" si="246"/>
        <v>162853</v>
      </c>
      <c r="AR134" s="68">
        <f t="shared" si="247"/>
        <v>55044</v>
      </c>
      <c r="AS134" s="68">
        <f t="shared" si="248"/>
        <v>1629</v>
      </c>
      <c r="AT134" s="418">
        <v>0</v>
      </c>
      <c r="AU134" s="605">
        <v>765</v>
      </c>
      <c r="AV134" s="418">
        <f t="shared" si="249"/>
        <v>765</v>
      </c>
      <c r="AW134" s="418">
        <f t="shared" si="250"/>
        <v>220291</v>
      </c>
      <c r="AX134" s="419">
        <v>0</v>
      </c>
      <c r="AY134" s="419">
        <v>0</v>
      </c>
      <c r="AZ134" s="419">
        <v>0</v>
      </c>
      <c r="BA134" s="419">
        <v>0</v>
      </c>
      <c r="BB134" s="607">
        <v>0.49</v>
      </c>
      <c r="BC134" s="939">
        <v>0</v>
      </c>
      <c r="BD134" s="419">
        <v>0</v>
      </c>
      <c r="BE134" s="419">
        <v>0</v>
      </c>
      <c r="BF134" s="419">
        <f t="shared" si="251"/>
        <v>0</v>
      </c>
      <c r="BG134" s="419">
        <f t="shared" si="252"/>
        <v>0.49</v>
      </c>
      <c r="BH134" s="421">
        <f t="shared" si="253"/>
        <v>0.49</v>
      </c>
      <c r="BI134" s="780">
        <f t="shared" si="254"/>
        <v>659395</v>
      </c>
      <c r="BJ134" s="418">
        <f t="shared" si="255"/>
        <v>487429</v>
      </c>
      <c r="BK134" s="418">
        <f t="shared" si="256"/>
        <v>0</v>
      </c>
      <c r="BL134" s="418">
        <f t="shared" si="256"/>
        <v>487429</v>
      </c>
      <c r="BM134" s="418">
        <f t="shared" si="257"/>
        <v>0</v>
      </c>
      <c r="BN134" s="418">
        <f t="shared" si="258"/>
        <v>0</v>
      </c>
      <c r="BO134" s="418">
        <f t="shared" si="258"/>
        <v>0</v>
      </c>
      <c r="BP134" s="418">
        <f t="shared" si="259"/>
        <v>164751</v>
      </c>
      <c r="BQ134" s="418">
        <f t="shared" si="259"/>
        <v>4875</v>
      </c>
      <c r="BR134" s="418">
        <f t="shared" si="260"/>
        <v>2340</v>
      </c>
      <c r="BS134" s="419">
        <f t="shared" si="261"/>
        <v>1.46</v>
      </c>
      <c r="BT134" s="419">
        <f t="shared" si="262"/>
        <v>0</v>
      </c>
      <c r="BU134" s="421">
        <f t="shared" si="262"/>
        <v>1.46</v>
      </c>
      <c r="BV134" s="420"/>
      <c r="BW134" s="415"/>
      <c r="BX134" s="415"/>
      <c r="BY134" s="415"/>
      <c r="BZ134" s="415"/>
      <c r="CA134" s="510"/>
    </row>
    <row r="135" spans="1:79" s="221" customFormat="1" x14ac:dyDescent="0.2">
      <c r="A135" s="209">
        <v>24</v>
      </c>
      <c r="B135" s="210">
        <v>4429</v>
      </c>
      <c r="C135" s="210">
        <v>600074595</v>
      </c>
      <c r="D135" s="210">
        <v>70698520</v>
      </c>
      <c r="E135" s="208" t="s">
        <v>192</v>
      </c>
      <c r="F135" s="210">
        <v>3143</v>
      </c>
      <c r="G135" s="165" t="s">
        <v>595</v>
      </c>
      <c r="H135" s="614" t="s">
        <v>271</v>
      </c>
      <c r="I135" s="511">
        <v>803855</v>
      </c>
      <c r="J135" s="415">
        <v>596332</v>
      </c>
      <c r="K135" s="415">
        <v>596332</v>
      </c>
      <c r="L135" s="415">
        <v>0</v>
      </c>
      <c r="M135" s="415">
        <v>0</v>
      </c>
      <c r="N135" s="415">
        <v>0</v>
      </c>
      <c r="O135" s="415">
        <v>0</v>
      </c>
      <c r="P135" s="68">
        <v>201560</v>
      </c>
      <c r="Q135" s="68">
        <v>5963</v>
      </c>
      <c r="R135" s="415">
        <v>0</v>
      </c>
      <c r="S135" s="416">
        <v>1.1607000000000001</v>
      </c>
      <c r="T135" s="417">
        <v>1.1607000000000001</v>
      </c>
      <c r="U135" s="423">
        <v>0</v>
      </c>
      <c r="V135" s="424">
        <f t="shared" si="238"/>
        <v>0</v>
      </c>
      <c r="W135" s="418">
        <f t="shared" si="238"/>
        <v>0</v>
      </c>
      <c r="X135" s="418">
        <v>0</v>
      </c>
      <c r="Y135" s="418">
        <v>0</v>
      </c>
      <c r="Z135" s="418">
        <v>0</v>
      </c>
      <c r="AA135" s="415">
        <v>0</v>
      </c>
      <c r="AB135" s="418">
        <v>0</v>
      </c>
      <c r="AC135" s="418">
        <v>0</v>
      </c>
      <c r="AD135" s="418">
        <f t="shared" si="239"/>
        <v>0</v>
      </c>
      <c r="AE135" s="418">
        <f t="shared" si="240"/>
        <v>0</v>
      </c>
      <c r="AF135" s="418">
        <f t="shared" si="241"/>
        <v>0</v>
      </c>
      <c r="AG135" s="418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242"/>
        <v>0</v>
      </c>
      <c r="AM135" s="418">
        <f t="shared" si="243"/>
        <v>0</v>
      </c>
      <c r="AN135" s="418">
        <f t="shared" si="244"/>
        <v>0</v>
      </c>
      <c r="AO135" s="418">
        <f t="shared" si="245"/>
        <v>0</v>
      </c>
      <c r="AP135" s="418">
        <f t="shared" si="245"/>
        <v>0</v>
      </c>
      <c r="AQ135" s="418">
        <f t="shared" si="246"/>
        <v>0</v>
      </c>
      <c r="AR135" s="68">
        <f t="shared" si="247"/>
        <v>0</v>
      </c>
      <c r="AS135" s="68">
        <f t="shared" si="248"/>
        <v>0</v>
      </c>
      <c r="AT135" s="418">
        <v>0</v>
      </c>
      <c r="AU135" s="415">
        <v>0</v>
      </c>
      <c r="AV135" s="418">
        <f t="shared" si="249"/>
        <v>0</v>
      </c>
      <c r="AW135" s="418">
        <f t="shared" si="250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6">
        <v>0</v>
      </c>
      <c r="BC135" s="939">
        <v>0</v>
      </c>
      <c r="BD135" s="419">
        <v>0</v>
      </c>
      <c r="BE135" s="419">
        <v>0</v>
      </c>
      <c r="BF135" s="419">
        <f t="shared" si="251"/>
        <v>0</v>
      </c>
      <c r="BG135" s="419">
        <f t="shared" si="252"/>
        <v>0</v>
      </c>
      <c r="BH135" s="421">
        <f t="shared" si="253"/>
        <v>0</v>
      </c>
      <c r="BI135" s="780">
        <f t="shared" si="254"/>
        <v>803855</v>
      </c>
      <c r="BJ135" s="418">
        <f t="shared" si="255"/>
        <v>596332</v>
      </c>
      <c r="BK135" s="418">
        <f t="shared" si="256"/>
        <v>596332</v>
      </c>
      <c r="BL135" s="418">
        <f t="shared" si="256"/>
        <v>0</v>
      </c>
      <c r="BM135" s="418">
        <f t="shared" si="257"/>
        <v>0</v>
      </c>
      <c r="BN135" s="418">
        <f t="shared" si="258"/>
        <v>0</v>
      </c>
      <c r="BO135" s="418">
        <f t="shared" si="258"/>
        <v>0</v>
      </c>
      <c r="BP135" s="418">
        <f t="shared" si="259"/>
        <v>201560</v>
      </c>
      <c r="BQ135" s="418">
        <f t="shared" si="259"/>
        <v>5963</v>
      </c>
      <c r="BR135" s="418">
        <f t="shared" si="260"/>
        <v>0</v>
      </c>
      <c r="BS135" s="419">
        <f t="shared" si="261"/>
        <v>1.1607000000000001</v>
      </c>
      <c r="BT135" s="419">
        <f t="shared" si="262"/>
        <v>1.1607000000000001</v>
      </c>
      <c r="BU135" s="421">
        <f t="shared" si="262"/>
        <v>0</v>
      </c>
      <c r="BV135" s="420"/>
      <c r="BW135" s="415"/>
      <c r="BX135" s="415"/>
      <c r="BY135" s="415"/>
      <c r="BZ135" s="415"/>
      <c r="CA135" s="510"/>
    </row>
    <row r="136" spans="1:79" s="221" customFormat="1" x14ac:dyDescent="0.2">
      <c r="A136" s="209">
        <v>24</v>
      </c>
      <c r="B136" s="210">
        <v>4429</v>
      </c>
      <c r="C136" s="210">
        <v>600074595</v>
      </c>
      <c r="D136" s="210">
        <v>70698520</v>
      </c>
      <c r="E136" s="208" t="s">
        <v>192</v>
      </c>
      <c r="F136" s="210">
        <v>3143</v>
      </c>
      <c r="G136" s="165" t="s">
        <v>596</v>
      </c>
      <c r="H136" s="614" t="s">
        <v>272</v>
      </c>
      <c r="I136" s="511">
        <v>13314</v>
      </c>
      <c r="J136" s="415">
        <v>9530</v>
      </c>
      <c r="K136" s="415">
        <v>0</v>
      </c>
      <c r="L136" s="415">
        <v>9530</v>
      </c>
      <c r="M136" s="415">
        <v>0</v>
      </c>
      <c r="N136" s="415">
        <v>0</v>
      </c>
      <c r="O136" s="415">
        <v>0</v>
      </c>
      <c r="P136" s="68">
        <v>3221</v>
      </c>
      <c r="Q136" s="68">
        <v>95</v>
      </c>
      <c r="R136" s="415">
        <v>468</v>
      </c>
      <c r="S136" s="416">
        <v>0.04</v>
      </c>
      <c r="T136" s="417">
        <v>0</v>
      </c>
      <c r="U136" s="423">
        <v>0.04</v>
      </c>
      <c r="V136" s="424">
        <f t="shared" si="238"/>
        <v>0</v>
      </c>
      <c r="W136" s="418">
        <f t="shared" si="238"/>
        <v>0</v>
      </c>
      <c r="X136" s="418">
        <v>0</v>
      </c>
      <c r="Y136" s="418">
        <v>0</v>
      </c>
      <c r="Z136" s="418">
        <v>0</v>
      </c>
      <c r="AA136" s="605">
        <v>4770</v>
      </c>
      <c r="AB136" s="418">
        <v>0</v>
      </c>
      <c r="AC136" s="418">
        <v>0</v>
      </c>
      <c r="AD136" s="418">
        <f t="shared" si="239"/>
        <v>0</v>
      </c>
      <c r="AE136" s="418">
        <f t="shared" si="240"/>
        <v>4770</v>
      </c>
      <c r="AF136" s="418">
        <f t="shared" si="241"/>
        <v>4770</v>
      </c>
      <c r="AG136" s="418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242"/>
        <v>0</v>
      </c>
      <c r="AM136" s="418">
        <f t="shared" si="243"/>
        <v>0</v>
      </c>
      <c r="AN136" s="418">
        <f t="shared" si="244"/>
        <v>0</v>
      </c>
      <c r="AO136" s="418">
        <f t="shared" si="245"/>
        <v>0</v>
      </c>
      <c r="AP136" s="418">
        <f t="shared" si="245"/>
        <v>4770</v>
      </c>
      <c r="AQ136" s="418">
        <f t="shared" si="246"/>
        <v>4770</v>
      </c>
      <c r="AR136" s="68">
        <f t="shared" si="247"/>
        <v>1612</v>
      </c>
      <c r="AS136" s="68">
        <f t="shared" si="248"/>
        <v>48</v>
      </c>
      <c r="AT136" s="418">
        <v>0</v>
      </c>
      <c r="AU136" s="606">
        <v>234</v>
      </c>
      <c r="AV136" s="418">
        <f t="shared" si="249"/>
        <v>234</v>
      </c>
      <c r="AW136" s="418">
        <f t="shared" si="250"/>
        <v>6664</v>
      </c>
      <c r="AX136" s="419">
        <v>0</v>
      </c>
      <c r="AY136" s="419">
        <v>0</v>
      </c>
      <c r="AZ136" s="419">
        <v>0</v>
      </c>
      <c r="BA136" s="419">
        <v>0</v>
      </c>
      <c r="BB136" s="607">
        <v>0.02</v>
      </c>
      <c r="BC136" s="939">
        <v>0</v>
      </c>
      <c r="BD136" s="419">
        <v>0</v>
      </c>
      <c r="BE136" s="419">
        <v>0</v>
      </c>
      <c r="BF136" s="419">
        <f t="shared" si="251"/>
        <v>0</v>
      </c>
      <c r="BG136" s="419">
        <f t="shared" si="252"/>
        <v>0.02</v>
      </c>
      <c r="BH136" s="421">
        <f t="shared" si="253"/>
        <v>0.02</v>
      </c>
      <c r="BI136" s="780">
        <f t="shared" si="254"/>
        <v>19978</v>
      </c>
      <c r="BJ136" s="418">
        <f t="shared" si="255"/>
        <v>14300</v>
      </c>
      <c r="BK136" s="418">
        <f t="shared" si="256"/>
        <v>0</v>
      </c>
      <c r="BL136" s="418">
        <f t="shared" si="256"/>
        <v>14300</v>
      </c>
      <c r="BM136" s="418">
        <f t="shared" si="257"/>
        <v>0</v>
      </c>
      <c r="BN136" s="418">
        <f t="shared" si="258"/>
        <v>0</v>
      </c>
      <c r="BO136" s="418">
        <f t="shared" si="258"/>
        <v>0</v>
      </c>
      <c r="BP136" s="418">
        <f t="shared" si="259"/>
        <v>4833</v>
      </c>
      <c r="BQ136" s="418">
        <f t="shared" si="259"/>
        <v>143</v>
      </c>
      <c r="BR136" s="418">
        <f t="shared" si="260"/>
        <v>702</v>
      </c>
      <c r="BS136" s="419">
        <f t="shared" si="261"/>
        <v>0.06</v>
      </c>
      <c r="BT136" s="419">
        <f t="shared" si="262"/>
        <v>0</v>
      </c>
      <c r="BU136" s="421">
        <f t="shared" si="262"/>
        <v>0.06</v>
      </c>
      <c r="BV136" s="420"/>
      <c r="BW136" s="415"/>
      <c r="BX136" s="415"/>
      <c r="BY136" s="415"/>
      <c r="BZ136" s="415"/>
      <c r="CA136" s="510"/>
    </row>
    <row r="137" spans="1:79" s="221" customFormat="1" x14ac:dyDescent="0.2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13"/>
      <c r="I137" s="452">
        <v>6957416</v>
      </c>
      <c r="J137" s="445">
        <v>5102376</v>
      </c>
      <c r="K137" s="445">
        <v>4435296</v>
      </c>
      <c r="L137" s="445">
        <v>667080</v>
      </c>
      <c r="M137" s="445">
        <v>22000</v>
      </c>
      <c r="N137" s="445">
        <v>22000</v>
      </c>
      <c r="O137" s="445">
        <v>0</v>
      </c>
      <c r="P137" s="445">
        <v>1732038</v>
      </c>
      <c r="Q137" s="445">
        <v>51024</v>
      </c>
      <c r="R137" s="445">
        <v>49978</v>
      </c>
      <c r="S137" s="446">
        <v>10.6632</v>
      </c>
      <c r="T137" s="446">
        <v>8.7157</v>
      </c>
      <c r="U137" s="450">
        <v>1.9475</v>
      </c>
      <c r="V137" s="448">
        <f t="shared" ref="V137:CA137" si="263">SUM(V131:V136)</f>
        <v>0</v>
      </c>
      <c r="W137" s="445">
        <f t="shared" si="263"/>
        <v>0</v>
      </c>
      <c r="X137" s="445">
        <f t="shared" si="263"/>
        <v>0</v>
      </c>
      <c r="Y137" s="445">
        <f t="shared" si="263"/>
        <v>0</v>
      </c>
      <c r="Z137" s="445">
        <f t="shared" si="263"/>
        <v>0</v>
      </c>
      <c r="AA137" s="445">
        <f t="shared" si="263"/>
        <v>167623</v>
      </c>
      <c r="AB137" s="445">
        <f t="shared" si="263"/>
        <v>0</v>
      </c>
      <c r="AC137" s="445">
        <f t="shared" si="263"/>
        <v>0</v>
      </c>
      <c r="AD137" s="445">
        <f t="shared" si="263"/>
        <v>0</v>
      </c>
      <c r="AE137" s="445">
        <f t="shared" si="263"/>
        <v>167623</v>
      </c>
      <c r="AF137" s="445">
        <f t="shared" si="263"/>
        <v>167623</v>
      </c>
      <c r="AG137" s="445">
        <f t="shared" si="263"/>
        <v>0</v>
      </c>
      <c r="AH137" s="445">
        <f t="shared" si="263"/>
        <v>0</v>
      </c>
      <c r="AI137" s="445">
        <f t="shared" si="263"/>
        <v>0</v>
      </c>
      <c r="AJ137" s="445">
        <f t="shared" si="263"/>
        <v>0</v>
      </c>
      <c r="AK137" s="445">
        <f t="shared" si="263"/>
        <v>0</v>
      </c>
      <c r="AL137" s="445">
        <f t="shared" si="263"/>
        <v>0</v>
      </c>
      <c r="AM137" s="445">
        <f t="shared" si="263"/>
        <v>0</v>
      </c>
      <c r="AN137" s="445">
        <f t="shared" si="263"/>
        <v>0</v>
      </c>
      <c r="AO137" s="445">
        <f t="shared" si="263"/>
        <v>0</v>
      </c>
      <c r="AP137" s="445">
        <f t="shared" si="263"/>
        <v>167623</v>
      </c>
      <c r="AQ137" s="445">
        <f t="shared" si="263"/>
        <v>167623</v>
      </c>
      <c r="AR137" s="445">
        <f t="shared" si="263"/>
        <v>56656</v>
      </c>
      <c r="AS137" s="445">
        <f t="shared" si="263"/>
        <v>1677</v>
      </c>
      <c r="AT137" s="445">
        <f t="shared" si="263"/>
        <v>0</v>
      </c>
      <c r="AU137" s="445">
        <f t="shared" si="263"/>
        <v>999</v>
      </c>
      <c r="AV137" s="445">
        <f t="shared" si="263"/>
        <v>999</v>
      </c>
      <c r="AW137" s="445">
        <f t="shared" si="263"/>
        <v>226955</v>
      </c>
      <c r="AX137" s="446">
        <f t="shared" si="263"/>
        <v>0</v>
      </c>
      <c r="AY137" s="446">
        <f t="shared" si="263"/>
        <v>0</v>
      </c>
      <c r="AZ137" s="446">
        <f t="shared" si="263"/>
        <v>0</v>
      </c>
      <c r="BA137" s="446">
        <f t="shared" si="263"/>
        <v>0</v>
      </c>
      <c r="BB137" s="446">
        <f t="shared" si="263"/>
        <v>0.51</v>
      </c>
      <c r="BC137" s="948">
        <f t="shared" si="263"/>
        <v>0</v>
      </c>
      <c r="BD137" s="446">
        <f t="shared" si="263"/>
        <v>0</v>
      </c>
      <c r="BE137" s="446">
        <f t="shared" si="263"/>
        <v>0</v>
      </c>
      <c r="BF137" s="446">
        <f t="shared" si="263"/>
        <v>0</v>
      </c>
      <c r="BG137" s="446">
        <f t="shared" si="263"/>
        <v>0.51</v>
      </c>
      <c r="BH137" s="39">
        <f t="shared" si="263"/>
        <v>0.51</v>
      </c>
      <c r="BI137" s="452">
        <f t="shared" si="263"/>
        <v>7184371</v>
      </c>
      <c r="BJ137" s="445">
        <f t="shared" si="263"/>
        <v>5269999</v>
      </c>
      <c r="BK137" s="445">
        <f t="shared" si="263"/>
        <v>4435296</v>
      </c>
      <c r="BL137" s="445">
        <f t="shared" si="263"/>
        <v>834703</v>
      </c>
      <c r="BM137" s="445">
        <f t="shared" si="263"/>
        <v>22000</v>
      </c>
      <c r="BN137" s="445">
        <f t="shared" si="263"/>
        <v>22000</v>
      </c>
      <c r="BO137" s="445">
        <f t="shared" si="263"/>
        <v>0</v>
      </c>
      <c r="BP137" s="445">
        <f t="shared" si="263"/>
        <v>1788694</v>
      </c>
      <c r="BQ137" s="445">
        <f t="shared" si="263"/>
        <v>52701</v>
      </c>
      <c r="BR137" s="445">
        <f t="shared" si="263"/>
        <v>50977</v>
      </c>
      <c r="BS137" s="446">
        <f t="shared" si="263"/>
        <v>11.173200000000001</v>
      </c>
      <c r="BT137" s="446">
        <f t="shared" si="263"/>
        <v>8.7157</v>
      </c>
      <c r="BU137" s="39">
        <f t="shared" si="263"/>
        <v>2.4575</v>
      </c>
      <c r="BV137" s="833">
        <f t="shared" si="263"/>
        <v>0</v>
      </c>
      <c r="BW137" s="715">
        <f t="shared" si="263"/>
        <v>0</v>
      </c>
      <c r="BX137" s="715">
        <f t="shared" si="263"/>
        <v>0</v>
      </c>
      <c r="BY137" s="715">
        <f t="shared" si="263"/>
        <v>0</v>
      </c>
      <c r="BZ137" s="715">
        <f t="shared" si="263"/>
        <v>0</v>
      </c>
      <c r="CA137" s="834">
        <f t="shared" si="263"/>
        <v>0</v>
      </c>
    </row>
    <row r="138" spans="1:79" s="221" customFormat="1" x14ac:dyDescent="0.2">
      <c r="A138" s="209">
        <v>25</v>
      </c>
      <c r="B138" s="210">
        <v>4452</v>
      </c>
      <c r="C138" s="210">
        <v>600074919</v>
      </c>
      <c r="D138" s="210">
        <v>70698511</v>
      </c>
      <c r="E138" s="208" t="s">
        <v>194</v>
      </c>
      <c r="F138" s="210">
        <v>3113</v>
      </c>
      <c r="G138" s="165" t="s">
        <v>293</v>
      </c>
      <c r="H138" s="626" t="s">
        <v>271</v>
      </c>
      <c r="I138" s="511">
        <v>31291679</v>
      </c>
      <c r="J138" s="415">
        <v>22894870</v>
      </c>
      <c r="K138" s="415">
        <v>21336064</v>
      </c>
      <c r="L138" s="415">
        <v>1558806</v>
      </c>
      <c r="M138" s="415">
        <v>0</v>
      </c>
      <c r="N138" s="415">
        <v>0</v>
      </c>
      <c r="O138" s="415">
        <v>0</v>
      </c>
      <c r="P138" s="68">
        <v>7738466</v>
      </c>
      <c r="Q138" s="68">
        <v>228948</v>
      </c>
      <c r="R138" s="415">
        <v>429395</v>
      </c>
      <c r="S138" s="416">
        <v>33.722800000000007</v>
      </c>
      <c r="T138" s="417">
        <v>29.09</v>
      </c>
      <c r="U138" s="423">
        <v>4.6327999999999996</v>
      </c>
      <c r="V138" s="424">
        <f t="shared" ref="V138:W143" si="264">AG138*-1</f>
        <v>0</v>
      </c>
      <c r="W138" s="418">
        <f t="shared" si="264"/>
        <v>0</v>
      </c>
      <c r="X138" s="418">
        <v>0</v>
      </c>
      <c r="Y138" s="418">
        <v>0</v>
      </c>
      <c r="Z138" s="418">
        <v>0</v>
      </c>
      <c r="AA138" s="415">
        <v>0</v>
      </c>
      <c r="AB138" s="418">
        <v>0</v>
      </c>
      <c r="AC138" s="418">
        <v>0</v>
      </c>
      <c r="AD138" s="418">
        <f t="shared" ref="AD138:AD143" si="265">V138+X138+Y138+Z138+AB138</f>
        <v>0</v>
      </c>
      <c r="AE138" s="418">
        <f t="shared" ref="AE138:AE143" si="266">W138+AA138+AC138</f>
        <v>0</v>
      </c>
      <c r="AF138" s="418">
        <f t="shared" ref="AF138:AF143" si="267">SUM(AD138:AE138)</f>
        <v>0</v>
      </c>
      <c r="AG138" s="418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ref="AL138:AL143" si="268">AG138+AI138+AJ138</f>
        <v>0</v>
      </c>
      <c r="AM138" s="418">
        <f t="shared" ref="AM138:AM143" si="269">AH138+AK138</f>
        <v>0</v>
      </c>
      <c r="AN138" s="418">
        <f t="shared" ref="AN138:AN143" si="270">SUM(AL138:AM138)</f>
        <v>0</v>
      </c>
      <c r="AO138" s="418">
        <f t="shared" ref="AO138:AP143" si="271">AD138+AL138</f>
        <v>0</v>
      </c>
      <c r="AP138" s="418">
        <f t="shared" si="271"/>
        <v>0</v>
      </c>
      <c r="AQ138" s="418">
        <f t="shared" ref="AQ138:AQ143" si="272">SUM(AO138:AP138)</f>
        <v>0</v>
      </c>
      <c r="AR138" s="68">
        <f t="shared" ref="AR138:AR143" si="273">ROUND((AF138+AG138+AH138+AI138)*33.8%,0)</f>
        <v>0</v>
      </c>
      <c r="AS138" s="68">
        <f t="shared" ref="AS138:AS143" si="274">ROUND(AF138*1%,0)</f>
        <v>0</v>
      </c>
      <c r="AT138" s="418">
        <v>0</v>
      </c>
      <c r="AU138" s="415">
        <v>0</v>
      </c>
      <c r="AV138" s="418">
        <f t="shared" ref="AV138:AV143" si="275">AT138+AU138</f>
        <v>0</v>
      </c>
      <c r="AW138" s="418">
        <f t="shared" ref="AW138:AW143" si="276">AQ138+AR138+AS138+AV138</f>
        <v>0</v>
      </c>
      <c r="AX138" s="419">
        <v>0</v>
      </c>
      <c r="AY138" s="419">
        <v>0</v>
      </c>
      <c r="AZ138" s="419">
        <v>0</v>
      </c>
      <c r="BA138" s="419">
        <v>0</v>
      </c>
      <c r="BB138" s="416">
        <v>0</v>
      </c>
      <c r="BC138" s="939">
        <v>0</v>
      </c>
      <c r="BD138" s="419">
        <v>0</v>
      </c>
      <c r="BE138" s="419">
        <v>0</v>
      </c>
      <c r="BF138" s="419">
        <f t="shared" ref="BF138:BF143" si="277">AX138+AZ138+BA138+BC138+BD138</f>
        <v>0</v>
      </c>
      <c r="BG138" s="419">
        <f t="shared" ref="BG138:BG143" si="278">AY138+BB138+BE138</f>
        <v>0</v>
      </c>
      <c r="BH138" s="421">
        <f t="shared" ref="BH138:BH143" si="279">SUM(BF138:BG138)</f>
        <v>0</v>
      </c>
      <c r="BI138" s="780">
        <f t="shared" ref="BI138:BI143" si="280">I138+AW138</f>
        <v>31291679</v>
      </c>
      <c r="BJ138" s="418">
        <f t="shared" ref="BJ138:BJ143" si="281">J138+AF138</f>
        <v>22894870</v>
      </c>
      <c r="BK138" s="418">
        <f t="shared" ref="BK138:BL143" si="282">K138+AD138</f>
        <v>21336064</v>
      </c>
      <c r="BL138" s="418">
        <f t="shared" si="282"/>
        <v>1558806</v>
      </c>
      <c r="BM138" s="418">
        <f t="shared" ref="BM138:BM143" si="283">M138+AN138</f>
        <v>0</v>
      </c>
      <c r="BN138" s="418">
        <f t="shared" ref="BN138:BO143" si="284">N138+AL138</f>
        <v>0</v>
      </c>
      <c r="BO138" s="418">
        <f t="shared" si="284"/>
        <v>0</v>
      </c>
      <c r="BP138" s="418">
        <f t="shared" ref="BP138:BQ143" si="285">P138+AR138</f>
        <v>7738466</v>
      </c>
      <c r="BQ138" s="418">
        <f t="shared" si="285"/>
        <v>228948</v>
      </c>
      <c r="BR138" s="418">
        <f t="shared" ref="BR138:BR143" si="286">R138+AV138</f>
        <v>429395</v>
      </c>
      <c r="BS138" s="419">
        <f t="shared" ref="BS138:BS143" si="287">S138+BH138</f>
        <v>33.722800000000007</v>
      </c>
      <c r="BT138" s="419">
        <f t="shared" ref="BT138:BU143" si="288">T138+BF138</f>
        <v>29.09</v>
      </c>
      <c r="BU138" s="421">
        <f t="shared" si="288"/>
        <v>4.6327999999999996</v>
      </c>
      <c r="BV138" s="420"/>
      <c r="BW138" s="415"/>
      <c r="BX138" s="415"/>
      <c r="BY138" s="415"/>
      <c r="BZ138" s="415"/>
      <c r="CA138" s="510"/>
    </row>
    <row r="139" spans="1:79" s="221" customFormat="1" x14ac:dyDescent="0.2">
      <c r="A139" s="209">
        <v>25</v>
      </c>
      <c r="B139" s="210">
        <v>4452</v>
      </c>
      <c r="C139" s="210">
        <v>600074919</v>
      </c>
      <c r="D139" s="210">
        <v>70698511</v>
      </c>
      <c r="E139" s="208" t="s">
        <v>194</v>
      </c>
      <c r="F139" s="210">
        <v>3113</v>
      </c>
      <c r="G139" s="165" t="s">
        <v>292</v>
      </c>
      <c r="H139" s="626" t="s">
        <v>271</v>
      </c>
      <c r="I139" s="511">
        <v>711329</v>
      </c>
      <c r="J139" s="415">
        <v>527692</v>
      </c>
      <c r="K139" s="415">
        <v>527692</v>
      </c>
      <c r="L139" s="415">
        <v>0</v>
      </c>
      <c r="M139" s="415">
        <v>0</v>
      </c>
      <c r="N139" s="415">
        <v>0</v>
      </c>
      <c r="O139" s="415">
        <v>0</v>
      </c>
      <c r="P139" s="68">
        <v>178360</v>
      </c>
      <c r="Q139" s="68">
        <v>5277</v>
      </c>
      <c r="R139" s="415">
        <v>0</v>
      </c>
      <c r="S139" s="416">
        <v>1.28</v>
      </c>
      <c r="T139" s="417">
        <v>1.28</v>
      </c>
      <c r="U139" s="423">
        <v>0</v>
      </c>
      <c r="V139" s="424">
        <f t="shared" si="264"/>
        <v>0</v>
      </c>
      <c r="W139" s="418">
        <f t="shared" si="264"/>
        <v>0</v>
      </c>
      <c r="X139" s="418">
        <v>0</v>
      </c>
      <c r="Y139" s="418">
        <v>0</v>
      </c>
      <c r="Z139" s="418">
        <v>0</v>
      </c>
      <c r="AA139" s="415">
        <v>0</v>
      </c>
      <c r="AB139" s="418">
        <v>0</v>
      </c>
      <c r="AC139" s="418">
        <v>0</v>
      </c>
      <c r="AD139" s="418">
        <f t="shared" si="265"/>
        <v>0</v>
      </c>
      <c r="AE139" s="418">
        <f t="shared" si="266"/>
        <v>0</v>
      </c>
      <c r="AF139" s="418">
        <f t="shared" si="267"/>
        <v>0</v>
      </c>
      <c r="AG139" s="418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268"/>
        <v>0</v>
      </c>
      <c r="AM139" s="418">
        <f t="shared" si="269"/>
        <v>0</v>
      </c>
      <c r="AN139" s="418">
        <f t="shared" si="270"/>
        <v>0</v>
      </c>
      <c r="AO139" s="418">
        <f t="shared" si="271"/>
        <v>0</v>
      </c>
      <c r="AP139" s="418">
        <f t="shared" si="271"/>
        <v>0</v>
      </c>
      <c r="AQ139" s="418">
        <f t="shared" si="272"/>
        <v>0</v>
      </c>
      <c r="AR139" s="68">
        <f t="shared" si="273"/>
        <v>0</v>
      </c>
      <c r="AS139" s="68">
        <f t="shared" si="274"/>
        <v>0</v>
      </c>
      <c r="AT139" s="418">
        <v>0</v>
      </c>
      <c r="AU139" s="415">
        <v>0</v>
      </c>
      <c r="AV139" s="418">
        <f t="shared" si="275"/>
        <v>0</v>
      </c>
      <c r="AW139" s="418">
        <f t="shared" si="276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6">
        <v>0</v>
      </c>
      <c r="BC139" s="939">
        <v>0</v>
      </c>
      <c r="BD139" s="419">
        <v>0</v>
      </c>
      <c r="BE139" s="419">
        <v>0</v>
      </c>
      <c r="BF139" s="419">
        <f t="shared" si="277"/>
        <v>0</v>
      </c>
      <c r="BG139" s="419">
        <f t="shared" si="278"/>
        <v>0</v>
      </c>
      <c r="BH139" s="421">
        <f t="shared" si="279"/>
        <v>0</v>
      </c>
      <c r="BI139" s="780">
        <f t="shared" si="280"/>
        <v>711329</v>
      </c>
      <c r="BJ139" s="418">
        <f t="shared" si="281"/>
        <v>527692</v>
      </c>
      <c r="BK139" s="418">
        <f t="shared" si="282"/>
        <v>527692</v>
      </c>
      <c r="BL139" s="418">
        <f t="shared" si="282"/>
        <v>0</v>
      </c>
      <c r="BM139" s="418">
        <f t="shared" si="283"/>
        <v>0</v>
      </c>
      <c r="BN139" s="418">
        <f t="shared" si="284"/>
        <v>0</v>
      </c>
      <c r="BO139" s="418">
        <f t="shared" si="284"/>
        <v>0</v>
      </c>
      <c r="BP139" s="418">
        <f t="shared" si="285"/>
        <v>178360</v>
      </c>
      <c r="BQ139" s="418">
        <f t="shared" si="285"/>
        <v>5277</v>
      </c>
      <c r="BR139" s="418">
        <f t="shared" si="286"/>
        <v>0</v>
      </c>
      <c r="BS139" s="419">
        <f t="shared" si="287"/>
        <v>1.28</v>
      </c>
      <c r="BT139" s="419">
        <f t="shared" si="288"/>
        <v>1.28</v>
      </c>
      <c r="BU139" s="421">
        <f t="shared" si="288"/>
        <v>0</v>
      </c>
      <c r="BV139" s="420"/>
      <c r="BW139" s="415"/>
      <c r="BX139" s="415"/>
      <c r="BY139" s="415"/>
      <c r="BZ139" s="415"/>
      <c r="CA139" s="510"/>
    </row>
    <row r="140" spans="1:79" s="221" customFormat="1" x14ac:dyDescent="0.2">
      <c r="A140" s="209">
        <v>25</v>
      </c>
      <c r="B140" s="210">
        <v>4452</v>
      </c>
      <c r="C140" s="210">
        <v>600074919</v>
      </c>
      <c r="D140" s="210">
        <v>70698511</v>
      </c>
      <c r="E140" s="208" t="s">
        <v>194</v>
      </c>
      <c r="F140" s="210">
        <v>3113</v>
      </c>
      <c r="G140" s="165" t="s">
        <v>291</v>
      </c>
      <c r="H140" s="626" t="s">
        <v>272</v>
      </c>
      <c r="I140" s="511">
        <v>1744994</v>
      </c>
      <c r="J140" s="415">
        <v>1289684</v>
      </c>
      <c r="K140" s="415">
        <v>1289684</v>
      </c>
      <c r="L140" s="415">
        <v>0</v>
      </c>
      <c r="M140" s="415">
        <v>0</v>
      </c>
      <c r="N140" s="415">
        <v>0</v>
      </c>
      <c r="O140" s="415">
        <v>0</v>
      </c>
      <c r="P140" s="68">
        <v>435913</v>
      </c>
      <c r="Q140" s="68">
        <v>12897</v>
      </c>
      <c r="R140" s="415">
        <v>6500</v>
      </c>
      <c r="S140" s="416">
        <v>3.43</v>
      </c>
      <c r="T140" s="417">
        <v>3.43</v>
      </c>
      <c r="U140" s="423">
        <v>0</v>
      </c>
      <c r="V140" s="424">
        <f t="shared" si="264"/>
        <v>0</v>
      </c>
      <c r="W140" s="418">
        <f t="shared" si="264"/>
        <v>0</v>
      </c>
      <c r="X140" s="418">
        <v>0</v>
      </c>
      <c r="Y140" s="418">
        <v>0</v>
      </c>
      <c r="Z140" s="418">
        <v>0</v>
      </c>
      <c r="AA140" s="415">
        <v>0</v>
      </c>
      <c r="AB140" s="418">
        <v>0</v>
      </c>
      <c r="AC140" s="418">
        <v>0</v>
      </c>
      <c r="AD140" s="418">
        <f t="shared" si="265"/>
        <v>0</v>
      </c>
      <c r="AE140" s="418">
        <f t="shared" si="266"/>
        <v>0</v>
      </c>
      <c r="AF140" s="418">
        <f t="shared" si="267"/>
        <v>0</v>
      </c>
      <c r="AG140" s="418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268"/>
        <v>0</v>
      </c>
      <c r="AM140" s="418">
        <f t="shared" si="269"/>
        <v>0</v>
      </c>
      <c r="AN140" s="418">
        <f t="shared" si="270"/>
        <v>0</v>
      </c>
      <c r="AO140" s="418">
        <f t="shared" si="271"/>
        <v>0</v>
      </c>
      <c r="AP140" s="418">
        <f t="shared" si="271"/>
        <v>0</v>
      </c>
      <c r="AQ140" s="418">
        <f t="shared" si="272"/>
        <v>0</v>
      </c>
      <c r="AR140" s="68">
        <f t="shared" si="273"/>
        <v>0</v>
      </c>
      <c r="AS140" s="68">
        <f t="shared" si="274"/>
        <v>0</v>
      </c>
      <c r="AT140" s="418">
        <v>0</v>
      </c>
      <c r="AU140" s="415">
        <v>0</v>
      </c>
      <c r="AV140" s="418">
        <f t="shared" si="275"/>
        <v>0</v>
      </c>
      <c r="AW140" s="418">
        <f t="shared" si="276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6">
        <v>0</v>
      </c>
      <c r="BC140" s="939">
        <v>0</v>
      </c>
      <c r="BD140" s="419">
        <v>0</v>
      </c>
      <c r="BE140" s="419">
        <v>0</v>
      </c>
      <c r="BF140" s="419">
        <f t="shared" si="277"/>
        <v>0</v>
      </c>
      <c r="BG140" s="419">
        <f t="shared" si="278"/>
        <v>0</v>
      </c>
      <c r="BH140" s="421">
        <f t="shared" si="279"/>
        <v>0</v>
      </c>
      <c r="BI140" s="780">
        <f t="shared" si="280"/>
        <v>1744994</v>
      </c>
      <c r="BJ140" s="418">
        <f t="shared" si="281"/>
        <v>1289684</v>
      </c>
      <c r="BK140" s="418">
        <f t="shared" si="282"/>
        <v>1289684</v>
      </c>
      <c r="BL140" s="418">
        <f t="shared" si="282"/>
        <v>0</v>
      </c>
      <c r="BM140" s="418">
        <f t="shared" si="283"/>
        <v>0</v>
      </c>
      <c r="BN140" s="418">
        <f t="shared" si="284"/>
        <v>0</v>
      </c>
      <c r="BO140" s="418">
        <f t="shared" si="284"/>
        <v>0</v>
      </c>
      <c r="BP140" s="418">
        <f t="shared" si="285"/>
        <v>435913</v>
      </c>
      <c r="BQ140" s="418">
        <f t="shared" si="285"/>
        <v>12897</v>
      </c>
      <c r="BR140" s="418">
        <f t="shared" si="286"/>
        <v>6500</v>
      </c>
      <c r="BS140" s="419">
        <f t="shared" si="287"/>
        <v>3.43</v>
      </c>
      <c r="BT140" s="419">
        <f t="shared" si="288"/>
        <v>3.43</v>
      </c>
      <c r="BU140" s="421">
        <f t="shared" si="288"/>
        <v>0</v>
      </c>
      <c r="BV140" s="420"/>
      <c r="BW140" s="415"/>
      <c r="BX140" s="415"/>
      <c r="BY140" s="415"/>
      <c r="BZ140" s="415"/>
      <c r="CA140" s="510"/>
    </row>
    <row r="141" spans="1:79" s="221" customFormat="1" x14ac:dyDescent="0.2">
      <c r="A141" s="209">
        <v>25</v>
      </c>
      <c r="B141" s="210">
        <v>4452</v>
      </c>
      <c r="C141" s="210">
        <v>600074919</v>
      </c>
      <c r="D141" s="210">
        <v>70698511</v>
      </c>
      <c r="E141" s="208" t="s">
        <v>194</v>
      </c>
      <c r="F141" s="210">
        <v>3141</v>
      </c>
      <c r="G141" s="165" t="s">
        <v>294</v>
      </c>
      <c r="H141" s="626" t="s">
        <v>272</v>
      </c>
      <c r="I141" s="511">
        <v>1446338</v>
      </c>
      <c r="J141" s="415">
        <v>1064902</v>
      </c>
      <c r="K141" s="415">
        <v>0</v>
      </c>
      <c r="L141" s="415">
        <v>1064902</v>
      </c>
      <c r="M141" s="415">
        <v>0</v>
      </c>
      <c r="N141" s="415">
        <v>0</v>
      </c>
      <c r="O141" s="415">
        <v>0</v>
      </c>
      <c r="P141" s="68">
        <v>359937</v>
      </c>
      <c r="Q141" s="68">
        <v>10649</v>
      </c>
      <c r="R141" s="415">
        <v>10850</v>
      </c>
      <c r="S141" s="416">
        <v>3.19</v>
      </c>
      <c r="T141" s="417">
        <v>0</v>
      </c>
      <c r="U141" s="423">
        <v>3.19</v>
      </c>
      <c r="V141" s="424">
        <f t="shared" si="264"/>
        <v>0</v>
      </c>
      <c r="W141" s="418">
        <f t="shared" si="264"/>
        <v>0</v>
      </c>
      <c r="X141" s="418">
        <v>0</v>
      </c>
      <c r="Y141" s="418">
        <v>0</v>
      </c>
      <c r="Z141" s="418">
        <v>0</v>
      </c>
      <c r="AA141" s="605">
        <v>533200</v>
      </c>
      <c r="AB141" s="418">
        <v>0</v>
      </c>
      <c r="AC141" s="418">
        <v>0</v>
      </c>
      <c r="AD141" s="418">
        <f t="shared" si="265"/>
        <v>0</v>
      </c>
      <c r="AE141" s="418">
        <f t="shared" si="266"/>
        <v>533200</v>
      </c>
      <c r="AF141" s="418">
        <f t="shared" si="267"/>
        <v>533200</v>
      </c>
      <c r="AG141" s="418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268"/>
        <v>0</v>
      </c>
      <c r="AM141" s="418">
        <f t="shared" si="269"/>
        <v>0</v>
      </c>
      <c r="AN141" s="418">
        <f t="shared" si="270"/>
        <v>0</v>
      </c>
      <c r="AO141" s="418">
        <f t="shared" si="271"/>
        <v>0</v>
      </c>
      <c r="AP141" s="418">
        <f t="shared" si="271"/>
        <v>533200</v>
      </c>
      <c r="AQ141" s="418">
        <f t="shared" si="272"/>
        <v>533200</v>
      </c>
      <c r="AR141" s="68">
        <f t="shared" si="273"/>
        <v>180222</v>
      </c>
      <c r="AS141" s="68">
        <f t="shared" si="274"/>
        <v>5332</v>
      </c>
      <c r="AT141" s="418">
        <v>0</v>
      </c>
      <c r="AU141" s="605">
        <v>5270</v>
      </c>
      <c r="AV141" s="418">
        <f t="shared" si="275"/>
        <v>5270</v>
      </c>
      <c r="AW141" s="418">
        <f t="shared" si="276"/>
        <v>724024</v>
      </c>
      <c r="AX141" s="419">
        <v>0</v>
      </c>
      <c r="AY141" s="419">
        <v>0</v>
      </c>
      <c r="AZ141" s="419">
        <v>0</v>
      </c>
      <c r="BA141" s="419">
        <v>0</v>
      </c>
      <c r="BB141" s="607">
        <v>1.6</v>
      </c>
      <c r="BC141" s="939">
        <v>0</v>
      </c>
      <c r="BD141" s="419">
        <v>0</v>
      </c>
      <c r="BE141" s="419">
        <v>0</v>
      </c>
      <c r="BF141" s="419">
        <f t="shared" si="277"/>
        <v>0</v>
      </c>
      <c r="BG141" s="419">
        <f t="shared" si="278"/>
        <v>1.6</v>
      </c>
      <c r="BH141" s="421">
        <f t="shared" si="279"/>
        <v>1.6</v>
      </c>
      <c r="BI141" s="780">
        <f t="shared" si="280"/>
        <v>2170362</v>
      </c>
      <c r="BJ141" s="418">
        <f t="shared" si="281"/>
        <v>1598102</v>
      </c>
      <c r="BK141" s="418">
        <f t="shared" si="282"/>
        <v>0</v>
      </c>
      <c r="BL141" s="418">
        <f t="shared" si="282"/>
        <v>1598102</v>
      </c>
      <c r="BM141" s="418">
        <f t="shared" si="283"/>
        <v>0</v>
      </c>
      <c r="BN141" s="418">
        <f t="shared" si="284"/>
        <v>0</v>
      </c>
      <c r="BO141" s="418">
        <f t="shared" si="284"/>
        <v>0</v>
      </c>
      <c r="BP141" s="418">
        <f t="shared" si="285"/>
        <v>540159</v>
      </c>
      <c r="BQ141" s="418">
        <f t="shared" si="285"/>
        <v>15981</v>
      </c>
      <c r="BR141" s="418">
        <f t="shared" si="286"/>
        <v>16120</v>
      </c>
      <c r="BS141" s="419">
        <f t="shared" si="287"/>
        <v>4.79</v>
      </c>
      <c r="BT141" s="419">
        <f t="shared" si="288"/>
        <v>0</v>
      </c>
      <c r="BU141" s="421">
        <f t="shared" si="288"/>
        <v>4.79</v>
      </c>
      <c r="BV141" s="420"/>
      <c r="BW141" s="415"/>
      <c r="BX141" s="415"/>
      <c r="BY141" s="415"/>
      <c r="BZ141" s="415"/>
      <c r="CA141" s="510"/>
    </row>
    <row r="142" spans="1:79" s="221" customFormat="1" x14ac:dyDescent="0.2">
      <c r="A142" s="209">
        <v>25</v>
      </c>
      <c r="B142" s="210">
        <v>4452</v>
      </c>
      <c r="C142" s="210">
        <v>600074919</v>
      </c>
      <c r="D142" s="210">
        <v>70698511</v>
      </c>
      <c r="E142" s="204" t="s">
        <v>194</v>
      </c>
      <c r="F142" s="210">
        <v>3143</v>
      </c>
      <c r="G142" s="165" t="s">
        <v>595</v>
      </c>
      <c r="H142" s="614" t="s">
        <v>271</v>
      </c>
      <c r="I142" s="511">
        <v>1578984</v>
      </c>
      <c r="J142" s="415">
        <v>1171353</v>
      </c>
      <c r="K142" s="415">
        <v>1171353</v>
      </c>
      <c r="L142" s="415">
        <v>0</v>
      </c>
      <c r="M142" s="415">
        <v>0</v>
      </c>
      <c r="N142" s="415">
        <v>0</v>
      </c>
      <c r="O142" s="415">
        <v>0</v>
      </c>
      <c r="P142" s="68">
        <v>395917</v>
      </c>
      <c r="Q142" s="68">
        <v>11714</v>
      </c>
      <c r="R142" s="415">
        <v>0</v>
      </c>
      <c r="S142" s="416">
        <v>2.2679999999999998</v>
      </c>
      <c r="T142" s="417">
        <v>2.2679999999999998</v>
      </c>
      <c r="U142" s="423">
        <v>0</v>
      </c>
      <c r="V142" s="424">
        <f t="shared" si="264"/>
        <v>0</v>
      </c>
      <c r="W142" s="418">
        <f t="shared" si="264"/>
        <v>0</v>
      </c>
      <c r="X142" s="418">
        <v>0</v>
      </c>
      <c r="Y142" s="418">
        <v>0</v>
      </c>
      <c r="Z142" s="418">
        <v>0</v>
      </c>
      <c r="AA142" s="415">
        <v>0</v>
      </c>
      <c r="AB142" s="418">
        <v>0</v>
      </c>
      <c r="AC142" s="418">
        <v>0</v>
      </c>
      <c r="AD142" s="418">
        <f t="shared" si="265"/>
        <v>0</v>
      </c>
      <c r="AE142" s="418">
        <f t="shared" si="266"/>
        <v>0</v>
      </c>
      <c r="AF142" s="418">
        <f t="shared" si="267"/>
        <v>0</v>
      </c>
      <c r="AG142" s="418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268"/>
        <v>0</v>
      </c>
      <c r="AM142" s="418">
        <f t="shared" si="269"/>
        <v>0</v>
      </c>
      <c r="AN142" s="418">
        <f t="shared" si="270"/>
        <v>0</v>
      </c>
      <c r="AO142" s="418">
        <f t="shared" si="271"/>
        <v>0</v>
      </c>
      <c r="AP142" s="418">
        <f t="shared" si="271"/>
        <v>0</v>
      </c>
      <c r="AQ142" s="418">
        <f t="shared" si="272"/>
        <v>0</v>
      </c>
      <c r="AR142" s="68">
        <f t="shared" si="273"/>
        <v>0</v>
      </c>
      <c r="AS142" s="68">
        <f t="shared" si="274"/>
        <v>0</v>
      </c>
      <c r="AT142" s="418">
        <v>0</v>
      </c>
      <c r="AU142" s="415">
        <v>0</v>
      </c>
      <c r="AV142" s="418">
        <f t="shared" si="275"/>
        <v>0</v>
      </c>
      <c r="AW142" s="418">
        <f t="shared" si="276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6">
        <v>0</v>
      </c>
      <c r="BC142" s="939">
        <v>0</v>
      </c>
      <c r="BD142" s="419">
        <v>0</v>
      </c>
      <c r="BE142" s="419">
        <v>0</v>
      </c>
      <c r="BF142" s="419">
        <f t="shared" si="277"/>
        <v>0</v>
      </c>
      <c r="BG142" s="419">
        <f t="shared" si="278"/>
        <v>0</v>
      </c>
      <c r="BH142" s="421">
        <f t="shared" si="279"/>
        <v>0</v>
      </c>
      <c r="BI142" s="780">
        <f t="shared" si="280"/>
        <v>1578984</v>
      </c>
      <c r="BJ142" s="418">
        <f t="shared" si="281"/>
        <v>1171353</v>
      </c>
      <c r="BK142" s="418">
        <f t="shared" si="282"/>
        <v>1171353</v>
      </c>
      <c r="BL142" s="418">
        <f t="shared" si="282"/>
        <v>0</v>
      </c>
      <c r="BM142" s="418">
        <f t="shared" si="283"/>
        <v>0</v>
      </c>
      <c r="BN142" s="418">
        <f t="shared" si="284"/>
        <v>0</v>
      </c>
      <c r="BO142" s="418">
        <f t="shared" si="284"/>
        <v>0</v>
      </c>
      <c r="BP142" s="418">
        <f t="shared" si="285"/>
        <v>395917</v>
      </c>
      <c r="BQ142" s="418">
        <f t="shared" si="285"/>
        <v>11714</v>
      </c>
      <c r="BR142" s="418">
        <f t="shared" si="286"/>
        <v>0</v>
      </c>
      <c r="BS142" s="419">
        <f t="shared" si="287"/>
        <v>2.2679999999999998</v>
      </c>
      <c r="BT142" s="419">
        <f t="shared" si="288"/>
        <v>2.2679999999999998</v>
      </c>
      <c r="BU142" s="421">
        <f t="shared" si="288"/>
        <v>0</v>
      </c>
      <c r="BV142" s="420"/>
      <c r="BW142" s="415"/>
      <c r="BX142" s="415"/>
      <c r="BY142" s="415"/>
      <c r="BZ142" s="415"/>
      <c r="CA142" s="510"/>
    </row>
    <row r="143" spans="1:79" s="221" customFormat="1" x14ac:dyDescent="0.2">
      <c r="A143" s="209">
        <v>25</v>
      </c>
      <c r="B143" s="210">
        <v>4452</v>
      </c>
      <c r="C143" s="210">
        <v>600074919</v>
      </c>
      <c r="D143" s="210">
        <v>70698511</v>
      </c>
      <c r="E143" s="204" t="s">
        <v>194</v>
      </c>
      <c r="F143" s="210">
        <v>3143</v>
      </c>
      <c r="G143" s="165" t="s">
        <v>596</v>
      </c>
      <c r="H143" s="614" t="s">
        <v>272</v>
      </c>
      <c r="I143" s="511">
        <v>45072</v>
      </c>
      <c r="J143" s="415">
        <v>32261</v>
      </c>
      <c r="K143" s="415">
        <v>0</v>
      </c>
      <c r="L143" s="415">
        <v>32261</v>
      </c>
      <c r="M143" s="415">
        <v>0</v>
      </c>
      <c r="N143" s="415">
        <v>0</v>
      </c>
      <c r="O143" s="415">
        <v>0</v>
      </c>
      <c r="P143" s="68">
        <v>10904</v>
      </c>
      <c r="Q143" s="68">
        <v>323</v>
      </c>
      <c r="R143" s="415">
        <v>1584</v>
      </c>
      <c r="S143" s="416">
        <v>0.12</v>
      </c>
      <c r="T143" s="417">
        <v>0</v>
      </c>
      <c r="U143" s="423">
        <v>0.12</v>
      </c>
      <c r="V143" s="424">
        <f t="shared" si="264"/>
        <v>0</v>
      </c>
      <c r="W143" s="418">
        <f t="shared" si="264"/>
        <v>0</v>
      </c>
      <c r="X143" s="418">
        <v>0</v>
      </c>
      <c r="Y143" s="418">
        <v>0</v>
      </c>
      <c r="Z143" s="418">
        <v>0</v>
      </c>
      <c r="AA143" s="605">
        <v>16139</v>
      </c>
      <c r="AB143" s="418">
        <v>0</v>
      </c>
      <c r="AC143" s="418">
        <v>0</v>
      </c>
      <c r="AD143" s="418">
        <f t="shared" si="265"/>
        <v>0</v>
      </c>
      <c r="AE143" s="418">
        <f t="shared" si="266"/>
        <v>16139</v>
      </c>
      <c r="AF143" s="418">
        <f t="shared" si="267"/>
        <v>16139</v>
      </c>
      <c r="AG143" s="418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268"/>
        <v>0</v>
      </c>
      <c r="AM143" s="418">
        <f t="shared" si="269"/>
        <v>0</v>
      </c>
      <c r="AN143" s="418">
        <f t="shared" si="270"/>
        <v>0</v>
      </c>
      <c r="AO143" s="418">
        <f t="shared" si="271"/>
        <v>0</v>
      </c>
      <c r="AP143" s="418">
        <f t="shared" si="271"/>
        <v>16139</v>
      </c>
      <c r="AQ143" s="418">
        <f t="shared" si="272"/>
        <v>16139</v>
      </c>
      <c r="AR143" s="68">
        <f t="shared" si="273"/>
        <v>5455</v>
      </c>
      <c r="AS143" s="68">
        <f t="shared" si="274"/>
        <v>161</v>
      </c>
      <c r="AT143" s="418">
        <v>0</v>
      </c>
      <c r="AU143" s="606">
        <v>792</v>
      </c>
      <c r="AV143" s="418">
        <f t="shared" si="275"/>
        <v>792</v>
      </c>
      <c r="AW143" s="418">
        <f t="shared" si="276"/>
        <v>22547</v>
      </c>
      <c r="AX143" s="419">
        <v>0</v>
      </c>
      <c r="AY143" s="419">
        <v>0</v>
      </c>
      <c r="AZ143" s="419">
        <v>0</v>
      </c>
      <c r="BA143" s="419">
        <v>0</v>
      </c>
      <c r="BB143" s="607">
        <v>0.06</v>
      </c>
      <c r="BC143" s="939">
        <v>0</v>
      </c>
      <c r="BD143" s="419">
        <v>0</v>
      </c>
      <c r="BE143" s="419">
        <v>0</v>
      </c>
      <c r="BF143" s="419">
        <f t="shared" si="277"/>
        <v>0</v>
      </c>
      <c r="BG143" s="419">
        <f t="shared" si="278"/>
        <v>0.06</v>
      </c>
      <c r="BH143" s="421">
        <f t="shared" si="279"/>
        <v>0.06</v>
      </c>
      <c r="BI143" s="780">
        <f t="shared" si="280"/>
        <v>67619</v>
      </c>
      <c r="BJ143" s="418">
        <f t="shared" si="281"/>
        <v>48400</v>
      </c>
      <c r="BK143" s="418">
        <f t="shared" si="282"/>
        <v>0</v>
      </c>
      <c r="BL143" s="418">
        <f t="shared" si="282"/>
        <v>48400</v>
      </c>
      <c r="BM143" s="418">
        <f t="shared" si="283"/>
        <v>0</v>
      </c>
      <c r="BN143" s="418">
        <f t="shared" si="284"/>
        <v>0</v>
      </c>
      <c r="BO143" s="418">
        <f t="shared" si="284"/>
        <v>0</v>
      </c>
      <c r="BP143" s="418">
        <f t="shared" si="285"/>
        <v>16359</v>
      </c>
      <c r="BQ143" s="418">
        <f t="shared" si="285"/>
        <v>484</v>
      </c>
      <c r="BR143" s="418">
        <f t="shared" si="286"/>
        <v>2376</v>
      </c>
      <c r="BS143" s="419">
        <f t="shared" si="287"/>
        <v>0.18</v>
      </c>
      <c r="BT143" s="419">
        <f t="shared" si="288"/>
        <v>0</v>
      </c>
      <c r="BU143" s="421">
        <f t="shared" si="288"/>
        <v>0.18</v>
      </c>
      <c r="BV143" s="420"/>
      <c r="BW143" s="415"/>
      <c r="BX143" s="415"/>
      <c r="BY143" s="415"/>
      <c r="BZ143" s="415"/>
      <c r="CA143" s="510"/>
    </row>
    <row r="144" spans="1:79" s="221" customFormat="1" x14ac:dyDescent="0.2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13"/>
      <c r="I144" s="452">
        <v>36818396</v>
      </c>
      <c r="J144" s="445">
        <v>26980762</v>
      </c>
      <c r="K144" s="445">
        <v>24324793</v>
      </c>
      <c r="L144" s="445">
        <v>2655969</v>
      </c>
      <c r="M144" s="445">
        <v>0</v>
      </c>
      <c r="N144" s="445">
        <v>0</v>
      </c>
      <c r="O144" s="445">
        <v>0</v>
      </c>
      <c r="P144" s="445">
        <v>9119497</v>
      </c>
      <c r="Q144" s="445">
        <v>269808</v>
      </c>
      <c r="R144" s="445">
        <v>448329</v>
      </c>
      <c r="S144" s="446">
        <v>44.010800000000003</v>
      </c>
      <c r="T144" s="446">
        <v>36.068000000000005</v>
      </c>
      <c r="U144" s="450">
        <v>7.9427999999999992</v>
      </c>
      <c r="V144" s="448">
        <f t="shared" ref="V144:CA144" si="289">SUM(V138:V143)</f>
        <v>0</v>
      </c>
      <c r="W144" s="445">
        <f t="shared" si="289"/>
        <v>0</v>
      </c>
      <c r="X144" s="445">
        <f t="shared" si="289"/>
        <v>0</v>
      </c>
      <c r="Y144" s="445">
        <f t="shared" si="289"/>
        <v>0</v>
      </c>
      <c r="Z144" s="445">
        <f t="shared" si="289"/>
        <v>0</v>
      </c>
      <c r="AA144" s="445">
        <f t="shared" si="289"/>
        <v>549339</v>
      </c>
      <c r="AB144" s="445">
        <f t="shared" si="289"/>
        <v>0</v>
      </c>
      <c r="AC144" s="445">
        <f t="shared" si="289"/>
        <v>0</v>
      </c>
      <c r="AD144" s="445">
        <f t="shared" si="289"/>
        <v>0</v>
      </c>
      <c r="AE144" s="445">
        <f t="shared" si="289"/>
        <v>549339</v>
      </c>
      <c r="AF144" s="445">
        <f t="shared" si="289"/>
        <v>549339</v>
      </c>
      <c r="AG144" s="445">
        <f t="shared" si="289"/>
        <v>0</v>
      </c>
      <c r="AH144" s="445">
        <f t="shared" si="289"/>
        <v>0</v>
      </c>
      <c r="AI144" s="445">
        <f t="shared" si="289"/>
        <v>0</v>
      </c>
      <c r="AJ144" s="445">
        <f t="shared" si="289"/>
        <v>0</v>
      </c>
      <c r="AK144" s="445">
        <f t="shared" si="289"/>
        <v>0</v>
      </c>
      <c r="AL144" s="445">
        <f t="shared" si="289"/>
        <v>0</v>
      </c>
      <c r="AM144" s="445">
        <f t="shared" si="289"/>
        <v>0</v>
      </c>
      <c r="AN144" s="445">
        <f t="shared" si="289"/>
        <v>0</v>
      </c>
      <c r="AO144" s="445">
        <f t="shared" si="289"/>
        <v>0</v>
      </c>
      <c r="AP144" s="445">
        <f t="shared" si="289"/>
        <v>549339</v>
      </c>
      <c r="AQ144" s="445">
        <f t="shared" si="289"/>
        <v>549339</v>
      </c>
      <c r="AR144" s="445">
        <f t="shared" si="289"/>
        <v>185677</v>
      </c>
      <c r="AS144" s="445">
        <f t="shared" si="289"/>
        <v>5493</v>
      </c>
      <c r="AT144" s="445">
        <f t="shared" si="289"/>
        <v>0</v>
      </c>
      <c r="AU144" s="445">
        <f t="shared" si="289"/>
        <v>6062</v>
      </c>
      <c r="AV144" s="445">
        <f t="shared" si="289"/>
        <v>6062</v>
      </c>
      <c r="AW144" s="445">
        <f t="shared" si="289"/>
        <v>746571</v>
      </c>
      <c r="AX144" s="446">
        <f t="shared" si="289"/>
        <v>0</v>
      </c>
      <c r="AY144" s="446">
        <f t="shared" si="289"/>
        <v>0</v>
      </c>
      <c r="AZ144" s="446">
        <f t="shared" si="289"/>
        <v>0</v>
      </c>
      <c r="BA144" s="446">
        <f t="shared" si="289"/>
        <v>0</v>
      </c>
      <c r="BB144" s="446">
        <f t="shared" si="289"/>
        <v>1.6600000000000001</v>
      </c>
      <c r="BC144" s="948">
        <f t="shared" si="289"/>
        <v>0</v>
      </c>
      <c r="BD144" s="446">
        <f t="shared" si="289"/>
        <v>0</v>
      </c>
      <c r="BE144" s="446">
        <f t="shared" si="289"/>
        <v>0</v>
      </c>
      <c r="BF144" s="446">
        <f t="shared" si="289"/>
        <v>0</v>
      </c>
      <c r="BG144" s="446">
        <f t="shared" si="289"/>
        <v>1.6600000000000001</v>
      </c>
      <c r="BH144" s="39">
        <f t="shared" si="289"/>
        <v>1.6600000000000001</v>
      </c>
      <c r="BI144" s="452">
        <f t="shared" si="289"/>
        <v>37564967</v>
      </c>
      <c r="BJ144" s="445">
        <f t="shared" si="289"/>
        <v>27530101</v>
      </c>
      <c r="BK144" s="445">
        <f t="shared" si="289"/>
        <v>24324793</v>
      </c>
      <c r="BL144" s="445">
        <f t="shared" si="289"/>
        <v>3205308</v>
      </c>
      <c r="BM144" s="445">
        <f t="shared" si="289"/>
        <v>0</v>
      </c>
      <c r="BN144" s="445">
        <f t="shared" si="289"/>
        <v>0</v>
      </c>
      <c r="BO144" s="445">
        <f t="shared" si="289"/>
        <v>0</v>
      </c>
      <c r="BP144" s="445">
        <f t="shared" si="289"/>
        <v>9305174</v>
      </c>
      <c r="BQ144" s="445">
        <f t="shared" si="289"/>
        <v>275301</v>
      </c>
      <c r="BR144" s="445">
        <f t="shared" si="289"/>
        <v>454391</v>
      </c>
      <c r="BS144" s="446">
        <f t="shared" si="289"/>
        <v>45.670800000000007</v>
      </c>
      <c r="BT144" s="446">
        <f t="shared" si="289"/>
        <v>36.068000000000005</v>
      </c>
      <c r="BU144" s="39">
        <f t="shared" si="289"/>
        <v>9.6027999999999984</v>
      </c>
      <c r="BV144" s="833">
        <f t="shared" si="289"/>
        <v>0</v>
      </c>
      <c r="BW144" s="715">
        <f t="shared" si="289"/>
        <v>0</v>
      </c>
      <c r="BX144" s="715">
        <f t="shared" si="289"/>
        <v>0</v>
      </c>
      <c r="BY144" s="715">
        <f t="shared" si="289"/>
        <v>0</v>
      </c>
      <c r="BZ144" s="715">
        <f t="shared" si="289"/>
        <v>0</v>
      </c>
      <c r="CA144" s="834">
        <f t="shared" si="289"/>
        <v>0</v>
      </c>
    </row>
    <row r="145" spans="1:79" s="221" customFormat="1" x14ac:dyDescent="0.2">
      <c r="A145" s="209">
        <v>26</v>
      </c>
      <c r="B145" s="210">
        <v>4468</v>
      </c>
      <c r="C145" s="210">
        <v>600075052</v>
      </c>
      <c r="D145" s="210">
        <v>70698546</v>
      </c>
      <c r="E145" s="208" t="s">
        <v>196</v>
      </c>
      <c r="F145" s="210">
        <v>3231</v>
      </c>
      <c r="G145" s="165" t="s">
        <v>295</v>
      </c>
      <c r="H145" s="626" t="s">
        <v>271</v>
      </c>
      <c r="I145" s="511">
        <v>8283691</v>
      </c>
      <c r="J145" s="415">
        <v>6122560</v>
      </c>
      <c r="K145" s="415">
        <v>5905035</v>
      </c>
      <c r="L145" s="415">
        <v>217525</v>
      </c>
      <c r="M145" s="415">
        <v>15300</v>
      </c>
      <c r="N145" s="415">
        <v>0</v>
      </c>
      <c r="O145" s="415">
        <v>15300</v>
      </c>
      <c r="P145" s="68">
        <v>2074597</v>
      </c>
      <c r="Q145" s="68">
        <v>61226</v>
      </c>
      <c r="R145" s="415">
        <v>10008</v>
      </c>
      <c r="S145" s="416">
        <v>9.9436</v>
      </c>
      <c r="T145" s="417">
        <v>9.3402999999999992</v>
      </c>
      <c r="U145" s="423">
        <v>0.60329999999999995</v>
      </c>
      <c r="V145" s="424">
        <f>AG145*-1</f>
        <v>0</v>
      </c>
      <c r="W145" s="418">
        <f>AH145*-1</f>
        <v>0</v>
      </c>
      <c r="X145" s="418">
        <v>0</v>
      </c>
      <c r="Y145" s="418">
        <v>0</v>
      </c>
      <c r="Z145" s="418">
        <v>0</v>
      </c>
      <c r="AA145" s="415">
        <v>0</v>
      </c>
      <c r="AB145" s="418">
        <v>0</v>
      </c>
      <c r="AC145" s="418">
        <v>0</v>
      </c>
      <c r="AD145" s="418">
        <f>V145+X145+Y145+Z145+AB145</f>
        <v>0</v>
      </c>
      <c r="AE145" s="418">
        <f>W145+AA145+AC145</f>
        <v>0</v>
      </c>
      <c r="AF145" s="418">
        <f>SUM(AD145:AE145)</f>
        <v>0</v>
      </c>
      <c r="AG145" s="418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>AG145+AI145+AJ145</f>
        <v>0</v>
      </c>
      <c r="AM145" s="418">
        <f>AH145+AK145</f>
        <v>0</v>
      </c>
      <c r="AN145" s="418">
        <f>SUM(AL145:AM145)</f>
        <v>0</v>
      </c>
      <c r="AO145" s="418">
        <f>AD145+AL145</f>
        <v>0</v>
      </c>
      <c r="AP145" s="418">
        <f>AE145+AM145</f>
        <v>0</v>
      </c>
      <c r="AQ145" s="418">
        <f>SUM(AO145:AP145)</f>
        <v>0</v>
      </c>
      <c r="AR145" s="68">
        <f>ROUND((AF145+AG145+AH145+AI145)*33.8%,0)</f>
        <v>0</v>
      </c>
      <c r="AS145" s="68">
        <f>ROUND(AF145*1%,0)</f>
        <v>0</v>
      </c>
      <c r="AT145" s="418">
        <v>0</v>
      </c>
      <c r="AU145" s="415">
        <v>0</v>
      </c>
      <c r="AV145" s="418">
        <f>AT145+AU145</f>
        <v>0</v>
      </c>
      <c r="AW145" s="418">
        <f>AQ145+AR145+AS145+AV145</f>
        <v>0</v>
      </c>
      <c r="AX145" s="419">
        <v>0</v>
      </c>
      <c r="AY145" s="419">
        <v>0</v>
      </c>
      <c r="AZ145" s="419">
        <v>0</v>
      </c>
      <c r="BA145" s="419">
        <v>0</v>
      </c>
      <c r="BB145" s="416">
        <v>0</v>
      </c>
      <c r="BC145" s="939">
        <v>0</v>
      </c>
      <c r="BD145" s="419">
        <v>0</v>
      </c>
      <c r="BE145" s="419">
        <v>0</v>
      </c>
      <c r="BF145" s="419">
        <f>AX145+AZ145+BA145+BC145+BD145</f>
        <v>0</v>
      </c>
      <c r="BG145" s="419">
        <f>AY145+BB145+BE145</f>
        <v>0</v>
      </c>
      <c r="BH145" s="421">
        <f>SUM(BF145:BG145)</f>
        <v>0</v>
      </c>
      <c r="BI145" s="780">
        <f>I145+AW145</f>
        <v>8283691</v>
      </c>
      <c r="BJ145" s="418">
        <f>J145+AF145</f>
        <v>6122560</v>
      </c>
      <c r="BK145" s="418">
        <f>K145+AD145</f>
        <v>5905035</v>
      </c>
      <c r="BL145" s="418">
        <f>L145+AE145</f>
        <v>217525</v>
      </c>
      <c r="BM145" s="418">
        <f>M145+AN145</f>
        <v>15300</v>
      </c>
      <c r="BN145" s="418">
        <f>N145+AL145</f>
        <v>0</v>
      </c>
      <c r="BO145" s="418">
        <f>O145+AM145</f>
        <v>15300</v>
      </c>
      <c r="BP145" s="418">
        <f>P145+AR145</f>
        <v>2074597</v>
      </c>
      <c r="BQ145" s="418">
        <f>Q145+AS145</f>
        <v>61226</v>
      </c>
      <c r="BR145" s="418">
        <f>R145+AV145</f>
        <v>10008</v>
      </c>
      <c r="BS145" s="419">
        <f>S145+BH145</f>
        <v>9.9436</v>
      </c>
      <c r="BT145" s="419">
        <f>T145+BF145</f>
        <v>9.3402999999999992</v>
      </c>
      <c r="BU145" s="421">
        <f>U145+BG145</f>
        <v>0.60329999999999995</v>
      </c>
      <c r="BV145" s="420"/>
      <c r="BW145" s="415"/>
      <c r="BX145" s="415"/>
      <c r="BY145" s="415"/>
      <c r="BZ145" s="415"/>
      <c r="CA145" s="510"/>
    </row>
    <row r="146" spans="1:79" s="221" customFormat="1" x14ac:dyDescent="0.2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13"/>
      <c r="I146" s="452">
        <v>8283691</v>
      </c>
      <c r="J146" s="445">
        <v>6122560</v>
      </c>
      <c r="K146" s="445">
        <v>5905035</v>
      </c>
      <c r="L146" s="445">
        <v>217525</v>
      </c>
      <c r="M146" s="445">
        <v>15300</v>
      </c>
      <c r="N146" s="445">
        <v>0</v>
      </c>
      <c r="O146" s="445">
        <v>15300</v>
      </c>
      <c r="P146" s="445">
        <v>2074597</v>
      </c>
      <c r="Q146" s="445">
        <v>61226</v>
      </c>
      <c r="R146" s="445">
        <v>10008</v>
      </c>
      <c r="S146" s="446">
        <v>9.9436</v>
      </c>
      <c r="T146" s="446">
        <v>9.3402999999999992</v>
      </c>
      <c r="U146" s="450">
        <v>0.60329999999999995</v>
      </c>
      <c r="V146" s="448">
        <f t="shared" ref="V146:CA146" si="290">SUM(V145)</f>
        <v>0</v>
      </c>
      <c r="W146" s="445">
        <f t="shared" si="290"/>
        <v>0</v>
      </c>
      <c r="X146" s="445">
        <f t="shared" si="290"/>
        <v>0</v>
      </c>
      <c r="Y146" s="445">
        <f t="shared" si="290"/>
        <v>0</v>
      </c>
      <c r="Z146" s="445">
        <f t="shared" si="290"/>
        <v>0</v>
      </c>
      <c r="AA146" s="445">
        <f t="shared" si="290"/>
        <v>0</v>
      </c>
      <c r="AB146" s="445">
        <f t="shared" si="290"/>
        <v>0</v>
      </c>
      <c r="AC146" s="445">
        <f t="shared" si="290"/>
        <v>0</v>
      </c>
      <c r="AD146" s="445">
        <f t="shared" si="290"/>
        <v>0</v>
      </c>
      <c r="AE146" s="445">
        <f t="shared" si="290"/>
        <v>0</v>
      </c>
      <c r="AF146" s="445">
        <f t="shared" si="290"/>
        <v>0</v>
      </c>
      <c r="AG146" s="445">
        <f t="shared" si="290"/>
        <v>0</v>
      </c>
      <c r="AH146" s="445">
        <f t="shared" si="290"/>
        <v>0</v>
      </c>
      <c r="AI146" s="445">
        <f t="shared" si="290"/>
        <v>0</v>
      </c>
      <c r="AJ146" s="445">
        <f t="shared" si="290"/>
        <v>0</v>
      </c>
      <c r="AK146" s="445">
        <f t="shared" si="290"/>
        <v>0</v>
      </c>
      <c r="AL146" s="445">
        <f t="shared" si="290"/>
        <v>0</v>
      </c>
      <c r="AM146" s="445">
        <f t="shared" si="290"/>
        <v>0</v>
      </c>
      <c r="AN146" s="445">
        <f t="shared" si="290"/>
        <v>0</v>
      </c>
      <c r="AO146" s="445">
        <f t="shared" si="290"/>
        <v>0</v>
      </c>
      <c r="AP146" s="445">
        <f t="shared" si="290"/>
        <v>0</v>
      </c>
      <c r="AQ146" s="445">
        <f t="shared" si="290"/>
        <v>0</v>
      </c>
      <c r="AR146" s="445">
        <f t="shared" si="290"/>
        <v>0</v>
      </c>
      <c r="AS146" s="445">
        <f t="shared" si="290"/>
        <v>0</v>
      </c>
      <c r="AT146" s="445">
        <f t="shared" si="290"/>
        <v>0</v>
      </c>
      <c r="AU146" s="445">
        <f t="shared" si="290"/>
        <v>0</v>
      </c>
      <c r="AV146" s="445">
        <f t="shared" si="290"/>
        <v>0</v>
      </c>
      <c r="AW146" s="445">
        <f t="shared" si="290"/>
        <v>0</v>
      </c>
      <c r="AX146" s="446">
        <f t="shared" si="290"/>
        <v>0</v>
      </c>
      <c r="AY146" s="446">
        <f t="shared" si="290"/>
        <v>0</v>
      </c>
      <c r="AZ146" s="446">
        <f t="shared" si="290"/>
        <v>0</v>
      </c>
      <c r="BA146" s="446">
        <f t="shared" si="290"/>
        <v>0</v>
      </c>
      <c r="BB146" s="446">
        <f t="shared" si="290"/>
        <v>0</v>
      </c>
      <c r="BC146" s="948">
        <f t="shared" si="290"/>
        <v>0</v>
      </c>
      <c r="BD146" s="446">
        <f t="shared" si="290"/>
        <v>0</v>
      </c>
      <c r="BE146" s="446">
        <f t="shared" si="290"/>
        <v>0</v>
      </c>
      <c r="BF146" s="446">
        <f t="shared" si="290"/>
        <v>0</v>
      </c>
      <c r="BG146" s="446">
        <f t="shared" si="290"/>
        <v>0</v>
      </c>
      <c r="BH146" s="39">
        <f t="shared" si="290"/>
        <v>0</v>
      </c>
      <c r="BI146" s="452">
        <f t="shared" si="290"/>
        <v>8283691</v>
      </c>
      <c r="BJ146" s="445">
        <f t="shared" si="290"/>
        <v>6122560</v>
      </c>
      <c r="BK146" s="445">
        <f t="shared" si="290"/>
        <v>5905035</v>
      </c>
      <c r="BL146" s="445">
        <f t="shared" si="290"/>
        <v>217525</v>
      </c>
      <c r="BM146" s="445">
        <f t="shared" si="290"/>
        <v>15300</v>
      </c>
      <c r="BN146" s="445">
        <f t="shared" si="290"/>
        <v>0</v>
      </c>
      <c r="BO146" s="445">
        <f t="shared" si="290"/>
        <v>15300</v>
      </c>
      <c r="BP146" s="445">
        <f t="shared" si="290"/>
        <v>2074597</v>
      </c>
      <c r="BQ146" s="445">
        <f t="shared" si="290"/>
        <v>61226</v>
      </c>
      <c r="BR146" s="445">
        <f t="shared" si="290"/>
        <v>10008</v>
      </c>
      <c r="BS146" s="446">
        <f t="shared" si="290"/>
        <v>9.9436</v>
      </c>
      <c r="BT146" s="446">
        <f t="shared" si="290"/>
        <v>9.3402999999999992</v>
      </c>
      <c r="BU146" s="39">
        <f t="shared" si="290"/>
        <v>0.60329999999999995</v>
      </c>
      <c r="BV146" s="833">
        <f t="shared" si="290"/>
        <v>0</v>
      </c>
      <c r="BW146" s="715">
        <f t="shared" si="290"/>
        <v>0</v>
      </c>
      <c r="BX146" s="715">
        <f t="shared" si="290"/>
        <v>0</v>
      </c>
      <c r="BY146" s="715">
        <f t="shared" si="290"/>
        <v>0</v>
      </c>
      <c r="BZ146" s="715">
        <f t="shared" si="290"/>
        <v>0</v>
      </c>
      <c r="CA146" s="834">
        <f t="shared" si="290"/>
        <v>0</v>
      </c>
    </row>
    <row r="147" spans="1:79" s="221" customFormat="1" x14ac:dyDescent="0.2">
      <c r="A147" s="209">
        <v>27</v>
      </c>
      <c r="B147" s="210">
        <v>4414</v>
      </c>
      <c r="C147" s="210">
        <v>600074307</v>
      </c>
      <c r="D147" s="210">
        <v>70695831</v>
      </c>
      <c r="E147" s="208" t="s">
        <v>198</v>
      </c>
      <c r="F147" s="210">
        <v>3111</v>
      </c>
      <c r="G147" s="165" t="s">
        <v>290</v>
      </c>
      <c r="H147" s="626" t="s">
        <v>271</v>
      </c>
      <c r="I147" s="511">
        <v>5659627</v>
      </c>
      <c r="J147" s="415">
        <v>4183285</v>
      </c>
      <c r="K147" s="415">
        <v>3830624</v>
      </c>
      <c r="L147" s="415">
        <v>352661</v>
      </c>
      <c r="M147" s="415">
        <v>0</v>
      </c>
      <c r="N147" s="415">
        <v>0</v>
      </c>
      <c r="O147" s="415">
        <v>0</v>
      </c>
      <c r="P147" s="68">
        <v>1413950</v>
      </c>
      <c r="Q147" s="68">
        <v>41833</v>
      </c>
      <c r="R147" s="415">
        <v>20559</v>
      </c>
      <c r="S147" s="416">
        <v>7.4063999999999997</v>
      </c>
      <c r="T147" s="417">
        <v>6.2062999999999997</v>
      </c>
      <c r="U147" s="423">
        <v>1.2000999999999999</v>
      </c>
      <c r="V147" s="424">
        <f t="shared" ref="V147:W149" si="291">AG147*-1</f>
        <v>0</v>
      </c>
      <c r="W147" s="418">
        <f t="shared" si="291"/>
        <v>0</v>
      </c>
      <c r="X147" s="418">
        <v>0</v>
      </c>
      <c r="Y147" s="418">
        <v>0</v>
      </c>
      <c r="Z147" s="418">
        <v>0</v>
      </c>
      <c r="AA147" s="415">
        <v>0</v>
      </c>
      <c r="AB147" s="418">
        <v>0</v>
      </c>
      <c r="AC147" s="418">
        <v>0</v>
      </c>
      <c r="AD147" s="418">
        <f>V147+X147+Y147+Z147+AB147</f>
        <v>0</v>
      </c>
      <c r="AE147" s="418">
        <f>W147+AA147+AC147</f>
        <v>0</v>
      </c>
      <c r="AF147" s="418">
        <f>SUM(AD147:AE147)</f>
        <v>0</v>
      </c>
      <c r="AG147" s="418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>AG147+AI147+AJ147</f>
        <v>0</v>
      </c>
      <c r="AM147" s="418">
        <f>AH147+AK147</f>
        <v>0</v>
      </c>
      <c r="AN147" s="418">
        <f>SUM(AL147:AM147)</f>
        <v>0</v>
      </c>
      <c r="AO147" s="418">
        <f t="shared" ref="AO147:AP149" si="292">AD147+AL147</f>
        <v>0</v>
      </c>
      <c r="AP147" s="418">
        <f t="shared" si="292"/>
        <v>0</v>
      </c>
      <c r="AQ147" s="418">
        <f>SUM(AO147:AP147)</f>
        <v>0</v>
      </c>
      <c r="AR147" s="68">
        <f>ROUND((AF147+AG147+AH147+AI147)*33.8%,0)</f>
        <v>0</v>
      </c>
      <c r="AS147" s="68">
        <f>ROUND(AF147*1%,0)</f>
        <v>0</v>
      </c>
      <c r="AT147" s="418">
        <v>0</v>
      </c>
      <c r="AU147" s="415">
        <v>0</v>
      </c>
      <c r="AV147" s="418">
        <f>AT147+AU147</f>
        <v>0</v>
      </c>
      <c r="AW147" s="418">
        <f>AQ147+AR147+AS147+AV147</f>
        <v>0</v>
      </c>
      <c r="AX147" s="419">
        <v>0</v>
      </c>
      <c r="AY147" s="419">
        <v>0</v>
      </c>
      <c r="AZ147" s="419">
        <v>0</v>
      </c>
      <c r="BA147" s="419">
        <v>0</v>
      </c>
      <c r="BB147" s="416">
        <v>0</v>
      </c>
      <c r="BC147" s="939">
        <v>0</v>
      </c>
      <c r="BD147" s="419">
        <v>0</v>
      </c>
      <c r="BE147" s="419">
        <v>0</v>
      </c>
      <c r="BF147" s="419">
        <f>AX147+AZ147+BA147+BC147+BD147</f>
        <v>0</v>
      </c>
      <c r="BG147" s="419">
        <f>AY147+BB147+BE147</f>
        <v>0</v>
      </c>
      <c r="BH147" s="421">
        <f>SUM(BF147:BG147)</f>
        <v>0</v>
      </c>
      <c r="BI147" s="780">
        <f>I147+AW147</f>
        <v>5659627</v>
      </c>
      <c r="BJ147" s="418">
        <f>J147+AF147</f>
        <v>4183285</v>
      </c>
      <c r="BK147" s="418">
        <f t="shared" ref="BK147:BL149" si="293">K147+AD147</f>
        <v>3830624</v>
      </c>
      <c r="BL147" s="418">
        <f t="shared" si="293"/>
        <v>352661</v>
      </c>
      <c r="BM147" s="418">
        <f>M147+AN147</f>
        <v>0</v>
      </c>
      <c r="BN147" s="418">
        <f t="shared" ref="BN147:BO149" si="294">N147+AL147</f>
        <v>0</v>
      </c>
      <c r="BO147" s="418">
        <f t="shared" si="294"/>
        <v>0</v>
      </c>
      <c r="BP147" s="418">
        <f t="shared" ref="BP147:BQ149" si="295">P147+AR147</f>
        <v>1413950</v>
      </c>
      <c r="BQ147" s="418">
        <f t="shared" si="295"/>
        <v>41833</v>
      </c>
      <c r="BR147" s="418">
        <f>R147+AV147</f>
        <v>20559</v>
      </c>
      <c r="BS147" s="419">
        <f>S147+BH147</f>
        <v>7.4063999999999997</v>
      </c>
      <c r="BT147" s="419">
        <f t="shared" ref="BT147:BU149" si="296">T147+BF147</f>
        <v>6.2062999999999997</v>
      </c>
      <c r="BU147" s="421">
        <f t="shared" si="296"/>
        <v>1.2000999999999999</v>
      </c>
      <c r="BV147" s="420"/>
      <c r="BW147" s="415"/>
      <c r="BX147" s="415"/>
      <c r="BY147" s="415"/>
      <c r="BZ147" s="415"/>
      <c r="CA147" s="510"/>
    </row>
    <row r="148" spans="1:79" s="221" customFormat="1" x14ac:dyDescent="0.2">
      <c r="A148" s="209">
        <v>27</v>
      </c>
      <c r="B148" s="210">
        <v>4414</v>
      </c>
      <c r="C148" s="210">
        <v>600074307</v>
      </c>
      <c r="D148" s="210">
        <v>70695831</v>
      </c>
      <c r="E148" s="208" t="s">
        <v>198</v>
      </c>
      <c r="F148" s="210">
        <v>3111</v>
      </c>
      <c r="G148" s="165" t="s">
        <v>291</v>
      </c>
      <c r="H148" s="626" t="s">
        <v>272</v>
      </c>
      <c r="I148" s="511">
        <v>1334908</v>
      </c>
      <c r="J148" s="415">
        <v>988804</v>
      </c>
      <c r="K148" s="415">
        <v>988804</v>
      </c>
      <c r="L148" s="415">
        <v>0</v>
      </c>
      <c r="M148" s="415">
        <v>0</v>
      </c>
      <c r="N148" s="415">
        <v>0</v>
      </c>
      <c r="O148" s="415">
        <v>0</v>
      </c>
      <c r="P148" s="68">
        <v>334216</v>
      </c>
      <c r="Q148" s="68">
        <v>9888</v>
      </c>
      <c r="R148" s="415">
        <v>2000</v>
      </c>
      <c r="S148" s="416">
        <v>2.67</v>
      </c>
      <c r="T148" s="417">
        <v>2.67</v>
      </c>
      <c r="U148" s="423">
        <v>0</v>
      </c>
      <c r="V148" s="424">
        <f t="shared" si="291"/>
        <v>0</v>
      </c>
      <c r="W148" s="418">
        <f t="shared" si="291"/>
        <v>0</v>
      </c>
      <c r="X148" s="418">
        <v>0</v>
      </c>
      <c r="Y148" s="418">
        <v>0</v>
      </c>
      <c r="Z148" s="418">
        <v>0</v>
      </c>
      <c r="AA148" s="415">
        <v>0</v>
      </c>
      <c r="AB148" s="418">
        <v>0</v>
      </c>
      <c r="AC148" s="418">
        <v>0</v>
      </c>
      <c r="AD148" s="418">
        <f>V148+X148+Y148+Z148+AB148</f>
        <v>0</v>
      </c>
      <c r="AE148" s="418">
        <f>W148+AA148+AC148</f>
        <v>0</v>
      </c>
      <c r="AF148" s="418">
        <f>SUM(AD148:AE148)</f>
        <v>0</v>
      </c>
      <c r="AG148" s="418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>AG148+AI148+AJ148</f>
        <v>0</v>
      </c>
      <c r="AM148" s="418">
        <f>AH148+AK148</f>
        <v>0</v>
      </c>
      <c r="AN148" s="418">
        <f>SUM(AL148:AM148)</f>
        <v>0</v>
      </c>
      <c r="AO148" s="418">
        <f t="shared" si="292"/>
        <v>0</v>
      </c>
      <c r="AP148" s="418">
        <f t="shared" si="292"/>
        <v>0</v>
      </c>
      <c r="AQ148" s="418">
        <f>SUM(AO148:AP148)</f>
        <v>0</v>
      </c>
      <c r="AR148" s="68">
        <f>ROUND((AF148+AG148+AH148+AI148)*33.8%,0)</f>
        <v>0</v>
      </c>
      <c r="AS148" s="68">
        <f>ROUND(AF148*1%,0)</f>
        <v>0</v>
      </c>
      <c r="AT148" s="418">
        <v>0</v>
      </c>
      <c r="AU148" s="415">
        <v>0</v>
      </c>
      <c r="AV148" s="418">
        <f>AT148+AU148</f>
        <v>0</v>
      </c>
      <c r="AW148" s="418">
        <f>AQ148+AR148+AS148+AV148</f>
        <v>0</v>
      </c>
      <c r="AX148" s="419">
        <v>0</v>
      </c>
      <c r="AY148" s="419">
        <v>0</v>
      </c>
      <c r="AZ148" s="419">
        <v>0</v>
      </c>
      <c r="BA148" s="419">
        <v>0</v>
      </c>
      <c r="BB148" s="416">
        <v>0</v>
      </c>
      <c r="BC148" s="939">
        <v>0</v>
      </c>
      <c r="BD148" s="419">
        <v>0</v>
      </c>
      <c r="BE148" s="419">
        <v>0</v>
      </c>
      <c r="BF148" s="419">
        <f>AX148+AZ148+BA148+BC148+BD148</f>
        <v>0</v>
      </c>
      <c r="BG148" s="419">
        <f>AY148+BB148+BE148</f>
        <v>0</v>
      </c>
      <c r="BH148" s="421">
        <f>SUM(BF148:BG148)</f>
        <v>0</v>
      </c>
      <c r="BI148" s="780">
        <f>I148+AW148</f>
        <v>1334908</v>
      </c>
      <c r="BJ148" s="418">
        <f>J148+AF148</f>
        <v>988804</v>
      </c>
      <c r="BK148" s="418">
        <f t="shared" si="293"/>
        <v>988804</v>
      </c>
      <c r="BL148" s="418">
        <f t="shared" si="293"/>
        <v>0</v>
      </c>
      <c r="BM148" s="418">
        <f>M148+AN148</f>
        <v>0</v>
      </c>
      <c r="BN148" s="418">
        <f t="shared" si="294"/>
        <v>0</v>
      </c>
      <c r="BO148" s="418">
        <f t="shared" si="294"/>
        <v>0</v>
      </c>
      <c r="BP148" s="418">
        <f t="shared" si="295"/>
        <v>334216</v>
      </c>
      <c r="BQ148" s="418">
        <f t="shared" si="295"/>
        <v>9888</v>
      </c>
      <c r="BR148" s="418">
        <f>R148+AV148</f>
        <v>2000</v>
      </c>
      <c r="BS148" s="419">
        <f>S148+BH148</f>
        <v>2.67</v>
      </c>
      <c r="BT148" s="419">
        <f t="shared" si="296"/>
        <v>2.67</v>
      </c>
      <c r="BU148" s="421">
        <f t="shared" si="296"/>
        <v>0</v>
      </c>
      <c r="BV148" s="420"/>
      <c r="BW148" s="415"/>
      <c r="BX148" s="415"/>
      <c r="BY148" s="415"/>
      <c r="BZ148" s="415"/>
      <c r="CA148" s="510"/>
    </row>
    <row r="149" spans="1:79" s="221" customFormat="1" x14ac:dyDescent="0.2">
      <c r="A149" s="209">
        <v>27</v>
      </c>
      <c r="B149" s="210">
        <v>4414</v>
      </c>
      <c r="C149" s="210">
        <v>600074307</v>
      </c>
      <c r="D149" s="210">
        <v>70695831</v>
      </c>
      <c r="E149" s="204" t="s">
        <v>832</v>
      </c>
      <c r="F149" s="210">
        <v>3141</v>
      </c>
      <c r="G149" s="165" t="s">
        <v>294</v>
      </c>
      <c r="H149" s="626" t="s">
        <v>272</v>
      </c>
      <c r="I149" s="511">
        <v>0</v>
      </c>
      <c r="J149" s="415">
        <v>0</v>
      </c>
      <c r="K149" s="415">
        <v>0</v>
      </c>
      <c r="L149" s="415">
        <v>0</v>
      </c>
      <c r="M149" s="415">
        <v>0</v>
      </c>
      <c r="N149" s="415">
        <v>0</v>
      </c>
      <c r="O149" s="415">
        <v>0</v>
      </c>
      <c r="P149" s="68">
        <v>0</v>
      </c>
      <c r="Q149" s="68">
        <v>0</v>
      </c>
      <c r="R149" s="415">
        <v>0</v>
      </c>
      <c r="S149" s="416">
        <v>0</v>
      </c>
      <c r="T149" s="417">
        <v>0</v>
      </c>
      <c r="U149" s="423">
        <v>0</v>
      </c>
      <c r="V149" s="424">
        <f t="shared" si="291"/>
        <v>0</v>
      </c>
      <c r="W149" s="418">
        <f t="shared" si="291"/>
        <v>0</v>
      </c>
      <c r="X149" s="418">
        <v>0</v>
      </c>
      <c r="Y149" s="418">
        <v>0</v>
      </c>
      <c r="Z149" s="418">
        <v>0</v>
      </c>
      <c r="AA149" s="415">
        <v>0</v>
      </c>
      <c r="AB149" s="418">
        <v>0</v>
      </c>
      <c r="AC149" s="418">
        <v>0</v>
      </c>
      <c r="AD149" s="418">
        <f>V149+X149+Y149+Z149+AB149</f>
        <v>0</v>
      </c>
      <c r="AE149" s="418">
        <f>W149+AA149+AC149</f>
        <v>0</v>
      </c>
      <c r="AF149" s="418">
        <f>SUM(AD149:AE149)</f>
        <v>0</v>
      </c>
      <c r="AG149" s="418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>AG149+AI149+AJ149</f>
        <v>0</v>
      </c>
      <c r="AM149" s="418">
        <f>AH149+AK149</f>
        <v>0</v>
      </c>
      <c r="AN149" s="418">
        <f>SUM(AL149:AM149)</f>
        <v>0</v>
      </c>
      <c r="AO149" s="418">
        <f t="shared" si="292"/>
        <v>0</v>
      </c>
      <c r="AP149" s="418">
        <f t="shared" si="292"/>
        <v>0</v>
      </c>
      <c r="AQ149" s="418">
        <f>SUM(AO149:AP149)</f>
        <v>0</v>
      </c>
      <c r="AR149" s="68">
        <f>ROUND((AF149+AG149+AH149+AI149)*33.8%,0)</f>
        <v>0</v>
      </c>
      <c r="AS149" s="68">
        <f>ROUND(AF149*1%,0)</f>
        <v>0</v>
      </c>
      <c r="AT149" s="418">
        <v>0</v>
      </c>
      <c r="AU149" s="415">
        <v>0</v>
      </c>
      <c r="AV149" s="418">
        <f>AT149+AU149</f>
        <v>0</v>
      </c>
      <c r="AW149" s="418">
        <f>AQ149+AR149+AS149+AV149</f>
        <v>0</v>
      </c>
      <c r="AX149" s="419">
        <v>0</v>
      </c>
      <c r="AY149" s="419">
        <v>0</v>
      </c>
      <c r="AZ149" s="419">
        <v>0</v>
      </c>
      <c r="BA149" s="419">
        <v>0</v>
      </c>
      <c r="BB149" s="416">
        <v>0</v>
      </c>
      <c r="BC149" s="939">
        <v>0</v>
      </c>
      <c r="BD149" s="419">
        <v>0</v>
      </c>
      <c r="BE149" s="419">
        <v>0</v>
      </c>
      <c r="BF149" s="419">
        <f>AX149+AZ149+BA149+BC149+BD149</f>
        <v>0</v>
      </c>
      <c r="BG149" s="419">
        <f>AY149+BB149+BE149</f>
        <v>0</v>
      </c>
      <c r="BH149" s="421">
        <f>SUM(BF149:BG149)</f>
        <v>0</v>
      </c>
      <c r="BI149" s="780">
        <f>I149+AW149</f>
        <v>0</v>
      </c>
      <c r="BJ149" s="418">
        <f>J149+AF149</f>
        <v>0</v>
      </c>
      <c r="BK149" s="418">
        <f t="shared" si="293"/>
        <v>0</v>
      </c>
      <c r="BL149" s="418">
        <f t="shared" si="293"/>
        <v>0</v>
      </c>
      <c r="BM149" s="418">
        <f>M149+AN149</f>
        <v>0</v>
      </c>
      <c r="BN149" s="418">
        <f t="shared" si="294"/>
        <v>0</v>
      </c>
      <c r="BO149" s="418">
        <f t="shared" si="294"/>
        <v>0</v>
      </c>
      <c r="BP149" s="418">
        <f t="shared" si="295"/>
        <v>0</v>
      </c>
      <c r="BQ149" s="418">
        <f t="shared" si="295"/>
        <v>0</v>
      </c>
      <c r="BR149" s="418">
        <f>R149+AV149</f>
        <v>0</v>
      </c>
      <c r="BS149" s="419">
        <f>S149+BH149</f>
        <v>0</v>
      </c>
      <c r="BT149" s="419">
        <f t="shared" si="296"/>
        <v>0</v>
      </c>
      <c r="BU149" s="421">
        <f t="shared" si="296"/>
        <v>0</v>
      </c>
      <c r="BV149" s="420"/>
      <c r="BW149" s="415"/>
      <c r="BX149" s="415"/>
      <c r="BY149" s="415"/>
      <c r="BZ149" s="415"/>
      <c r="CA149" s="510"/>
    </row>
    <row r="150" spans="1:79" s="221" customFormat="1" x14ac:dyDescent="0.2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13"/>
      <c r="I150" s="452">
        <v>6994535</v>
      </c>
      <c r="J150" s="445">
        <v>5172089</v>
      </c>
      <c r="K150" s="445">
        <v>4819428</v>
      </c>
      <c r="L150" s="445">
        <v>352661</v>
      </c>
      <c r="M150" s="445">
        <v>0</v>
      </c>
      <c r="N150" s="445">
        <v>0</v>
      </c>
      <c r="O150" s="445">
        <v>0</v>
      </c>
      <c r="P150" s="445">
        <v>1748166</v>
      </c>
      <c r="Q150" s="445">
        <v>51721</v>
      </c>
      <c r="R150" s="445">
        <v>22559</v>
      </c>
      <c r="S150" s="446">
        <v>10.0764</v>
      </c>
      <c r="T150" s="446">
        <v>8.8763000000000005</v>
      </c>
      <c r="U150" s="450">
        <v>1.2000999999999999</v>
      </c>
      <c r="V150" s="448">
        <f t="shared" ref="V150:CA150" si="297">SUM(V147:V149)</f>
        <v>0</v>
      </c>
      <c r="W150" s="445">
        <f t="shared" si="297"/>
        <v>0</v>
      </c>
      <c r="X150" s="445">
        <f t="shared" si="297"/>
        <v>0</v>
      </c>
      <c r="Y150" s="445">
        <f t="shared" si="297"/>
        <v>0</v>
      </c>
      <c r="Z150" s="445">
        <f t="shared" si="297"/>
        <v>0</v>
      </c>
      <c r="AA150" s="445">
        <f t="shared" si="297"/>
        <v>0</v>
      </c>
      <c r="AB150" s="445">
        <f t="shared" si="297"/>
        <v>0</v>
      </c>
      <c r="AC150" s="445">
        <f t="shared" si="297"/>
        <v>0</v>
      </c>
      <c r="AD150" s="445">
        <f t="shared" si="297"/>
        <v>0</v>
      </c>
      <c r="AE150" s="445">
        <f t="shared" si="297"/>
        <v>0</v>
      </c>
      <c r="AF150" s="445">
        <f t="shared" si="297"/>
        <v>0</v>
      </c>
      <c r="AG150" s="445">
        <f t="shared" si="297"/>
        <v>0</v>
      </c>
      <c r="AH150" s="445">
        <f t="shared" si="297"/>
        <v>0</v>
      </c>
      <c r="AI150" s="445">
        <f t="shared" si="297"/>
        <v>0</v>
      </c>
      <c r="AJ150" s="445">
        <f t="shared" si="297"/>
        <v>0</v>
      </c>
      <c r="AK150" s="445">
        <f t="shared" si="297"/>
        <v>0</v>
      </c>
      <c r="AL150" s="445">
        <f t="shared" si="297"/>
        <v>0</v>
      </c>
      <c r="AM150" s="445">
        <f t="shared" si="297"/>
        <v>0</v>
      </c>
      <c r="AN150" s="445">
        <f t="shared" si="297"/>
        <v>0</v>
      </c>
      <c r="AO150" s="445">
        <f t="shared" si="297"/>
        <v>0</v>
      </c>
      <c r="AP150" s="445">
        <f t="shared" si="297"/>
        <v>0</v>
      </c>
      <c r="AQ150" s="445">
        <f t="shared" si="297"/>
        <v>0</v>
      </c>
      <c r="AR150" s="445">
        <f t="shared" si="297"/>
        <v>0</v>
      </c>
      <c r="AS150" s="445">
        <f t="shared" si="297"/>
        <v>0</v>
      </c>
      <c r="AT150" s="445">
        <f t="shared" si="297"/>
        <v>0</v>
      </c>
      <c r="AU150" s="445">
        <f t="shared" si="297"/>
        <v>0</v>
      </c>
      <c r="AV150" s="445">
        <f t="shared" si="297"/>
        <v>0</v>
      </c>
      <c r="AW150" s="445">
        <f t="shared" si="297"/>
        <v>0</v>
      </c>
      <c r="AX150" s="446">
        <f t="shared" si="297"/>
        <v>0</v>
      </c>
      <c r="AY150" s="446">
        <f t="shared" si="297"/>
        <v>0</v>
      </c>
      <c r="AZ150" s="446">
        <f t="shared" si="297"/>
        <v>0</v>
      </c>
      <c r="BA150" s="446">
        <f t="shared" si="297"/>
        <v>0</v>
      </c>
      <c r="BB150" s="446">
        <f t="shared" si="297"/>
        <v>0</v>
      </c>
      <c r="BC150" s="948">
        <f t="shared" si="297"/>
        <v>0</v>
      </c>
      <c r="BD150" s="446">
        <f t="shared" si="297"/>
        <v>0</v>
      </c>
      <c r="BE150" s="446">
        <f t="shared" si="297"/>
        <v>0</v>
      </c>
      <c r="BF150" s="446">
        <f t="shared" si="297"/>
        <v>0</v>
      </c>
      <c r="BG150" s="446">
        <f t="shared" si="297"/>
        <v>0</v>
      </c>
      <c r="BH150" s="39">
        <f t="shared" si="297"/>
        <v>0</v>
      </c>
      <c r="BI150" s="452">
        <f t="shared" si="297"/>
        <v>6994535</v>
      </c>
      <c r="BJ150" s="445">
        <f t="shared" si="297"/>
        <v>5172089</v>
      </c>
      <c r="BK150" s="445">
        <f t="shared" si="297"/>
        <v>4819428</v>
      </c>
      <c r="BL150" s="445">
        <f t="shared" si="297"/>
        <v>352661</v>
      </c>
      <c r="BM150" s="445">
        <f t="shared" si="297"/>
        <v>0</v>
      </c>
      <c r="BN150" s="445">
        <f t="shared" si="297"/>
        <v>0</v>
      </c>
      <c r="BO150" s="445">
        <f t="shared" si="297"/>
        <v>0</v>
      </c>
      <c r="BP150" s="445">
        <f t="shared" si="297"/>
        <v>1748166</v>
      </c>
      <c r="BQ150" s="445">
        <f t="shared" si="297"/>
        <v>51721</v>
      </c>
      <c r="BR150" s="445">
        <f t="shared" si="297"/>
        <v>22559</v>
      </c>
      <c r="BS150" s="446">
        <f t="shared" si="297"/>
        <v>10.0764</v>
      </c>
      <c r="BT150" s="446">
        <f t="shared" si="297"/>
        <v>8.8763000000000005</v>
      </c>
      <c r="BU150" s="39">
        <f t="shared" si="297"/>
        <v>1.2000999999999999</v>
      </c>
      <c r="BV150" s="833">
        <f t="shared" si="297"/>
        <v>0</v>
      </c>
      <c r="BW150" s="715">
        <f t="shared" si="297"/>
        <v>0</v>
      </c>
      <c r="BX150" s="715">
        <f t="shared" si="297"/>
        <v>0</v>
      </c>
      <c r="BY150" s="715">
        <f t="shared" si="297"/>
        <v>0</v>
      </c>
      <c r="BZ150" s="715">
        <f t="shared" si="297"/>
        <v>0</v>
      </c>
      <c r="CA150" s="834">
        <f t="shared" si="297"/>
        <v>0</v>
      </c>
    </row>
    <row r="151" spans="1:79" s="221" customFormat="1" x14ac:dyDescent="0.2">
      <c r="A151" s="209">
        <v>28</v>
      </c>
      <c r="B151" s="210">
        <v>4444</v>
      </c>
      <c r="C151" s="210">
        <v>600074731</v>
      </c>
      <c r="D151" s="210">
        <v>48282979</v>
      </c>
      <c r="E151" s="208" t="s">
        <v>200</v>
      </c>
      <c r="F151" s="210">
        <v>3113</v>
      </c>
      <c r="G151" s="165" t="s">
        <v>293</v>
      </c>
      <c r="H151" s="626" t="s">
        <v>271</v>
      </c>
      <c r="I151" s="511">
        <v>14185731</v>
      </c>
      <c r="J151" s="415">
        <v>10351189</v>
      </c>
      <c r="K151" s="415">
        <v>9516011</v>
      </c>
      <c r="L151" s="415">
        <v>835178</v>
      </c>
      <c r="M151" s="415">
        <v>30000</v>
      </c>
      <c r="N151" s="415">
        <v>0</v>
      </c>
      <c r="O151" s="415">
        <v>30000</v>
      </c>
      <c r="P151" s="68">
        <v>3508842</v>
      </c>
      <c r="Q151" s="68">
        <v>103512</v>
      </c>
      <c r="R151" s="415">
        <v>192188</v>
      </c>
      <c r="S151" s="416">
        <v>15.863</v>
      </c>
      <c r="T151" s="417">
        <v>13.5</v>
      </c>
      <c r="U151" s="423">
        <v>2.363</v>
      </c>
      <c r="V151" s="424">
        <f t="shared" ref="V151:W156" si="298">AG151*-1</f>
        <v>0</v>
      </c>
      <c r="W151" s="418">
        <f t="shared" si="298"/>
        <v>0</v>
      </c>
      <c r="X151" s="418">
        <v>0</v>
      </c>
      <c r="Y151" s="418">
        <v>0</v>
      </c>
      <c r="Z151" s="418">
        <v>0</v>
      </c>
      <c r="AA151" s="415">
        <v>0</v>
      </c>
      <c r="AB151" s="418">
        <v>0</v>
      </c>
      <c r="AC151" s="418">
        <v>0</v>
      </c>
      <c r="AD151" s="418">
        <f t="shared" ref="AD151:AD156" si="299">V151+X151+Y151+Z151+AB151</f>
        <v>0</v>
      </c>
      <c r="AE151" s="418">
        <f t="shared" ref="AE151:AE156" si="300">W151+AA151+AC151</f>
        <v>0</v>
      </c>
      <c r="AF151" s="418">
        <f t="shared" ref="AF151:AF156" si="301">SUM(AD151:AE151)</f>
        <v>0</v>
      </c>
      <c r="AG151" s="418">
        <v>0</v>
      </c>
      <c r="AH151" s="418">
        <v>0</v>
      </c>
      <c r="AI151" s="418">
        <v>0</v>
      </c>
      <c r="AJ151" s="418">
        <v>0</v>
      </c>
      <c r="AK151" s="418">
        <v>0</v>
      </c>
      <c r="AL151" s="418">
        <f t="shared" ref="AL151:AL156" si="302">AG151+AI151+AJ151</f>
        <v>0</v>
      </c>
      <c r="AM151" s="418">
        <f t="shared" ref="AM151:AM156" si="303">AH151+AK151</f>
        <v>0</v>
      </c>
      <c r="AN151" s="418">
        <f t="shared" ref="AN151:AN156" si="304">SUM(AL151:AM151)</f>
        <v>0</v>
      </c>
      <c r="AO151" s="418">
        <f t="shared" ref="AO151:AP156" si="305">AD151+AL151</f>
        <v>0</v>
      </c>
      <c r="AP151" s="418">
        <f t="shared" si="305"/>
        <v>0</v>
      </c>
      <c r="AQ151" s="418">
        <f t="shared" ref="AQ151:AQ156" si="306">SUM(AO151:AP151)</f>
        <v>0</v>
      </c>
      <c r="AR151" s="68">
        <f t="shared" ref="AR151:AR156" si="307">ROUND((AF151+AG151+AH151+AI151)*33.8%,0)</f>
        <v>0</v>
      </c>
      <c r="AS151" s="68">
        <f t="shared" ref="AS151:AS156" si="308">ROUND(AF151*1%,0)</f>
        <v>0</v>
      </c>
      <c r="AT151" s="418">
        <v>0</v>
      </c>
      <c r="AU151" s="415">
        <v>0</v>
      </c>
      <c r="AV151" s="418">
        <f t="shared" ref="AV151:AV156" si="309">AT151+AU151</f>
        <v>0</v>
      </c>
      <c r="AW151" s="418">
        <f t="shared" ref="AW151:AW156" si="310">AQ151+AR151+AS151+AV151</f>
        <v>0</v>
      </c>
      <c r="AX151" s="419">
        <v>0</v>
      </c>
      <c r="AY151" s="419">
        <v>0</v>
      </c>
      <c r="AZ151" s="419">
        <v>0</v>
      </c>
      <c r="BA151" s="419">
        <v>0</v>
      </c>
      <c r="BB151" s="416">
        <v>0</v>
      </c>
      <c r="BC151" s="939">
        <v>0</v>
      </c>
      <c r="BD151" s="419">
        <v>0</v>
      </c>
      <c r="BE151" s="419">
        <v>0</v>
      </c>
      <c r="BF151" s="419">
        <f t="shared" ref="BF151:BF156" si="311">AX151+AZ151+BA151+BC151+BD151</f>
        <v>0</v>
      </c>
      <c r="BG151" s="419">
        <f t="shared" ref="BG151:BG156" si="312">AY151+BB151+BE151</f>
        <v>0</v>
      </c>
      <c r="BH151" s="421">
        <f t="shared" ref="BH151:BH156" si="313">SUM(BF151:BG151)</f>
        <v>0</v>
      </c>
      <c r="BI151" s="780">
        <f t="shared" ref="BI151:BI156" si="314">I151+AW151</f>
        <v>14185731</v>
      </c>
      <c r="BJ151" s="418">
        <f t="shared" ref="BJ151:BJ156" si="315">J151+AF151</f>
        <v>10351189</v>
      </c>
      <c r="BK151" s="418">
        <f t="shared" ref="BK151:BL156" si="316">K151+AD151</f>
        <v>9516011</v>
      </c>
      <c r="BL151" s="418">
        <f t="shared" si="316"/>
        <v>835178</v>
      </c>
      <c r="BM151" s="418">
        <f t="shared" ref="BM151:BM156" si="317">M151+AN151</f>
        <v>30000</v>
      </c>
      <c r="BN151" s="418">
        <f t="shared" ref="BN151:BO156" si="318">N151+AL151</f>
        <v>0</v>
      </c>
      <c r="BO151" s="418">
        <f t="shared" si="318"/>
        <v>30000</v>
      </c>
      <c r="BP151" s="418">
        <f t="shared" ref="BP151:BQ156" si="319">P151+AR151</f>
        <v>3508842</v>
      </c>
      <c r="BQ151" s="418">
        <f t="shared" si="319"/>
        <v>103512</v>
      </c>
      <c r="BR151" s="418">
        <f t="shared" ref="BR151:BR156" si="320">R151+AV151</f>
        <v>192188</v>
      </c>
      <c r="BS151" s="419">
        <f t="shared" ref="BS151:BS156" si="321">S151+BH151</f>
        <v>15.863</v>
      </c>
      <c r="BT151" s="419">
        <f t="shared" ref="BT151:BU156" si="322">T151+BF151</f>
        <v>13.5</v>
      </c>
      <c r="BU151" s="421">
        <f t="shared" si="322"/>
        <v>2.363</v>
      </c>
      <c r="BV151" s="420"/>
      <c r="BW151" s="415"/>
      <c r="BX151" s="415"/>
      <c r="BY151" s="415"/>
      <c r="BZ151" s="415"/>
      <c r="CA151" s="510"/>
    </row>
    <row r="152" spans="1:79" s="221" customFormat="1" x14ac:dyDescent="0.2">
      <c r="A152" s="209">
        <v>28</v>
      </c>
      <c r="B152" s="210">
        <v>4444</v>
      </c>
      <c r="C152" s="210">
        <v>600074731</v>
      </c>
      <c r="D152" s="210">
        <v>48282979</v>
      </c>
      <c r="E152" s="208" t="s">
        <v>200</v>
      </c>
      <c r="F152" s="210">
        <v>3113</v>
      </c>
      <c r="G152" s="165" t="s">
        <v>298</v>
      </c>
      <c r="H152" s="626" t="s">
        <v>272</v>
      </c>
      <c r="I152" s="511">
        <v>2571129</v>
      </c>
      <c r="J152" s="415">
        <v>1905511</v>
      </c>
      <c r="K152" s="415">
        <v>1905511</v>
      </c>
      <c r="L152" s="415">
        <v>0</v>
      </c>
      <c r="M152" s="415">
        <v>0</v>
      </c>
      <c r="N152" s="415">
        <v>0</v>
      </c>
      <c r="O152" s="415">
        <v>0</v>
      </c>
      <c r="P152" s="68">
        <v>644063</v>
      </c>
      <c r="Q152" s="68">
        <v>19055</v>
      </c>
      <c r="R152" s="415">
        <v>2500</v>
      </c>
      <c r="S152" s="416">
        <v>5.14</v>
      </c>
      <c r="T152" s="417">
        <v>5.14</v>
      </c>
      <c r="U152" s="423">
        <v>0</v>
      </c>
      <c r="V152" s="424">
        <f t="shared" si="298"/>
        <v>0</v>
      </c>
      <c r="W152" s="418">
        <f t="shared" si="298"/>
        <v>0</v>
      </c>
      <c r="X152" s="418">
        <v>185401</v>
      </c>
      <c r="Y152" s="418">
        <v>0</v>
      </c>
      <c r="Z152" s="418">
        <v>0</v>
      </c>
      <c r="AA152" s="415">
        <v>0</v>
      </c>
      <c r="AB152" s="418">
        <v>0</v>
      </c>
      <c r="AC152" s="418">
        <v>0</v>
      </c>
      <c r="AD152" s="418">
        <f t="shared" si="299"/>
        <v>185401</v>
      </c>
      <c r="AE152" s="418">
        <f t="shared" si="300"/>
        <v>0</v>
      </c>
      <c r="AF152" s="418">
        <f t="shared" si="301"/>
        <v>185401</v>
      </c>
      <c r="AG152" s="418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 t="shared" si="302"/>
        <v>0</v>
      </c>
      <c r="AM152" s="418">
        <f t="shared" si="303"/>
        <v>0</v>
      </c>
      <c r="AN152" s="418">
        <f t="shared" si="304"/>
        <v>0</v>
      </c>
      <c r="AO152" s="418">
        <f t="shared" si="305"/>
        <v>185401</v>
      </c>
      <c r="AP152" s="418">
        <f t="shared" si="305"/>
        <v>0</v>
      </c>
      <c r="AQ152" s="418">
        <f t="shared" si="306"/>
        <v>185401</v>
      </c>
      <c r="AR152" s="68">
        <f t="shared" si="307"/>
        <v>62666</v>
      </c>
      <c r="AS152" s="68">
        <f t="shared" si="308"/>
        <v>1854</v>
      </c>
      <c r="AT152" s="418">
        <v>4500</v>
      </c>
      <c r="AU152" s="415">
        <v>0</v>
      </c>
      <c r="AV152" s="418">
        <f t="shared" si="309"/>
        <v>4500</v>
      </c>
      <c r="AW152" s="418">
        <f t="shared" si="310"/>
        <v>254421</v>
      </c>
      <c r="AX152" s="419">
        <v>0</v>
      </c>
      <c r="AY152" s="419">
        <v>0</v>
      </c>
      <c r="AZ152" s="419">
        <v>0.5</v>
      </c>
      <c r="BA152" s="419">
        <v>0</v>
      </c>
      <c r="BB152" s="416">
        <v>0</v>
      </c>
      <c r="BC152" s="939">
        <v>0</v>
      </c>
      <c r="BD152" s="419">
        <v>0</v>
      </c>
      <c r="BE152" s="419">
        <v>0</v>
      </c>
      <c r="BF152" s="419">
        <f t="shared" si="311"/>
        <v>0.5</v>
      </c>
      <c r="BG152" s="419">
        <f t="shared" si="312"/>
        <v>0</v>
      </c>
      <c r="BH152" s="421">
        <f t="shared" si="313"/>
        <v>0.5</v>
      </c>
      <c r="BI152" s="780">
        <f t="shared" si="314"/>
        <v>2825550</v>
      </c>
      <c r="BJ152" s="418">
        <f t="shared" si="315"/>
        <v>2090912</v>
      </c>
      <c r="BK152" s="418">
        <f t="shared" si="316"/>
        <v>2090912</v>
      </c>
      <c r="BL152" s="418">
        <f t="shared" si="316"/>
        <v>0</v>
      </c>
      <c r="BM152" s="418">
        <f t="shared" si="317"/>
        <v>0</v>
      </c>
      <c r="BN152" s="418">
        <f t="shared" si="318"/>
        <v>0</v>
      </c>
      <c r="BO152" s="418">
        <f t="shared" si="318"/>
        <v>0</v>
      </c>
      <c r="BP152" s="418">
        <f t="shared" si="319"/>
        <v>706729</v>
      </c>
      <c r="BQ152" s="418">
        <f t="shared" si="319"/>
        <v>20909</v>
      </c>
      <c r="BR152" s="418">
        <f t="shared" si="320"/>
        <v>7000</v>
      </c>
      <c r="BS152" s="419">
        <f t="shared" si="321"/>
        <v>5.64</v>
      </c>
      <c r="BT152" s="419">
        <f t="shared" si="322"/>
        <v>5.64</v>
      </c>
      <c r="BU152" s="421">
        <f t="shared" si="322"/>
        <v>0</v>
      </c>
      <c r="BV152" s="420"/>
      <c r="BW152" s="415"/>
      <c r="BX152" s="415"/>
      <c r="BY152" s="415"/>
      <c r="BZ152" s="415"/>
      <c r="CA152" s="510"/>
    </row>
    <row r="153" spans="1:79" s="221" customFormat="1" x14ac:dyDescent="0.2">
      <c r="A153" s="209">
        <v>28</v>
      </c>
      <c r="B153" s="210">
        <v>4444</v>
      </c>
      <c r="C153" s="210">
        <v>600074731</v>
      </c>
      <c r="D153" s="210">
        <v>48282979</v>
      </c>
      <c r="E153" s="208" t="s">
        <v>200</v>
      </c>
      <c r="F153" s="210">
        <v>3141</v>
      </c>
      <c r="G153" s="165" t="s">
        <v>294</v>
      </c>
      <c r="H153" s="626" t="s">
        <v>272</v>
      </c>
      <c r="I153" s="511">
        <v>1829403</v>
      </c>
      <c r="J153" s="415">
        <v>1319494</v>
      </c>
      <c r="K153" s="415">
        <v>0</v>
      </c>
      <c r="L153" s="415">
        <v>1319494</v>
      </c>
      <c r="M153" s="415">
        <v>30000</v>
      </c>
      <c r="N153" s="415">
        <v>0</v>
      </c>
      <c r="O153" s="415">
        <v>30000</v>
      </c>
      <c r="P153" s="68">
        <v>456129</v>
      </c>
      <c r="Q153" s="68">
        <v>13195</v>
      </c>
      <c r="R153" s="415">
        <v>10585</v>
      </c>
      <c r="S153" s="416">
        <v>3.94</v>
      </c>
      <c r="T153" s="417">
        <v>0</v>
      </c>
      <c r="U153" s="423">
        <v>3.94</v>
      </c>
      <c r="V153" s="424">
        <f t="shared" si="298"/>
        <v>0</v>
      </c>
      <c r="W153" s="418">
        <f t="shared" si="298"/>
        <v>0</v>
      </c>
      <c r="X153" s="418">
        <v>0</v>
      </c>
      <c r="Y153" s="418">
        <v>0</v>
      </c>
      <c r="Z153" s="418">
        <v>0</v>
      </c>
      <c r="AA153" s="605">
        <v>674151</v>
      </c>
      <c r="AB153" s="418">
        <v>0</v>
      </c>
      <c r="AC153" s="418">
        <v>0</v>
      </c>
      <c r="AD153" s="418">
        <f t="shared" si="299"/>
        <v>0</v>
      </c>
      <c r="AE153" s="418">
        <f t="shared" si="300"/>
        <v>674151</v>
      </c>
      <c r="AF153" s="418">
        <f t="shared" si="301"/>
        <v>674151</v>
      </c>
      <c r="AG153" s="418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 t="shared" si="302"/>
        <v>0</v>
      </c>
      <c r="AM153" s="418">
        <f t="shared" si="303"/>
        <v>0</v>
      </c>
      <c r="AN153" s="418">
        <f t="shared" si="304"/>
        <v>0</v>
      </c>
      <c r="AO153" s="418">
        <f t="shared" si="305"/>
        <v>0</v>
      </c>
      <c r="AP153" s="418">
        <f t="shared" si="305"/>
        <v>674151</v>
      </c>
      <c r="AQ153" s="418">
        <f t="shared" si="306"/>
        <v>674151</v>
      </c>
      <c r="AR153" s="68">
        <f t="shared" si="307"/>
        <v>227863</v>
      </c>
      <c r="AS153" s="68">
        <f t="shared" si="308"/>
        <v>6742</v>
      </c>
      <c r="AT153" s="418">
        <v>0</v>
      </c>
      <c r="AU153" s="605">
        <v>5131</v>
      </c>
      <c r="AV153" s="418">
        <f t="shared" si="309"/>
        <v>5131</v>
      </c>
      <c r="AW153" s="418">
        <f t="shared" si="310"/>
        <v>913887</v>
      </c>
      <c r="AX153" s="419">
        <v>0</v>
      </c>
      <c r="AY153" s="419">
        <v>0</v>
      </c>
      <c r="AZ153" s="419">
        <v>0</v>
      </c>
      <c r="BA153" s="419">
        <v>0</v>
      </c>
      <c r="BB153" s="607">
        <v>2.02</v>
      </c>
      <c r="BC153" s="939">
        <v>0</v>
      </c>
      <c r="BD153" s="419">
        <v>0</v>
      </c>
      <c r="BE153" s="419">
        <v>0</v>
      </c>
      <c r="BF153" s="419">
        <f t="shared" si="311"/>
        <v>0</v>
      </c>
      <c r="BG153" s="419">
        <f t="shared" si="312"/>
        <v>2.02</v>
      </c>
      <c r="BH153" s="421">
        <f t="shared" si="313"/>
        <v>2.02</v>
      </c>
      <c r="BI153" s="780">
        <f t="shared" si="314"/>
        <v>2743290</v>
      </c>
      <c r="BJ153" s="418">
        <f t="shared" si="315"/>
        <v>1993645</v>
      </c>
      <c r="BK153" s="418">
        <f t="shared" si="316"/>
        <v>0</v>
      </c>
      <c r="BL153" s="418">
        <f t="shared" si="316"/>
        <v>1993645</v>
      </c>
      <c r="BM153" s="418">
        <f t="shared" si="317"/>
        <v>30000</v>
      </c>
      <c r="BN153" s="418">
        <f t="shared" si="318"/>
        <v>0</v>
      </c>
      <c r="BO153" s="418">
        <f t="shared" si="318"/>
        <v>30000</v>
      </c>
      <c r="BP153" s="418">
        <f t="shared" si="319"/>
        <v>683992</v>
      </c>
      <c r="BQ153" s="418">
        <f t="shared" si="319"/>
        <v>19937</v>
      </c>
      <c r="BR153" s="418">
        <f t="shared" si="320"/>
        <v>15716</v>
      </c>
      <c r="BS153" s="419">
        <f t="shared" si="321"/>
        <v>5.96</v>
      </c>
      <c r="BT153" s="419">
        <f t="shared" si="322"/>
        <v>0</v>
      </c>
      <c r="BU153" s="421">
        <f t="shared" si="322"/>
        <v>5.96</v>
      </c>
      <c r="BV153" s="420"/>
      <c r="BW153" s="415"/>
      <c r="BX153" s="415"/>
      <c r="BY153" s="415"/>
      <c r="BZ153" s="415"/>
      <c r="CA153" s="510"/>
    </row>
    <row r="154" spans="1:79" s="221" customFormat="1" x14ac:dyDescent="0.2">
      <c r="A154" s="209">
        <v>28</v>
      </c>
      <c r="B154" s="210">
        <v>4444</v>
      </c>
      <c r="C154" s="210">
        <v>600074731</v>
      </c>
      <c r="D154" s="210">
        <v>48282979</v>
      </c>
      <c r="E154" s="208" t="s">
        <v>200</v>
      </c>
      <c r="F154" s="210">
        <v>3143</v>
      </c>
      <c r="G154" s="165" t="s">
        <v>595</v>
      </c>
      <c r="H154" s="614" t="s">
        <v>271</v>
      </c>
      <c r="I154" s="511">
        <v>1712373</v>
      </c>
      <c r="J154" s="415">
        <v>1166085</v>
      </c>
      <c r="K154" s="415">
        <v>1166085</v>
      </c>
      <c r="L154" s="415">
        <v>0</v>
      </c>
      <c r="M154" s="415">
        <v>105000</v>
      </c>
      <c r="N154" s="415">
        <v>105000</v>
      </c>
      <c r="O154" s="415">
        <v>0</v>
      </c>
      <c r="P154" s="68">
        <v>429627</v>
      </c>
      <c r="Q154" s="68">
        <v>11661</v>
      </c>
      <c r="R154" s="415">
        <v>0</v>
      </c>
      <c r="S154" s="416">
        <v>2.4</v>
      </c>
      <c r="T154" s="417">
        <v>2.4</v>
      </c>
      <c r="U154" s="423">
        <v>0</v>
      </c>
      <c r="V154" s="424">
        <f t="shared" si="298"/>
        <v>0</v>
      </c>
      <c r="W154" s="418">
        <f t="shared" si="298"/>
        <v>0</v>
      </c>
      <c r="X154" s="418">
        <v>0</v>
      </c>
      <c r="Y154" s="418">
        <v>0</v>
      </c>
      <c r="Z154" s="418">
        <v>0</v>
      </c>
      <c r="AA154" s="415">
        <v>0</v>
      </c>
      <c r="AB154" s="418">
        <v>0</v>
      </c>
      <c r="AC154" s="418">
        <v>0</v>
      </c>
      <c r="AD154" s="418">
        <f t="shared" si="299"/>
        <v>0</v>
      </c>
      <c r="AE154" s="418">
        <f t="shared" si="300"/>
        <v>0</v>
      </c>
      <c r="AF154" s="418">
        <f t="shared" si="301"/>
        <v>0</v>
      </c>
      <c r="AG154" s="418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 t="shared" si="302"/>
        <v>0</v>
      </c>
      <c r="AM154" s="418">
        <f t="shared" si="303"/>
        <v>0</v>
      </c>
      <c r="AN154" s="418">
        <f t="shared" si="304"/>
        <v>0</v>
      </c>
      <c r="AO154" s="418">
        <f t="shared" si="305"/>
        <v>0</v>
      </c>
      <c r="AP154" s="418">
        <f t="shared" si="305"/>
        <v>0</v>
      </c>
      <c r="AQ154" s="418">
        <f t="shared" si="306"/>
        <v>0</v>
      </c>
      <c r="AR154" s="68">
        <f t="shared" si="307"/>
        <v>0</v>
      </c>
      <c r="AS154" s="68">
        <f t="shared" si="308"/>
        <v>0</v>
      </c>
      <c r="AT154" s="418">
        <v>0</v>
      </c>
      <c r="AU154" s="415">
        <v>0</v>
      </c>
      <c r="AV154" s="418">
        <f t="shared" si="309"/>
        <v>0</v>
      </c>
      <c r="AW154" s="418">
        <f t="shared" si="310"/>
        <v>0</v>
      </c>
      <c r="AX154" s="419">
        <v>0</v>
      </c>
      <c r="AY154" s="419">
        <v>0</v>
      </c>
      <c r="AZ154" s="419">
        <v>0</v>
      </c>
      <c r="BA154" s="419">
        <v>0</v>
      </c>
      <c r="BB154" s="416">
        <v>0</v>
      </c>
      <c r="BC154" s="939">
        <v>0</v>
      </c>
      <c r="BD154" s="419">
        <v>0</v>
      </c>
      <c r="BE154" s="419">
        <v>0</v>
      </c>
      <c r="BF154" s="419">
        <f t="shared" si="311"/>
        <v>0</v>
      </c>
      <c r="BG154" s="419">
        <f t="shared" si="312"/>
        <v>0</v>
      </c>
      <c r="BH154" s="421">
        <f t="shared" si="313"/>
        <v>0</v>
      </c>
      <c r="BI154" s="780">
        <f t="shared" si="314"/>
        <v>1712373</v>
      </c>
      <c r="BJ154" s="418">
        <f t="shared" si="315"/>
        <v>1166085</v>
      </c>
      <c r="BK154" s="418">
        <f t="shared" si="316"/>
        <v>1166085</v>
      </c>
      <c r="BL154" s="418">
        <f t="shared" si="316"/>
        <v>0</v>
      </c>
      <c r="BM154" s="418">
        <f t="shared" si="317"/>
        <v>105000</v>
      </c>
      <c r="BN154" s="418">
        <f t="shared" si="318"/>
        <v>105000</v>
      </c>
      <c r="BO154" s="418">
        <f t="shared" si="318"/>
        <v>0</v>
      </c>
      <c r="BP154" s="418">
        <f t="shared" si="319"/>
        <v>429627</v>
      </c>
      <c r="BQ154" s="418">
        <f t="shared" si="319"/>
        <v>11661</v>
      </c>
      <c r="BR154" s="418">
        <f t="shared" si="320"/>
        <v>0</v>
      </c>
      <c r="BS154" s="419">
        <f t="shared" si="321"/>
        <v>2.4</v>
      </c>
      <c r="BT154" s="419">
        <f t="shared" si="322"/>
        <v>2.4</v>
      </c>
      <c r="BU154" s="421">
        <f t="shared" si="322"/>
        <v>0</v>
      </c>
      <c r="BV154" s="420"/>
      <c r="BW154" s="415"/>
      <c r="BX154" s="415"/>
      <c r="BY154" s="415"/>
      <c r="BZ154" s="415"/>
      <c r="CA154" s="510"/>
    </row>
    <row r="155" spans="1:79" s="221" customFormat="1" x14ac:dyDescent="0.2">
      <c r="A155" s="209">
        <v>28</v>
      </c>
      <c r="B155" s="210">
        <v>4444</v>
      </c>
      <c r="C155" s="210">
        <v>600074731</v>
      </c>
      <c r="D155" s="210">
        <v>48282979</v>
      </c>
      <c r="E155" s="208" t="s">
        <v>200</v>
      </c>
      <c r="F155" s="210">
        <v>3143</v>
      </c>
      <c r="G155" s="165" t="s">
        <v>596</v>
      </c>
      <c r="H155" s="614" t="s">
        <v>272</v>
      </c>
      <c r="I155" s="511">
        <v>32273</v>
      </c>
      <c r="J155" s="415">
        <v>23100</v>
      </c>
      <c r="K155" s="415">
        <v>0</v>
      </c>
      <c r="L155" s="415">
        <v>23100</v>
      </c>
      <c r="M155" s="415">
        <v>0</v>
      </c>
      <c r="N155" s="415">
        <v>0</v>
      </c>
      <c r="O155" s="415">
        <v>0</v>
      </c>
      <c r="P155" s="68">
        <v>7808</v>
      </c>
      <c r="Q155" s="68">
        <v>231</v>
      </c>
      <c r="R155" s="415">
        <v>1134</v>
      </c>
      <c r="S155" s="416">
        <v>0.09</v>
      </c>
      <c r="T155" s="417">
        <v>0</v>
      </c>
      <c r="U155" s="423">
        <v>0.09</v>
      </c>
      <c r="V155" s="424">
        <f t="shared" si="298"/>
        <v>0</v>
      </c>
      <c r="W155" s="418">
        <f t="shared" si="298"/>
        <v>0</v>
      </c>
      <c r="X155" s="418">
        <v>0</v>
      </c>
      <c r="Y155" s="418">
        <v>0</v>
      </c>
      <c r="Z155" s="418">
        <v>0</v>
      </c>
      <c r="AA155" s="605">
        <v>11550</v>
      </c>
      <c r="AB155" s="418">
        <v>0</v>
      </c>
      <c r="AC155" s="418">
        <v>0</v>
      </c>
      <c r="AD155" s="418">
        <f t="shared" si="299"/>
        <v>0</v>
      </c>
      <c r="AE155" s="418">
        <f t="shared" si="300"/>
        <v>11550</v>
      </c>
      <c r="AF155" s="418">
        <f t="shared" si="301"/>
        <v>11550</v>
      </c>
      <c r="AG155" s="418">
        <v>0</v>
      </c>
      <c r="AH155" s="418">
        <v>0</v>
      </c>
      <c r="AI155" s="418">
        <v>0</v>
      </c>
      <c r="AJ155" s="418">
        <v>0</v>
      </c>
      <c r="AK155" s="418">
        <v>0</v>
      </c>
      <c r="AL155" s="418">
        <f t="shared" si="302"/>
        <v>0</v>
      </c>
      <c r="AM155" s="418">
        <f t="shared" si="303"/>
        <v>0</v>
      </c>
      <c r="AN155" s="418">
        <f t="shared" si="304"/>
        <v>0</v>
      </c>
      <c r="AO155" s="418">
        <f t="shared" si="305"/>
        <v>0</v>
      </c>
      <c r="AP155" s="418">
        <f t="shared" si="305"/>
        <v>11550</v>
      </c>
      <c r="AQ155" s="418">
        <f t="shared" si="306"/>
        <v>11550</v>
      </c>
      <c r="AR155" s="68">
        <f t="shared" si="307"/>
        <v>3904</v>
      </c>
      <c r="AS155" s="68">
        <f t="shared" si="308"/>
        <v>116</v>
      </c>
      <c r="AT155" s="418">
        <v>0</v>
      </c>
      <c r="AU155" s="606">
        <v>567</v>
      </c>
      <c r="AV155" s="418">
        <f t="shared" si="309"/>
        <v>567</v>
      </c>
      <c r="AW155" s="418">
        <f t="shared" si="310"/>
        <v>16137</v>
      </c>
      <c r="AX155" s="419">
        <v>0</v>
      </c>
      <c r="AY155" s="419">
        <v>0</v>
      </c>
      <c r="AZ155" s="419">
        <v>0</v>
      </c>
      <c r="BA155" s="419">
        <v>0</v>
      </c>
      <c r="BB155" s="607">
        <v>0.04</v>
      </c>
      <c r="BC155" s="939">
        <v>0</v>
      </c>
      <c r="BD155" s="419">
        <v>0</v>
      </c>
      <c r="BE155" s="419">
        <v>0</v>
      </c>
      <c r="BF155" s="419">
        <f t="shared" si="311"/>
        <v>0</v>
      </c>
      <c r="BG155" s="419">
        <f t="shared" si="312"/>
        <v>0.04</v>
      </c>
      <c r="BH155" s="421">
        <f t="shared" si="313"/>
        <v>0.04</v>
      </c>
      <c r="BI155" s="780">
        <f t="shared" si="314"/>
        <v>48410</v>
      </c>
      <c r="BJ155" s="418">
        <f t="shared" si="315"/>
        <v>34650</v>
      </c>
      <c r="BK155" s="418">
        <f t="shared" si="316"/>
        <v>0</v>
      </c>
      <c r="BL155" s="418">
        <f t="shared" si="316"/>
        <v>34650</v>
      </c>
      <c r="BM155" s="418">
        <f t="shared" si="317"/>
        <v>0</v>
      </c>
      <c r="BN155" s="418">
        <f t="shared" si="318"/>
        <v>0</v>
      </c>
      <c r="BO155" s="418">
        <f t="shared" si="318"/>
        <v>0</v>
      </c>
      <c r="BP155" s="418">
        <f t="shared" si="319"/>
        <v>11712</v>
      </c>
      <c r="BQ155" s="418">
        <f t="shared" si="319"/>
        <v>347</v>
      </c>
      <c r="BR155" s="418">
        <f t="shared" si="320"/>
        <v>1701</v>
      </c>
      <c r="BS155" s="419">
        <f t="shared" si="321"/>
        <v>0.13</v>
      </c>
      <c r="BT155" s="419">
        <f t="shared" si="322"/>
        <v>0</v>
      </c>
      <c r="BU155" s="421">
        <f t="shared" si="322"/>
        <v>0.13</v>
      </c>
      <c r="BV155" s="420"/>
      <c r="BW155" s="415"/>
      <c r="BX155" s="415"/>
      <c r="BY155" s="415"/>
      <c r="BZ155" s="415"/>
      <c r="CA155" s="510"/>
    </row>
    <row r="156" spans="1:79" s="221" customFormat="1" x14ac:dyDescent="0.2">
      <c r="A156" s="209">
        <v>28</v>
      </c>
      <c r="B156" s="210">
        <v>4444</v>
      </c>
      <c r="C156" s="210">
        <v>600074731</v>
      </c>
      <c r="D156" s="210">
        <v>48282979</v>
      </c>
      <c r="E156" s="208" t="s">
        <v>200</v>
      </c>
      <c r="F156" s="210">
        <v>3143</v>
      </c>
      <c r="G156" s="165" t="s">
        <v>296</v>
      </c>
      <c r="H156" s="614" t="s">
        <v>272</v>
      </c>
      <c r="I156" s="511">
        <v>77603</v>
      </c>
      <c r="J156" s="415">
        <v>57480</v>
      </c>
      <c r="K156" s="415">
        <v>53810</v>
      </c>
      <c r="L156" s="415">
        <v>3670</v>
      </c>
      <c r="M156" s="415">
        <v>0</v>
      </c>
      <c r="N156" s="415">
        <v>0</v>
      </c>
      <c r="O156" s="415">
        <v>0</v>
      </c>
      <c r="P156" s="68">
        <v>19428</v>
      </c>
      <c r="Q156" s="68">
        <v>575</v>
      </c>
      <c r="R156" s="415">
        <v>120</v>
      </c>
      <c r="S156" s="416">
        <v>0.12</v>
      </c>
      <c r="T156" s="417">
        <v>0.11</v>
      </c>
      <c r="U156" s="423">
        <v>0.01</v>
      </c>
      <c r="V156" s="424">
        <f t="shared" si="298"/>
        <v>0</v>
      </c>
      <c r="W156" s="418">
        <f t="shared" si="298"/>
        <v>0</v>
      </c>
      <c r="X156" s="418">
        <v>0</v>
      </c>
      <c r="Y156" s="418">
        <v>0</v>
      </c>
      <c r="Z156" s="418">
        <v>0</v>
      </c>
      <c r="AA156" s="605">
        <v>1830</v>
      </c>
      <c r="AB156" s="418">
        <v>0</v>
      </c>
      <c r="AC156" s="418">
        <v>0</v>
      </c>
      <c r="AD156" s="418">
        <f t="shared" si="299"/>
        <v>0</v>
      </c>
      <c r="AE156" s="418">
        <f t="shared" si="300"/>
        <v>1830</v>
      </c>
      <c r="AF156" s="418">
        <f t="shared" si="301"/>
        <v>1830</v>
      </c>
      <c r="AG156" s="418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 t="shared" si="302"/>
        <v>0</v>
      </c>
      <c r="AM156" s="418">
        <f t="shared" si="303"/>
        <v>0</v>
      </c>
      <c r="AN156" s="418">
        <f t="shared" si="304"/>
        <v>0</v>
      </c>
      <c r="AO156" s="418">
        <f t="shared" si="305"/>
        <v>0</v>
      </c>
      <c r="AP156" s="418">
        <f t="shared" si="305"/>
        <v>1830</v>
      </c>
      <c r="AQ156" s="418">
        <f t="shared" si="306"/>
        <v>1830</v>
      </c>
      <c r="AR156" s="68">
        <f t="shared" si="307"/>
        <v>619</v>
      </c>
      <c r="AS156" s="68">
        <f t="shared" si="308"/>
        <v>18</v>
      </c>
      <c r="AT156" s="418">
        <v>0</v>
      </c>
      <c r="AU156" s="606">
        <v>60</v>
      </c>
      <c r="AV156" s="418">
        <f t="shared" si="309"/>
        <v>60</v>
      </c>
      <c r="AW156" s="418">
        <f t="shared" si="310"/>
        <v>2527</v>
      </c>
      <c r="AX156" s="419">
        <v>0</v>
      </c>
      <c r="AY156" s="419">
        <v>0</v>
      </c>
      <c r="AZ156" s="419">
        <v>0</v>
      </c>
      <c r="BA156" s="419">
        <v>0</v>
      </c>
      <c r="BB156" s="607">
        <v>0.01</v>
      </c>
      <c r="BC156" s="939">
        <v>0</v>
      </c>
      <c r="BD156" s="419">
        <v>0</v>
      </c>
      <c r="BE156" s="419">
        <v>0</v>
      </c>
      <c r="BF156" s="419">
        <f t="shared" si="311"/>
        <v>0</v>
      </c>
      <c r="BG156" s="419">
        <f t="shared" si="312"/>
        <v>0.01</v>
      </c>
      <c r="BH156" s="421">
        <f t="shared" si="313"/>
        <v>0.01</v>
      </c>
      <c r="BI156" s="780">
        <f t="shared" si="314"/>
        <v>80130</v>
      </c>
      <c r="BJ156" s="418">
        <f t="shared" si="315"/>
        <v>59310</v>
      </c>
      <c r="BK156" s="418">
        <f t="shared" si="316"/>
        <v>53810</v>
      </c>
      <c r="BL156" s="418">
        <f t="shared" si="316"/>
        <v>5500</v>
      </c>
      <c r="BM156" s="418">
        <f t="shared" si="317"/>
        <v>0</v>
      </c>
      <c r="BN156" s="418">
        <f t="shared" si="318"/>
        <v>0</v>
      </c>
      <c r="BO156" s="418">
        <f t="shared" si="318"/>
        <v>0</v>
      </c>
      <c r="BP156" s="418">
        <f t="shared" si="319"/>
        <v>20047</v>
      </c>
      <c r="BQ156" s="418">
        <f t="shared" si="319"/>
        <v>593</v>
      </c>
      <c r="BR156" s="418">
        <f t="shared" si="320"/>
        <v>180</v>
      </c>
      <c r="BS156" s="419">
        <f t="shared" si="321"/>
        <v>0.13</v>
      </c>
      <c r="BT156" s="419">
        <f t="shared" si="322"/>
        <v>0.11</v>
      </c>
      <c r="BU156" s="421">
        <f t="shared" si="322"/>
        <v>0.02</v>
      </c>
      <c r="BV156" s="420"/>
      <c r="BW156" s="415"/>
      <c r="BX156" s="415"/>
      <c r="BY156" s="415"/>
      <c r="BZ156" s="415"/>
      <c r="CA156" s="510"/>
    </row>
    <row r="157" spans="1:79" s="221" customFormat="1" x14ac:dyDescent="0.2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13"/>
      <c r="I157" s="452">
        <v>20408512</v>
      </c>
      <c r="J157" s="445">
        <v>14822859</v>
      </c>
      <c r="K157" s="445">
        <v>12641417</v>
      </c>
      <c r="L157" s="445">
        <v>2181442</v>
      </c>
      <c r="M157" s="445">
        <v>165000</v>
      </c>
      <c r="N157" s="445">
        <v>105000</v>
      </c>
      <c r="O157" s="445">
        <v>60000</v>
      </c>
      <c r="P157" s="445">
        <v>5065897</v>
      </c>
      <c r="Q157" s="445">
        <v>148229</v>
      </c>
      <c r="R157" s="445">
        <v>206527</v>
      </c>
      <c r="S157" s="446">
        <v>27.553000000000001</v>
      </c>
      <c r="T157" s="446">
        <v>21.15</v>
      </c>
      <c r="U157" s="450">
        <v>6.4029999999999996</v>
      </c>
      <c r="V157" s="448">
        <f t="shared" ref="V157:CA157" si="323">SUM(V151:V156)</f>
        <v>0</v>
      </c>
      <c r="W157" s="445">
        <f t="shared" si="323"/>
        <v>0</v>
      </c>
      <c r="X157" s="445">
        <f t="shared" si="323"/>
        <v>185401</v>
      </c>
      <c r="Y157" s="445">
        <f t="shared" si="323"/>
        <v>0</v>
      </c>
      <c r="Z157" s="445">
        <f t="shared" si="323"/>
        <v>0</v>
      </c>
      <c r="AA157" s="445">
        <f t="shared" si="323"/>
        <v>687531</v>
      </c>
      <c r="AB157" s="445">
        <f t="shared" si="323"/>
        <v>0</v>
      </c>
      <c r="AC157" s="445">
        <f t="shared" si="323"/>
        <v>0</v>
      </c>
      <c r="AD157" s="445">
        <f t="shared" si="323"/>
        <v>185401</v>
      </c>
      <c r="AE157" s="445">
        <f t="shared" si="323"/>
        <v>687531</v>
      </c>
      <c r="AF157" s="445">
        <f t="shared" si="323"/>
        <v>872932</v>
      </c>
      <c r="AG157" s="445">
        <f t="shared" si="323"/>
        <v>0</v>
      </c>
      <c r="AH157" s="445">
        <f t="shared" si="323"/>
        <v>0</v>
      </c>
      <c r="AI157" s="445">
        <f t="shared" si="323"/>
        <v>0</v>
      </c>
      <c r="AJ157" s="445">
        <f t="shared" si="323"/>
        <v>0</v>
      </c>
      <c r="AK157" s="445">
        <f t="shared" si="323"/>
        <v>0</v>
      </c>
      <c r="AL157" s="445">
        <f t="shared" si="323"/>
        <v>0</v>
      </c>
      <c r="AM157" s="445">
        <f t="shared" si="323"/>
        <v>0</v>
      </c>
      <c r="AN157" s="445">
        <f t="shared" si="323"/>
        <v>0</v>
      </c>
      <c r="AO157" s="445">
        <f t="shared" si="323"/>
        <v>185401</v>
      </c>
      <c r="AP157" s="445">
        <f t="shared" si="323"/>
        <v>687531</v>
      </c>
      <c r="AQ157" s="445">
        <f t="shared" si="323"/>
        <v>872932</v>
      </c>
      <c r="AR157" s="445">
        <f t="shared" si="323"/>
        <v>295052</v>
      </c>
      <c r="AS157" s="445">
        <f t="shared" si="323"/>
        <v>8730</v>
      </c>
      <c r="AT157" s="445">
        <f t="shared" si="323"/>
        <v>4500</v>
      </c>
      <c r="AU157" s="445">
        <f t="shared" si="323"/>
        <v>5758</v>
      </c>
      <c r="AV157" s="445">
        <f t="shared" si="323"/>
        <v>10258</v>
      </c>
      <c r="AW157" s="445">
        <f t="shared" si="323"/>
        <v>1186972</v>
      </c>
      <c r="AX157" s="446">
        <f t="shared" si="323"/>
        <v>0</v>
      </c>
      <c r="AY157" s="446">
        <f t="shared" si="323"/>
        <v>0</v>
      </c>
      <c r="AZ157" s="446">
        <f t="shared" si="323"/>
        <v>0.5</v>
      </c>
      <c r="BA157" s="446">
        <f t="shared" si="323"/>
        <v>0</v>
      </c>
      <c r="BB157" s="446">
        <f t="shared" si="323"/>
        <v>2.0699999999999998</v>
      </c>
      <c r="BC157" s="948">
        <f t="shared" si="323"/>
        <v>0</v>
      </c>
      <c r="BD157" s="446">
        <f t="shared" si="323"/>
        <v>0</v>
      </c>
      <c r="BE157" s="446">
        <f t="shared" si="323"/>
        <v>0</v>
      </c>
      <c r="BF157" s="446">
        <f t="shared" si="323"/>
        <v>0.5</v>
      </c>
      <c r="BG157" s="446">
        <f t="shared" si="323"/>
        <v>2.0699999999999998</v>
      </c>
      <c r="BH157" s="39">
        <f t="shared" si="323"/>
        <v>2.57</v>
      </c>
      <c r="BI157" s="452">
        <f t="shared" si="323"/>
        <v>21595484</v>
      </c>
      <c r="BJ157" s="445">
        <f t="shared" si="323"/>
        <v>15695791</v>
      </c>
      <c r="BK157" s="445">
        <f t="shared" si="323"/>
        <v>12826818</v>
      </c>
      <c r="BL157" s="445">
        <f t="shared" si="323"/>
        <v>2868973</v>
      </c>
      <c r="BM157" s="445">
        <f t="shared" si="323"/>
        <v>165000</v>
      </c>
      <c r="BN157" s="445">
        <f t="shared" si="323"/>
        <v>105000</v>
      </c>
      <c r="BO157" s="445">
        <f t="shared" si="323"/>
        <v>60000</v>
      </c>
      <c r="BP157" s="445">
        <f t="shared" si="323"/>
        <v>5360949</v>
      </c>
      <c r="BQ157" s="445">
        <f t="shared" si="323"/>
        <v>156959</v>
      </c>
      <c r="BR157" s="445">
        <f t="shared" si="323"/>
        <v>216785</v>
      </c>
      <c r="BS157" s="446">
        <f t="shared" si="323"/>
        <v>30.122999999999998</v>
      </c>
      <c r="BT157" s="446">
        <f t="shared" si="323"/>
        <v>21.65</v>
      </c>
      <c r="BU157" s="39">
        <f t="shared" si="323"/>
        <v>8.4730000000000008</v>
      </c>
      <c r="BV157" s="833">
        <f t="shared" si="323"/>
        <v>0</v>
      </c>
      <c r="BW157" s="715">
        <f t="shared" si="323"/>
        <v>0</v>
      </c>
      <c r="BX157" s="715">
        <f t="shared" si="323"/>
        <v>0</v>
      </c>
      <c r="BY157" s="715">
        <f t="shared" si="323"/>
        <v>0</v>
      </c>
      <c r="BZ157" s="715">
        <f t="shared" si="323"/>
        <v>0</v>
      </c>
      <c r="CA157" s="834">
        <f t="shared" si="323"/>
        <v>0</v>
      </c>
    </row>
    <row r="158" spans="1:79" s="221" customFormat="1" ht="12.75" customHeight="1" x14ac:dyDescent="0.2">
      <c r="A158" s="209">
        <v>29</v>
      </c>
      <c r="B158" s="210">
        <v>4445</v>
      </c>
      <c r="C158" s="210">
        <v>600075044</v>
      </c>
      <c r="D158" s="210">
        <v>72742631</v>
      </c>
      <c r="E158" s="208" t="s">
        <v>202</v>
      </c>
      <c r="F158" s="210">
        <v>3111</v>
      </c>
      <c r="G158" s="165" t="s">
        <v>290</v>
      </c>
      <c r="H158" s="626" t="s">
        <v>271</v>
      </c>
      <c r="I158" s="511">
        <v>2950337</v>
      </c>
      <c r="J158" s="415">
        <v>2183726</v>
      </c>
      <c r="K158" s="415">
        <v>2063918</v>
      </c>
      <c r="L158" s="415">
        <v>119808</v>
      </c>
      <c r="M158" s="415">
        <v>0</v>
      </c>
      <c r="N158" s="415">
        <v>0</v>
      </c>
      <c r="O158" s="415">
        <v>0</v>
      </c>
      <c r="P158" s="68">
        <v>738099</v>
      </c>
      <c r="Q158" s="68">
        <v>21837</v>
      </c>
      <c r="R158" s="415">
        <v>6675</v>
      </c>
      <c r="S158" s="416">
        <v>4.4800000000000004</v>
      </c>
      <c r="T158" s="417">
        <v>4</v>
      </c>
      <c r="U158" s="423">
        <v>0.48</v>
      </c>
      <c r="V158" s="424">
        <f t="shared" ref="V158:W163" si="324">AG158*-1</f>
        <v>0</v>
      </c>
      <c r="W158" s="418">
        <f t="shared" si="324"/>
        <v>0</v>
      </c>
      <c r="X158" s="418">
        <v>0</v>
      </c>
      <c r="Y158" s="418">
        <v>0</v>
      </c>
      <c r="Z158" s="418">
        <v>0</v>
      </c>
      <c r="AA158" s="415">
        <v>0</v>
      </c>
      <c r="AB158" s="418">
        <v>0</v>
      </c>
      <c r="AC158" s="418">
        <v>0</v>
      </c>
      <c r="AD158" s="418">
        <f t="shared" ref="AD158:AD163" si="325">V158+X158+Y158+Z158+AB158</f>
        <v>0</v>
      </c>
      <c r="AE158" s="418">
        <f t="shared" ref="AE158:AE163" si="326">W158+AA158+AC158</f>
        <v>0</v>
      </c>
      <c r="AF158" s="418">
        <f t="shared" ref="AF158:AF163" si="327">SUM(AD158:AE158)</f>
        <v>0</v>
      </c>
      <c r="AG158" s="418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 t="shared" ref="AL158:AL163" si="328">AG158+AI158+AJ158</f>
        <v>0</v>
      </c>
      <c r="AM158" s="418">
        <f t="shared" ref="AM158:AM163" si="329">AH158+AK158</f>
        <v>0</v>
      </c>
      <c r="AN158" s="418">
        <f t="shared" ref="AN158:AN163" si="330">SUM(AL158:AM158)</f>
        <v>0</v>
      </c>
      <c r="AO158" s="418">
        <f t="shared" ref="AO158:AP163" si="331">AD158+AL158</f>
        <v>0</v>
      </c>
      <c r="AP158" s="418">
        <f t="shared" si="331"/>
        <v>0</v>
      </c>
      <c r="AQ158" s="418">
        <f t="shared" ref="AQ158:AQ163" si="332">SUM(AO158:AP158)</f>
        <v>0</v>
      </c>
      <c r="AR158" s="68">
        <f t="shared" ref="AR158:AR163" si="333">ROUND((AF158+AG158+AH158+AI158)*33.8%,0)</f>
        <v>0</v>
      </c>
      <c r="AS158" s="68">
        <f t="shared" ref="AS158:AS163" si="334">ROUND(AF158*1%,0)</f>
        <v>0</v>
      </c>
      <c r="AT158" s="418">
        <v>0</v>
      </c>
      <c r="AU158" s="415">
        <v>0</v>
      </c>
      <c r="AV158" s="418">
        <f t="shared" ref="AV158:AV163" si="335">AT158+AU158</f>
        <v>0</v>
      </c>
      <c r="AW158" s="418">
        <f t="shared" ref="AW158:AW163" si="336">AQ158+AR158+AS158+AV158</f>
        <v>0</v>
      </c>
      <c r="AX158" s="419">
        <v>0</v>
      </c>
      <c r="AY158" s="419">
        <v>0</v>
      </c>
      <c r="AZ158" s="419">
        <v>0</v>
      </c>
      <c r="BA158" s="419">
        <v>0</v>
      </c>
      <c r="BB158" s="416">
        <v>0</v>
      </c>
      <c r="BC158" s="939">
        <v>0</v>
      </c>
      <c r="BD158" s="419">
        <v>0</v>
      </c>
      <c r="BE158" s="419">
        <v>0</v>
      </c>
      <c r="BF158" s="419">
        <f t="shared" ref="BF158:BF163" si="337">AX158+AZ158+BA158+BC158+BD158</f>
        <v>0</v>
      </c>
      <c r="BG158" s="419">
        <f t="shared" ref="BG158:BG163" si="338">AY158+BB158+BE158</f>
        <v>0</v>
      </c>
      <c r="BH158" s="421">
        <f t="shared" ref="BH158:BH163" si="339">SUM(BF158:BG158)</f>
        <v>0</v>
      </c>
      <c r="BI158" s="780">
        <f t="shared" ref="BI158:BI163" si="340">I158+AW158</f>
        <v>2950337</v>
      </c>
      <c r="BJ158" s="418">
        <f t="shared" ref="BJ158:BJ163" si="341">J158+AF158</f>
        <v>2183726</v>
      </c>
      <c r="BK158" s="418">
        <f t="shared" ref="BK158:BL163" si="342">K158+AD158</f>
        <v>2063918</v>
      </c>
      <c r="BL158" s="418">
        <f t="shared" si="342"/>
        <v>119808</v>
      </c>
      <c r="BM158" s="418">
        <f t="shared" ref="BM158:BM163" si="343">M158+AN158</f>
        <v>0</v>
      </c>
      <c r="BN158" s="418">
        <f t="shared" ref="BN158:BO163" si="344">N158+AL158</f>
        <v>0</v>
      </c>
      <c r="BO158" s="418">
        <f t="shared" si="344"/>
        <v>0</v>
      </c>
      <c r="BP158" s="418">
        <f t="shared" ref="BP158:BQ163" si="345">P158+AR158</f>
        <v>738099</v>
      </c>
      <c r="BQ158" s="418">
        <f t="shared" si="345"/>
        <v>21837</v>
      </c>
      <c r="BR158" s="418">
        <f t="shared" ref="BR158:BR163" si="346">R158+AV158</f>
        <v>6675</v>
      </c>
      <c r="BS158" s="419">
        <f t="shared" ref="BS158:BS163" si="347">S158+BH158</f>
        <v>4.4800000000000004</v>
      </c>
      <c r="BT158" s="419">
        <f t="shared" ref="BT158:BU163" si="348">T158+BF158</f>
        <v>4</v>
      </c>
      <c r="BU158" s="421">
        <f t="shared" si="348"/>
        <v>0.48</v>
      </c>
      <c r="BV158" s="420"/>
      <c r="BW158" s="415"/>
      <c r="BX158" s="415"/>
      <c r="BY158" s="415"/>
      <c r="BZ158" s="415"/>
      <c r="CA158" s="510"/>
    </row>
    <row r="159" spans="1:79" s="221" customFormat="1" ht="12.75" customHeight="1" x14ac:dyDescent="0.2">
      <c r="A159" s="209">
        <v>29</v>
      </c>
      <c r="B159" s="210">
        <v>4445</v>
      </c>
      <c r="C159" s="210">
        <v>600075044</v>
      </c>
      <c r="D159" s="210">
        <v>72742631</v>
      </c>
      <c r="E159" s="208" t="s">
        <v>202</v>
      </c>
      <c r="F159" s="210">
        <v>3117</v>
      </c>
      <c r="G159" s="165" t="s">
        <v>293</v>
      </c>
      <c r="H159" s="626" t="s">
        <v>271</v>
      </c>
      <c r="I159" s="511">
        <v>3473037</v>
      </c>
      <c r="J159" s="415">
        <v>2539421</v>
      </c>
      <c r="K159" s="415">
        <v>2134994</v>
      </c>
      <c r="L159" s="415">
        <v>404427</v>
      </c>
      <c r="M159" s="415">
        <v>0</v>
      </c>
      <c r="N159" s="415">
        <v>0</v>
      </c>
      <c r="O159" s="415">
        <v>0</v>
      </c>
      <c r="P159" s="68">
        <v>858324</v>
      </c>
      <c r="Q159" s="68">
        <v>25395</v>
      </c>
      <c r="R159" s="415">
        <v>49897</v>
      </c>
      <c r="S159" s="416">
        <v>4.5979000000000001</v>
      </c>
      <c r="T159" s="417">
        <v>3.4737</v>
      </c>
      <c r="U159" s="423">
        <v>1.1241999999999999</v>
      </c>
      <c r="V159" s="424">
        <f t="shared" si="324"/>
        <v>0</v>
      </c>
      <c r="W159" s="418">
        <f t="shared" si="324"/>
        <v>0</v>
      </c>
      <c r="X159" s="418">
        <v>0</v>
      </c>
      <c r="Y159" s="418">
        <v>0</v>
      </c>
      <c r="Z159" s="418">
        <v>0</v>
      </c>
      <c r="AA159" s="415">
        <v>0</v>
      </c>
      <c r="AB159" s="418">
        <v>0</v>
      </c>
      <c r="AC159" s="418">
        <v>0</v>
      </c>
      <c r="AD159" s="418">
        <f t="shared" si="325"/>
        <v>0</v>
      </c>
      <c r="AE159" s="418">
        <f t="shared" si="326"/>
        <v>0</v>
      </c>
      <c r="AF159" s="418">
        <f t="shared" si="327"/>
        <v>0</v>
      </c>
      <c r="AG159" s="418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 t="shared" si="328"/>
        <v>0</v>
      </c>
      <c r="AM159" s="418">
        <f t="shared" si="329"/>
        <v>0</v>
      </c>
      <c r="AN159" s="418">
        <f t="shared" si="330"/>
        <v>0</v>
      </c>
      <c r="AO159" s="418">
        <f t="shared" si="331"/>
        <v>0</v>
      </c>
      <c r="AP159" s="418">
        <f t="shared" si="331"/>
        <v>0</v>
      </c>
      <c r="AQ159" s="418">
        <f t="shared" si="332"/>
        <v>0</v>
      </c>
      <c r="AR159" s="68">
        <f t="shared" si="333"/>
        <v>0</v>
      </c>
      <c r="AS159" s="68">
        <f t="shared" si="334"/>
        <v>0</v>
      </c>
      <c r="AT159" s="418">
        <v>0</v>
      </c>
      <c r="AU159" s="415">
        <v>0</v>
      </c>
      <c r="AV159" s="418">
        <f t="shared" si="335"/>
        <v>0</v>
      </c>
      <c r="AW159" s="418">
        <f t="shared" si="336"/>
        <v>0</v>
      </c>
      <c r="AX159" s="419">
        <v>0</v>
      </c>
      <c r="AY159" s="419">
        <v>0</v>
      </c>
      <c r="AZ159" s="419">
        <v>0</v>
      </c>
      <c r="BA159" s="419">
        <v>0</v>
      </c>
      <c r="BB159" s="416">
        <v>0</v>
      </c>
      <c r="BC159" s="939">
        <v>0</v>
      </c>
      <c r="BD159" s="419">
        <v>0</v>
      </c>
      <c r="BE159" s="419">
        <v>0</v>
      </c>
      <c r="BF159" s="419">
        <f t="shared" si="337"/>
        <v>0</v>
      </c>
      <c r="BG159" s="419">
        <f t="shared" si="338"/>
        <v>0</v>
      </c>
      <c r="BH159" s="421">
        <f t="shared" si="339"/>
        <v>0</v>
      </c>
      <c r="BI159" s="780">
        <f t="shared" si="340"/>
        <v>3473037</v>
      </c>
      <c r="BJ159" s="418">
        <f t="shared" si="341"/>
        <v>2539421</v>
      </c>
      <c r="BK159" s="418">
        <f t="shared" si="342"/>
        <v>2134994</v>
      </c>
      <c r="BL159" s="418">
        <f t="shared" si="342"/>
        <v>404427</v>
      </c>
      <c r="BM159" s="418">
        <f t="shared" si="343"/>
        <v>0</v>
      </c>
      <c r="BN159" s="418">
        <f t="shared" si="344"/>
        <v>0</v>
      </c>
      <c r="BO159" s="418">
        <f t="shared" si="344"/>
        <v>0</v>
      </c>
      <c r="BP159" s="418">
        <f t="shared" si="345"/>
        <v>858324</v>
      </c>
      <c r="BQ159" s="418">
        <f t="shared" si="345"/>
        <v>25395</v>
      </c>
      <c r="BR159" s="418">
        <f t="shared" si="346"/>
        <v>49897</v>
      </c>
      <c r="BS159" s="419">
        <f t="shared" si="347"/>
        <v>4.5979000000000001</v>
      </c>
      <c r="BT159" s="419">
        <f t="shared" si="348"/>
        <v>3.4737</v>
      </c>
      <c r="BU159" s="421">
        <f t="shared" si="348"/>
        <v>1.1241999999999999</v>
      </c>
      <c r="BV159" s="420"/>
      <c r="BW159" s="415"/>
      <c r="BX159" s="415"/>
      <c r="BY159" s="415"/>
      <c r="BZ159" s="415"/>
      <c r="CA159" s="510"/>
    </row>
    <row r="160" spans="1:79" s="221" customFormat="1" ht="12.75" customHeight="1" x14ac:dyDescent="0.2">
      <c r="A160" s="209">
        <v>29</v>
      </c>
      <c r="B160" s="210">
        <v>4445</v>
      </c>
      <c r="C160" s="210">
        <v>600075044</v>
      </c>
      <c r="D160" s="210">
        <v>72742631</v>
      </c>
      <c r="E160" s="208" t="s">
        <v>202</v>
      </c>
      <c r="F160" s="210">
        <v>3117</v>
      </c>
      <c r="G160" s="165" t="s">
        <v>291</v>
      </c>
      <c r="H160" s="626" t="s">
        <v>272</v>
      </c>
      <c r="I160" s="511">
        <v>503591</v>
      </c>
      <c r="J160" s="415">
        <v>370802</v>
      </c>
      <c r="K160" s="415">
        <v>370802</v>
      </c>
      <c r="L160" s="415">
        <v>0</v>
      </c>
      <c r="M160" s="415">
        <v>0</v>
      </c>
      <c r="N160" s="415">
        <v>0</v>
      </c>
      <c r="O160" s="415">
        <v>0</v>
      </c>
      <c r="P160" s="68">
        <v>125331</v>
      </c>
      <c r="Q160" s="68">
        <v>3708</v>
      </c>
      <c r="R160" s="415">
        <v>3750</v>
      </c>
      <c r="S160" s="416">
        <v>1</v>
      </c>
      <c r="T160" s="417">
        <v>1</v>
      </c>
      <c r="U160" s="423">
        <v>0</v>
      </c>
      <c r="V160" s="424">
        <f t="shared" si="324"/>
        <v>0</v>
      </c>
      <c r="W160" s="418">
        <f t="shared" si="324"/>
        <v>0</v>
      </c>
      <c r="X160" s="418">
        <v>0</v>
      </c>
      <c r="Y160" s="418">
        <v>0</v>
      </c>
      <c r="Z160" s="418">
        <v>0</v>
      </c>
      <c r="AA160" s="415">
        <v>0</v>
      </c>
      <c r="AB160" s="418">
        <v>0</v>
      </c>
      <c r="AC160" s="418">
        <v>0</v>
      </c>
      <c r="AD160" s="418">
        <f t="shared" si="325"/>
        <v>0</v>
      </c>
      <c r="AE160" s="418">
        <f t="shared" si="326"/>
        <v>0</v>
      </c>
      <c r="AF160" s="418">
        <f t="shared" si="327"/>
        <v>0</v>
      </c>
      <c r="AG160" s="418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 t="shared" si="328"/>
        <v>0</v>
      </c>
      <c r="AM160" s="418">
        <f t="shared" si="329"/>
        <v>0</v>
      </c>
      <c r="AN160" s="418">
        <f t="shared" si="330"/>
        <v>0</v>
      </c>
      <c r="AO160" s="418">
        <f t="shared" si="331"/>
        <v>0</v>
      </c>
      <c r="AP160" s="418">
        <f t="shared" si="331"/>
        <v>0</v>
      </c>
      <c r="AQ160" s="418">
        <f t="shared" si="332"/>
        <v>0</v>
      </c>
      <c r="AR160" s="68">
        <f t="shared" si="333"/>
        <v>0</v>
      </c>
      <c r="AS160" s="68">
        <f t="shared" si="334"/>
        <v>0</v>
      </c>
      <c r="AT160" s="418">
        <v>0</v>
      </c>
      <c r="AU160" s="415">
        <v>0</v>
      </c>
      <c r="AV160" s="418">
        <f t="shared" si="335"/>
        <v>0</v>
      </c>
      <c r="AW160" s="418">
        <f t="shared" si="336"/>
        <v>0</v>
      </c>
      <c r="AX160" s="419">
        <v>0</v>
      </c>
      <c r="AY160" s="419">
        <v>0</v>
      </c>
      <c r="AZ160" s="419">
        <v>0</v>
      </c>
      <c r="BA160" s="419">
        <v>0</v>
      </c>
      <c r="BB160" s="416">
        <v>0</v>
      </c>
      <c r="BC160" s="939">
        <v>0</v>
      </c>
      <c r="BD160" s="419">
        <v>0</v>
      </c>
      <c r="BE160" s="419">
        <v>0</v>
      </c>
      <c r="BF160" s="419">
        <f t="shared" si="337"/>
        <v>0</v>
      </c>
      <c r="BG160" s="419">
        <f t="shared" si="338"/>
        <v>0</v>
      </c>
      <c r="BH160" s="421">
        <f t="shared" si="339"/>
        <v>0</v>
      </c>
      <c r="BI160" s="780">
        <f t="shared" si="340"/>
        <v>503591</v>
      </c>
      <c r="BJ160" s="418">
        <f t="shared" si="341"/>
        <v>370802</v>
      </c>
      <c r="BK160" s="418">
        <f t="shared" si="342"/>
        <v>370802</v>
      </c>
      <c r="BL160" s="418">
        <f t="shared" si="342"/>
        <v>0</v>
      </c>
      <c r="BM160" s="418">
        <f t="shared" si="343"/>
        <v>0</v>
      </c>
      <c r="BN160" s="418">
        <f t="shared" si="344"/>
        <v>0</v>
      </c>
      <c r="BO160" s="418">
        <f t="shared" si="344"/>
        <v>0</v>
      </c>
      <c r="BP160" s="418">
        <f t="shared" si="345"/>
        <v>125331</v>
      </c>
      <c r="BQ160" s="418">
        <f t="shared" si="345"/>
        <v>3708</v>
      </c>
      <c r="BR160" s="418">
        <f t="shared" si="346"/>
        <v>3750</v>
      </c>
      <c r="BS160" s="419">
        <f t="shared" si="347"/>
        <v>1</v>
      </c>
      <c r="BT160" s="419">
        <f t="shared" si="348"/>
        <v>1</v>
      </c>
      <c r="BU160" s="421">
        <f t="shared" si="348"/>
        <v>0</v>
      </c>
      <c r="BV160" s="420"/>
      <c r="BW160" s="415"/>
      <c r="BX160" s="415"/>
      <c r="BY160" s="415"/>
      <c r="BZ160" s="415"/>
      <c r="CA160" s="510"/>
    </row>
    <row r="161" spans="1:79" s="221" customFormat="1" ht="12.75" customHeight="1" x14ac:dyDescent="0.2">
      <c r="A161" s="209">
        <v>29</v>
      </c>
      <c r="B161" s="210">
        <v>4445</v>
      </c>
      <c r="C161" s="210">
        <v>600075044</v>
      </c>
      <c r="D161" s="210">
        <v>72742631</v>
      </c>
      <c r="E161" s="208" t="s">
        <v>202</v>
      </c>
      <c r="F161" s="210">
        <v>3141</v>
      </c>
      <c r="G161" s="165" t="s">
        <v>294</v>
      </c>
      <c r="H161" s="626" t="s">
        <v>272</v>
      </c>
      <c r="I161" s="511">
        <v>583654</v>
      </c>
      <c r="J161" s="415">
        <v>431290</v>
      </c>
      <c r="K161" s="415">
        <v>0</v>
      </c>
      <c r="L161" s="415">
        <v>431290</v>
      </c>
      <c r="M161" s="415">
        <v>0</v>
      </c>
      <c r="N161" s="415">
        <v>0</v>
      </c>
      <c r="O161" s="415">
        <v>0</v>
      </c>
      <c r="P161" s="68">
        <v>145776</v>
      </c>
      <c r="Q161" s="68">
        <v>4313</v>
      </c>
      <c r="R161" s="415">
        <v>2275</v>
      </c>
      <c r="S161" s="416">
        <v>1.29</v>
      </c>
      <c r="T161" s="417">
        <v>0</v>
      </c>
      <c r="U161" s="423">
        <v>1.29</v>
      </c>
      <c r="V161" s="424">
        <f t="shared" si="324"/>
        <v>0</v>
      </c>
      <c r="W161" s="418">
        <f t="shared" si="324"/>
        <v>0</v>
      </c>
      <c r="X161" s="418">
        <v>0</v>
      </c>
      <c r="Y161" s="418">
        <v>0</v>
      </c>
      <c r="Z161" s="418">
        <v>0</v>
      </c>
      <c r="AA161" s="605">
        <v>216153</v>
      </c>
      <c r="AB161" s="418">
        <v>0</v>
      </c>
      <c r="AC161" s="418">
        <v>0</v>
      </c>
      <c r="AD161" s="418">
        <f t="shared" si="325"/>
        <v>0</v>
      </c>
      <c r="AE161" s="418">
        <f t="shared" si="326"/>
        <v>216153</v>
      </c>
      <c r="AF161" s="418">
        <f t="shared" si="327"/>
        <v>216153</v>
      </c>
      <c r="AG161" s="418">
        <v>0</v>
      </c>
      <c r="AH161" s="418">
        <v>0</v>
      </c>
      <c r="AI161" s="418">
        <v>0</v>
      </c>
      <c r="AJ161" s="418">
        <v>0</v>
      </c>
      <c r="AK161" s="418">
        <v>0</v>
      </c>
      <c r="AL161" s="418">
        <f t="shared" si="328"/>
        <v>0</v>
      </c>
      <c r="AM161" s="418">
        <f t="shared" si="329"/>
        <v>0</v>
      </c>
      <c r="AN161" s="418">
        <f t="shared" si="330"/>
        <v>0</v>
      </c>
      <c r="AO161" s="418">
        <f t="shared" si="331"/>
        <v>0</v>
      </c>
      <c r="AP161" s="418">
        <f t="shared" si="331"/>
        <v>216153</v>
      </c>
      <c r="AQ161" s="418">
        <f t="shared" si="332"/>
        <v>216153</v>
      </c>
      <c r="AR161" s="68">
        <f t="shared" si="333"/>
        <v>73060</v>
      </c>
      <c r="AS161" s="68">
        <f t="shared" si="334"/>
        <v>2162</v>
      </c>
      <c r="AT161" s="418">
        <v>0</v>
      </c>
      <c r="AU161" s="605">
        <v>1105</v>
      </c>
      <c r="AV161" s="418">
        <f t="shared" si="335"/>
        <v>1105</v>
      </c>
      <c r="AW161" s="418">
        <f t="shared" si="336"/>
        <v>292480</v>
      </c>
      <c r="AX161" s="419">
        <v>0</v>
      </c>
      <c r="AY161" s="419">
        <v>0</v>
      </c>
      <c r="AZ161" s="419">
        <v>0</v>
      </c>
      <c r="BA161" s="419">
        <v>0</v>
      </c>
      <c r="BB161" s="607">
        <v>0.65</v>
      </c>
      <c r="BC161" s="939">
        <v>0</v>
      </c>
      <c r="BD161" s="419">
        <v>0</v>
      </c>
      <c r="BE161" s="419">
        <v>0</v>
      </c>
      <c r="BF161" s="419">
        <f t="shared" si="337"/>
        <v>0</v>
      </c>
      <c r="BG161" s="419">
        <f t="shared" si="338"/>
        <v>0.65</v>
      </c>
      <c r="BH161" s="421">
        <f t="shared" si="339"/>
        <v>0.65</v>
      </c>
      <c r="BI161" s="780">
        <f t="shared" si="340"/>
        <v>876134</v>
      </c>
      <c r="BJ161" s="418">
        <f t="shared" si="341"/>
        <v>647443</v>
      </c>
      <c r="BK161" s="418">
        <f t="shared" si="342"/>
        <v>0</v>
      </c>
      <c r="BL161" s="418">
        <f t="shared" si="342"/>
        <v>647443</v>
      </c>
      <c r="BM161" s="418">
        <f t="shared" si="343"/>
        <v>0</v>
      </c>
      <c r="BN161" s="418">
        <f t="shared" si="344"/>
        <v>0</v>
      </c>
      <c r="BO161" s="418">
        <f t="shared" si="344"/>
        <v>0</v>
      </c>
      <c r="BP161" s="418">
        <f t="shared" si="345"/>
        <v>218836</v>
      </c>
      <c r="BQ161" s="418">
        <f t="shared" si="345"/>
        <v>6475</v>
      </c>
      <c r="BR161" s="418">
        <f t="shared" si="346"/>
        <v>3380</v>
      </c>
      <c r="BS161" s="419">
        <f t="shared" si="347"/>
        <v>1.94</v>
      </c>
      <c r="BT161" s="419">
        <f t="shared" si="348"/>
        <v>0</v>
      </c>
      <c r="BU161" s="421">
        <f t="shared" si="348"/>
        <v>1.94</v>
      </c>
      <c r="BV161" s="420"/>
      <c r="BW161" s="415"/>
      <c r="BX161" s="415"/>
      <c r="BY161" s="415"/>
      <c r="BZ161" s="415"/>
      <c r="CA161" s="510"/>
    </row>
    <row r="162" spans="1:79" s="221" customFormat="1" ht="12.75" customHeight="1" x14ac:dyDescent="0.2">
      <c r="A162" s="209">
        <v>29</v>
      </c>
      <c r="B162" s="210">
        <v>4445</v>
      </c>
      <c r="C162" s="210">
        <v>600075044</v>
      </c>
      <c r="D162" s="210">
        <v>72742631</v>
      </c>
      <c r="E162" s="204" t="s">
        <v>202</v>
      </c>
      <c r="F162" s="210">
        <v>3143</v>
      </c>
      <c r="G162" s="165" t="s">
        <v>595</v>
      </c>
      <c r="H162" s="614" t="s">
        <v>271</v>
      </c>
      <c r="I162" s="511">
        <v>759784</v>
      </c>
      <c r="J162" s="415">
        <v>563638</v>
      </c>
      <c r="K162" s="415">
        <v>563638</v>
      </c>
      <c r="L162" s="415">
        <v>0</v>
      </c>
      <c r="M162" s="415">
        <v>0</v>
      </c>
      <c r="N162" s="415">
        <v>0</v>
      </c>
      <c r="O162" s="415">
        <v>0</v>
      </c>
      <c r="P162" s="68">
        <v>190510</v>
      </c>
      <c r="Q162" s="68">
        <v>5636</v>
      </c>
      <c r="R162" s="415">
        <v>0</v>
      </c>
      <c r="S162" s="416">
        <v>1.357</v>
      </c>
      <c r="T162" s="417">
        <v>1.357</v>
      </c>
      <c r="U162" s="423">
        <v>0</v>
      </c>
      <c r="V162" s="424">
        <f t="shared" si="324"/>
        <v>0</v>
      </c>
      <c r="W162" s="418">
        <f t="shared" si="324"/>
        <v>0</v>
      </c>
      <c r="X162" s="418">
        <v>0</v>
      </c>
      <c r="Y162" s="418">
        <v>0</v>
      </c>
      <c r="Z162" s="418">
        <v>0</v>
      </c>
      <c r="AA162" s="415">
        <v>0</v>
      </c>
      <c r="AB162" s="418">
        <v>0</v>
      </c>
      <c r="AC162" s="418">
        <v>0</v>
      </c>
      <c r="AD162" s="418">
        <f t="shared" si="325"/>
        <v>0</v>
      </c>
      <c r="AE162" s="418">
        <f t="shared" si="326"/>
        <v>0</v>
      </c>
      <c r="AF162" s="418">
        <f t="shared" si="327"/>
        <v>0</v>
      </c>
      <c r="AG162" s="418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 t="shared" si="328"/>
        <v>0</v>
      </c>
      <c r="AM162" s="418">
        <f t="shared" si="329"/>
        <v>0</v>
      </c>
      <c r="AN162" s="418">
        <f t="shared" si="330"/>
        <v>0</v>
      </c>
      <c r="AO162" s="418">
        <f t="shared" si="331"/>
        <v>0</v>
      </c>
      <c r="AP162" s="418">
        <f t="shared" si="331"/>
        <v>0</v>
      </c>
      <c r="AQ162" s="418">
        <f t="shared" si="332"/>
        <v>0</v>
      </c>
      <c r="AR162" s="68">
        <f t="shared" si="333"/>
        <v>0</v>
      </c>
      <c r="AS162" s="68">
        <f t="shared" si="334"/>
        <v>0</v>
      </c>
      <c r="AT162" s="418">
        <v>0</v>
      </c>
      <c r="AU162" s="415">
        <v>0</v>
      </c>
      <c r="AV162" s="418">
        <f t="shared" si="335"/>
        <v>0</v>
      </c>
      <c r="AW162" s="418">
        <f t="shared" si="336"/>
        <v>0</v>
      </c>
      <c r="AX162" s="419">
        <v>0</v>
      </c>
      <c r="AY162" s="419">
        <v>0</v>
      </c>
      <c r="AZ162" s="419">
        <v>0</v>
      </c>
      <c r="BA162" s="419">
        <v>0</v>
      </c>
      <c r="BB162" s="416">
        <v>0</v>
      </c>
      <c r="BC162" s="939">
        <v>0</v>
      </c>
      <c r="BD162" s="419">
        <v>0</v>
      </c>
      <c r="BE162" s="419">
        <v>0</v>
      </c>
      <c r="BF162" s="419">
        <f t="shared" si="337"/>
        <v>0</v>
      </c>
      <c r="BG162" s="419">
        <f t="shared" si="338"/>
        <v>0</v>
      </c>
      <c r="BH162" s="421">
        <f t="shared" si="339"/>
        <v>0</v>
      </c>
      <c r="BI162" s="780">
        <f t="shared" si="340"/>
        <v>759784</v>
      </c>
      <c r="BJ162" s="418">
        <f t="shared" si="341"/>
        <v>563638</v>
      </c>
      <c r="BK162" s="418">
        <f t="shared" si="342"/>
        <v>563638</v>
      </c>
      <c r="BL162" s="418">
        <f t="shared" si="342"/>
        <v>0</v>
      </c>
      <c r="BM162" s="418">
        <f t="shared" si="343"/>
        <v>0</v>
      </c>
      <c r="BN162" s="418">
        <f t="shared" si="344"/>
        <v>0</v>
      </c>
      <c r="BO162" s="418">
        <f t="shared" si="344"/>
        <v>0</v>
      </c>
      <c r="BP162" s="418">
        <f t="shared" si="345"/>
        <v>190510</v>
      </c>
      <c r="BQ162" s="418">
        <f t="shared" si="345"/>
        <v>5636</v>
      </c>
      <c r="BR162" s="418">
        <f t="shared" si="346"/>
        <v>0</v>
      </c>
      <c r="BS162" s="419">
        <f t="shared" si="347"/>
        <v>1.357</v>
      </c>
      <c r="BT162" s="419">
        <f t="shared" si="348"/>
        <v>1.357</v>
      </c>
      <c r="BU162" s="421">
        <f t="shared" si="348"/>
        <v>0</v>
      </c>
      <c r="BV162" s="420"/>
      <c r="BW162" s="415"/>
      <c r="BX162" s="415"/>
      <c r="BY162" s="415"/>
      <c r="BZ162" s="415"/>
      <c r="CA162" s="510"/>
    </row>
    <row r="163" spans="1:79" s="221" customFormat="1" ht="12.75" customHeight="1" x14ac:dyDescent="0.2">
      <c r="A163" s="209">
        <v>29</v>
      </c>
      <c r="B163" s="210">
        <v>4445</v>
      </c>
      <c r="C163" s="210">
        <v>600075044</v>
      </c>
      <c r="D163" s="210">
        <v>72742631</v>
      </c>
      <c r="E163" s="204" t="s">
        <v>202</v>
      </c>
      <c r="F163" s="210">
        <v>3143</v>
      </c>
      <c r="G163" s="165" t="s">
        <v>596</v>
      </c>
      <c r="H163" s="614" t="s">
        <v>272</v>
      </c>
      <c r="I163" s="511">
        <v>20987</v>
      </c>
      <c r="J163" s="415">
        <v>15022</v>
      </c>
      <c r="K163" s="415">
        <v>0</v>
      </c>
      <c r="L163" s="415">
        <v>15022</v>
      </c>
      <c r="M163" s="415">
        <v>0</v>
      </c>
      <c r="N163" s="415">
        <v>0</v>
      </c>
      <c r="O163" s="415">
        <v>0</v>
      </c>
      <c r="P163" s="68">
        <v>5077</v>
      </c>
      <c r="Q163" s="68">
        <v>150</v>
      </c>
      <c r="R163" s="415">
        <v>738</v>
      </c>
      <c r="S163" s="416">
        <v>0.06</v>
      </c>
      <c r="T163" s="417">
        <v>0</v>
      </c>
      <c r="U163" s="423">
        <v>0.06</v>
      </c>
      <c r="V163" s="424">
        <f t="shared" si="324"/>
        <v>0</v>
      </c>
      <c r="W163" s="418">
        <f t="shared" si="324"/>
        <v>0</v>
      </c>
      <c r="X163" s="418">
        <v>0</v>
      </c>
      <c r="Y163" s="418">
        <v>0</v>
      </c>
      <c r="Z163" s="418">
        <v>0</v>
      </c>
      <c r="AA163" s="605">
        <v>7528</v>
      </c>
      <c r="AB163" s="418">
        <v>0</v>
      </c>
      <c r="AC163" s="418">
        <v>0</v>
      </c>
      <c r="AD163" s="418">
        <f t="shared" si="325"/>
        <v>0</v>
      </c>
      <c r="AE163" s="418">
        <f t="shared" si="326"/>
        <v>7528</v>
      </c>
      <c r="AF163" s="418">
        <f t="shared" si="327"/>
        <v>7528</v>
      </c>
      <c r="AG163" s="418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 t="shared" si="328"/>
        <v>0</v>
      </c>
      <c r="AM163" s="418">
        <f t="shared" si="329"/>
        <v>0</v>
      </c>
      <c r="AN163" s="418">
        <f t="shared" si="330"/>
        <v>0</v>
      </c>
      <c r="AO163" s="418">
        <f t="shared" si="331"/>
        <v>0</v>
      </c>
      <c r="AP163" s="418">
        <f t="shared" si="331"/>
        <v>7528</v>
      </c>
      <c r="AQ163" s="418">
        <f t="shared" si="332"/>
        <v>7528</v>
      </c>
      <c r="AR163" s="68">
        <f t="shared" si="333"/>
        <v>2544</v>
      </c>
      <c r="AS163" s="68">
        <f t="shared" si="334"/>
        <v>75</v>
      </c>
      <c r="AT163" s="418">
        <v>0</v>
      </c>
      <c r="AU163" s="606">
        <v>369</v>
      </c>
      <c r="AV163" s="418">
        <f t="shared" si="335"/>
        <v>369</v>
      </c>
      <c r="AW163" s="418">
        <f t="shared" si="336"/>
        <v>10516</v>
      </c>
      <c r="AX163" s="419">
        <v>0</v>
      </c>
      <c r="AY163" s="419">
        <v>0</v>
      </c>
      <c r="AZ163" s="419">
        <v>0</v>
      </c>
      <c r="BA163" s="419">
        <v>0</v>
      </c>
      <c r="BB163" s="607">
        <v>0.03</v>
      </c>
      <c r="BC163" s="939">
        <v>0</v>
      </c>
      <c r="BD163" s="419">
        <v>0</v>
      </c>
      <c r="BE163" s="419">
        <v>0</v>
      </c>
      <c r="BF163" s="419">
        <f t="shared" si="337"/>
        <v>0</v>
      </c>
      <c r="BG163" s="419">
        <f t="shared" si="338"/>
        <v>0.03</v>
      </c>
      <c r="BH163" s="421">
        <f t="shared" si="339"/>
        <v>0.03</v>
      </c>
      <c r="BI163" s="780">
        <f t="shared" si="340"/>
        <v>31503</v>
      </c>
      <c r="BJ163" s="418">
        <f t="shared" si="341"/>
        <v>22550</v>
      </c>
      <c r="BK163" s="418">
        <f t="shared" si="342"/>
        <v>0</v>
      </c>
      <c r="BL163" s="418">
        <f t="shared" si="342"/>
        <v>22550</v>
      </c>
      <c r="BM163" s="418">
        <f t="shared" si="343"/>
        <v>0</v>
      </c>
      <c r="BN163" s="418">
        <f t="shared" si="344"/>
        <v>0</v>
      </c>
      <c r="BO163" s="418">
        <f t="shared" si="344"/>
        <v>0</v>
      </c>
      <c r="BP163" s="418">
        <f t="shared" si="345"/>
        <v>7621</v>
      </c>
      <c r="BQ163" s="418">
        <f t="shared" si="345"/>
        <v>225</v>
      </c>
      <c r="BR163" s="418">
        <f t="shared" si="346"/>
        <v>1107</v>
      </c>
      <c r="BS163" s="419">
        <f t="shared" si="347"/>
        <v>0.09</v>
      </c>
      <c r="BT163" s="419">
        <f t="shared" si="348"/>
        <v>0</v>
      </c>
      <c r="BU163" s="421">
        <f t="shared" si="348"/>
        <v>0.09</v>
      </c>
      <c r="BV163" s="420"/>
      <c r="BW163" s="415"/>
      <c r="BX163" s="415"/>
      <c r="BY163" s="415"/>
      <c r="BZ163" s="415"/>
      <c r="CA163" s="510"/>
    </row>
    <row r="164" spans="1:79" s="221" customFormat="1" ht="12.75" customHeight="1" x14ac:dyDescent="0.2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13"/>
      <c r="I164" s="452">
        <v>8291390</v>
      </c>
      <c r="J164" s="445">
        <v>6103899</v>
      </c>
      <c r="K164" s="445">
        <v>5133352</v>
      </c>
      <c r="L164" s="445">
        <v>970547</v>
      </c>
      <c r="M164" s="445">
        <v>0</v>
      </c>
      <c r="N164" s="445">
        <v>0</v>
      </c>
      <c r="O164" s="445">
        <v>0</v>
      </c>
      <c r="P164" s="445">
        <v>2063117</v>
      </c>
      <c r="Q164" s="445">
        <v>61039</v>
      </c>
      <c r="R164" s="445">
        <v>63335</v>
      </c>
      <c r="S164" s="446">
        <v>12.784899999999999</v>
      </c>
      <c r="T164" s="446">
        <v>9.8307000000000002</v>
      </c>
      <c r="U164" s="450">
        <v>2.9541999999999997</v>
      </c>
      <c r="V164" s="448">
        <f t="shared" ref="V164:CA164" si="349">SUM(V158:V163)</f>
        <v>0</v>
      </c>
      <c r="W164" s="445">
        <f t="shared" si="349"/>
        <v>0</v>
      </c>
      <c r="X164" s="445">
        <f t="shared" si="349"/>
        <v>0</v>
      </c>
      <c r="Y164" s="445">
        <f t="shared" si="349"/>
        <v>0</v>
      </c>
      <c r="Z164" s="445">
        <f t="shared" si="349"/>
        <v>0</v>
      </c>
      <c r="AA164" s="445">
        <f t="shared" si="349"/>
        <v>223681</v>
      </c>
      <c r="AB164" s="445">
        <f t="shared" si="349"/>
        <v>0</v>
      </c>
      <c r="AC164" s="445">
        <f t="shared" si="349"/>
        <v>0</v>
      </c>
      <c r="AD164" s="445">
        <f t="shared" si="349"/>
        <v>0</v>
      </c>
      <c r="AE164" s="445">
        <f t="shared" si="349"/>
        <v>223681</v>
      </c>
      <c r="AF164" s="445">
        <f t="shared" si="349"/>
        <v>223681</v>
      </c>
      <c r="AG164" s="445">
        <f t="shared" si="349"/>
        <v>0</v>
      </c>
      <c r="AH164" s="445">
        <f t="shared" si="349"/>
        <v>0</v>
      </c>
      <c r="AI164" s="445">
        <f t="shared" si="349"/>
        <v>0</v>
      </c>
      <c r="AJ164" s="445">
        <f t="shared" si="349"/>
        <v>0</v>
      </c>
      <c r="AK164" s="445">
        <f t="shared" si="349"/>
        <v>0</v>
      </c>
      <c r="AL164" s="445">
        <f t="shared" si="349"/>
        <v>0</v>
      </c>
      <c r="AM164" s="445">
        <f t="shared" si="349"/>
        <v>0</v>
      </c>
      <c r="AN164" s="445">
        <f t="shared" si="349"/>
        <v>0</v>
      </c>
      <c r="AO164" s="445">
        <f t="shared" si="349"/>
        <v>0</v>
      </c>
      <c r="AP164" s="445">
        <f t="shared" si="349"/>
        <v>223681</v>
      </c>
      <c r="AQ164" s="445">
        <f t="shared" si="349"/>
        <v>223681</v>
      </c>
      <c r="AR164" s="445">
        <f t="shared" si="349"/>
        <v>75604</v>
      </c>
      <c r="AS164" s="445">
        <f t="shared" si="349"/>
        <v>2237</v>
      </c>
      <c r="AT164" s="445">
        <f t="shared" si="349"/>
        <v>0</v>
      </c>
      <c r="AU164" s="445">
        <f t="shared" si="349"/>
        <v>1474</v>
      </c>
      <c r="AV164" s="445">
        <f t="shared" si="349"/>
        <v>1474</v>
      </c>
      <c r="AW164" s="445">
        <f t="shared" si="349"/>
        <v>302996</v>
      </c>
      <c r="AX164" s="446">
        <f t="shared" si="349"/>
        <v>0</v>
      </c>
      <c r="AY164" s="446">
        <f t="shared" si="349"/>
        <v>0</v>
      </c>
      <c r="AZ164" s="446">
        <f t="shared" si="349"/>
        <v>0</v>
      </c>
      <c r="BA164" s="446">
        <f t="shared" si="349"/>
        <v>0</v>
      </c>
      <c r="BB164" s="446">
        <f t="shared" si="349"/>
        <v>0.68</v>
      </c>
      <c r="BC164" s="948">
        <f t="shared" si="349"/>
        <v>0</v>
      </c>
      <c r="BD164" s="446">
        <f t="shared" si="349"/>
        <v>0</v>
      </c>
      <c r="BE164" s="446">
        <f t="shared" si="349"/>
        <v>0</v>
      </c>
      <c r="BF164" s="446">
        <f t="shared" si="349"/>
        <v>0</v>
      </c>
      <c r="BG164" s="446">
        <f t="shared" si="349"/>
        <v>0.68</v>
      </c>
      <c r="BH164" s="39">
        <f t="shared" si="349"/>
        <v>0.68</v>
      </c>
      <c r="BI164" s="452">
        <f t="shared" si="349"/>
        <v>8594386</v>
      </c>
      <c r="BJ164" s="445">
        <f t="shared" si="349"/>
        <v>6327580</v>
      </c>
      <c r="BK164" s="445">
        <f t="shared" si="349"/>
        <v>5133352</v>
      </c>
      <c r="BL164" s="445">
        <f t="shared" si="349"/>
        <v>1194228</v>
      </c>
      <c r="BM164" s="445">
        <f t="shared" si="349"/>
        <v>0</v>
      </c>
      <c r="BN164" s="445">
        <f t="shared" si="349"/>
        <v>0</v>
      </c>
      <c r="BO164" s="445">
        <f t="shared" si="349"/>
        <v>0</v>
      </c>
      <c r="BP164" s="445">
        <f t="shared" si="349"/>
        <v>2138721</v>
      </c>
      <c r="BQ164" s="445">
        <f t="shared" si="349"/>
        <v>63276</v>
      </c>
      <c r="BR164" s="445">
        <f t="shared" si="349"/>
        <v>64809</v>
      </c>
      <c r="BS164" s="446">
        <f t="shared" si="349"/>
        <v>13.464899999999998</v>
      </c>
      <c r="BT164" s="446">
        <f t="shared" si="349"/>
        <v>9.8307000000000002</v>
      </c>
      <c r="BU164" s="39">
        <f t="shared" si="349"/>
        <v>3.6341999999999999</v>
      </c>
      <c r="BV164" s="833">
        <f t="shared" si="349"/>
        <v>0</v>
      </c>
      <c r="BW164" s="715">
        <f t="shared" si="349"/>
        <v>0</v>
      </c>
      <c r="BX164" s="715">
        <f t="shared" si="349"/>
        <v>0</v>
      </c>
      <c r="BY164" s="715">
        <f t="shared" si="349"/>
        <v>0</v>
      </c>
      <c r="BZ164" s="715">
        <f t="shared" si="349"/>
        <v>0</v>
      </c>
      <c r="CA164" s="834">
        <f t="shared" si="349"/>
        <v>0</v>
      </c>
    </row>
    <row r="165" spans="1:79" s="221" customFormat="1" ht="12.75" customHeight="1" x14ac:dyDescent="0.2">
      <c r="A165" s="209">
        <v>30</v>
      </c>
      <c r="B165" s="210">
        <v>4446</v>
      </c>
      <c r="C165" s="210">
        <v>600074587</v>
      </c>
      <c r="D165" s="210">
        <v>70695504</v>
      </c>
      <c r="E165" s="208" t="s">
        <v>786</v>
      </c>
      <c r="F165" s="210">
        <v>3111</v>
      </c>
      <c r="G165" s="165" t="s">
        <v>290</v>
      </c>
      <c r="H165" s="626" t="s">
        <v>271</v>
      </c>
      <c r="I165" s="511">
        <v>1682958</v>
      </c>
      <c r="J165" s="415">
        <v>1244326</v>
      </c>
      <c r="K165" s="415">
        <v>1177758</v>
      </c>
      <c r="L165" s="415">
        <v>66568</v>
      </c>
      <c r="M165" s="415">
        <v>0</v>
      </c>
      <c r="N165" s="415">
        <v>0</v>
      </c>
      <c r="O165" s="415">
        <v>0</v>
      </c>
      <c r="P165" s="68">
        <v>420582</v>
      </c>
      <c r="Q165" s="68">
        <v>12443</v>
      </c>
      <c r="R165" s="415">
        <v>5607</v>
      </c>
      <c r="S165" s="416">
        <v>2.2827000000000002</v>
      </c>
      <c r="T165" s="417">
        <v>2.016</v>
      </c>
      <c r="U165" s="423">
        <v>0.26669999999999999</v>
      </c>
      <c r="V165" s="424">
        <f t="shared" ref="V165:W170" si="350">AG165*-1</f>
        <v>0</v>
      </c>
      <c r="W165" s="418">
        <f t="shared" si="350"/>
        <v>0</v>
      </c>
      <c r="X165" s="418">
        <v>0</v>
      </c>
      <c r="Y165" s="418">
        <v>0</v>
      </c>
      <c r="Z165" s="418">
        <v>0</v>
      </c>
      <c r="AA165" s="415">
        <v>0</v>
      </c>
      <c r="AB165" s="418">
        <v>0</v>
      </c>
      <c r="AC165" s="418">
        <v>0</v>
      </c>
      <c r="AD165" s="418">
        <f t="shared" ref="AD165:AD170" si="351">V165+X165+Y165+Z165+AB165</f>
        <v>0</v>
      </c>
      <c r="AE165" s="418">
        <f t="shared" ref="AE165:AE170" si="352">W165+AA165+AC165</f>
        <v>0</v>
      </c>
      <c r="AF165" s="418">
        <f t="shared" ref="AF165:AF170" si="353">SUM(AD165:AE165)</f>
        <v>0</v>
      </c>
      <c r="AG165" s="418">
        <v>0</v>
      </c>
      <c r="AH165" s="418">
        <v>0</v>
      </c>
      <c r="AI165" s="418">
        <v>0</v>
      </c>
      <c r="AJ165" s="418">
        <v>0</v>
      </c>
      <c r="AK165" s="418">
        <v>0</v>
      </c>
      <c r="AL165" s="418">
        <f t="shared" ref="AL165:AL170" si="354">AG165+AI165+AJ165</f>
        <v>0</v>
      </c>
      <c r="AM165" s="418">
        <f t="shared" ref="AM165:AM170" si="355">AH165+AK165</f>
        <v>0</v>
      </c>
      <c r="AN165" s="418">
        <f t="shared" ref="AN165:AN170" si="356">SUM(AL165:AM165)</f>
        <v>0</v>
      </c>
      <c r="AO165" s="418">
        <f t="shared" ref="AO165:AP170" si="357">AD165+AL165</f>
        <v>0</v>
      </c>
      <c r="AP165" s="418">
        <f t="shared" si="357"/>
        <v>0</v>
      </c>
      <c r="AQ165" s="418">
        <f t="shared" ref="AQ165:AQ170" si="358">SUM(AO165:AP165)</f>
        <v>0</v>
      </c>
      <c r="AR165" s="68">
        <f t="shared" ref="AR165:AR170" si="359">ROUND((AF165+AG165+AH165+AI165)*33.8%,0)</f>
        <v>0</v>
      </c>
      <c r="AS165" s="68">
        <f t="shared" ref="AS165:AS170" si="360">ROUND(AF165*1%,0)</f>
        <v>0</v>
      </c>
      <c r="AT165" s="418">
        <v>0</v>
      </c>
      <c r="AU165" s="415">
        <v>0</v>
      </c>
      <c r="AV165" s="418">
        <f t="shared" ref="AV165:AV170" si="361">AT165+AU165</f>
        <v>0</v>
      </c>
      <c r="AW165" s="418">
        <f t="shared" ref="AW165:AW170" si="362">AQ165+AR165+AS165+AV165</f>
        <v>0</v>
      </c>
      <c r="AX165" s="419">
        <v>0</v>
      </c>
      <c r="AY165" s="419">
        <v>0</v>
      </c>
      <c r="AZ165" s="419">
        <v>0</v>
      </c>
      <c r="BA165" s="419">
        <v>0</v>
      </c>
      <c r="BB165" s="416">
        <v>0</v>
      </c>
      <c r="BC165" s="939">
        <v>0</v>
      </c>
      <c r="BD165" s="419">
        <v>0</v>
      </c>
      <c r="BE165" s="419">
        <v>0</v>
      </c>
      <c r="BF165" s="419">
        <f t="shared" ref="BF165:BF170" si="363">AX165+AZ165+BA165+BC165+BD165</f>
        <v>0</v>
      </c>
      <c r="BG165" s="419">
        <f t="shared" ref="BG165:BG170" si="364">AY165+BB165+BE165</f>
        <v>0</v>
      </c>
      <c r="BH165" s="421">
        <f t="shared" ref="BH165:BH170" si="365">SUM(BF165:BG165)</f>
        <v>0</v>
      </c>
      <c r="BI165" s="780">
        <f t="shared" ref="BI165:BI170" si="366">I165+AW165</f>
        <v>1682958</v>
      </c>
      <c r="BJ165" s="418">
        <f t="shared" ref="BJ165:BJ170" si="367">J165+AF165</f>
        <v>1244326</v>
      </c>
      <c r="BK165" s="418">
        <f t="shared" ref="BK165:BL170" si="368">K165+AD165</f>
        <v>1177758</v>
      </c>
      <c r="BL165" s="418">
        <f t="shared" si="368"/>
        <v>66568</v>
      </c>
      <c r="BM165" s="418">
        <f t="shared" ref="BM165:BM170" si="369">M165+AN165</f>
        <v>0</v>
      </c>
      <c r="BN165" s="418">
        <f t="shared" ref="BN165:BO170" si="370">N165+AL165</f>
        <v>0</v>
      </c>
      <c r="BO165" s="418">
        <f t="shared" si="370"/>
        <v>0</v>
      </c>
      <c r="BP165" s="418">
        <f t="shared" ref="BP165:BQ170" si="371">P165+AR165</f>
        <v>420582</v>
      </c>
      <c r="BQ165" s="418">
        <f t="shared" si="371"/>
        <v>12443</v>
      </c>
      <c r="BR165" s="418">
        <f t="shared" ref="BR165:BR170" si="372">R165+AV165</f>
        <v>5607</v>
      </c>
      <c r="BS165" s="419">
        <f t="shared" ref="BS165:BS170" si="373">S165+BH165</f>
        <v>2.2827000000000002</v>
      </c>
      <c r="BT165" s="419">
        <f t="shared" ref="BT165:BU170" si="374">T165+BF165</f>
        <v>2.016</v>
      </c>
      <c r="BU165" s="421">
        <f t="shared" si="374"/>
        <v>0.26669999999999999</v>
      </c>
      <c r="BV165" s="420"/>
      <c r="BW165" s="415"/>
      <c r="BX165" s="415"/>
      <c r="BY165" s="415"/>
      <c r="BZ165" s="415"/>
      <c r="CA165" s="510"/>
    </row>
    <row r="166" spans="1:79" s="221" customFormat="1" ht="12.75" customHeight="1" x14ac:dyDescent="0.2">
      <c r="A166" s="209">
        <v>30</v>
      </c>
      <c r="B166" s="210">
        <v>4446</v>
      </c>
      <c r="C166" s="210">
        <v>600074587</v>
      </c>
      <c r="D166" s="210">
        <v>70695504</v>
      </c>
      <c r="E166" s="208" t="s">
        <v>786</v>
      </c>
      <c r="F166" s="210">
        <v>3117</v>
      </c>
      <c r="G166" s="165" t="s">
        <v>293</v>
      </c>
      <c r="H166" s="626" t="s">
        <v>271</v>
      </c>
      <c r="I166" s="511">
        <v>2624231</v>
      </c>
      <c r="J166" s="415">
        <v>1922382</v>
      </c>
      <c r="K166" s="415">
        <v>1717087</v>
      </c>
      <c r="L166" s="415">
        <v>205295</v>
      </c>
      <c r="M166" s="415">
        <v>0</v>
      </c>
      <c r="N166" s="415">
        <v>0</v>
      </c>
      <c r="O166" s="415">
        <v>0</v>
      </c>
      <c r="P166" s="68">
        <v>649766</v>
      </c>
      <c r="Q166" s="68">
        <v>19224</v>
      </c>
      <c r="R166" s="415">
        <v>32859</v>
      </c>
      <c r="S166" s="416">
        <v>3.1509999999999998</v>
      </c>
      <c r="T166" s="417">
        <v>2.6177999999999999</v>
      </c>
      <c r="U166" s="423">
        <v>0.53320000000000001</v>
      </c>
      <c r="V166" s="424">
        <f t="shared" si="350"/>
        <v>0</v>
      </c>
      <c r="W166" s="418">
        <f t="shared" si="350"/>
        <v>0</v>
      </c>
      <c r="X166" s="418">
        <v>0</v>
      </c>
      <c r="Y166" s="418">
        <v>0</v>
      </c>
      <c r="Z166" s="418">
        <v>0</v>
      </c>
      <c r="AA166" s="415">
        <v>0</v>
      </c>
      <c r="AB166" s="418">
        <v>0</v>
      </c>
      <c r="AC166" s="418">
        <v>0</v>
      </c>
      <c r="AD166" s="418">
        <f t="shared" si="351"/>
        <v>0</v>
      </c>
      <c r="AE166" s="418">
        <f t="shared" si="352"/>
        <v>0</v>
      </c>
      <c r="AF166" s="418">
        <f t="shared" si="353"/>
        <v>0</v>
      </c>
      <c r="AG166" s="418">
        <v>0</v>
      </c>
      <c r="AH166" s="418">
        <v>0</v>
      </c>
      <c r="AI166" s="418">
        <v>0</v>
      </c>
      <c r="AJ166" s="418">
        <v>0</v>
      </c>
      <c r="AK166" s="418">
        <v>0</v>
      </c>
      <c r="AL166" s="418">
        <f t="shared" si="354"/>
        <v>0</v>
      </c>
      <c r="AM166" s="418">
        <f t="shared" si="355"/>
        <v>0</v>
      </c>
      <c r="AN166" s="418">
        <f t="shared" si="356"/>
        <v>0</v>
      </c>
      <c r="AO166" s="418">
        <f t="shared" si="357"/>
        <v>0</v>
      </c>
      <c r="AP166" s="418">
        <f t="shared" si="357"/>
        <v>0</v>
      </c>
      <c r="AQ166" s="418">
        <f t="shared" si="358"/>
        <v>0</v>
      </c>
      <c r="AR166" s="68">
        <f t="shared" si="359"/>
        <v>0</v>
      </c>
      <c r="AS166" s="68">
        <f t="shared" si="360"/>
        <v>0</v>
      </c>
      <c r="AT166" s="418">
        <v>0</v>
      </c>
      <c r="AU166" s="415">
        <v>0</v>
      </c>
      <c r="AV166" s="418">
        <f t="shared" si="361"/>
        <v>0</v>
      </c>
      <c r="AW166" s="418">
        <f t="shared" si="362"/>
        <v>0</v>
      </c>
      <c r="AX166" s="419">
        <v>0</v>
      </c>
      <c r="AY166" s="419">
        <v>0</v>
      </c>
      <c r="AZ166" s="419">
        <v>0</v>
      </c>
      <c r="BA166" s="419">
        <v>0</v>
      </c>
      <c r="BB166" s="416">
        <v>0</v>
      </c>
      <c r="BC166" s="939">
        <v>0</v>
      </c>
      <c r="BD166" s="419">
        <v>0</v>
      </c>
      <c r="BE166" s="419">
        <v>0</v>
      </c>
      <c r="BF166" s="419">
        <f t="shared" si="363"/>
        <v>0</v>
      </c>
      <c r="BG166" s="419">
        <f t="shared" si="364"/>
        <v>0</v>
      </c>
      <c r="BH166" s="421">
        <f t="shared" si="365"/>
        <v>0</v>
      </c>
      <c r="BI166" s="780">
        <f t="shared" si="366"/>
        <v>2624231</v>
      </c>
      <c r="BJ166" s="418">
        <f t="shared" si="367"/>
        <v>1922382</v>
      </c>
      <c r="BK166" s="418">
        <f t="shared" si="368"/>
        <v>1717087</v>
      </c>
      <c r="BL166" s="418">
        <f t="shared" si="368"/>
        <v>205295</v>
      </c>
      <c r="BM166" s="418">
        <f t="shared" si="369"/>
        <v>0</v>
      </c>
      <c r="BN166" s="418">
        <f t="shared" si="370"/>
        <v>0</v>
      </c>
      <c r="BO166" s="418">
        <f t="shared" si="370"/>
        <v>0</v>
      </c>
      <c r="BP166" s="418">
        <f t="shared" si="371"/>
        <v>649766</v>
      </c>
      <c r="BQ166" s="418">
        <f t="shared" si="371"/>
        <v>19224</v>
      </c>
      <c r="BR166" s="418">
        <f t="shared" si="372"/>
        <v>32859</v>
      </c>
      <c r="BS166" s="419">
        <f t="shared" si="373"/>
        <v>3.1509999999999998</v>
      </c>
      <c r="BT166" s="419">
        <f t="shared" si="374"/>
        <v>2.6177999999999999</v>
      </c>
      <c r="BU166" s="421">
        <f t="shared" si="374"/>
        <v>0.53320000000000001</v>
      </c>
      <c r="BV166" s="420"/>
      <c r="BW166" s="415"/>
      <c r="BX166" s="415"/>
      <c r="BY166" s="415"/>
      <c r="BZ166" s="415"/>
      <c r="CA166" s="510"/>
    </row>
    <row r="167" spans="1:79" s="221" customFormat="1" ht="12.75" customHeight="1" x14ac:dyDescent="0.2">
      <c r="A167" s="209">
        <v>30</v>
      </c>
      <c r="B167" s="210">
        <v>4446</v>
      </c>
      <c r="C167" s="210">
        <v>600074587</v>
      </c>
      <c r="D167" s="210">
        <v>70695504</v>
      </c>
      <c r="E167" s="208" t="s">
        <v>786</v>
      </c>
      <c r="F167" s="210">
        <v>3117</v>
      </c>
      <c r="G167" s="165" t="s">
        <v>291</v>
      </c>
      <c r="H167" s="626" t="s">
        <v>272</v>
      </c>
      <c r="I167" s="511">
        <v>683116</v>
      </c>
      <c r="J167" s="415">
        <v>506762</v>
      </c>
      <c r="K167" s="415">
        <v>506762</v>
      </c>
      <c r="L167" s="415">
        <v>0</v>
      </c>
      <c r="M167" s="415">
        <v>0</v>
      </c>
      <c r="N167" s="415">
        <v>0</v>
      </c>
      <c r="O167" s="415">
        <v>0</v>
      </c>
      <c r="P167" s="68">
        <v>171286</v>
      </c>
      <c r="Q167" s="68">
        <v>5068</v>
      </c>
      <c r="R167" s="415">
        <v>0</v>
      </c>
      <c r="S167" s="416">
        <v>1.5</v>
      </c>
      <c r="T167" s="417">
        <v>1.5</v>
      </c>
      <c r="U167" s="423">
        <v>0</v>
      </c>
      <c r="V167" s="424">
        <f t="shared" si="350"/>
        <v>0</v>
      </c>
      <c r="W167" s="418">
        <f t="shared" si="350"/>
        <v>0</v>
      </c>
      <c r="X167" s="418">
        <v>0</v>
      </c>
      <c r="Y167" s="418">
        <v>0</v>
      </c>
      <c r="Z167" s="418">
        <v>0</v>
      </c>
      <c r="AA167" s="415">
        <v>0</v>
      </c>
      <c r="AB167" s="418">
        <v>0</v>
      </c>
      <c r="AC167" s="418">
        <v>0</v>
      </c>
      <c r="AD167" s="418">
        <f t="shared" si="351"/>
        <v>0</v>
      </c>
      <c r="AE167" s="418">
        <f t="shared" si="352"/>
        <v>0</v>
      </c>
      <c r="AF167" s="418">
        <f t="shared" si="353"/>
        <v>0</v>
      </c>
      <c r="AG167" s="418">
        <v>0</v>
      </c>
      <c r="AH167" s="418">
        <v>0</v>
      </c>
      <c r="AI167" s="418">
        <v>0</v>
      </c>
      <c r="AJ167" s="418">
        <v>0</v>
      </c>
      <c r="AK167" s="418">
        <v>0</v>
      </c>
      <c r="AL167" s="418">
        <f t="shared" si="354"/>
        <v>0</v>
      </c>
      <c r="AM167" s="418">
        <f t="shared" si="355"/>
        <v>0</v>
      </c>
      <c r="AN167" s="418">
        <f t="shared" si="356"/>
        <v>0</v>
      </c>
      <c r="AO167" s="418">
        <f t="shared" si="357"/>
        <v>0</v>
      </c>
      <c r="AP167" s="418">
        <f t="shared" si="357"/>
        <v>0</v>
      </c>
      <c r="AQ167" s="418">
        <f t="shared" si="358"/>
        <v>0</v>
      </c>
      <c r="AR167" s="68">
        <f t="shared" si="359"/>
        <v>0</v>
      </c>
      <c r="AS167" s="68">
        <f t="shared" si="360"/>
        <v>0</v>
      </c>
      <c r="AT167" s="418">
        <v>0</v>
      </c>
      <c r="AU167" s="415">
        <v>0</v>
      </c>
      <c r="AV167" s="418">
        <f t="shared" si="361"/>
        <v>0</v>
      </c>
      <c r="AW167" s="418">
        <f t="shared" si="362"/>
        <v>0</v>
      </c>
      <c r="AX167" s="419">
        <v>0</v>
      </c>
      <c r="AY167" s="419">
        <v>0</v>
      </c>
      <c r="AZ167" s="419">
        <v>0</v>
      </c>
      <c r="BA167" s="419">
        <v>0</v>
      </c>
      <c r="BB167" s="416">
        <v>0</v>
      </c>
      <c r="BC167" s="939">
        <v>0</v>
      </c>
      <c r="BD167" s="419">
        <v>0</v>
      </c>
      <c r="BE167" s="419">
        <v>0</v>
      </c>
      <c r="BF167" s="419">
        <f t="shared" si="363"/>
        <v>0</v>
      </c>
      <c r="BG167" s="419">
        <f t="shared" si="364"/>
        <v>0</v>
      </c>
      <c r="BH167" s="421">
        <f t="shared" si="365"/>
        <v>0</v>
      </c>
      <c r="BI167" s="780">
        <f t="shared" si="366"/>
        <v>683116</v>
      </c>
      <c r="BJ167" s="418">
        <f t="shared" si="367"/>
        <v>506762</v>
      </c>
      <c r="BK167" s="418">
        <f t="shared" si="368"/>
        <v>506762</v>
      </c>
      <c r="BL167" s="418">
        <f t="shared" si="368"/>
        <v>0</v>
      </c>
      <c r="BM167" s="418">
        <f t="shared" si="369"/>
        <v>0</v>
      </c>
      <c r="BN167" s="418">
        <f t="shared" si="370"/>
        <v>0</v>
      </c>
      <c r="BO167" s="418">
        <f t="shared" si="370"/>
        <v>0</v>
      </c>
      <c r="BP167" s="418">
        <f t="shared" si="371"/>
        <v>171286</v>
      </c>
      <c r="BQ167" s="418">
        <f t="shared" si="371"/>
        <v>5068</v>
      </c>
      <c r="BR167" s="418">
        <f t="shared" si="372"/>
        <v>0</v>
      </c>
      <c r="BS167" s="419">
        <f t="shared" si="373"/>
        <v>1.5</v>
      </c>
      <c r="BT167" s="419">
        <f t="shared" si="374"/>
        <v>1.5</v>
      </c>
      <c r="BU167" s="421">
        <f t="shared" si="374"/>
        <v>0</v>
      </c>
      <c r="BV167" s="420"/>
      <c r="BW167" s="415"/>
      <c r="BX167" s="415"/>
      <c r="BY167" s="415"/>
      <c r="BZ167" s="415"/>
      <c r="CA167" s="510"/>
    </row>
    <row r="168" spans="1:79" s="221" customFormat="1" ht="12.75" customHeight="1" x14ac:dyDescent="0.2">
      <c r="A168" s="209">
        <v>30</v>
      </c>
      <c r="B168" s="210">
        <v>4446</v>
      </c>
      <c r="C168" s="210">
        <v>600074587</v>
      </c>
      <c r="D168" s="210">
        <v>70695504</v>
      </c>
      <c r="E168" s="208" t="s">
        <v>786</v>
      </c>
      <c r="F168" s="210">
        <v>3141</v>
      </c>
      <c r="G168" s="165" t="s">
        <v>294</v>
      </c>
      <c r="H168" s="626" t="s">
        <v>272</v>
      </c>
      <c r="I168" s="511">
        <v>171810</v>
      </c>
      <c r="J168" s="415">
        <v>126722</v>
      </c>
      <c r="K168" s="415">
        <v>0</v>
      </c>
      <c r="L168" s="415">
        <v>126722</v>
      </c>
      <c r="M168" s="415">
        <v>0</v>
      </c>
      <c r="N168" s="415">
        <v>0</v>
      </c>
      <c r="O168" s="415">
        <v>0</v>
      </c>
      <c r="P168" s="68">
        <v>42832</v>
      </c>
      <c r="Q168" s="68">
        <v>1267</v>
      </c>
      <c r="R168" s="415">
        <v>989</v>
      </c>
      <c r="S168" s="416">
        <v>0.38</v>
      </c>
      <c r="T168" s="417">
        <v>0</v>
      </c>
      <c r="U168" s="423">
        <v>0.38</v>
      </c>
      <c r="V168" s="424">
        <f t="shared" si="350"/>
        <v>0</v>
      </c>
      <c r="W168" s="418">
        <f t="shared" si="350"/>
        <v>0</v>
      </c>
      <c r="X168" s="418">
        <v>0</v>
      </c>
      <c r="Y168" s="418">
        <v>0</v>
      </c>
      <c r="Z168" s="418">
        <v>0</v>
      </c>
      <c r="AA168" s="605">
        <v>62105</v>
      </c>
      <c r="AB168" s="418">
        <v>0</v>
      </c>
      <c r="AC168" s="418">
        <v>0</v>
      </c>
      <c r="AD168" s="418">
        <f t="shared" si="351"/>
        <v>0</v>
      </c>
      <c r="AE168" s="418">
        <f t="shared" si="352"/>
        <v>62105</v>
      </c>
      <c r="AF168" s="418">
        <f t="shared" si="353"/>
        <v>62105</v>
      </c>
      <c r="AG168" s="418">
        <v>0</v>
      </c>
      <c r="AH168" s="418">
        <v>0</v>
      </c>
      <c r="AI168" s="418">
        <v>0</v>
      </c>
      <c r="AJ168" s="418">
        <v>0</v>
      </c>
      <c r="AK168" s="418">
        <v>0</v>
      </c>
      <c r="AL168" s="418">
        <f t="shared" si="354"/>
        <v>0</v>
      </c>
      <c r="AM168" s="418">
        <f t="shared" si="355"/>
        <v>0</v>
      </c>
      <c r="AN168" s="418">
        <f t="shared" si="356"/>
        <v>0</v>
      </c>
      <c r="AO168" s="418">
        <f t="shared" si="357"/>
        <v>0</v>
      </c>
      <c r="AP168" s="418">
        <f t="shared" si="357"/>
        <v>62105</v>
      </c>
      <c r="AQ168" s="418">
        <f t="shared" si="358"/>
        <v>62105</v>
      </c>
      <c r="AR168" s="68">
        <f t="shared" si="359"/>
        <v>20991</v>
      </c>
      <c r="AS168" s="68">
        <f t="shared" si="360"/>
        <v>621</v>
      </c>
      <c r="AT168" s="418">
        <v>0</v>
      </c>
      <c r="AU168" s="605">
        <v>473</v>
      </c>
      <c r="AV168" s="418">
        <f t="shared" si="361"/>
        <v>473</v>
      </c>
      <c r="AW168" s="418">
        <f t="shared" si="362"/>
        <v>84190</v>
      </c>
      <c r="AX168" s="419">
        <v>0</v>
      </c>
      <c r="AY168" s="419">
        <v>0</v>
      </c>
      <c r="AZ168" s="419">
        <v>0</v>
      </c>
      <c r="BA168" s="419">
        <v>0</v>
      </c>
      <c r="BB168" s="607">
        <v>0.18999999999999995</v>
      </c>
      <c r="BC168" s="939">
        <v>0</v>
      </c>
      <c r="BD168" s="419">
        <v>0</v>
      </c>
      <c r="BE168" s="419">
        <v>0</v>
      </c>
      <c r="BF168" s="419">
        <f t="shared" si="363"/>
        <v>0</v>
      </c>
      <c r="BG168" s="419">
        <f t="shared" si="364"/>
        <v>0.18999999999999995</v>
      </c>
      <c r="BH168" s="421">
        <f t="shared" si="365"/>
        <v>0.18999999999999995</v>
      </c>
      <c r="BI168" s="780">
        <f t="shared" si="366"/>
        <v>256000</v>
      </c>
      <c r="BJ168" s="418">
        <f t="shared" si="367"/>
        <v>188827</v>
      </c>
      <c r="BK168" s="418">
        <f t="shared" si="368"/>
        <v>0</v>
      </c>
      <c r="BL168" s="418">
        <f t="shared" si="368"/>
        <v>188827</v>
      </c>
      <c r="BM168" s="418">
        <f t="shared" si="369"/>
        <v>0</v>
      </c>
      <c r="BN168" s="418">
        <f t="shared" si="370"/>
        <v>0</v>
      </c>
      <c r="BO168" s="418">
        <f t="shared" si="370"/>
        <v>0</v>
      </c>
      <c r="BP168" s="418">
        <f t="shared" si="371"/>
        <v>63823</v>
      </c>
      <c r="BQ168" s="418">
        <f t="shared" si="371"/>
        <v>1888</v>
      </c>
      <c r="BR168" s="418">
        <f t="shared" si="372"/>
        <v>1462</v>
      </c>
      <c r="BS168" s="419">
        <f t="shared" si="373"/>
        <v>0.56999999999999995</v>
      </c>
      <c r="BT168" s="419">
        <f t="shared" si="374"/>
        <v>0</v>
      </c>
      <c r="BU168" s="421">
        <f t="shared" si="374"/>
        <v>0.56999999999999995</v>
      </c>
      <c r="BV168" s="420"/>
      <c r="BW168" s="415"/>
      <c r="BX168" s="415"/>
      <c r="BY168" s="415"/>
      <c r="BZ168" s="415"/>
      <c r="CA168" s="510"/>
    </row>
    <row r="169" spans="1:79" s="221" customFormat="1" ht="12.75" customHeight="1" x14ac:dyDescent="0.2">
      <c r="A169" s="209">
        <v>30</v>
      </c>
      <c r="B169" s="210">
        <v>4446</v>
      </c>
      <c r="C169" s="210">
        <v>600074587</v>
      </c>
      <c r="D169" s="210">
        <v>70695504</v>
      </c>
      <c r="E169" s="208" t="s">
        <v>786</v>
      </c>
      <c r="F169" s="210">
        <v>3143</v>
      </c>
      <c r="G169" s="165" t="s">
        <v>595</v>
      </c>
      <c r="H169" s="614" t="s">
        <v>271</v>
      </c>
      <c r="I169" s="511">
        <v>597385</v>
      </c>
      <c r="J169" s="415">
        <v>443164</v>
      </c>
      <c r="K169" s="415">
        <v>443164</v>
      </c>
      <c r="L169" s="415">
        <v>0</v>
      </c>
      <c r="M169" s="415">
        <v>0</v>
      </c>
      <c r="N169" s="415">
        <v>0</v>
      </c>
      <c r="O169" s="415">
        <v>0</v>
      </c>
      <c r="P169" s="68">
        <v>149789</v>
      </c>
      <c r="Q169" s="68">
        <v>4432</v>
      </c>
      <c r="R169" s="415">
        <v>0</v>
      </c>
      <c r="S169" s="416">
        <v>0.95379999999999998</v>
      </c>
      <c r="T169" s="417">
        <v>0.95379999999999998</v>
      </c>
      <c r="U169" s="423">
        <v>0</v>
      </c>
      <c r="V169" s="424">
        <f t="shared" si="350"/>
        <v>0</v>
      </c>
      <c r="W169" s="418">
        <f t="shared" si="350"/>
        <v>0</v>
      </c>
      <c r="X169" s="418">
        <v>0</v>
      </c>
      <c r="Y169" s="418">
        <v>0</v>
      </c>
      <c r="Z169" s="418">
        <v>0</v>
      </c>
      <c r="AA169" s="415">
        <v>0</v>
      </c>
      <c r="AB169" s="418">
        <v>0</v>
      </c>
      <c r="AC169" s="418">
        <v>0</v>
      </c>
      <c r="AD169" s="418">
        <f t="shared" si="351"/>
        <v>0</v>
      </c>
      <c r="AE169" s="418">
        <f t="shared" si="352"/>
        <v>0</v>
      </c>
      <c r="AF169" s="418">
        <f t="shared" si="353"/>
        <v>0</v>
      </c>
      <c r="AG169" s="418">
        <v>0</v>
      </c>
      <c r="AH169" s="418">
        <v>0</v>
      </c>
      <c r="AI169" s="418">
        <v>0</v>
      </c>
      <c r="AJ169" s="418">
        <v>0</v>
      </c>
      <c r="AK169" s="418">
        <v>0</v>
      </c>
      <c r="AL169" s="418">
        <f t="shared" si="354"/>
        <v>0</v>
      </c>
      <c r="AM169" s="418">
        <f t="shared" si="355"/>
        <v>0</v>
      </c>
      <c r="AN169" s="418">
        <f t="shared" si="356"/>
        <v>0</v>
      </c>
      <c r="AO169" s="418">
        <f t="shared" si="357"/>
        <v>0</v>
      </c>
      <c r="AP169" s="418">
        <f t="shared" si="357"/>
        <v>0</v>
      </c>
      <c r="AQ169" s="418">
        <f t="shared" si="358"/>
        <v>0</v>
      </c>
      <c r="AR169" s="68">
        <f t="shared" si="359"/>
        <v>0</v>
      </c>
      <c r="AS169" s="68">
        <f t="shared" si="360"/>
        <v>0</v>
      </c>
      <c r="AT169" s="418">
        <v>0</v>
      </c>
      <c r="AU169" s="415">
        <v>0</v>
      </c>
      <c r="AV169" s="418">
        <f t="shared" si="361"/>
        <v>0</v>
      </c>
      <c r="AW169" s="418">
        <f t="shared" si="362"/>
        <v>0</v>
      </c>
      <c r="AX169" s="419">
        <v>0</v>
      </c>
      <c r="AY169" s="419">
        <v>0</v>
      </c>
      <c r="AZ169" s="419">
        <v>0</v>
      </c>
      <c r="BA169" s="419">
        <v>0</v>
      </c>
      <c r="BB169" s="416">
        <v>0</v>
      </c>
      <c r="BC169" s="939">
        <v>0</v>
      </c>
      <c r="BD169" s="419">
        <v>0</v>
      </c>
      <c r="BE169" s="419">
        <v>0</v>
      </c>
      <c r="BF169" s="419">
        <f t="shared" si="363"/>
        <v>0</v>
      </c>
      <c r="BG169" s="419">
        <f t="shared" si="364"/>
        <v>0</v>
      </c>
      <c r="BH169" s="421">
        <f t="shared" si="365"/>
        <v>0</v>
      </c>
      <c r="BI169" s="780">
        <f t="shared" si="366"/>
        <v>597385</v>
      </c>
      <c r="BJ169" s="418">
        <f t="shared" si="367"/>
        <v>443164</v>
      </c>
      <c r="BK169" s="418">
        <f t="shared" si="368"/>
        <v>443164</v>
      </c>
      <c r="BL169" s="418">
        <f t="shared" si="368"/>
        <v>0</v>
      </c>
      <c r="BM169" s="418">
        <f t="shared" si="369"/>
        <v>0</v>
      </c>
      <c r="BN169" s="418">
        <f t="shared" si="370"/>
        <v>0</v>
      </c>
      <c r="BO169" s="418">
        <f t="shared" si="370"/>
        <v>0</v>
      </c>
      <c r="BP169" s="418">
        <f t="shared" si="371"/>
        <v>149789</v>
      </c>
      <c r="BQ169" s="418">
        <f t="shared" si="371"/>
        <v>4432</v>
      </c>
      <c r="BR169" s="418">
        <f t="shared" si="372"/>
        <v>0</v>
      </c>
      <c r="BS169" s="419">
        <f t="shared" si="373"/>
        <v>0.95379999999999998</v>
      </c>
      <c r="BT169" s="419">
        <f t="shared" si="374"/>
        <v>0.95379999999999998</v>
      </c>
      <c r="BU169" s="421">
        <f t="shared" si="374"/>
        <v>0</v>
      </c>
      <c r="BV169" s="420"/>
      <c r="BW169" s="415"/>
      <c r="BX169" s="415"/>
      <c r="BY169" s="415"/>
      <c r="BZ169" s="415"/>
      <c r="CA169" s="510"/>
    </row>
    <row r="170" spans="1:79" s="221" customFormat="1" ht="12.75" customHeight="1" x14ac:dyDescent="0.2">
      <c r="A170" s="209">
        <v>30</v>
      </c>
      <c r="B170" s="210">
        <v>4446</v>
      </c>
      <c r="C170" s="210">
        <v>600074587</v>
      </c>
      <c r="D170" s="210">
        <v>70695504</v>
      </c>
      <c r="E170" s="208" t="s">
        <v>786</v>
      </c>
      <c r="F170" s="210">
        <v>3143</v>
      </c>
      <c r="G170" s="165" t="s">
        <v>596</v>
      </c>
      <c r="H170" s="614" t="s">
        <v>272</v>
      </c>
      <c r="I170" s="511">
        <v>12282</v>
      </c>
      <c r="J170" s="415">
        <v>8791</v>
      </c>
      <c r="K170" s="415">
        <v>0</v>
      </c>
      <c r="L170" s="415">
        <v>8791</v>
      </c>
      <c r="M170" s="415">
        <v>0</v>
      </c>
      <c r="N170" s="415">
        <v>0</v>
      </c>
      <c r="O170" s="415">
        <v>0</v>
      </c>
      <c r="P170" s="68">
        <v>2971</v>
      </c>
      <c r="Q170" s="68">
        <v>88</v>
      </c>
      <c r="R170" s="415">
        <v>432</v>
      </c>
      <c r="S170" s="416">
        <v>0.03</v>
      </c>
      <c r="T170" s="417">
        <v>0</v>
      </c>
      <c r="U170" s="423">
        <v>0.03</v>
      </c>
      <c r="V170" s="424">
        <f t="shared" si="350"/>
        <v>0</v>
      </c>
      <c r="W170" s="418">
        <f t="shared" si="350"/>
        <v>0</v>
      </c>
      <c r="X170" s="418">
        <v>0</v>
      </c>
      <c r="Y170" s="418">
        <v>0</v>
      </c>
      <c r="Z170" s="418">
        <v>0</v>
      </c>
      <c r="AA170" s="605">
        <v>4409</v>
      </c>
      <c r="AB170" s="418">
        <v>0</v>
      </c>
      <c r="AC170" s="418">
        <v>0</v>
      </c>
      <c r="AD170" s="418">
        <f t="shared" si="351"/>
        <v>0</v>
      </c>
      <c r="AE170" s="418">
        <f t="shared" si="352"/>
        <v>4409</v>
      </c>
      <c r="AF170" s="418">
        <f t="shared" si="353"/>
        <v>4409</v>
      </c>
      <c r="AG170" s="418">
        <v>0</v>
      </c>
      <c r="AH170" s="418">
        <v>0</v>
      </c>
      <c r="AI170" s="418">
        <v>0</v>
      </c>
      <c r="AJ170" s="418">
        <v>0</v>
      </c>
      <c r="AK170" s="418">
        <v>0</v>
      </c>
      <c r="AL170" s="418">
        <f t="shared" si="354"/>
        <v>0</v>
      </c>
      <c r="AM170" s="418">
        <f t="shared" si="355"/>
        <v>0</v>
      </c>
      <c r="AN170" s="418">
        <f t="shared" si="356"/>
        <v>0</v>
      </c>
      <c r="AO170" s="418">
        <f t="shared" si="357"/>
        <v>0</v>
      </c>
      <c r="AP170" s="418">
        <f t="shared" si="357"/>
        <v>4409</v>
      </c>
      <c r="AQ170" s="418">
        <f t="shared" si="358"/>
        <v>4409</v>
      </c>
      <c r="AR170" s="68">
        <f t="shared" si="359"/>
        <v>1490</v>
      </c>
      <c r="AS170" s="68">
        <f t="shared" si="360"/>
        <v>44</v>
      </c>
      <c r="AT170" s="418">
        <v>0</v>
      </c>
      <c r="AU170" s="606">
        <v>216</v>
      </c>
      <c r="AV170" s="418">
        <f t="shared" si="361"/>
        <v>216</v>
      </c>
      <c r="AW170" s="418">
        <f t="shared" si="362"/>
        <v>6159</v>
      </c>
      <c r="AX170" s="419">
        <v>0</v>
      </c>
      <c r="AY170" s="419">
        <v>0</v>
      </c>
      <c r="AZ170" s="419">
        <v>0</v>
      </c>
      <c r="BA170" s="419">
        <v>0</v>
      </c>
      <c r="BB170" s="607">
        <v>0.02</v>
      </c>
      <c r="BC170" s="939">
        <v>0</v>
      </c>
      <c r="BD170" s="419">
        <v>0</v>
      </c>
      <c r="BE170" s="419">
        <v>0</v>
      </c>
      <c r="BF170" s="419">
        <f t="shared" si="363"/>
        <v>0</v>
      </c>
      <c r="BG170" s="419">
        <f t="shared" si="364"/>
        <v>0.02</v>
      </c>
      <c r="BH170" s="421">
        <f t="shared" si="365"/>
        <v>0.02</v>
      </c>
      <c r="BI170" s="780">
        <f t="shared" si="366"/>
        <v>18441</v>
      </c>
      <c r="BJ170" s="418">
        <f t="shared" si="367"/>
        <v>13200</v>
      </c>
      <c r="BK170" s="418">
        <f t="shared" si="368"/>
        <v>0</v>
      </c>
      <c r="BL170" s="418">
        <f t="shared" si="368"/>
        <v>13200</v>
      </c>
      <c r="BM170" s="418">
        <f t="shared" si="369"/>
        <v>0</v>
      </c>
      <c r="BN170" s="418">
        <f t="shared" si="370"/>
        <v>0</v>
      </c>
      <c r="BO170" s="418">
        <f t="shared" si="370"/>
        <v>0</v>
      </c>
      <c r="BP170" s="418">
        <f t="shared" si="371"/>
        <v>4461</v>
      </c>
      <c r="BQ170" s="418">
        <f t="shared" si="371"/>
        <v>132</v>
      </c>
      <c r="BR170" s="418">
        <f t="shared" si="372"/>
        <v>648</v>
      </c>
      <c r="BS170" s="419">
        <f t="shared" si="373"/>
        <v>0.05</v>
      </c>
      <c r="BT170" s="419">
        <f t="shared" si="374"/>
        <v>0</v>
      </c>
      <c r="BU170" s="421">
        <f t="shared" si="374"/>
        <v>0.05</v>
      </c>
      <c r="BV170" s="420"/>
      <c r="BW170" s="415"/>
      <c r="BX170" s="415"/>
      <c r="BY170" s="415"/>
      <c r="BZ170" s="415"/>
      <c r="CA170" s="510"/>
    </row>
    <row r="171" spans="1:79" s="221" customFormat="1" ht="12.75" customHeight="1" x14ac:dyDescent="0.2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13"/>
      <c r="I171" s="452">
        <v>5771782</v>
      </c>
      <c r="J171" s="445">
        <v>4252147</v>
      </c>
      <c r="K171" s="445">
        <v>3844771</v>
      </c>
      <c r="L171" s="445">
        <v>407376</v>
      </c>
      <c r="M171" s="445">
        <v>0</v>
      </c>
      <c r="N171" s="445">
        <v>0</v>
      </c>
      <c r="O171" s="445">
        <v>0</v>
      </c>
      <c r="P171" s="445">
        <v>1437226</v>
      </c>
      <c r="Q171" s="445">
        <v>42522</v>
      </c>
      <c r="R171" s="445">
        <v>39887</v>
      </c>
      <c r="S171" s="446">
        <v>8.2974999999999994</v>
      </c>
      <c r="T171" s="446">
        <v>7.0876000000000001</v>
      </c>
      <c r="U171" s="450">
        <v>1.2099</v>
      </c>
      <c r="V171" s="448">
        <f t="shared" ref="V171:CA171" si="375">SUM(V165:V170)</f>
        <v>0</v>
      </c>
      <c r="W171" s="445">
        <f t="shared" si="375"/>
        <v>0</v>
      </c>
      <c r="X171" s="445">
        <f t="shared" si="375"/>
        <v>0</v>
      </c>
      <c r="Y171" s="445">
        <f t="shared" si="375"/>
        <v>0</v>
      </c>
      <c r="Z171" s="445">
        <f t="shared" si="375"/>
        <v>0</v>
      </c>
      <c r="AA171" s="445">
        <f t="shared" si="375"/>
        <v>66514</v>
      </c>
      <c r="AB171" s="445">
        <f t="shared" si="375"/>
        <v>0</v>
      </c>
      <c r="AC171" s="445">
        <f t="shared" si="375"/>
        <v>0</v>
      </c>
      <c r="AD171" s="445">
        <f t="shared" si="375"/>
        <v>0</v>
      </c>
      <c r="AE171" s="445">
        <f t="shared" si="375"/>
        <v>66514</v>
      </c>
      <c r="AF171" s="445">
        <f t="shared" si="375"/>
        <v>66514</v>
      </c>
      <c r="AG171" s="445">
        <f t="shared" si="375"/>
        <v>0</v>
      </c>
      <c r="AH171" s="445">
        <f t="shared" si="375"/>
        <v>0</v>
      </c>
      <c r="AI171" s="445">
        <f t="shared" si="375"/>
        <v>0</v>
      </c>
      <c r="AJ171" s="445">
        <f t="shared" si="375"/>
        <v>0</v>
      </c>
      <c r="AK171" s="445">
        <f t="shared" si="375"/>
        <v>0</v>
      </c>
      <c r="AL171" s="445">
        <f t="shared" si="375"/>
        <v>0</v>
      </c>
      <c r="AM171" s="445">
        <f t="shared" si="375"/>
        <v>0</v>
      </c>
      <c r="AN171" s="445">
        <f t="shared" si="375"/>
        <v>0</v>
      </c>
      <c r="AO171" s="445">
        <f t="shared" si="375"/>
        <v>0</v>
      </c>
      <c r="AP171" s="445">
        <f t="shared" si="375"/>
        <v>66514</v>
      </c>
      <c r="AQ171" s="445">
        <f t="shared" si="375"/>
        <v>66514</v>
      </c>
      <c r="AR171" s="445">
        <f t="shared" si="375"/>
        <v>22481</v>
      </c>
      <c r="AS171" s="445">
        <f t="shared" si="375"/>
        <v>665</v>
      </c>
      <c r="AT171" s="445">
        <f t="shared" si="375"/>
        <v>0</v>
      </c>
      <c r="AU171" s="445">
        <f t="shared" si="375"/>
        <v>689</v>
      </c>
      <c r="AV171" s="445">
        <f t="shared" si="375"/>
        <v>689</v>
      </c>
      <c r="AW171" s="445">
        <f t="shared" si="375"/>
        <v>90349</v>
      </c>
      <c r="AX171" s="446">
        <f t="shared" si="375"/>
        <v>0</v>
      </c>
      <c r="AY171" s="446">
        <f t="shared" si="375"/>
        <v>0</v>
      </c>
      <c r="AZ171" s="446">
        <f t="shared" si="375"/>
        <v>0</v>
      </c>
      <c r="BA171" s="446">
        <f t="shared" si="375"/>
        <v>0</v>
      </c>
      <c r="BB171" s="446">
        <f t="shared" si="375"/>
        <v>0.20999999999999994</v>
      </c>
      <c r="BC171" s="948">
        <f t="shared" si="375"/>
        <v>0</v>
      </c>
      <c r="BD171" s="446">
        <f t="shared" si="375"/>
        <v>0</v>
      </c>
      <c r="BE171" s="446">
        <f t="shared" si="375"/>
        <v>0</v>
      </c>
      <c r="BF171" s="446">
        <f t="shared" si="375"/>
        <v>0</v>
      </c>
      <c r="BG171" s="446">
        <f t="shared" si="375"/>
        <v>0.20999999999999994</v>
      </c>
      <c r="BH171" s="39">
        <f t="shared" si="375"/>
        <v>0.20999999999999994</v>
      </c>
      <c r="BI171" s="452">
        <f t="shared" si="375"/>
        <v>5862131</v>
      </c>
      <c r="BJ171" s="445">
        <f t="shared" si="375"/>
        <v>4318661</v>
      </c>
      <c r="BK171" s="445">
        <f t="shared" si="375"/>
        <v>3844771</v>
      </c>
      <c r="BL171" s="445">
        <f t="shared" si="375"/>
        <v>473890</v>
      </c>
      <c r="BM171" s="445">
        <f t="shared" si="375"/>
        <v>0</v>
      </c>
      <c r="BN171" s="445">
        <f t="shared" si="375"/>
        <v>0</v>
      </c>
      <c r="BO171" s="445">
        <f t="shared" si="375"/>
        <v>0</v>
      </c>
      <c r="BP171" s="445">
        <f t="shared" si="375"/>
        <v>1459707</v>
      </c>
      <c r="BQ171" s="445">
        <f t="shared" si="375"/>
        <v>43187</v>
      </c>
      <c r="BR171" s="445">
        <f t="shared" si="375"/>
        <v>40576</v>
      </c>
      <c r="BS171" s="446">
        <f t="shared" si="375"/>
        <v>8.5075000000000003</v>
      </c>
      <c r="BT171" s="446">
        <f t="shared" si="375"/>
        <v>7.0876000000000001</v>
      </c>
      <c r="BU171" s="39">
        <f t="shared" si="375"/>
        <v>1.4198999999999999</v>
      </c>
      <c r="BV171" s="833">
        <f t="shared" si="375"/>
        <v>0</v>
      </c>
      <c r="BW171" s="715">
        <f t="shared" si="375"/>
        <v>0</v>
      </c>
      <c r="BX171" s="715">
        <f t="shared" si="375"/>
        <v>0</v>
      </c>
      <c r="BY171" s="715">
        <f t="shared" si="375"/>
        <v>0</v>
      </c>
      <c r="BZ171" s="715">
        <f t="shared" si="375"/>
        <v>0</v>
      </c>
      <c r="CA171" s="834">
        <f t="shared" si="375"/>
        <v>0</v>
      </c>
    </row>
    <row r="172" spans="1:79" s="221" customFormat="1" ht="12.75" customHeight="1" x14ac:dyDescent="0.2">
      <c r="A172" s="209">
        <v>31</v>
      </c>
      <c r="B172" s="210">
        <v>4431</v>
      </c>
      <c r="C172" s="210">
        <v>600074820</v>
      </c>
      <c r="D172" s="210">
        <v>70981515</v>
      </c>
      <c r="E172" s="208" t="s">
        <v>205</v>
      </c>
      <c r="F172" s="210">
        <v>3111</v>
      </c>
      <c r="G172" s="165" t="s">
        <v>290</v>
      </c>
      <c r="H172" s="626" t="s">
        <v>271</v>
      </c>
      <c r="I172" s="511">
        <v>3211798</v>
      </c>
      <c r="J172" s="415">
        <v>2364989</v>
      </c>
      <c r="K172" s="415">
        <v>2245181</v>
      </c>
      <c r="L172" s="415">
        <v>119808</v>
      </c>
      <c r="M172" s="415">
        <v>10000</v>
      </c>
      <c r="N172" s="415">
        <v>10000</v>
      </c>
      <c r="O172" s="415">
        <v>0</v>
      </c>
      <c r="P172" s="68">
        <v>802746</v>
      </c>
      <c r="Q172" s="68">
        <v>23650</v>
      </c>
      <c r="R172" s="415">
        <v>10413</v>
      </c>
      <c r="S172" s="416">
        <v>4.4800000000000004</v>
      </c>
      <c r="T172" s="417">
        <v>4</v>
      </c>
      <c r="U172" s="423">
        <v>0.48</v>
      </c>
      <c r="V172" s="424">
        <f t="shared" ref="V172:W177" si="376">AG172*-1</f>
        <v>0</v>
      </c>
      <c r="W172" s="418">
        <f t="shared" si="376"/>
        <v>0</v>
      </c>
      <c r="X172" s="418">
        <v>0</v>
      </c>
      <c r="Y172" s="418">
        <v>0</v>
      </c>
      <c r="Z172" s="418">
        <v>0</v>
      </c>
      <c r="AA172" s="415">
        <v>0</v>
      </c>
      <c r="AB172" s="418">
        <v>0</v>
      </c>
      <c r="AC172" s="418">
        <v>0</v>
      </c>
      <c r="AD172" s="418">
        <f t="shared" ref="AD172:AD177" si="377">V172+X172+Y172+Z172+AB172</f>
        <v>0</v>
      </c>
      <c r="AE172" s="418">
        <f t="shared" ref="AE172:AE177" si="378">W172+AA172+AC172</f>
        <v>0</v>
      </c>
      <c r="AF172" s="418">
        <f t="shared" ref="AF172:AF177" si="379">SUM(AD172:AE172)</f>
        <v>0</v>
      </c>
      <c r="AG172" s="418">
        <v>0</v>
      </c>
      <c r="AH172" s="418">
        <v>0</v>
      </c>
      <c r="AI172" s="418">
        <v>0</v>
      </c>
      <c r="AJ172" s="418">
        <v>0</v>
      </c>
      <c r="AK172" s="418">
        <v>0</v>
      </c>
      <c r="AL172" s="418">
        <f t="shared" ref="AL172:AL177" si="380">AG172+AI172+AJ172</f>
        <v>0</v>
      </c>
      <c r="AM172" s="418">
        <f t="shared" ref="AM172:AM177" si="381">AH172+AK172</f>
        <v>0</v>
      </c>
      <c r="AN172" s="418">
        <f t="shared" ref="AN172:AN177" si="382">SUM(AL172:AM172)</f>
        <v>0</v>
      </c>
      <c r="AO172" s="418">
        <f t="shared" ref="AO172:AP177" si="383">AD172+AL172</f>
        <v>0</v>
      </c>
      <c r="AP172" s="418">
        <f t="shared" si="383"/>
        <v>0</v>
      </c>
      <c r="AQ172" s="418">
        <f t="shared" ref="AQ172:AQ177" si="384">SUM(AO172:AP172)</f>
        <v>0</v>
      </c>
      <c r="AR172" s="68">
        <f t="shared" ref="AR172:AR177" si="385">ROUND((AF172+AG172+AH172+AI172)*33.8%,0)</f>
        <v>0</v>
      </c>
      <c r="AS172" s="68">
        <f t="shared" ref="AS172:AS177" si="386">ROUND(AF172*1%,0)</f>
        <v>0</v>
      </c>
      <c r="AT172" s="418">
        <v>0</v>
      </c>
      <c r="AU172" s="415">
        <v>0</v>
      </c>
      <c r="AV172" s="418">
        <f t="shared" ref="AV172:AV177" si="387">AT172+AU172</f>
        <v>0</v>
      </c>
      <c r="AW172" s="418">
        <f t="shared" ref="AW172:AW177" si="388">AQ172+AR172+AS172+AV172</f>
        <v>0</v>
      </c>
      <c r="AX172" s="419">
        <v>0</v>
      </c>
      <c r="AY172" s="419">
        <v>0</v>
      </c>
      <c r="AZ172" s="419">
        <v>0</v>
      </c>
      <c r="BA172" s="419">
        <v>0</v>
      </c>
      <c r="BB172" s="416">
        <v>0</v>
      </c>
      <c r="BC172" s="939">
        <v>0</v>
      </c>
      <c r="BD172" s="419">
        <v>0</v>
      </c>
      <c r="BE172" s="419">
        <v>0</v>
      </c>
      <c r="BF172" s="419">
        <f t="shared" ref="BF172:BF177" si="389">AX172+AZ172+BA172+BC172+BD172</f>
        <v>0</v>
      </c>
      <c r="BG172" s="419">
        <f t="shared" ref="BG172:BG177" si="390">AY172+BB172+BE172</f>
        <v>0</v>
      </c>
      <c r="BH172" s="421">
        <f t="shared" ref="BH172:BH177" si="391">SUM(BF172:BG172)</f>
        <v>0</v>
      </c>
      <c r="BI172" s="780">
        <f t="shared" ref="BI172:BI177" si="392">I172+AW172</f>
        <v>3211798</v>
      </c>
      <c r="BJ172" s="418">
        <f t="shared" ref="BJ172:BJ177" si="393">J172+AF172</f>
        <v>2364989</v>
      </c>
      <c r="BK172" s="418">
        <f t="shared" ref="BK172:BL177" si="394">K172+AD172</f>
        <v>2245181</v>
      </c>
      <c r="BL172" s="418">
        <f t="shared" si="394"/>
        <v>119808</v>
      </c>
      <c r="BM172" s="418">
        <f t="shared" ref="BM172:BM177" si="395">M172+AN172</f>
        <v>10000</v>
      </c>
      <c r="BN172" s="418">
        <f t="shared" ref="BN172:BO177" si="396">N172+AL172</f>
        <v>10000</v>
      </c>
      <c r="BO172" s="418">
        <f t="shared" si="396"/>
        <v>0</v>
      </c>
      <c r="BP172" s="418">
        <f t="shared" ref="BP172:BQ177" si="397">P172+AR172</f>
        <v>802746</v>
      </c>
      <c r="BQ172" s="418">
        <f t="shared" si="397"/>
        <v>23650</v>
      </c>
      <c r="BR172" s="418">
        <f t="shared" ref="BR172:BR177" si="398">R172+AV172</f>
        <v>10413</v>
      </c>
      <c r="BS172" s="419">
        <f t="shared" ref="BS172:BS177" si="399">S172+BH172</f>
        <v>4.4800000000000004</v>
      </c>
      <c r="BT172" s="419">
        <f t="shared" ref="BT172:BU177" si="400">T172+BF172</f>
        <v>4</v>
      </c>
      <c r="BU172" s="421">
        <f t="shared" si="400"/>
        <v>0.48</v>
      </c>
      <c r="BV172" s="420"/>
      <c r="BW172" s="415"/>
      <c r="BX172" s="415"/>
      <c r="BY172" s="415"/>
      <c r="BZ172" s="415"/>
      <c r="CA172" s="510"/>
    </row>
    <row r="173" spans="1:79" s="221" customFormat="1" ht="12.75" customHeight="1" x14ac:dyDescent="0.2">
      <c r="A173" s="209">
        <v>31</v>
      </c>
      <c r="B173" s="210">
        <v>4431</v>
      </c>
      <c r="C173" s="210">
        <v>600074820</v>
      </c>
      <c r="D173" s="210">
        <v>70981515</v>
      </c>
      <c r="E173" s="208" t="s">
        <v>205</v>
      </c>
      <c r="F173" s="210">
        <v>3117</v>
      </c>
      <c r="G173" s="165" t="s">
        <v>293</v>
      </c>
      <c r="H173" s="626" t="s">
        <v>271</v>
      </c>
      <c r="I173" s="511">
        <v>4462250</v>
      </c>
      <c r="J173" s="415">
        <v>3034589</v>
      </c>
      <c r="K173" s="415">
        <v>2647045</v>
      </c>
      <c r="L173" s="415">
        <v>387544</v>
      </c>
      <c r="M173" s="415">
        <v>221840</v>
      </c>
      <c r="N173" s="415">
        <v>221840</v>
      </c>
      <c r="O173" s="415">
        <v>0</v>
      </c>
      <c r="P173" s="68">
        <v>1100673</v>
      </c>
      <c r="Q173" s="68">
        <v>30345</v>
      </c>
      <c r="R173" s="415">
        <v>74803</v>
      </c>
      <c r="S173" s="416">
        <v>5.4999000000000002</v>
      </c>
      <c r="T173" s="417">
        <v>4.5</v>
      </c>
      <c r="U173" s="423">
        <v>0.99990000000000001</v>
      </c>
      <c r="V173" s="424">
        <f t="shared" si="376"/>
        <v>0</v>
      </c>
      <c r="W173" s="418">
        <f t="shared" si="376"/>
        <v>0</v>
      </c>
      <c r="X173" s="418">
        <v>0</v>
      </c>
      <c r="Y173" s="418">
        <v>0</v>
      </c>
      <c r="Z173" s="418">
        <v>0</v>
      </c>
      <c r="AA173" s="415">
        <v>0</v>
      </c>
      <c r="AB173" s="418">
        <v>0</v>
      </c>
      <c r="AC173" s="418">
        <v>0</v>
      </c>
      <c r="AD173" s="418">
        <f t="shared" si="377"/>
        <v>0</v>
      </c>
      <c r="AE173" s="418">
        <f t="shared" si="378"/>
        <v>0</v>
      </c>
      <c r="AF173" s="418">
        <f t="shared" si="379"/>
        <v>0</v>
      </c>
      <c r="AG173" s="418">
        <v>0</v>
      </c>
      <c r="AH173" s="418">
        <v>0</v>
      </c>
      <c r="AI173" s="418">
        <v>0</v>
      </c>
      <c r="AJ173" s="418">
        <v>0</v>
      </c>
      <c r="AK173" s="418">
        <v>0</v>
      </c>
      <c r="AL173" s="418">
        <f t="shared" si="380"/>
        <v>0</v>
      </c>
      <c r="AM173" s="418">
        <f t="shared" si="381"/>
        <v>0</v>
      </c>
      <c r="AN173" s="418">
        <f t="shared" si="382"/>
        <v>0</v>
      </c>
      <c r="AO173" s="418">
        <f t="shared" si="383"/>
        <v>0</v>
      </c>
      <c r="AP173" s="418">
        <f t="shared" si="383"/>
        <v>0</v>
      </c>
      <c r="AQ173" s="418">
        <f t="shared" si="384"/>
        <v>0</v>
      </c>
      <c r="AR173" s="68">
        <f t="shared" si="385"/>
        <v>0</v>
      </c>
      <c r="AS173" s="68">
        <f t="shared" si="386"/>
        <v>0</v>
      </c>
      <c r="AT173" s="418">
        <v>0</v>
      </c>
      <c r="AU173" s="415">
        <v>0</v>
      </c>
      <c r="AV173" s="418">
        <f t="shared" si="387"/>
        <v>0</v>
      </c>
      <c r="AW173" s="418">
        <f t="shared" si="388"/>
        <v>0</v>
      </c>
      <c r="AX173" s="419">
        <v>0</v>
      </c>
      <c r="AY173" s="419">
        <v>0</v>
      </c>
      <c r="AZ173" s="419">
        <v>0</v>
      </c>
      <c r="BA173" s="419">
        <v>0</v>
      </c>
      <c r="BB173" s="416">
        <v>0</v>
      </c>
      <c r="BC173" s="939">
        <v>0</v>
      </c>
      <c r="BD173" s="419">
        <v>0</v>
      </c>
      <c r="BE173" s="419">
        <v>0</v>
      </c>
      <c r="BF173" s="419">
        <f t="shared" si="389"/>
        <v>0</v>
      </c>
      <c r="BG173" s="419">
        <f t="shared" si="390"/>
        <v>0</v>
      </c>
      <c r="BH173" s="421">
        <f t="shared" si="391"/>
        <v>0</v>
      </c>
      <c r="BI173" s="780">
        <f t="shared" si="392"/>
        <v>4462250</v>
      </c>
      <c r="BJ173" s="418">
        <f t="shared" si="393"/>
        <v>3034589</v>
      </c>
      <c r="BK173" s="418">
        <f t="shared" si="394"/>
        <v>2647045</v>
      </c>
      <c r="BL173" s="418">
        <f t="shared" si="394"/>
        <v>387544</v>
      </c>
      <c r="BM173" s="418">
        <f t="shared" si="395"/>
        <v>221840</v>
      </c>
      <c r="BN173" s="418">
        <f t="shared" si="396"/>
        <v>221840</v>
      </c>
      <c r="BO173" s="418">
        <f t="shared" si="396"/>
        <v>0</v>
      </c>
      <c r="BP173" s="418">
        <f t="shared" si="397"/>
        <v>1100673</v>
      </c>
      <c r="BQ173" s="418">
        <f t="shared" si="397"/>
        <v>30345</v>
      </c>
      <c r="BR173" s="418">
        <f t="shared" si="398"/>
        <v>74803</v>
      </c>
      <c r="BS173" s="419">
        <f t="shared" si="399"/>
        <v>5.4999000000000002</v>
      </c>
      <c r="BT173" s="419">
        <f t="shared" si="400"/>
        <v>4.5</v>
      </c>
      <c r="BU173" s="421">
        <f t="shared" si="400"/>
        <v>0.99990000000000001</v>
      </c>
      <c r="BV173" s="420"/>
      <c r="BW173" s="415"/>
      <c r="BX173" s="415"/>
      <c r="BY173" s="415"/>
      <c r="BZ173" s="415"/>
      <c r="CA173" s="510"/>
    </row>
    <row r="174" spans="1:79" s="221" customFormat="1" ht="12.75" customHeight="1" x14ac:dyDescent="0.2">
      <c r="A174" s="209">
        <v>31</v>
      </c>
      <c r="B174" s="210">
        <v>4431</v>
      </c>
      <c r="C174" s="210">
        <v>600074820</v>
      </c>
      <c r="D174" s="210">
        <v>70981515</v>
      </c>
      <c r="E174" s="208" t="s">
        <v>205</v>
      </c>
      <c r="F174" s="210">
        <v>3117</v>
      </c>
      <c r="G174" s="165" t="s">
        <v>291</v>
      </c>
      <c r="H174" s="626" t="s">
        <v>272</v>
      </c>
      <c r="I174" s="511">
        <v>1772591</v>
      </c>
      <c r="J174" s="415">
        <v>1314978</v>
      </c>
      <c r="K174" s="415">
        <v>1314978</v>
      </c>
      <c r="L174" s="415">
        <v>0</v>
      </c>
      <c r="M174" s="415">
        <v>0</v>
      </c>
      <c r="N174" s="415">
        <v>0</v>
      </c>
      <c r="O174" s="415">
        <v>0</v>
      </c>
      <c r="P174" s="68">
        <v>444463</v>
      </c>
      <c r="Q174" s="68">
        <v>13150</v>
      </c>
      <c r="R174" s="415">
        <v>0</v>
      </c>
      <c r="S174" s="416">
        <v>3.55</v>
      </c>
      <c r="T174" s="417">
        <v>3.55</v>
      </c>
      <c r="U174" s="423">
        <v>0</v>
      </c>
      <c r="V174" s="424">
        <f t="shared" si="376"/>
        <v>0</v>
      </c>
      <c r="W174" s="418">
        <f t="shared" si="376"/>
        <v>0</v>
      </c>
      <c r="X174" s="418">
        <v>0</v>
      </c>
      <c r="Y174" s="418">
        <v>0</v>
      </c>
      <c r="Z174" s="418">
        <v>0</v>
      </c>
      <c r="AA174" s="415">
        <v>0</v>
      </c>
      <c r="AB174" s="418">
        <v>0</v>
      </c>
      <c r="AC174" s="418">
        <v>0</v>
      </c>
      <c r="AD174" s="418">
        <f t="shared" si="377"/>
        <v>0</v>
      </c>
      <c r="AE174" s="418">
        <f t="shared" si="378"/>
        <v>0</v>
      </c>
      <c r="AF174" s="418">
        <f t="shared" si="379"/>
        <v>0</v>
      </c>
      <c r="AG174" s="418">
        <v>0</v>
      </c>
      <c r="AH174" s="418">
        <v>0</v>
      </c>
      <c r="AI174" s="418">
        <v>0</v>
      </c>
      <c r="AJ174" s="418">
        <v>0</v>
      </c>
      <c r="AK174" s="418">
        <v>0</v>
      </c>
      <c r="AL174" s="418">
        <f t="shared" si="380"/>
        <v>0</v>
      </c>
      <c r="AM174" s="418">
        <f t="shared" si="381"/>
        <v>0</v>
      </c>
      <c r="AN174" s="418">
        <f t="shared" si="382"/>
        <v>0</v>
      </c>
      <c r="AO174" s="418">
        <f t="shared" si="383"/>
        <v>0</v>
      </c>
      <c r="AP174" s="418">
        <f t="shared" si="383"/>
        <v>0</v>
      </c>
      <c r="AQ174" s="418">
        <f t="shared" si="384"/>
        <v>0</v>
      </c>
      <c r="AR174" s="68">
        <f t="shared" si="385"/>
        <v>0</v>
      </c>
      <c r="AS174" s="68">
        <f t="shared" si="386"/>
        <v>0</v>
      </c>
      <c r="AT174" s="418">
        <v>0</v>
      </c>
      <c r="AU174" s="415">
        <v>0</v>
      </c>
      <c r="AV174" s="418">
        <f t="shared" si="387"/>
        <v>0</v>
      </c>
      <c r="AW174" s="418">
        <f t="shared" si="388"/>
        <v>0</v>
      </c>
      <c r="AX174" s="419">
        <v>0</v>
      </c>
      <c r="AY174" s="419">
        <v>0</v>
      </c>
      <c r="AZ174" s="419">
        <v>0</v>
      </c>
      <c r="BA174" s="419">
        <v>0</v>
      </c>
      <c r="BB174" s="416">
        <v>0</v>
      </c>
      <c r="BC174" s="939">
        <v>0</v>
      </c>
      <c r="BD174" s="419">
        <v>0</v>
      </c>
      <c r="BE174" s="419">
        <v>0</v>
      </c>
      <c r="BF174" s="419">
        <f t="shared" si="389"/>
        <v>0</v>
      </c>
      <c r="BG174" s="419">
        <f t="shared" si="390"/>
        <v>0</v>
      </c>
      <c r="BH174" s="421">
        <f t="shared" si="391"/>
        <v>0</v>
      </c>
      <c r="BI174" s="780">
        <f t="shared" si="392"/>
        <v>1772591</v>
      </c>
      <c r="BJ174" s="418">
        <f t="shared" si="393"/>
        <v>1314978</v>
      </c>
      <c r="BK174" s="418">
        <f t="shared" si="394"/>
        <v>1314978</v>
      </c>
      <c r="BL174" s="418">
        <f t="shared" si="394"/>
        <v>0</v>
      </c>
      <c r="BM174" s="418">
        <f t="shared" si="395"/>
        <v>0</v>
      </c>
      <c r="BN174" s="418">
        <f t="shared" si="396"/>
        <v>0</v>
      </c>
      <c r="BO174" s="418">
        <f t="shared" si="396"/>
        <v>0</v>
      </c>
      <c r="BP174" s="418">
        <f t="shared" si="397"/>
        <v>444463</v>
      </c>
      <c r="BQ174" s="418">
        <f t="shared" si="397"/>
        <v>13150</v>
      </c>
      <c r="BR174" s="418">
        <f t="shared" si="398"/>
        <v>0</v>
      </c>
      <c r="BS174" s="419">
        <f t="shared" si="399"/>
        <v>3.55</v>
      </c>
      <c r="BT174" s="419">
        <f t="shared" si="400"/>
        <v>3.55</v>
      </c>
      <c r="BU174" s="421">
        <f t="shared" si="400"/>
        <v>0</v>
      </c>
      <c r="BV174" s="420"/>
      <c r="BW174" s="415"/>
      <c r="BX174" s="415"/>
      <c r="BY174" s="415"/>
      <c r="BZ174" s="415"/>
      <c r="CA174" s="510"/>
    </row>
    <row r="175" spans="1:79" s="221" customFormat="1" ht="12.75" customHeight="1" x14ac:dyDescent="0.2">
      <c r="A175" s="209">
        <v>31</v>
      </c>
      <c r="B175" s="210">
        <v>4431</v>
      </c>
      <c r="C175" s="210">
        <v>600074820</v>
      </c>
      <c r="D175" s="210">
        <v>70981515</v>
      </c>
      <c r="E175" s="208" t="s">
        <v>205</v>
      </c>
      <c r="F175" s="210">
        <v>3141</v>
      </c>
      <c r="G175" s="165" t="s">
        <v>294</v>
      </c>
      <c r="H175" s="626" t="s">
        <v>272</v>
      </c>
      <c r="I175" s="511">
        <v>743258</v>
      </c>
      <c r="J175" s="415">
        <v>539142</v>
      </c>
      <c r="K175" s="415">
        <v>0</v>
      </c>
      <c r="L175" s="415">
        <v>539142</v>
      </c>
      <c r="M175" s="415">
        <v>10000</v>
      </c>
      <c r="N175" s="415">
        <v>0</v>
      </c>
      <c r="O175" s="415">
        <v>10000</v>
      </c>
      <c r="P175" s="68">
        <v>185610</v>
      </c>
      <c r="Q175" s="68">
        <v>5391</v>
      </c>
      <c r="R175" s="415">
        <v>3115</v>
      </c>
      <c r="S175" s="416">
        <v>1.65</v>
      </c>
      <c r="T175" s="417">
        <v>0</v>
      </c>
      <c r="U175" s="423">
        <v>1.65</v>
      </c>
      <c r="V175" s="424">
        <f t="shared" si="376"/>
        <v>0</v>
      </c>
      <c r="W175" s="418">
        <f t="shared" si="376"/>
        <v>0</v>
      </c>
      <c r="X175" s="418">
        <v>0</v>
      </c>
      <c r="Y175" s="418">
        <v>0</v>
      </c>
      <c r="Z175" s="418">
        <v>0</v>
      </c>
      <c r="AA175" s="605">
        <v>274525</v>
      </c>
      <c r="AB175" s="418">
        <v>0</v>
      </c>
      <c r="AC175" s="418">
        <v>0</v>
      </c>
      <c r="AD175" s="418">
        <f t="shared" si="377"/>
        <v>0</v>
      </c>
      <c r="AE175" s="418">
        <f t="shared" si="378"/>
        <v>274525</v>
      </c>
      <c r="AF175" s="418">
        <f t="shared" si="379"/>
        <v>274525</v>
      </c>
      <c r="AG175" s="418">
        <v>0</v>
      </c>
      <c r="AH175" s="418">
        <v>0</v>
      </c>
      <c r="AI175" s="418">
        <v>0</v>
      </c>
      <c r="AJ175" s="418">
        <v>0</v>
      </c>
      <c r="AK175" s="418">
        <v>0</v>
      </c>
      <c r="AL175" s="418">
        <f t="shared" si="380"/>
        <v>0</v>
      </c>
      <c r="AM175" s="418">
        <f t="shared" si="381"/>
        <v>0</v>
      </c>
      <c r="AN175" s="418">
        <f t="shared" si="382"/>
        <v>0</v>
      </c>
      <c r="AO175" s="418">
        <f t="shared" si="383"/>
        <v>0</v>
      </c>
      <c r="AP175" s="418">
        <f t="shared" si="383"/>
        <v>274525</v>
      </c>
      <c r="AQ175" s="418">
        <f t="shared" si="384"/>
        <v>274525</v>
      </c>
      <c r="AR175" s="68">
        <f t="shared" si="385"/>
        <v>92789</v>
      </c>
      <c r="AS175" s="68">
        <f t="shared" si="386"/>
        <v>2745</v>
      </c>
      <c r="AT175" s="418">
        <v>0</v>
      </c>
      <c r="AU175" s="605">
        <v>1513</v>
      </c>
      <c r="AV175" s="418">
        <f t="shared" si="387"/>
        <v>1513</v>
      </c>
      <c r="AW175" s="418">
        <f t="shared" si="388"/>
        <v>371572</v>
      </c>
      <c r="AX175" s="419">
        <v>0</v>
      </c>
      <c r="AY175" s="419">
        <v>0</v>
      </c>
      <c r="AZ175" s="419">
        <v>0</v>
      </c>
      <c r="BA175" s="419">
        <v>0</v>
      </c>
      <c r="BB175" s="607">
        <v>0.82</v>
      </c>
      <c r="BC175" s="939">
        <v>0</v>
      </c>
      <c r="BD175" s="419">
        <v>0</v>
      </c>
      <c r="BE175" s="419">
        <v>0</v>
      </c>
      <c r="BF175" s="419">
        <f t="shared" si="389"/>
        <v>0</v>
      </c>
      <c r="BG175" s="419">
        <f t="shared" si="390"/>
        <v>0.82</v>
      </c>
      <c r="BH175" s="421">
        <f t="shared" si="391"/>
        <v>0.82</v>
      </c>
      <c r="BI175" s="780">
        <f t="shared" si="392"/>
        <v>1114830</v>
      </c>
      <c r="BJ175" s="418">
        <f t="shared" si="393"/>
        <v>813667</v>
      </c>
      <c r="BK175" s="418">
        <f t="shared" si="394"/>
        <v>0</v>
      </c>
      <c r="BL175" s="418">
        <f t="shared" si="394"/>
        <v>813667</v>
      </c>
      <c r="BM175" s="418">
        <f t="shared" si="395"/>
        <v>10000</v>
      </c>
      <c r="BN175" s="418">
        <f t="shared" si="396"/>
        <v>0</v>
      </c>
      <c r="BO175" s="418">
        <f t="shared" si="396"/>
        <v>10000</v>
      </c>
      <c r="BP175" s="418">
        <f t="shared" si="397"/>
        <v>278399</v>
      </c>
      <c r="BQ175" s="418">
        <f t="shared" si="397"/>
        <v>8136</v>
      </c>
      <c r="BR175" s="418">
        <f t="shared" si="398"/>
        <v>4628</v>
      </c>
      <c r="BS175" s="419">
        <f t="shared" si="399"/>
        <v>2.4699999999999998</v>
      </c>
      <c r="BT175" s="419">
        <f t="shared" si="400"/>
        <v>0</v>
      </c>
      <c r="BU175" s="421">
        <f t="shared" si="400"/>
        <v>2.4699999999999998</v>
      </c>
      <c r="BV175" s="420"/>
      <c r="BW175" s="415"/>
      <c r="BX175" s="415"/>
      <c r="BY175" s="415"/>
      <c r="BZ175" s="415"/>
      <c r="CA175" s="510"/>
    </row>
    <row r="176" spans="1:79" s="221" customFormat="1" ht="12.75" customHeight="1" x14ac:dyDescent="0.2">
      <c r="A176" s="209">
        <v>31</v>
      </c>
      <c r="B176" s="210">
        <v>4431</v>
      </c>
      <c r="C176" s="210">
        <v>600074820</v>
      </c>
      <c r="D176" s="210">
        <v>70981515</v>
      </c>
      <c r="E176" s="208" t="s">
        <v>205</v>
      </c>
      <c r="F176" s="210">
        <v>3143</v>
      </c>
      <c r="G176" s="165" t="s">
        <v>595</v>
      </c>
      <c r="H176" s="614" t="s">
        <v>271</v>
      </c>
      <c r="I176" s="511">
        <v>1023072</v>
      </c>
      <c r="J176" s="415">
        <v>758955</v>
      </c>
      <c r="K176" s="415">
        <v>758955</v>
      </c>
      <c r="L176" s="415">
        <v>0</v>
      </c>
      <c r="M176" s="415">
        <v>0</v>
      </c>
      <c r="N176" s="415">
        <v>0</v>
      </c>
      <c r="O176" s="415">
        <v>0</v>
      </c>
      <c r="P176" s="68">
        <v>256527</v>
      </c>
      <c r="Q176" s="68">
        <v>7590</v>
      </c>
      <c r="R176" s="415">
        <v>0</v>
      </c>
      <c r="S176" s="416">
        <v>1.6786000000000001</v>
      </c>
      <c r="T176" s="417">
        <v>1.6786000000000001</v>
      </c>
      <c r="U176" s="423">
        <v>0</v>
      </c>
      <c r="V176" s="424">
        <f t="shared" si="376"/>
        <v>0</v>
      </c>
      <c r="W176" s="418">
        <f t="shared" si="376"/>
        <v>0</v>
      </c>
      <c r="X176" s="418">
        <v>0</v>
      </c>
      <c r="Y176" s="418">
        <v>0</v>
      </c>
      <c r="Z176" s="418">
        <v>0</v>
      </c>
      <c r="AA176" s="415">
        <v>0</v>
      </c>
      <c r="AB176" s="418">
        <v>0</v>
      </c>
      <c r="AC176" s="418">
        <v>0</v>
      </c>
      <c r="AD176" s="418">
        <f t="shared" si="377"/>
        <v>0</v>
      </c>
      <c r="AE176" s="418">
        <f t="shared" si="378"/>
        <v>0</v>
      </c>
      <c r="AF176" s="418">
        <f t="shared" si="379"/>
        <v>0</v>
      </c>
      <c r="AG176" s="418">
        <v>0</v>
      </c>
      <c r="AH176" s="418">
        <v>0</v>
      </c>
      <c r="AI176" s="418">
        <v>0</v>
      </c>
      <c r="AJ176" s="418">
        <v>0</v>
      </c>
      <c r="AK176" s="418">
        <v>0</v>
      </c>
      <c r="AL176" s="418">
        <f t="shared" si="380"/>
        <v>0</v>
      </c>
      <c r="AM176" s="418">
        <f t="shared" si="381"/>
        <v>0</v>
      </c>
      <c r="AN176" s="418">
        <f t="shared" si="382"/>
        <v>0</v>
      </c>
      <c r="AO176" s="418">
        <f t="shared" si="383"/>
        <v>0</v>
      </c>
      <c r="AP176" s="418">
        <f t="shared" si="383"/>
        <v>0</v>
      </c>
      <c r="AQ176" s="418">
        <f t="shared" si="384"/>
        <v>0</v>
      </c>
      <c r="AR176" s="68">
        <f t="shared" si="385"/>
        <v>0</v>
      </c>
      <c r="AS176" s="68">
        <f t="shared" si="386"/>
        <v>0</v>
      </c>
      <c r="AT176" s="418">
        <v>0</v>
      </c>
      <c r="AU176" s="415">
        <v>0</v>
      </c>
      <c r="AV176" s="418">
        <f t="shared" si="387"/>
        <v>0</v>
      </c>
      <c r="AW176" s="418">
        <f t="shared" si="388"/>
        <v>0</v>
      </c>
      <c r="AX176" s="419">
        <v>0</v>
      </c>
      <c r="AY176" s="419">
        <v>0</v>
      </c>
      <c r="AZ176" s="419">
        <v>0</v>
      </c>
      <c r="BA176" s="419">
        <v>0</v>
      </c>
      <c r="BB176" s="416">
        <v>0</v>
      </c>
      <c r="BC176" s="939">
        <v>0</v>
      </c>
      <c r="BD176" s="419">
        <v>0</v>
      </c>
      <c r="BE176" s="419">
        <v>0</v>
      </c>
      <c r="BF176" s="419">
        <f t="shared" si="389"/>
        <v>0</v>
      </c>
      <c r="BG176" s="419">
        <f t="shared" si="390"/>
        <v>0</v>
      </c>
      <c r="BH176" s="421">
        <f t="shared" si="391"/>
        <v>0</v>
      </c>
      <c r="BI176" s="780">
        <f t="shared" si="392"/>
        <v>1023072</v>
      </c>
      <c r="BJ176" s="418">
        <f t="shared" si="393"/>
        <v>758955</v>
      </c>
      <c r="BK176" s="418">
        <f t="shared" si="394"/>
        <v>758955</v>
      </c>
      <c r="BL176" s="418">
        <f t="shared" si="394"/>
        <v>0</v>
      </c>
      <c r="BM176" s="418">
        <f t="shared" si="395"/>
        <v>0</v>
      </c>
      <c r="BN176" s="418">
        <f t="shared" si="396"/>
        <v>0</v>
      </c>
      <c r="BO176" s="418">
        <f t="shared" si="396"/>
        <v>0</v>
      </c>
      <c r="BP176" s="418">
        <f t="shared" si="397"/>
        <v>256527</v>
      </c>
      <c r="BQ176" s="418">
        <f t="shared" si="397"/>
        <v>7590</v>
      </c>
      <c r="BR176" s="418">
        <f t="shared" si="398"/>
        <v>0</v>
      </c>
      <c r="BS176" s="419">
        <f t="shared" si="399"/>
        <v>1.6786000000000001</v>
      </c>
      <c r="BT176" s="419">
        <f t="shared" si="400"/>
        <v>1.6786000000000001</v>
      </c>
      <c r="BU176" s="421">
        <f t="shared" si="400"/>
        <v>0</v>
      </c>
      <c r="BV176" s="420"/>
      <c r="BW176" s="415"/>
      <c r="BX176" s="415"/>
      <c r="BY176" s="415"/>
      <c r="BZ176" s="415"/>
      <c r="CA176" s="510"/>
    </row>
    <row r="177" spans="1:79" s="221" customFormat="1" ht="12.75" customHeight="1" x14ac:dyDescent="0.2">
      <c r="A177" s="209">
        <v>31</v>
      </c>
      <c r="B177" s="210">
        <v>4431</v>
      </c>
      <c r="C177" s="210">
        <v>600074820</v>
      </c>
      <c r="D177" s="210">
        <v>70981515</v>
      </c>
      <c r="E177" s="208" t="s">
        <v>205</v>
      </c>
      <c r="F177" s="210">
        <v>3143</v>
      </c>
      <c r="G177" s="165" t="s">
        <v>596</v>
      </c>
      <c r="H177" s="614" t="s">
        <v>272</v>
      </c>
      <c r="I177" s="511">
        <v>20506</v>
      </c>
      <c r="J177" s="415">
        <v>14678</v>
      </c>
      <c r="K177" s="415">
        <v>0</v>
      </c>
      <c r="L177" s="415">
        <v>14678</v>
      </c>
      <c r="M177" s="415">
        <v>0</v>
      </c>
      <c r="N177" s="415">
        <v>0</v>
      </c>
      <c r="O177" s="415">
        <v>0</v>
      </c>
      <c r="P177" s="68">
        <v>4961</v>
      </c>
      <c r="Q177" s="68">
        <v>147</v>
      </c>
      <c r="R177" s="415">
        <v>720</v>
      </c>
      <c r="S177" s="416">
        <v>0.06</v>
      </c>
      <c r="T177" s="417">
        <v>0</v>
      </c>
      <c r="U177" s="423">
        <v>0.06</v>
      </c>
      <c r="V177" s="424">
        <f t="shared" si="376"/>
        <v>0</v>
      </c>
      <c r="W177" s="418">
        <f t="shared" si="376"/>
        <v>0</v>
      </c>
      <c r="X177" s="418">
        <v>0</v>
      </c>
      <c r="Y177" s="418">
        <v>0</v>
      </c>
      <c r="Z177" s="418">
        <v>0</v>
      </c>
      <c r="AA177" s="605">
        <v>7322</v>
      </c>
      <c r="AB177" s="418">
        <v>0</v>
      </c>
      <c r="AC177" s="418">
        <v>0</v>
      </c>
      <c r="AD177" s="418">
        <f t="shared" si="377"/>
        <v>0</v>
      </c>
      <c r="AE177" s="418">
        <f t="shared" si="378"/>
        <v>7322</v>
      </c>
      <c r="AF177" s="418">
        <f t="shared" si="379"/>
        <v>7322</v>
      </c>
      <c r="AG177" s="418">
        <v>0</v>
      </c>
      <c r="AH177" s="418">
        <v>0</v>
      </c>
      <c r="AI177" s="418">
        <v>0</v>
      </c>
      <c r="AJ177" s="418">
        <v>0</v>
      </c>
      <c r="AK177" s="418">
        <v>0</v>
      </c>
      <c r="AL177" s="418">
        <f t="shared" si="380"/>
        <v>0</v>
      </c>
      <c r="AM177" s="418">
        <f t="shared" si="381"/>
        <v>0</v>
      </c>
      <c r="AN177" s="418">
        <f t="shared" si="382"/>
        <v>0</v>
      </c>
      <c r="AO177" s="418">
        <f t="shared" si="383"/>
        <v>0</v>
      </c>
      <c r="AP177" s="418">
        <f t="shared" si="383"/>
        <v>7322</v>
      </c>
      <c r="AQ177" s="418">
        <f t="shared" si="384"/>
        <v>7322</v>
      </c>
      <c r="AR177" s="68">
        <f t="shared" si="385"/>
        <v>2475</v>
      </c>
      <c r="AS177" s="68">
        <f t="shared" si="386"/>
        <v>73</v>
      </c>
      <c r="AT177" s="418">
        <v>0</v>
      </c>
      <c r="AU177" s="606">
        <v>360</v>
      </c>
      <c r="AV177" s="418">
        <f t="shared" si="387"/>
        <v>360</v>
      </c>
      <c r="AW177" s="418">
        <f t="shared" si="388"/>
        <v>10230</v>
      </c>
      <c r="AX177" s="419">
        <v>0</v>
      </c>
      <c r="AY177" s="419">
        <v>0</v>
      </c>
      <c r="AZ177" s="419">
        <v>0</v>
      </c>
      <c r="BA177" s="419">
        <v>0</v>
      </c>
      <c r="BB177" s="607">
        <v>0.03</v>
      </c>
      <c r="BC177" s="939">
        <v>0</v>
      </c>
      <c r="BD177" s="419">
        <v>0</v>
      </c>
      <c r="BE177" s="419">
        <v>0</v>
      </c>
      <c r="BF177" s="419">
        <f t="shared" si="389"/>
        <v>0</v>
      </c>
      <c r="BG177" s="419">
        <f t="shared" si="390"/>
        <v>0.03</v>
      </c>
      <c r="BH177" s="421">
        <f t="shared" si="391"/>
        <v>0.03</v>
      </c>
      <c r="BI177" s="780">
        <f t="shared" si="392"/>
        <v>30736</v>
      </c>
      <c r="BJ177" s="418">
        <f t="shared" si="393"/>
        <v>22000</v>
      </c>
      <c r="BK177" s="418">
        <f t="shared" si="394"/>
        <v>0</v>
      </c>
      <c r="BL177" s="418">
        <f t="shared" si="394"/>
        <v>22000</v>
      </c>
      <c r="BM177" s="418">
        <f t="shared" si="395"/>
        <v>0</v>
      </c>
      <c r="BN177" s="418">
        <f t="shared" si="396"/>
        <v>0</v>
      </c>
      <c r="BO177" s="418">
        <f t="shared" si="396"/>
        <v>0</v>
      </c>
      <c r="BP177" s="418">
        <f t="shared" si="397"/>
        <v>7436</v>
      </c>
      <c r="BQ177" s="418">
        <f t="shared" si="397"/>
        <v>220</v>
      </c>
      <c r="BR177" s="418">
        <f t="shared" si="398"/>
        <v>1080</v>
      </c>
      <c r="BS177" s="419">
        <f t="shared" si="399"/>
        <v>0.09</v>
      </c>
      <c r="BT177" s="419">
        <f t="shared" si="400"/>
        <v>0</v>
      </c>
      <c r="BU177" s="421">
        <f t="shared" si="400"/>
        <v>0.09</v>
      </c>
      <c r="BV177" s="420"/>
      <c r="BW177" s="415"/>
      <c r="BX177" s="415"/>
      <c r="BY177" s="415"/>
      <c r="BZ177" s="415"/>
      <c r="CA177" s="510"/>
    </row>
    <row r="178" spans="1:79" s="221" customFormat="1" ht="12.75" customHeight="1" x14ac:dyDescent="0.2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13"/>
      <c r="I178" s="451">
        <v>11233475</v>
      </c>
      <c r="J178" s="443">
        <v>8027331</v>
      </c>
      <c r="K178" s="443">
        <v>6966159</v>
      </c>
      <c r="L178" s="443">
        <v>1061172</v>
      </c>
      <c r="M178" s="443">
        <v>241840</v>
      </c>
      <c r="N178" s="443">
        <v>231840</v>
      </c>
      <c r="O178" s="443">
        <v>10000</v>
      </c>
      <c r="P178" s="443">
        <v>2794980</v>
      </c>
      <c r="Q178" s="443">
        <v>80273</v>
      </c>
      <c r="R178" s="443">
        <v>89051</v>
      </c>
      <c r="S178" s="444">
        <v>16.918500000000002</v>
      </c>
      <c r="T178" s="444">
        <v>13.7286</v>
      </c>
      <c r="U178" s="449">
        <v>3.1899000000000002</v>
      </c>
      <c r="V178" s="447">
        <f t="shared" ref="V178:CA178" si="401">SUM(V172:V177)</f>
        <v>0</v>
      </c>
      <c r="W178" s="443">
        <f t="shared" si="401"/>
        <v>0</v>
      </c>
      <c r="X178" s="443">
        <f t="shared" si="401"/>
        <v>0</v>
      </c>
      <c r="Y178" s="443">
        <f t="shared" si="401"/>
        <v>0</v>
      </c>
      <c r="Z178" s="443">
        <f t="shared" si="401"/>
        <v>0</v>
      </c>
      <c r="AA178" s="443">
        <f t="shared" si="401"/>
        <v>281847</v>
      </c>
      <c r="AB178" s="443">
        <f t="shared" si="401"/>
        <v>0</v>
      </c>
      <c r="AC178" s="443">
        <f t="shared" si="401"/>
        <v>0</v>
      </c>
      <c r="AD178" s="443">
        <f t="shared" si="401"/>
        <v>0</v>
      </c>
      <c r="AE178" s="443">
        <f t="shared" si="401"/>
        <v>281847</v>
      </c>
      <c r="AF178" s="443">
        <f t="shared" si="401"/>
        <v>281847</v>
      </c>
      <c r="AG178" s="443">
        <f t="shared" si="401"/>
        <v>0</v>
      </c>
      <c r="AH178" s="443">
        <f t="shared" si="401"/>
        <v>0</v>
      </c>
      <c r="AI178" s="443">
        <f t="shared" si="401"/>
        <v>0</v>
      </c>
      <c r="AJ178" s="443">
        <f t="shared" si="401"/>
        <v>0</v>
      </c>
      <c r="AK178" s="443">
        <f t="shared" si="401"/>
        <v>0</v>
      </c>
      <c r="AL178" s="443">
        <f t="shared" si="401"/>
        <v>0</v>
      </c>
      <c r="AM178" s="443">
        <f t="shared" si="401"/>
        <v>0</v>
      </c>
      <c r="AN178" s="443">
        <f t="shared" si="401"/>
        <v>0</v>
      </c>
      <c r="AO178" s="443">
        <f t="shared" si="401"/>
        <v>0</v>
      </c>
      <c r="AP178" s="443">
        <f t="shared" si="401"/>
        <v>281847</v>
      </c>
      <c r="AQ178" s="443">
        <f t="shared" si="401"/>
        <v>281847</v>
      </c>
      <c r="AR178" s="443">
        <f t="shared" si="401"/>
        <v>95264</v>
      </c>
      <c r="AS178" s="443">
        <f t="shared" si="401"/>
        <v>2818</v>
      </c>
      <c r="AT178" s="443">
        <f t="shared" si="401"/>
        <v>0</v>
      </c>
      <c r="AU178" s="443">
        <f t="shared" si="401"/>
        <v>1873</v>
      </c>
      <c r="AV178" s="443">
        <f t="shared" si="401"/>
        <v>1873</v>
      </c>
      <c r="AW178" s="443">
        <f t="shared" si="401"/>
        <v>381802</v>
      </c>
      <c r="AX178" s="444">
        <f t="shared" si="401"/>
        <v>0</v>
      </c>
      <c r="AY178" s="444">
        <f t="shared" si="401"/>
        <v>0</v>
      </c>
      <c r="AZ178" s="444">
        <f t="shared" si="401"/>
        <v>0</v>
      </c>
      <c r="BA178" s="444">
        <f t="shared" si="401"/>
        <v>0</v>
      </c>
      <c r="BB178" s="444">
        <f t="shared" si="401"/>
        <v>0.85</v>
      </c>
      <c r="BC178" s="947">
        <f t="shared" si="401"/>
        <v>0</v>
      </c>
      <c r="BD178" s="444">
        <f t="shared" si="401"/>
        <v>0</v>
      </c>
      <c r="BE178" s="444">
        <f t="shared" si="401"/>
        <v>0</v>
      </c>
      <c r="BF178" s="444">
        <f t="shared" si="401"/>
        <v>0</v>
      </c>
      <c r="BG178" s="444">
        <f t="shared" si="401"/>
        <v>0.85</v>
      </c>
      <c r="BH178" s="40">
        <f t="shared" si="401"/>
        <v>0.85</v>
      </c>
      <c r="BI178" s="451">
        <f t="shared" si="401"/>
        <v>11615277</v>
      </c>
      <c r="BJ178" s="443">
        <f t="shared" si="401"/>
        <v>8309178</v>
      </c>
      <c r="BK178" s="443">
        <f t="shared" si="401"/>
        <v>6966159</v>
      </c>
      <c r="BL178" s="443">
        <f t="shared" si="401"/>
        <v>1343019</v>
      </c>
      <c r="BM178" s="443">
        <f t="shared" si="401"/>
        <v>241840</v>
      </c>
      <c r="BN178" s="443">
        <f t="shared" si="401"/>
        <v>231840</v>
      </c>
      <c r="BO178" s="443">
        <f t="shared" si="401"/>
        <v>10000</v>
      </c>
      <c r="BP178" s="443">
        <f t="shared" si="401"/>
        <v>2890244</v>
      </c>
      <c r="BQ178" s="443">
        <f t="shared" si="401"/>
        <v>83091</v>
      </c>
      <c r="BR178" s="443">
        <f t="shared" si="401"/>
        <v>90924</v>
      </c>
      <c r="BS178" s="444">
        <f t="shared" si="401"/>
        <v>17.7685</v>
      </c>
      <c r="BT178" s="444">
        <f t="shared" si="401"/>
        <v>13.7286</v>
      </c>
      <c r="BU178" s="40">
        <f t="shared" si="401"/>
        <v>4.0398999999999994</v>
      </c>
      <c r="BV178" s="831">
        <f t="shared" si="401"/>
        <v>0</v>
      </c>
      <c r="BW178" s="714">
        <f t="shared" si="401"/>
        <v>0</v>
      </c>
      <c r="BX178" s="714">
        <f t="shared" si="401"/>
        <v>0</v>
      </c>
      <c r="BY178" s="714">
        <f t="shared" si="401"/>
        <v>0</v>
      </c>
      <c r="BZ178" s="714">
        <f t="shared" si="401"/>
        <v>0</v>
      </c>
      <c r="CA178" s="832">
        <f t="shared" si="401"/>
        <v>0</v>
      </c>
    </row>
    <row r="179" spans="1:79" s="221" customFormat="1" ht="12.75" customHeight="1" x14ac:dyDescent="0.2">
      <c r="A179" s="209">
        <v>32</v>
      </c>
      <c r="B179" s="210">
        <v>4416</v>
      </c>
      <c r="C179" s="210">
        <v>600074153</v>
      </c>
      <c r="D179" s="210">
        <v>71013105</v>
      </c>
      <c r="E179" s="208" t="s">
        <v>207</v>
      </c>
      <c r="F179" s="210">
        <v>3111</v>
      </c>
      <c r="G179" s="165" t="s">
        <v>290</v>
      </c>
      <c r="H179" s="626" t="s">
        <v>271</v>
      </c>
      <c r="I179" s="511">
        <v>3603909</v>
      </c>
      <c r="J179" s="415">
        <v>2665996</v>
      </c>
      <c r="K179" s="415">
        <v>2444204</v>
      </c>
      <c r="L179" s="415">
        <v>221792</v>
      </c>
      <c r="M179" s="415">
        <v>0</v>
      </c>
      <c r="N179" s="415">
        <v>0</v>
      </c>
      <c r="O179" s="415">
        <v>0</v>
      </c>
      <c r="P179" s="68">
        <v>901107</v>
      </c>
      <c r="Q179" s="68">
        <v>26660</v>
      </c>
      <c r="R179" s="415">
        <v>10146</v>
      </c>
      <c r="S179" s="416">
        <v>4.7466999999999997</v>
      </c>
      <c r="T179" s="417">
        <v>4</v>
      </c>
      <c r="U179" s="423">
        <v>0.74669999999999992</v>
      </c>
      <c r="V179" s="424">
        <f t="shared" ref="V179:W181" si="402">AG179*-1</f>
        <v>0</v>
      </c>
      <c r="W179" s="418">
        <f t="shared" si="402"/>
        <v>0</v>
      </c>
      <c r="X179" s="418">
        <v>0</v>
      </c>
      <c r="Y179" s="418">
        <v>0</v>
      </c>
      <c r="Z179" s="418">
        <v>0</v>
      </c>
      <c r="AA179" s="415">
        <v>0</v>
      </c>
      <c r="AB179" s="418">
        <v>0</v>
      </c>
      <c r="AC179" s="418">
        <v>0</v>
      </c>
      <c r="AD179" s="418">
        <f>V179+X179+Y179+Z179+AB179</f>
        <v>0</v>
      </c>
      <c r="AE179" s="418">
        <f>W179+AA179+AC179</f>
        <v>0</v>
      </c>
      <c r="AF179" s="418">
        <f>SUM(AD179:AE179)</f>
        <v>0</v>
      </c>
      <c r="AG179" s="418">
        <v>0</v>
      </c>
      <c r="AH179" s="418">
        <v>0</v>
      </c>
      <c r="AI179" s="418">
        <v>0</v>
      </c>
      <c r="AJ179" s="418">
        <v>0</v>
      </c>
      <c r="AK179" s="418">
        <v>0</v>
      </c>
      <c r="AL179" s="418">
        <f>AG179+AI179+AJ179</f>
        <v>0</v>
      </c>
      <c r="AM179" s="418">
        <f>AH179+AK179</f>
        <v>0</v>
      </c>
      <c r="AN179" s="418">
        <f>SUM(AL179:AM179)</f>
        <v>0</v>
      </c>
      <c r="AO179" s="418">
        <f t="shared" ref="AO179:AP181" si="403">AD179+AL179</f>
        <v>0</v>
      </c>
      <c r="AP179" s="418">
        <f t="shared" si="403"/>
        <v>0</v>
      </c>
      <c r="AQ179" s="418">
        <f>SUM(AO179:AP179)</f>
        <v>0</v>
      </c>
      <c r="AR179" s="68">
        <f>ROUND((AF179+AG179+AH179+AI179)*33.8%,0)</f>
        <v>0</v>
      </c>
      <c r="AS179" s="68">
        <f>ROUND(AF179*1%,0)</f>
        <v>0</v>
      </c>
      <c r="AT179" s="418">
        <v>0</v>
      </c>
      <c r="AU179" s="415">
        <v>0</v>
      </c>
      <c r="AV179" s="418">
        <f>AT179+AU179</f>
        <v>0</v>
      </c>
      <c r="AW179" s="418">
        <f>AQ179+AR179+AS179+AV179</f>
        <v>0</v>
      </c>
      <c r="AX179" s="419">
        <v>0</v>
      </c>
      <c r="AY179" s="419">
        <v>0</v>
      </c>
      <c r="AZ179" s="419">
        <v>0</v>
      </c>
      <c r="BA179" s="419">
        <v>0</v>
      </c>
      <c r="BB179" s="416">
        <v>0</v>
      </c>
      <c r="BC179" s="939">
        <v>0</v>
      </c>
      <c r="BD179" s="419">
        <v>0</v>
      </c>
      <c r="BE179" s="419">
        <v>0</v>
      </c>
      <c r="BF179" s="419">
        <f>AX179+AZ179+BA179+BC179+BD179</f>
        <v>0</v>
      </c>
      <c r="BG179" s="419">
        <f>AY179+BB179+BE179</f>
        <v>0</v>
      </c>
      <c r="BH179" s="421">
        <f>SUM(BF179:BG179)</f>
        <v>0</v>
      </c>
      <c r="BI179" s="780">
        <f>I179+AW179</f>
        <v>3603909</v>
      </c>
      <c r="BJ179" s="418">
        <f>J179+AF179</f>
        <v>2665996</v>
      </c>
      <c r="BK179" s="418">
        <f t="shared" ref="BK179:BL181" si="404">K179+AD179</f>
        <v>2444204</v>
      </c>
      <c r="BL179" s="418">
        <f t="shared" si="404"/>
        <v>221792</v>
      </c>
      <c r="BM179" s="418">
        <f>M179+AN179</f>
        <v>0</v>
      </c>
      <c r="BN179" s="418">
        <f t="shared" ref="BN179:BO181" si="405">N179+AL179</f>
        <v>0</v>
      </c>
      <c r="BO179" s="418">
        <f t="shared" si="405"/>
        <v>0</v>
      </c>
      <c r="BP179" s="418">
        <f t="shared" ref="BP179:BQ181" si="406">P179+AR179</f>
        <v>901107</v>
      </c>
      <c r="BQ179" s="418">
        <f t="shared" si="406"/>
        <v>26660</v>
      </c>
      <c r="BR179" s="418">
        <f>R179+AV179</f>
        <v>10146</v>
      </c>
      <c r="BS179" s="419">
        <f>S179+BH179</f>
        <v>4.7466999999999997</v>
      </c>
      <c r="BT179" s="419">
        <f t="shared" ref="BT179:BU181" si="407">T179+BF179</f>
        <v>4</v>
      </c>
      <c r="BU179" s="421">
        <f t="shared" si="407"/>
        <v>0.74669999999999992</v>
      </c>
      <c r="BV179" s="420"/>
      <c r="BW179" s="415"/>
      <c r="BX179" s="415"/>
      <c r="BY179" s="415"/>
      <c r="BZ179" s="415"/>
      <c r="CA179" s="510"/>
    </row>
    <row r="180" spans="1:79" s="221" customFormat="1" ht="12.75" customHeight="1" x14ac:dyDescent="0.2">
      <c r="A180" s="209">
        <v>32</v>
      </c>
      <c r="B180" s="210">
        <v>4416</v>
      </c>
      <c r="C180" s="210">
        <v>600074153</v>
      </c>
      <c r="D180" s="210">
        <v>71013105</v>
      </c>
      <c r="E180" s="208" t="s">
        <v>207</v>
      </c>
      <c r="F180" s="210">
        <v>3111</v>
      </c>
      <c r="G180" s="165" t="s">
        <v>291</v>
      </c>
      <c r="H180" s="626" t="s">
        <v>272</v>
      </c>
      <c r="I180" s="511">
        <v>499840</v>
      </c>
      <c r="J180" s="415">
        <v>370801</v>
      </c>
      <c r="K180" s="415">
        <v>370801</v>
      </c>
      <c r="L180" s="415">
        <v>0</v>
      </c>
      <c r="M180" s="415">
        <v>0</v>
      </c>
      <c r="N180" s="415">
        <v>0</v>
      </c>
      <c r="O180" s="415">
        <v>0</v>
      </c>
      <c r="P180" s="68">
        <v>125331</v>
      </c>
      <c r="Q180" s="68">
        <v>3708</v>
      </c>
      <c r="R180" s="415">
        <v>0</v>
      </c>
      <c r="S180" s="416">
        <v>1</v>
      </c>
      <c r="T180" s="417">
        <v>1</v>
      </c>
      <c r="U180" s="423">
        <v>0</v>
      </c>
      <c r="V180" s="424">
        <f t="shared" si="402"/>
        <v>0</v>
      </c>
      <c r="W180" s="418">
        <f t="shared" si="402"/>
        <v>0</v>
      </c>
      <c r="X180" s="418">
        <v>0</v>
      </c>
      <c r="Y180" s="418">
        <v>0</v>
      </c>
      <c r="Z180" s="418">
        <v>0</v>
      </c>
      <c r="AA180" s="415">
        <v>0</v>
      </c>
      <c r="AB180" s="418">
        <v>0</v>
      </c>
      <c r="AC180" s="418">
        <v>0</v>
      </c>
      <c r="AD180" s="418">
        <f>V180+X180+Y180+Z180+AB180</f>
        <v>0</v>
      </c>
      <c r="AE180" s="418">
        <f>W180+AA180+AC180</f>
        <v>0</v>
      </c>
      <c r="AF180" s="418">
        <f>SUM(AD180:AE180)</f>
        <v>0</v>
      </c>
      <c r="AG180" s="418">
        <v>0</v>
      </c>
      <c r="AH180" s="418">
        <v>0</v>
      </c>
      <c r="AI180" s="418">
        <v>0</v>
      </c>
      <c r="AJ180" s="418">
        <v>0</v>
      </c>
      <c r="AK180" s="418">
        <v>0</v>
      </c>
      <c r="AL180" s="418">
        <f>AG180+AI180+AJ180</f>
        <v>0</v>
      </c>
      <c r="AM180" s="418">
        <f>AH180+AK180</f>
        <v>0</v>
      </c>
      <c r="AN180" s="418">
        <f>SUM(AL180:AM180)</f>
        <v>0</v>
      </c>
      <c r="AO180" s="418">
        <f t="shared" si="403"/>
        <v>0</v>
      </c>
      <c r="AP180" s="418">
        <f t="shared" si="403"/>
        <v>0</v>
      </c>
      <c r="AQ180" s="418">
        <f>SUM(AO180:AP180)</f>
        <v>0</v>
      </c>
      <c r="AR180" s="68">
        <f>ROUND((AF180+AG180+AH180+AI180)*33.8%,0)</f>
        <v>0</v>
      </c>
      <c r="AS180" s="68">
        <f>ROUND(AF180*1%,0)</f>
        <v>0</v>
      </c>
      <c r="AT180" s="418">
        <v>0</v>
      </c>
      <c r="AU180" s="415">
        <v>0</v>
      </c>
      <c r="AV180" s="418">
        <f>AT180+AU180</f>
        <v>0</v>
      </c>
      <c r="AW180" s="418">
        <f>AQ180+AR180+AS180+AV180</f>
        <v>0</v>
      </c>
      <c r="AX180" s="419">
        <v>0</v>
      </c>
      <c r="AY180" s="419">
        <v>0</v>
      </c>
      <c r="AZ180" s="419">
        <v>0</v>
      </c>
      <c r="BA180" s="419">
        <v>0</v>
      </c>
      <c r="BB180" s="416">
        <v>0</v>
      </c>
      <c r="BC180" s="939">
        <v>0</v>
      </c>
      <c r="BD180" s="419">
        <v>0</v>
      </c>
      <c r="BE180" s="419">
        <v>0</v>
      </c>
      <c r="BF180" s="419">
        <f>AX180+AZ180+BA180+BC180+BD180</f>
        <v>0</v>
      </c>
      <c r="BG180" s="419">
        <f>AY180+BB180+BE180</f>
        <v>0</v>
      </c>
      <c r="BH180" s="421">
        <f>SUM(BF180:BG180)</f>
        <v>0</v>
      </c>
      <c r="BI180" s="780">
        <f>I180+AW180</f>
        <v>499840</v>
      </c>
      <c r="BJ180" s="418">
        <f>J180+AF180</f>
        <v>370801</v>
      </c>
      <c r="BK180" s="418">
        <f t="shared" si="404"/>
        <v>370801</v>
      </c>
      <c r="BL180" s="418">
        <f t="shared" si="404"/>
        <v>0</v>
      </c>
      <c r="BM180" s="418">
        <f>M180+AN180</f>
        <v>0</v>
      </c>
      <c r="BN180" s="418">
        <f t="shared" si="405"/>
        <v>0</v>
      </c>
      <c r="BO180" s="418">
        <f t="shared" si="405"/>
        <v>0</v>
      </c>
      <c r="BP180" s="418">
        <f t="shared" si="406"/>
        <v>125331</v>
      </c>
      <c r="BQ180" s="418">
        <f t="shared" si="406"/>
        <v>3708</v>
      </c>
      <c r="BR180" s="418">
        <f>R180+AV180</f>
        <v>0</v>
      </c>
      <c r="BS180" s="419">
        <f>S180+BH180</f>
        <v>1</v>
      </c>
      <c r="BT180" s="419">
        <f t="shared" si="407"/>
        <v>1</v>
      </c>
      <c r="BU180" s="421">
        <f t="shared" si="407"/>
        <v>0</v>
      </c>
      <c r="BV180" s="420"/>
      <c r="BW180" s="415"/>
      <c r="BX180" s="415"/>
      <c r="BY180" s="415"/>
      <c r="BZ180" s="415"/>
      <c r="CA180" s="510"/>
    </row>
    <row r="181" spans="1:79" s="221" customFormat="1" ht="12.75" customHeight="1" x14ac:dyDescent="0.2">
      <c r="A181" s="209">
        <v>32</v>
      </c>
      <c r="B181" s="210">
        <v>4416</v>
      </c>
      <c r="C181" s="210">
        <v>600074153</v>
      </c>
      <c r="D181" s="210">
        <v>71013105</v>
      </c>
      <c r="E181" s="204" t="s">
        <v>207</v>
      </c>
      <c r="F181" s="210">
        <v>3141</v>
      </c>
      <c r="G181" s="165" t="s">
        <v>294</v>
      </c>
      <c r="H181" s="626" t="s">
        <v>272</v>
      </c>
      <c r="I181" s="511">
        <v>375889</v>
      </c>
      <c r="J181" s="415">
        <v>277889</v>
      </c>
      <c r="K181" s="415">
        <v>0</v>
      </c>
      <c r="L181" s="415">
        <v>277889</v>
      </c>
      <c r="M181" s="415">
        <v>0</v>
      </c>
      <c r="N181" s="415">
        <v>0</v>
      </c>
      <c r="O181" s="415">
        <v>0</v>
      </c>
      <c r="P181" s="68">
        <v>93926</v>
      </c>
      <c r="Q181" s="68">
        <v>2779</v>
      </c>
      <c r="R181" s="415">
        <v>1295</v>
      </c>
      <c r="S181" s="416">
        <v>0.83</v>
      </c>
      <c r="T181" s="417">
        <v>0</v>
      </c>
      <c r="U181" s="423">
        <v>0.83</v>
      </c>
      <c r="V181" s="424">
        <f t="shared" si="402"/>
        <v>0</v>
      </c>
      <c r="W181" s="418">
        <f t="shared" si="402"/>
        <v>0</v>
      </c>
      <c r="X181" s="418">
        <v>0</v>
      </c>
      <c r="Y181" s="418">
        <v>0</v>
      </c>
      <c r="Z181" s="418">
        <v>0</v>
      </c>
      <c r="AA181" s="605">
        <v>139159</v>
      </c>
      <c r="AB181" s="418">
        <v>0</v>
      </c>
      <c r="AC181" s="418">
        <v>0</v>
      </c>
      <c r="AD181" s="418">
        <f>V181+X181+Y181+Z181+AB181</f>
        <v>0</v>
      </c>
      <c r="AE181" s="418">
        <f>W181+AA181+AC181</f>
        <v>139159</v>
      </c>
      <c r="AF181" s="418">
        <f>SUM(AD181:AE181)</f>
        <v>139159</v>
      </c>
      <c r="AG181" s="418">
        <v>0</v>
      </c>
      <c r="AH181" s="418">
        <v>0</v>
      </c>
      <c r="AI181" s="418">
        <v>0</v>
      </c>
      <c r="AJ181" s="418">
        <v>0</v>
      </c>
      <c r="AK181" s="418">
        <v>0</v>
      </c>
      <c r="AL181" s="418">
        <f>AG181+AI181+AJ181</f>
        <v>0</v>
      </c>
      <c r="AM181" s="418">
        <f>AH181+AK181</f>
        <v>0</v>
      </c>
      <c r="AN181" s="418">
        <f>SUM(AL181:AM181)</f>
        <v>0</v>
      </c>
      <c r="AO181" s="418">
        <f t="shared" si="403"/>
        <v>0</v>
      </c>
      <c r="AP181" s="418">
        <f t="shared" si="403"/>
        <v>139159</v>
      </c>
      <c r="AQ181" s="418">
        <f>SUM(AO181:AP181)</f>
        <v>139159</v>
      </c>
      <c r="AR181" s="68">
        <f>ROUND((AF181+AG181+AH181+AI181)*33.8%,0)</f>
        <v>47036</v>
      </c>
      <c r="AS181" s="68">
        <f>ROUND(AF181*1%,0)</f>
        <v>1392</v>
      </c>
      <c r="AT181" s="418">
        <v>0</v>
      </c>
      <c r="AU181" s="605">
        <v>629</v>
      </c>
      <c r="AV181" s="418">
        <f>AT181+AU181</f>
        <v>629</v>
      </c>
      <c r="AW181" s="418">
        <f>AQ181+AR181+AS181+AV181</f>
        <v>188216</v>
      </c>
      <c r="AX181" s="419">
        <v>0</v>
      </c>
      <c r="AY181" s="419">
        <v>0</v>
      </c>
      <c r="AZ181" s="419">
        <v>0</v>
      </c>
      <c r="BA181" s="419">
        <v>0</v>
      </c>
      <c r="BB181" s="607">
        <v>0.42</v>
      </c>
      <c r="BC181" s="939">
        <v>0</v>
      </c>
      <c r="BD181" s="419">
        <v>0</v>
      </c>
      <c r="BE181" s="419">
        <v>0</v>
      </c>
      <c r="BF181" s="419">
        <f>AX181+AZ181+BA181+BC181+BD181</f>
        <v>0</v>
      </c>
      <c r="BG181" s="419">
        <f>AY181+BB181+BE181</f>
        <v>0.42</v>
      </c>
      <c r="BH181" s="421">
        <f>SUM(BF181:BG181)</f>
        <v>0.42</v>
      </c>
      <c r="BI181" s="780">
        <f>I181+AW181</f>
        <v>564105</v>
      </c>
      <c r="BJ181" s="418">
        <f>J181+AF181</f>
        <v>417048</v>
      </c>
      <c r="BK181" s="418">
        <f t="shared" si="404"/>
        <v>0</v>
      </c>
      <c r="BL181" s="418">
        <f t="shared" si="404"/>
        <v>417048</v>
      </c>
      <c r="BM181" s="418">
        <f>M181+AN181</f>
        <v>0</v>
      </c>
      <c r="BN181" s="418">
        <f t="shared" si="405"/>
        <v>0</v>
      </c>
      <c r="BO181" s="418">
        <f t="shared" si="405"/>
        <v>0</v>
      </c>
      <c r="BP181" s="418">
        <f t="shared" si="406"/>
        <v>140962</v>
      </c>
      <c r="BQ181" s="418">
        <f t="shared" si="406"/>
        <v>4171</v>
      </c>
      <c r="BR181" s="418">
        <f>R181+AV181</f>
        <v>1924</v>
      </c>
      <c r="BS181" s="419">
        <f>S181+BH181</f>
        <v>1.25</v>
      </c>
      <c r="BT181" s="419">
        <f t="shared" si="407"/>
        <v>0</v>
      </c>
      <c r="BU181" s="421">
        <f t="shared" si="407"/>
        <v>1.25</v>
      </c>
      <c r="BV181" s="420"/>
      <c r="BW181" s="415"/>
      <c r="BX181" s="415"/>
      <c r="BY181" s="415"/>
      <c r="BZ181" s="415"/>
      <c r="CA181" s="510"/>
    </row>
    <row r="182" spans="1:79" s="221" customFormat="1" ht="12.75" customHeight="1" x14ac:dyDescent="0.2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13"/>
      <c r="I182" s="452">
        <v>4479638</v>
      </c>
      <c r="J182" s="445">
        <v>3314686</v>
      </c>
      <c r="K182" s="445">
        <v>2815005</v>
      </c>
      <c r="L182" s="445">
        <v>499681</v>
      </c>
      <c r="M182" s="445">
        <v>0</v>
      </c>
      <c r="N182" s="445">
        <v>0</v>
      </c>
      <c r="O182" s="445">
        <v>0</v>
      </c>
      <c r="P182" s="445">
        <v>1120364</v>
      </c>
      <c r="Q182" s="445">
        <v>33147</v>
      </c>
      <c r="R182" s="445">
        <v>11441</v>
      </c>
      <c r="S182" s="446">
        <v>6.5766999999999998</v>
      </c>
      <c r="T182" s="446">
        <v>5</v>
      </c>
      <c r="U182" s="450">
        <v>1.5766999999999998</v>
      </c>
      <c r="V182" s="448">
        <f t="shared" ref="V182:CA182" si="408">SUM(V179:V181)</f>
        <v>0</v>
      </c>
      <c r="W182" s="445">
        <f t="shared" si="408"/>
        <v>0</v>
      </c>
      <c r="X182" s="445">
        <f t="shared" si="408"/>
        <v>0</v>
      </c>
      <c r="Y182" s="445">
        <f t="shared" si="408"/>
        <v>0</v>
      </c>
      <c r="Z182" s="445">
        <f t="shared" si="408"/>
        <v>0</v>
      </c>
      <c r="AA182" s="445">
        <f t="shared" si="408"/>
        <v>139159</v>
      </c>
      <c r="AB182" s="445">
        <f t="shared" si="408"/>
        <v>0</v>
      </c>
      <c r="AC182" s="445">
        <f t="shared" si="408"/>
        <v>0</v>
      </c>
      <c r="AD182" s="445">
        <f t="shared" si="408"/>
        <v>0</v>
      </c>
      <c r="AE182" s="445">
        <f t="shared" si="408"/>
        <v>139159</v>
      </c>
      <c r="AF182" s="445">
        <f t="shared" si="408"/>
        <v>139159</v>
      </c>
      <c r="AG182" s="445">
        <f t="shared" si="408"/>
        <v>0</v>
      </c>
      <c r="AH182" s="445">
        <f t="shared" si="408"/>
        <v>0</v>
      </c>
      <c r="AI182" s="445">
        <f t="shared" si="408"/>
        <v>0</v>
      </c>
      <c r="AJ182" s="445">
        <f t="shared" si="408"/>
        <v>0</v>
      </c>
      <c r="AK182" s="445">
        <f t="shared" si="408"/>
        <v>0</v>
      </c>
      <c r="AL182" s="445">
        <f t="shared" si="408"/>
        <v>0</v>
      </c>
      <c r="AM182" s="445">
        <f t="shared" si="408"/>
        <v>0</v>
      </c>
      <c r="AN182" s="445">
        <f t="shared" si="408"/>
        <v>0</v>
      </c>
      <c r="AO182" s="445">
        <f t="shared" si="408"/>
        <v>0</v>
      </c>
      <c r="AP182" s="445">
        <f t="shared" si="408"/>
        <v>139159</v>
      </c>
      <c r="AQ182" s="445">
        <f t="shared" si="408"/>
        <v>139159</v>
      </c>
      <c r="AR182" s="445">
        <f t="shared" si="408"/>
        <v>47036</v>
      </c>
      <c r="AS182" s="445">
        <f t="shared" si="408"/>
        <v>1392</v>
      </c>
      <c r="AT182" s="445">
        <f t="shared" si="408"/>
        <v>0</v>
      </c>
      <c r="AU182" s="445">
        <f t="shared" si="408"/>
        <v>629</v>
      </c>
      <c r="AV182" s="445">
        <f t="shared" si="408"/>
        <v>629</v>
      </c>
      <c r="AW182" s="445">
        <f t="shared" si="408"/>
        <v>188216</v>
      </c>
      <c r="AX182" s="446">
        <f t="shared" si="408"/>
        <v>0</v>
      </c>
      <c r="AY182" s="446">
        <f t="shared" si="408"/>
        <v>0</v>
      </c>
      <c r="AZ182" s="446">
        <f t="shared" si="408"/>
        <v>0</v>
      </c>
      <c r="BA182" s="446">
        <f t="shared" si="408"/>
        <v>0</v>
      </c>
      <c r="BB182" s="446">
        <f t="shared" si="408"/>
        <v>0.42</v>
      </c>
      <c r="BC182" s="948">
        <f t="shared" si="408"/>
        <v>0</v>
      </c>
      <c r="BD182" s="446">
        <f t="shared" si="408"/>
        <v>0</v>
      </c>
      <c r="BE182" s="446">
        <f t="shared" si="408"/>
        <v>0</v>
      </c>
      <c r="BF182" s="446">
        <f t="shared" si="408"/>
        <v>0</v>
      </c>
      <c r="BG182" s="446">
        <f t="shared" si="408"/>
        <v>0.42</v>
      </c>
      <c r="BH182" s="39">
        <f t="shared" si="408"/>
        <v>0.42</v>
      </c>
      <c r="BI182" s="452">
        <f t="shared" si="408"/>
        <v>4667854</v>
      </c>
      <c r="BJ182" s="445">
        <f t="shared" si="408"/>
        <v>3453845</v>
      </c>
      <c r="BK182" s="445">
        <f t="shared" si="408"/>
        <v>2815005</v>
      </c>
      <c r="BL182" s="445">
        <f t="shared" si="408"/>
        <v>638840</v>
      </c>
      <c r="BM182" s="445">
        <f t="shared" si="408"/>
        <v>0</v>
      </c>
      <c r="BN182" s="445">
        <f t="shared" si="408"/>
        <v>0</v>
      </c>
      <c r="BO182" s="445">
        <f t="shared" si="408"/>
        <v>0</v>
      </c>
      <c r="BP182" s="445">
        <f t="shared" si="408"/>
        <v>1167400</v>
      </c>
      <c r="BQ182" s="445">
        <f t="shared" si="408"/>
        <v>34539</v>
      </c>
      <c r="BR182" s="445">
        <f t="shared" si="408"/>
        <v>12070</v>
      </c>
      <c r="BS182" s="446">
        <f t="shared" si="408"/>
        <v>6.9966999999999997</v>
      </c>
      <c r="BT182" s="446">
        <f t="shared" si="408"/>
        <v>5</v>
      </c>
      <c r="BU182" s="39">
        <f t="shared" si="408"/>
        <v>1.9966999999999999</v>
      </c>
      <c r="BV182" s="833">
        <f t="shared" si="408"/>
        <v>0</v>
      </c>
      <c r="BW182" s="715">
        <f t="shared" si="408"/>
        <v>0</v>
      </c>
      <c r="BX182" s="715">
        <f t="shared" si="408"/>
        <v>0</v>
      </c>
      <c r="BY182" s="715">
        <f t="shared" si="408"/>
        <v>0</v>
      </c>
      <c r="BZ182" s="715">
        <f t="shared" si="408"/>
        <v>0</v>
      </c>
      <c r="CA182" s="834">
        <f t="shared" si="408"/>
        <v>0</v>
      </c>
    </row>
    <row r="183" spans="1:79" s="221" customFormat="1" ht="12.75" customHeight="1" x14ac:dyDescent="0.2">
      <c r="A183" s="209">
        <v>33</v>
      </c>
      <c r="B183" s="210">
        <v>4447</v>
      </c>
      <c r="C183" s="210">
        <v>600074749</v>
      </c>
      <c r="D183" s="210">
        <v>70695962</v>
      </c>
      <c r="E183" s="208" t="s">
        <v>209</v>
      </c>
      <c r="F183" s="210">
        <v>3113</v>
      </c>
      <c r="G183" s="165" t="s">
        <v>293</v>
      </c>
      <c r="H183" s="626" t="s">
        <v>271</v>
      </c>
      <c r="I183" s="511">
        <v>12502077</v>
      </c>
      <c r="J183" s="415">
        <v>9176888</v>
      </c>
      <c r="K183" s="415">
        <v>8390822</v>
      </c>
      <c r="L183" s="415">
        <v>786066</v>
      </c>
      <c r="M183" s="415">
        <v>0</v>
      </c>
      <c r="N183" s="415">
        <v>0</v>
      </c>
      <c r="O183" s="415">
        <v>0</v>
      </c>
      <c r="P183" s="68">
        <v>3101788</v>
      </c>
      <c r="Q183" s="68">
        <v>91769</v>
      </c>
      <c r="R183" s="415">
        <v>131632</v>
      </c>
      <c r="S183" s="416">
        <v>14.239599999999999</v>
      </c>
      <c r="T183" s="417">
        <v>11.9999</v>
      </c>
      <c r="U183" s="423">
        <v>2.2397</v>
      </c>
      <c r="V183" s="424">
        <f t="shared" ref="V183:W187" si="409">AG183*-1</f>
        <v>0</v>
      </c>
      <c r="W183" s="418">
        <f t="shared" si="409"/>
        <v>0</v>
      </c>
      <c r="X183" s="418">
        <v>0</v>
      </c>
      <c r="Y183" s="418">
        <v>0</v>
      </c>
      <c r="Z183" s="418">
        <v>0</v>
      </c>
      <c r="AA183" s="415">
        <v>0</v>
      </c>
      <c r="AB183" s="418">
        <v>0</v>
      </c>
      <c r="AC183" s="418">
        <v>0</v>
      </c>
      <c r="AD183" s="418">
        <f>V183+X183+Y183+Z183+AB183</f>
        <v>0</v>
      </c>
      <c r="AE183" s="418">
        <f>W183+AA183+AC183</f>
        <v>0</v>
      </c>
      <c r="AF183" s="418">
        <f>SUM(AD183:AE183)</f>
        <v>0</v>
      </c>
      <c r="AG183" s="418">
        <v>0</v>
      </c>
      <c r="AH183" s="418">
        <v>0</v>
      </c>
      <c r="AI183" s="418">
        <v>0</v>
      </c>
      <c r="AJ183" s="418">
        <v>0</v>
      </c>
      <c r="AK183" s="418">
        <v>0</v>
      </c>
      <c r="AL183" s="418">
        <f>AG183+AI183+AJ183</f>
        <v>0</v>
      </c>
      <c r="AM183" s="418">
        <f>AH183+AK183</f>
        <v>0</v>
      </c>
      <c r="AN183" s="418">
        <f>SUM(AL183:AM183)</f>
        <v>0</v>
      </c>
      <c r="AO183" s="418">
        <f t="shared" ref="AO183:AP187" si="410">AD183+AL183</f>
        <v>0</v>
      </c>
      <c r="AP183" s="418">
        <f t="shared" si="410"/>
        <v>0</v>
      </c>
      <c r="AQ183" s="418">
        <f>SUM(AO183:AP183)</f>
        <v>0</v>
      </c>
      <c r="AR183" s="68">
        <f>ROUND((AF183+AG183+AH183+AI183)*33.8%,0)</f>
        <v>0</v>
      </c>
      <c r="AS183" s="68">
        <f>ROUND(AF183*1%,0)</f>
        <v>0</v>
      </c>
      <c r="AT183" s="418">
        <v>0</v>
      </c>
      <c r="AU183" s="415">
        <v>0</v>
      </c>
      <c r="AV183" s="418">
        <f>AT183+AU183</f>
        <v>0</v>
      </c>
      <c r="AW183" s="418">
        <f>AQ183+AR183+AS183+AV183</f>
        <v>0</v>
      </c>
      <c r="AX183" s="419">
        <v>0</v>
      </c>
      <c r="AY183" s="419">
        <v>0</v>
      </c>
      <c r="AZ183" s="419">
        <v>0</v>
      </c>
      <c r="BA183" s="419">
        <v>0</v>
      </c>
      <c r="BB183" s="416">
        <v>0</v>
      </c>
      <c r="BC183" s="939">
        <v>0</v>
      </c>
      <c r="BD183" s="419">
        <v>0</v>
      </c>
      <c r="BE183" s="419">
        <v>0</v>
      </c>
      <c r="BF183" s="419">
        <f>AX183+AZ183+BA183+BC183+BD183</f>
        <v>0</v>
      </c>
      <c r="BG183" s="419">
        <f>AY183+BB183+BE183</f>
        <v>0</v>
      </c>
      <c r="BH183" s="421">
        <f>SUM(BF183:BG183)</f>
        <v>0</v>
      </c>
      <c r="BI183" s="780">
        <f>I183+AW183</f>
        <v>12502077</v>
      </c>
      <c r="BJ183" s="418">
        <f>J183+AF183</f>
        <v>9176888</v>
      </c>
      <c r="BK183" s="418">
        <f t="shared" ref="BK183:BL187" si="411">K183+AD183</f>
        <v>8390822</v>
      </c>
      <c r="BL183" s="418">
        <f t="shared" si="411"/>
        <v>786066</v>
      </c>
      <c r="BM183" s="418">
        <f>M183+AN183</f>
        <v>0</v>
      </c>
      <c r="BN183" s="418">
        <f t="shared" ref="BN183:BO187" si="412">N183+AL183</f>
        <v>0</v>
      </c>
      <c r="BO183" s="418">
        <f t="shared" si="412"/>
        <v>0</v>
      </c>
      <c r="BP183" s="418">
        <f t="shared" ref="BP183:BQ187" si="413">P183+AR183</f>
        <v>3101788</v>
      </c>
      <c r="BQ183" s="418">
        <f t="shared" si="413"/>
        <v>91769</v>
      </c>
      <c r="BR183" s="418">
        <f>R183+AV183</f>
        <v>131632</v>
      </c>
      <c r="BS183" s="419">
        <f>S183+BH183</f>
        <v>14.239599999999999</v>
      </c>
      <c r="BT183" s="419">
        <f t="shared" ref="BT183:BU187" si="414">T183+BF183</f>
        <v>11.9999</v>
      </c>
      <c r="BU183" s="421">
        <f t="shared" si="414"/>
        <v>2.2397</v>
      </c>
      <c r="BV183" s="420"/>
      <c r="BW183" s="415"/>
      <c r="BX183" s="415"/>
      <c r="BY183" s="415"/>
      <c r="BZ183" s="415"/>
      <c r="CA183" s="510"/>
    </row>
    <row r="184" spans="1:79" s="221" customFormat="1" ht="12.75" customHeight="1" x14ac:dyDescent="0.2">
      <c r="A184" s="209">
        <v>33</v>
      </c>
      <c r="B184" s="210">
        <v>4447</v>
      </c>
      <c r="C184" s="210">
        <v>600074749</v>
      </c>
      <c r="D184" s="210">
        <v>70695962</v>
      </c>
      <c r="E184" s="208" t="s">
        <v>209</v>
      </c>
      <c r="F184" s="210">
        <v>3113</v>
      </c>
      <c r="G184" s="165" t="s">
        <v>291</v>
      </c>
      <c r="H184" s="626" t="s">
        <v>272</v>
      </c>
      <c r="I184" s="511">
        <v>1712982</v>
      </c>
      <c r="J184" s="415">
        <v>1263711</v>
      </c>
      <c r="K184" s="415">
        <v>1263711</v>
      </c>
      <c r="L184" s="415">
        <v>0</v>
      </c>
      <c r="M184" s="415">
        <v>0</v>
      </c>
      <c r="N184" s="415">
        <v>0</v>
      </c>
      <c r="O184" s="415">
        <v>0</v>
      </c>
      <c r="P184" s="68">
        <v>427134</v>
      </c>
      <c r="Q184" s="68">
        <v>12637</v>
      </c>
      <c r="R184" s="415">
        <v>9500</v>
      </c>
      <c r="S184" s="416">
        <v>3.55</v>
      </c>
      <c r="T184" s="417">
        <v>3.55</v>
      </c>
      <c r="U184" s="423">
        <v>0</v>
      </c>
      <c r="V184" s="424">
        <f t="shared" si="409"/>
        <v>0</v>
      </c>
      <c r="W184" s="418">
        <f t="shared" si="409"/>
        <v>0</v>
      </c>
      <c r="X184" s="418">
        <v>0</v>
      </c>
      <c r="Y184" s="418">
        <v>0</v>
      </c>
      <c r="Z184" s="418">
        <v>0</v>
      </c>
      <c r="AA184" s="415">
        <v>0</v>
      </c>
      <c r="AB184" s="418">
        <v>0</v>
      </c>
      <c r="AC184" s="418">
        <v>0</v>
      </c>
      <c r="AD184" s="418">
        <f>V184+X184+Y184+Z184+AB184</f>
        <v>0</v>
      </c>
      <c r="AE184" s="418">
        <f>W184+AA184+AC184</f>
        <v>0</v>
      </c>
      <c r="AF184" s="418">
        <f>SUM(AD184:AE184)</f>
        <v>0</v>
      </c>
      <c r="AG184" s="418">
        <v>0</v>
      </c>
      <c r="AH184" s="418">
        <v>0</v>
      </c>
      <c r="AI184" s="418">
        <v>0</v>
      </c>
      <c r="AJ184" s="418">
        <v>0</v>
      </c>
      <c r="AK184" s="418">
        <v>0</v>
      </c>
      <c r="AL184" s="418">
        <f>AG184+AI184+AJ184</f>
        <v>0</v>
      </c>
      <c r="AM184" s="418">
        <f>AH184+AK184</f>
        <v>0</v>
      </c>
      <c r="AN184" s="418">
        <f>SUM(AL184:AM184)</f>
        <v>0</v>
      </c>
      <c r="AO184" s="418">
        <f t="shared" si="410"/>
        <v>0</v>
      </c>
      <c r="AP184" s="418">
        <f t="shared" si="410"/>
        <v>0</v>
      </c>
      <c r="AQ184" s="418">
        <f>SUM(AO184:AP184)</f>
        <v>0</v>
      </c>
      <c r="AR184" s="68">
        <f>ROUND((AF184+AG184+AH184+AI184)*33.8%,0)</f>
        <v>0</v>
      </c>
      <c r="AS184" s="68">
        <f>ROUND(AF184*1%,0)</f>
        <v>0</v>
      </c>
      <c r="AT184" s="418">
        <v>0</v>
      </c>
      <c r="AU184" s="415">
        <v>0</v>
      </c>
      <c r="AV184" s="418">
        <f>AT184+AU184</f>
        <v>0</v>
      </c>
      <c r="AW184" s="418">
        <f>AQ184+AR184+AS184+AV184</f>
        <v>0</v>
      </c>
      <c r="AX184" s="419">
        <v>0</v>
      </c>
      <c r="AY184" s="419">
        <v>0</v>
      </c>
      <c r="AZ184" s="419">
        <v>0</v>
      </c>
      <c r="BA184" s="419">
        <v>0</v>
      </c>
      <c r="BB184" s="416">
        <v>0</v>
      </c>
      <c r="BC184" s="939">
        <v>0</v>
      </c>
      <c r="BD184" s="419">
        <v>0</v>
      </c>
      <c r="BE184" s="419">
        <v>0</v>
      </c>
      <c r="BF184" s="419">
        <f>AX184+AZ184+BA184+BC184+BD184</f>
        <v>0</v>
      </c>
      <c r="BG184" s="419">
        <f>AY184+BB184+BE184</f>
        <v>0</v>
      </c>
      <c r="BH184" s="421">
        <f>SUM(BF184:BG184)</f>
        <v>0</v>
      </c>
      <c r="BI184" s="780">
        <f>I184+AW184</f>
        <v>1712982</v>
      </c>
      <c r="BJ184" s="418">
        <f>J184+AF184</f>
        <v>1263711</v>
      </c>
      <c r="BK184" s="418">
        <f t="shared" si="411"/>
        <v>1263711</v>
      </c>
      <c r="BL184" s="418">
        <f t="shared" si="411"/>
        <v>0</v>
      </c>
      <c r="BM184" s="418">
        <f>M184+AN184</f>
        <v>0</v>
      </c>
      <c r="BN184" s="418">
        <f t="shared" si="412"/>
        <v>0</v>
      </c>
      <c r="BO184" s="418">
        <f t="shared" si="412"/>
        <v>0</v>
      </c>
      <c r="BP184" s="418">
        <f t="shared" si="413"/>
        <v>427134</v>
      </c>
      <c r="BQ184" s="418">
        <f t="shared" si="413"/>
        <v>12637</v>
      </c>
      <c r="BR184" s="418">
        <f>R184+AV184</f>
        <v>9500</v>
      </c>
      <c r="BS184" s="419">
        <f>S184+BH184</f>
        <v>3.55</v>
      </c>
      <c r="BT184" s="419">
        <f t="shared" si="414"/>
        <v>3.55</v>
      </c>
      <c r="BU184" s="421">
        <f t="shared" si="414"/>
        <v>0</v>
      </c>
      <c r="BV184" s="420"/>
      <c r="BW184" s="415"/>
      <c r="BX184" s="415"/>
      <c r="BY184" s="415"/>
      <c r="BZ184" s="415"/>
      <c r="CA184" s="510"/>
    </row>
    <row r="185" spans="1:79" s="221" customFormat="1" ht="12.75" customHeight="1" x14ac:dyDescent="0.2">
      <c r="A185" s="209">
        <v>33</v>
      </c>
      <c r="B185" s="210">
        <v>4447</v>
      </c>
      <c r="C185" s="210">
        <v>600074749</v>
      </c>
      <c r="D185" s="210">
        <v>70695962</v>
      </c>
      <c r="E185" s="208" t="s">
        <v>209</v>
      </c>
      <c r="F185" s="210">
        <v>3141</v>
      </c>
      <c r="G185" s="165" t="s">
        <v>294</v>
      </c>
      <c r="H185" s="626" t="s">
        <v>272</v>
      </c>
      <c r="I185" s="511">
        <v>536503</v>
      </c>
      <c r="J185" s="415">
        <v>395741</v>
      </c>
      <c r="K185" s="415">
        <v>0</v>
      </c>
      <c r="L185" s="415">
        <v>395741</v>
      </c>
      <c r="M185" s="415">
        <v>0</v>
      </c>
      <c r="N185" s="415">
        <v>0</v>
      </c>
      <c r="O185" s="415">
        <v>0</v>
      </c>
      <c r="P185" s="68">
        <v>133760</v>
      </c>
      <c r="Q185" s="68">
        <v>3957</v>
      </c>
      <c r="R185" s="415">
        <v>3045</v>
      </c>
      <c r="S185" s="416">
        <v>1.19</v>
      </c>
      <c r="T185" s="417">
        <v>0</v>
      </c>
      <c r="U185" s="423">
        <v>1.19</v>
      </c>
      <c r="V185" s="424">
        <f t="shared" si="409"/>
        <v>0</v>
      </c>
      <c r="W185" s="418">
        <f t="shared" si="409"/>
        <v>0</v>
      </c>
      <c r="X185" s="418">
        <v>0</v>
      </c>
      <c r="Y185" s="418">
        <v>0</v>
      </c>
      <c r="Z185" s="418">
        <v>0</v>
      </c>
      <c r="AA185" s="605">
        <v>196751</v>
      </c>
      <c r="AB185" s="418">
        <v>0</v>
      </c>
      <c r="AC185" s="418">
        <v>0</v>
      </c>
      <c r="AD185" s="418">
        <f>V185+X185+Y185+Z185+AB185</f>
        <v>0</v>
      </c>
      <c r="AE185" s="418">
        <f>W185+AA185+AC185</f>
        <v>196751</v>
      </c>
      <c r="AF185" s="418">
        <f>SUM(AD185:AE185)</f>
        <v>196751</v>
      </c>
      <c r="AG185" s="418">
        <v>0</v>
      </c>
      <c r="AH185" s="418">
        <v>0</v>
      </c>
      <c r="AI185" s="418">
        <v>0</v>
      </c>
      <c r="AJ185" s="418">
        <v>0</v>
      </c>
      <c r="AK185" s="418">
        <v>0</v>
      </c>
      <c r="AL185" s="418">
        <f>AG185+AI185+AJ185</f>
        <v>0</v>
      </c>
      <c r="AM185" s="418">
        <f>AH185+AK185</f>
        <v>0</v>
      </c>
      <c r="AN185" s="418">
        <f>SUM(AL185:AM185)</f>
        <v>0</v>
      </c>
      <c r="AO185" s="418">
        <f t="shared" si="410"/>
        <v>0</v>
      </c>
      <c r="AP185" s="418">
        <f t="shared" si="410"/>
        <v>196751</v>
      </c>
      <c r="AQ185" s="418">
        <f>SUM(AO185:AP185)</f>
        <v>196751</v>
      </c>
      <c r="AR185" s="68">
        <f>ROUND((AF185+AG185+AH185+AI185)*33.8%,0)</f>
        <v>66502</v>
      </c>
      <c r="AS185" s="68">
        <f>ROUND(AF185*1%,0)</f>
        <v>1968</v>
      </c>
      <c r="AT185" s="418">
        <v>0</v>
      </c>
      <c r="AU185" s="605">
        <v>1479</v>
      </c>
      <c r="AV185" s="418">
        <f>AT185+AU185</f>
        <v>1479</v>
      </c>
      <c r="AW185" s="418">
        <f>AQ185+AR185+AS185+AV185</f>
        <v>266700</v>
      </c>
      <c r="AX185" s="419">
        <v>0</v>
      </c>
      <c r="AY185" s="419">
        <v>0</v>
      </c>
      <c r="AZ185" s="419">
        <v>0</v>
      </c>
      <c r="BA185" s="419">
        <v>0</v>
      </c>
      <c r="BB185" s="607">
        <v>0.59</v>
      </c>
      <c r="BC185" s="939">
        <v>0</v>
      </c>
      <c r="BD185" s="419">
        <v>0</v>
      </c>
      <c r="BE185" s="419">
        <v>0</v>
      </c>
      <c r="BF185" s="419">
        <f>AX185+AZ185+BA185+BC185+BD185</f>
        <v>0</v>
      </c>
      <c r="BG185" s="419">
        <f>AY185+BB185+BE185</f>
        <v>0.59</v>
      </c>
      <c r="BH185" s="421">
        <f>SUM(BF185:BG185)</f>
        <v>0.59</v>
      </c>
      <c r="BI185" s="780">
        <f>I185+AW185</f>
        <v>803203</v>
      </c>
      <c r="BJ185" s="418">
        <f>J185+AF185</f>
        <v>592492</v>
      </c>
      <c r="BK185" s="418">
        <f t="shared" si="411"/>
        <v>0</v>
      </c>
      <c r="BL185" s="418">
        <f t="shared" si="411"/>
        <v>592492</v>
      </c>
      <c r="BM185" s="418">
        <f>M185+AN185</f>
        <v>0</v>
      </c>
      <c r="BN185" s="418">
        <f t="shared" si="412"/>
        <v>0</v>
      </c>
      <c r="BO185" s="418">
        <f t="shared" si="412"/>
        <v>0</v>
      </c>
      <c r="BP185" s="418">
        <f t="shared" si="413"/>
        <v>200262</v>
      </c>
      <c r="BQ185" s="418">
        <f t="shared" si="413"/>
        <v>5925</v>
      </c>
      <c r="BR185" s="418">
        <f>R185+AV185</f>
        <v>4524</v>
      </c>
      <c r="BS185" s="419">
        <f>S185+BH185</f>
        <v>1.7799999999999998</v>
      </c>
      <c r="BT185" s="419">
        <f t="shared" si="414"/>
        <v>0</v>
      </c>
      <c r="BU185" s="421">
        <f t="shared" si="414"/>
        <v>1.7799999999999998</v>
      </c>
      <c r="BV185" s="420"/>
      <c r="BW185" s="415"/>
      <c r="BX185" s="415"/>
      <c r="BY185" s="415"/>
      <c r="BZ185" s="415"/>
      <c r="CA185" s="510"/>
    </row>
    <row r="186" spans="1:79" s="221" customFormat="1" ht="12.75" customHeight="1" x14ac:dyDescent="0.2">
      <c r="A186" s="209">
        <v>33</v>
      </c>
      <c r="B186" s="210">
        <v>4447</v>
      </c>
      <c r="C186" s="210">
        <v>600074749</v>
      </c>
      <c r="D186" s="210">
        <v>70695962</v>
      </c>
      <c r="E186" s="208" t="s">
        <v>833</v>
      </c>
      <c r="F186" s="210">
        <v>3143</v>
      </c>
      <c r="G186" s="165" t="s">
        <v>595</v>
      </c>
      <c r="H186" s="614" t="s">
        <v>271</v>
      </c>
      <c r="I186" s="511">
        <v>1143905</v>
      </c>
      <c r="J186" s="415">
        <v>848594</v>
      </c>
      <c r="K186" s="415">
        <v>848594</v>
      </c>
      <c r="L186" s="415">
        <v>0</v>
      </c>
      <c r="M186" s="415">
        <v>0</v>
      </c>
      <c r="N186" s="415">
        <v>0</v>
      </c>
      <c r="O186" s="415">
        <v>0</v>
      </c>
      <c r="P186" s="68">
        <v>286825</v>
      </c>
      <c r="Q186" s="68">
        <v>8486</v>
      </c>
      <c r="R186" s="415">
        <v>0</v>
      </c>
      <c r="S186" s="416">
        <v>1.8332999999999999</v>
      </c>
      <c r="T186" s="417">
        <v>1.8332999999999999</v>
      </c>
      <c r="U186" s="423">
        <v>0</v>
      </c>
      <c r="V186" s="424">
        <f t="shared" si="409"/>
        <v>0</v>
      </c>
      <c r="W186" s="418">
        <f t="shared" si="409"/>
        <v>0</v>
      </c>
      <c r="X186" s="418">
        <v>0</v>
      </c>
      <c r="Y186" s="418">
        <v>0</v>
      </c>
      <c r="Z186" s="418">
        <v>0</v>
      </c>
      <c r="AA186" s="415">
        <v>0</v>
      </c>
      <c r="AB186" s="418">
        <v>0</v>
      </c>
      <c r="AC186" s="418">
        <v>0</v>
      </c>
      <c r="AD186" s="418">
        <f>V186+X186+Y186+Z186+AB186</f>
        <v>0</v>
      </c>
      <c r="AE186" s="418">
        <f>W186+AA186+AC186</f>
        <v>0</v>
      </c>
      <c r="AF186" s="418">
        <f>SUM(AD186:AE186)</f>
        <v>0</v>
      </c>
      <c r="AG186" s="418">
        <v>0</v>
      </c>
      <c r="AH186" s="418">
        <v>0</v>
      </c>
      <c r="AI186" s="418">
        <v>0</v>
      </c>
      <c r="AJ186" s="418">
        <v>0</v>
      </c>
      <c r="AK186" s="418">
        <v>0</v>
      </c>
      <c r="AL186" s="418">
        <f>AG186+AI186+AJ186</f>
        <v>0</v>
      </c>
      <c r="AM186" s="418">
        <f>AH186+AK186</f>
        <v>0</v>
      </c>
      <c r="AN186" s="418">
        <f>SUM(AL186:AM186)</f>
        <v>0</v>
      </c>
      <c r="AO186" s="418">
        <f t="shared" si="410"/>
        <v>0</v>
      </c>
      <c r="AP186" s="418">
        <f t="shared" si="410"/>
        <v>0</v>
      </c>
      <c r="AQ186" s="418">
        <f>SUM(AO186:AP186)</f>
        <v>0</v>
      </c>
      <c r="AR186" s="68">
        <f>ROUND((AF186+AG186+AH186+AI186)*33.8%,0)</f>
        <v>0</v>
      </c>
      <c r="AS186" s="68">
        <f>ROUND(AF186*1%,0)</f>
        <v>0</v>
      </c>
      <c r="AT186" s="418">
        <v>0</v>
      </c>
      <c r="AU186" s="415">
        <v>0</v>
      </c>
      <c r="AV186" s="418">
        <f>AT186+AU186</f>
        <v>0</v>
      </c>
      <c r="AW186" s="418">
        <f>AQ186+AR186+AS186+AV186</f>
        <v>0</v>
      </c>
      <c r="AX186" s="419">
        <v>0</v>
      </c>
      <c r="AY186" s="419">
        <v>0</v>
      </c>
      <c r="AZ186" s="419">
        <v>0</v>
      </c>
      <c r="BA186" s="419">
        <v>0</v>
      </c>
      <c r="BB186" s="416">
        <v>0</v>
      </c>
      <c r="BC186" s="939">
        <v>0</v>
      </c>
      <c r="BD186" s="419">
        <v>0</v>
      </c>
      <c r="BE186" s="419">
        <v>0</v>
      </c>
      <c r="BF186" s="419">
        <f>AX186+AZ186+BA186+BC186+BD186</f>
        <v>0</v>
      </c>
      <c r="BG186" s="419">
        <f>AY186+BB186+BE186</f>
        <v>0</v>
      </c>
      <c r="BH186" s="421">
        <f>SUM(BF186:BG186)</f>
        <v>0</v>
      </c>
      <c r="BI186" s="780">
        <f>I186+AW186</f>
        <v>1143905</v>
      </c>
      <c r="BJ186" s="418">
        <f>J186+AF186</f>
        <v>848594</v>
      </c>
      <c r="BK186" s="418">
        <f t="shared" si="411"/>
        <v>848594</v>
      </c>
      <c r="BL186" s="418">
        <f t="shared" si="411"/>
        <v>0</v>
      </c>
      <c r="BM186" s="418">
        <f>M186+AN186</f>
        <v>0</v>
      </c>
      <c r="BN186" s="418">
        <f t="shared" si="412"/>
        <v>0</v>
      </c>
      <c r="BO186" s="418">
        <f t="shared" si="412"/>
        <v>0</v>
      </c>
      <c r="BP186" s="418">
        <f t="shared" si="413"/>
        <v>286825</v>
      </c>
      <c r="BQ186" s="418">
        <f t="shared" si="413"/>
        <v>8486</v>
      </c>
      <c r="BR186" s="418">
        <f>R186+AV186</f>
        <v>0</v>
      </c>
      <c r="BS186" s="419">
        <f>S186+BH186</f>
        <v>1.8332999999999999</v>
      </c>
      <c r="BT186" s="419">
        <f t="shared" si="414"/>
        <v>1.8332999999999999</v>
      </c>
      <c r="BU186" s="421">
        <f t="shared" si="414"/>
        <v>0</v>
      </c>
      <c r="BV186" s="420"/>
      <c r="BW186" s="415"/>
      <c r="BX186" s="415"/>
      <c r="BY186" s="415"/>
      <c r="BZ186" s="415"/>
      <c r="CA186" s="510"/>
    </row>
    <row r="187" spans="1:79" s="221" customFormat="1" ht="12.75" customHeight="1" x14ac:dyDescent="0.2">
      <c r="A187" s="209">
        <v>33</v>
      </c>
      <c r="B187" s="210">
        <v>4447</v>
      </c>
      <c r="C187" s="210">
        <v>600074749</v>
      </c>
      <c r="D187" s="210">
        <v>70695962</v>
      </c>
      <c r="E187" s="208" t="s">
        <v>833</v>
      </c>
      <c r="F187" s="210">
        <v>3143</v>
      </c>
      <c r="G187" s="165" t="s">
        <v>596</v>
      </c>
      <c r="H187" s="614" t="s">
        <v>272</v>
      </c>
      <c r="I187" s="511">
        <v>20506</v>
      </c>
      <c r="J187" s="415">
        <v>14678</v>
      </c>
      <c r="K187" s="415">
        <v>0</v>
      </c>
      <c r="L187" s="415">
        <v>14678</v>
      </c>
      <c r="M187" s="415">
        <v>0</v>
      </c>
      <c r="N187" s="415">
        <v>0</v>
      </c>
      <c r="O187" s="415">
        <v>0</v>
      </c>
      <c r="P187" s="68">
        <v>4961</v>
      </c>
      <c r="Q187" s="68">
        <v>147</v>
      </c>
      <c r="R187" s="415">
        <v>720</v>
      </c>
      <c r="S187" s="416">
        <v>0.06</v>
      </c>
      <c r="T187" s="417">
        <v>0</v>
      </c>
      <c r="U187" s="423">
        <v>0.06</v>
      </c>
      <c r="V187" s="424">
        <f t="shared" si="409"/>
        <v>0</v>
      </c>
      <c r="W187" s="418">
        <f t="shared" si="409"/>
        <v>0</v>
      </c>
      <c r="X187" s="418">
        <v>0</v>
      </c>
      <c r="Y187" s="418">
        <v>0</v>
      </c>
      <c r="Z187" s="418">
        <v>0</v>
      </c>
      <c r="AA187" s="605">
        <v>7322</v>
      </c>
      <c r="AB187" s="418">
        <v>0</v>
      </c>
      <c r="AC187" s="418">
        <v>0</v>
      </c>
      <c r="AD187" s="418">
        <f>V187+X187+Y187+Z187+AB187</f>
        <v>0</v>
      </c>
      <c r="AE187" s="418">
        <f>W187+AA187+AC187</f>
        <v>7322</v>
      </c>
      <c r="AF187" s="418">
        <f>SUM(AD187:AE187)</f>
        <v>7322</v>
      </c>
      <c r="AG187" s="418">
        <v>0</v>
      </c>
      <c r="AH187" s="418">
        <v>0</v>
      </c>
      <c r="AI187" s="418">
        <v>0</v>
      </c>
      <c r="AJ187" s="418">
        <v>0</v>
      </c>
      <c r="AK187" s="418">
        <v>0</v>
      </c>
      <c r="AL187" s="418">
        <f>AG187+AI187+AJ187</f>
        <v>0</v>
      </c>
      <c r="AM187" s="418">
        <f>AH187+AK187</f>
        <v>0</v>
      </c>
      <c r="AN187" s="418">
        <f>SUM(AL187:AM187)</f>
        <v>0</v>
      </c>
      <c r="AO187" s="418">
        <f t="shared" si="410"/>
        <v>0</v>
      </c>
      <c r="AP187" s="418">
        <f t="shared" si="410"/>
        <v>7322</v>
      </c>
      <c r="AQ187" s="418">
        <f>SUM(AO187:AP187)</f>
        <v>7322</v>
      </c>
      <c r="AR187" s="68">
        <f>ROUND((AF187+AG187+AH187+AI187)*33.8%,0)</f>
        <v>2475</v>
      </c>
      <c r="AS187" s="68">
        <f>ROUND(AF187*1%,0)</f>
        <v>73</v>
      </c>
      <c r="AT187" s="418">
        <v>0</v>
      </c>
      <c r="AU187" s="606">
        <v>360</v>
      </c>
      <c r="AV187" s="418">
        <f>AT187+AU187</f>
        <v>360</v>
      </c>
      <c r="AW187" s="418">
        <f>AQ187+AR187+AS187+AV187</f>
        <v>10230</v>
      </c>
      <c r="AX187" s="419">
        <v>0</v>
      </c>
      <c r="AY187" s="419">
        <v>0</v>
      </c>
      <c r="AZ187" s="419">
        <v>0</v>
      </c>
      <c r="BA187" s="419">
        <v>0</v>
      </c>
      <c r="BB187" s="607">
        <v>0.03</v>
      </c>
      <c r="BC187" s="939">
        <v>0</v>
      </c>
      <c r="BD187" s="419">
        <v>0</v>
      </c>
      <c r="BE187" s="419">
        <v>0</v>
      </c>
      <c r="BF187" s="419">
        <f>AX187+AZ187+BA187+BC187+BD187</f>
        <v>0</v>
      </c>
      <c r="BG187" s="419">
        <f>AY187+BB187+BE187</f>
        <v>0.03</v>
      </c>
      <c r="BH187" s="421">
        <f>SUM(BF187:BG187)</f>
        <v>0.03</v>
      </c>
      <c r="BI187" s="780">
        <f>I187+AW187</f>
        <v>30736</v>
      </c>
      <c r="BJ187" s="418">
        <f>J187+AF187</f>
        <v>22000</v>
      </c>
      <c r="BK187" s="418">
        <f t="shared" si="411"/>
        <v>0</v>
      </c>
      <c r="BL187" s="418">
        <f t="shared" si="411"/>
        <v>22000</v>
      </c>
      <c r="BM187" s="418">
        <f>M187+AN187</f>
        <v>0</v>
      </c>
      <c r="BN187" s="418">
        <f t="shared" si="412"/>
        <v>0</v>
      </c>
      <c r="BO187" s="418">
        <f t="shared" si="412"/>
        <v>0</v>
      </c>
      <c r="BP187" s="418">
        <f t="shared" si="413"/>
        <v>7436</v>
      </c>
      <c r="BQ187" s="418">
        <f t="shared" si="413"/>
        <v>220</v>
      </c>
      <c r="BR187" s="418">
        <f>R187+AV187</f>
        <v>1080</v>
      </c>
      <c r="BS187" s="419">
        <f>S187+BH187</f>
        <v>0.09</v>
      </c>
      <c r="BT187" s="419">
        <f t="shared" si="414"/>
        <v>0</v>
      </c>
      <c r="BU187" s="421">
        <f t="shared" si="414"/>
        <v>0.09</v>
      </c>
      <c r="BV187" s="420"/>
      <c r="BW187" s="415"/>
      <c r="BX187" s="415"/>
      <c r="BY187" s="415"/>
      <c r="BZ187" s="415"/>
      <c r="CA187" s="510"/>
    </row>
    <row r="188" spans="1:79" s="221" customFormat="1" ht="12.75" customHeight="1" x14ac:dyDescent="0.2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13"/>
      <c r="I188" s="452">
        <v>15915973</v>
      </c>
      <c r="J188" s="445">
        <v>11699612</v>
      </c>
      <c r="K188" s="445">
        <v>10503127</v>
      </c>
      <c r="L188" s="445">
        <v>1196485</v>
      </c>
      <c r="M188" s="445">
        <v>0</v>
      </c>
      <c r="N188" s="445">
        <v>0</v>
      </c>
      <c r="O188" s="445">
        <v>0</v>
      </c>
      <c r="P188" s="445">
        <v>3954468</v>
      </c>
      <c r="Q188" s="445">
        <v>116996</v>
      </c>
      <c r="R188" s="445">
        <v>144897</v>
      </c>
      <c r="S188" s="446">
        <v>20.872900000000001</v>
      </c>
      <c r="T188" s="446">
        <v>17.383200000000002</v>
      </c>
      <c r="U188" s="450">
        <v>3.4897</v>
      </c>
      <c r="V188" s="448">
        <f t="shared" ref="V188:CA188" si="415">SUM(V183:V187)</f>
        <v>0</v>
      </c>
      <c r="W188" s="445">
        <f t="shared" si="415"/>
        <v>0</v>
      </c>
      <c r="X188" s="445">
        <f t="shared" si="415"/>
        <v>0</v>
      </c>
      <c r="Y188" s="445">
        <f t="shared" si="415"/>
        <v>0</v>
      </c>
      <c r="Z188" s="445">
        <f t="shared" si="415"/>
        <v>0</v>
      </c>
      <c r="AA188" s="445">
        <f t="shared" si="415"/>
        <v>204073</v>
      </c>
      <c r="AB188" s="445">
        <f t="shared" si="415"/>
        <v>0</v>
      </c>
      <c r="AC188" s="445">
        <f t="shared" si="415"/>
        <v>0</v>
      </c>
      <c r="AD188" s="445">
        <f t="shared" si="415"/>
        <v>0</v>
      </c>
      <c r="AE188" s="445">
        <f t="shared" si="415"/>
        <v>204073</v>
      </c>
      <c r="AF188" s="445">
        <f t="shared" si="415"/>
        <v>204073</v>
      </c>
      <c r="AG188" s="445">
        <f t="shared" si="415"/>
        <v>0</v>
      </c>
      <c r="AH188" s="445">
        <f t="shared" si="415"/>
        <v>0</v>
      </c>
      <c r="AI188" s="445">
        <f t="shared" si="415"/>
        <v>0</v>
      </c>
      <c r="AJ188" s="445">
        <f t="shared" si="415"/>
        <v>0</v>
      </c>
      <c r="AK188" s="445">
        <f t="shared" si="415"/>
        <v>0</v>
      </c>
      <c r="AL188" s="445">
        <f t="shared" si="415"/>
        <v>0</v>
      </c>
      <c r="AM188" s="445">
        <f t="shared" si="415"/>
        <v>0</v>
      </c>
      <c r="AN188" s="445">
        <f t="shared" si="415"/>
        <v>0</v>
      </c>
      <c r="AO188" s="445">
        <f t="shared" si="415"/>
        <v>0</v>
      </c>
      <c r="AP188" s="445">
        <f t="shared" si="415"/>
        <v>204073</v>
      </c>
      <c r="AQ188" s="445">
        <f t="shared" si="415"/>
        <v>204073</v>
      </c>
      <c r="AR188" s="445">
        <f t="shared" si="415"/>
        <v>68977</v>
      </c>
      <c r="AS188" s="445">
        <f t="shared" si="415"/>
        <v>2041</v>
      </c>
      <c r="AT188" s="445">
        <f t="shared" si="415"/>
        <v>0</v>
      </c>
      <c r="AU188" s="445">
        <f t="shared" si="415"/>
        <v>1839</v>
      </c>
      <c r="AV188" s="445">
        <f t="shared" si="415"/>
        <v>1839</v>
      </c>
      <c r="AW188" s="445">
        <f t="shared" si="415"/>
        <v>276930</v>
      </c>
      <c r="AX188" s="446">
        <f t="shared" si="415"/>
        <v>0</v>
      </c>
      <c r="AY188" s="446">
        <f t="shared" si="415"/>
        <v>0</v>
      </c>
      <c r="AZ188" s="446">
        <f t="shared" si="415"/>
        <v>0</v>
      </c>
      <c r="BA188" s="446">
        <f t="shared" si="415"/>
        <v>0</v>
      </c>
      <c r="BB188" s="446">
        <f t="shared" si="415"/>
        <v>0.62</v>
      </c>
      <c r="BC188" s="948">
        <f t="shared" si="415"/>
        <v>0</v>
      </c>
      <c r="BD188" s="446">
        <f t="shared" si="415"/>
        <v>0</v>
      </c>
      <c r="BE188" s="446">
        <f t="shared" si="415"/>
        <v>0</v>
      </c>
      <c r="BF188" s="446">
        <f t="shared" si="415"/>
        <v>0</v>
      </c>
      <c r="BG188" s="446">
        <f t="shared" si="415"/>
        <v>0.62</v>
      </c>
      <c r="BH188" s="39">
        <f t="shared" si="415"/>
        <v>0.62</v>
      </c>
      <c r="BI188" s="452">
        <f t="shared" si="415"/>
        <v>16192903</v>
      </c>
      <c r="BJ188" s="445">
        <f t="shared" si="415"/>
        <v>11903685</v>
      </c>
      <c r="BK188" s="445">
        <f t="shared" si="415"/>
        <v>10503127</v>
      </c>
      <c r="BL188" s="445">
        <f t="shared" si="415"/>
        <v>1400558</v>
      </c>
      <c r="BM188" s="445">
        <f t="shared" si="415"/>
        <v>0</v>
      </c>
      <c r="BN188" s="445">
        <f t="shared" si="415"/>
        <v>0</v>
      </c>
      <c r="BO188" s="445">
        <f t="shared" si="415"/>
        <v>0</v>
      </c>
      <c r="BP188" s="445">
        <f t="shared" si="415"/>
        <v>4023445</v>
      </c>
      <c r="BQ188" s="445">
        <f t="shared" si="415"/>
        <v>119037</v>
      </c>
      <c r="BR188" s="445">
        <f t="shared" si="415"/>
        <v>146736</v>
      </c>
      <c r="BS188" s="446">
        <f t="shared" si="415"/>
        <v>21.492900000000002</v>
      </c>
      <c r="BT188" s="446">
        <f t="shared" si="415"/>
        <v>17.383200000000002</v>
      </c>
      <c r="BU188" s="39">
        <f t="shared" si="415"/>
        <v>4.1097000000000001</v>
      </c>
      <c r="BV188" s="833">
        <f t="shared" si="415"/>
        <v>0</v>
      </c>
      <c r="BW188" s="715">
        <f t="shared" si="415"/>
        <v>0</v>
      </c>
      <c r="BX188" s="715">
        <f t="shared" si="415"/>
        <v>0</v>
      </c>
      <c r="BY188" s="715">
        <f t="shared" si="415"/>
        <v>0</v>
      </c>
      <c r="BZ188" s="715">
        <f t="shared" si="415"/>
        <v>0</v>
      </c>
      <c r="CA188" s="834">
        <f t="shared" si="415"/>
        <v>0</v>
      </c>
    </row>
    <row r="189" spans="1:79" s="221" customFormat="1" ht="12.75" customHeight="1" x14ac:dyDescent="0.2">
      <c r="A189" s="209">
        <v>34</v>
      </c>
      <c r="B189" s="210">
        <v>4449</v>
      </c>
      <c r="C189" s="210">
        <v>650037090</v>
      </c>
      <c r="D189" s="210">
        <v>72744171</v>
      </c>
      <c r="E189" s="208" t="s">
        <v>211</v>
      </c>
      <c r="F189" s="210">
        <v>3111</v>
      </c>
      <c r="G189" s="165" t="s">
        <v>290</v>
      </c>
      <c r="H189" s="626" t="s">
        <v>271</v>
      </c>
      <c r="I189" s="511">
        <v>2999603</v>
      </c>
      <c r="J189" s="415">
        <v>2218490</v>
      </c>
      <c r="K189" s="415">
        <v>2098682</v>
      </c>
      <c r="L189" s="415">
        <v>119808</v>
      </c>
      <c r="M189" s="415">
        <v>0</v>
      </c>
      <c r="N189" s="415">
        <v>0</v>
      </c>
      <c r="O189" s="415">
        <v>0</v>
      </c>
      <c r="P189" s="68">
        <v>749850</v>
      </c>
      <c r="Q189" s="68">
        <v>22185</v>
      </c>
      <c r="R189" s="415">
        <v>9078</v>
      </c>
      <c r="S189" s="416">
        <v>4.4800000000000004</v>
      </c>
      <c r="T189" s="417">
        <v>4</v>
      </c>
      <c r="U189" s="423">
        <v>0.48</v>
      </c>
      <c r="V189" s="424">
        <f t="shared" ref="V189:W194" si="416">AG189*-1</f>
        <v>0</v>
      </c>
      <c r="W189" s="418">
        <f t="shared" si="416"/>
        <v>0</v>
      </c>
      <c r="X189" s="418">
        <v>0</v>
      </c>
      <c r="Y189" s="418">
        <v>0</v>
      </c>
      <c r="Z189" s="418">
        <v>0</v>
      </c>
      <c r="AA189" s="415">
        <v>0</v>
      </c>
      <c r="AB189" s="418">
        <v>0</v>
      </c>
      <c r="AC189" s="418">
        <v>0</v>
      </c>
      <c r="AD189" s="418">
        <f t="shared" ref="AD189:AD194" si="417">V189+X189+Y189+Z189+AB189</f>
        <v>0</v>
      </c>
      <c r="AE189" s="418">
        <f t="shared" ref="AE189:AE194" si="418">W189+AA189+AC189</f>
        <v>0</v>
      </c>
      <c r="AF189" s="418">
        <f t="shared" ref="AF189:AF194" si="419">SUM(AD189:AE189)</f>
        <v>0</v>
      </c>
      <c r="AG189" s="418">
        <v>0</v>
      </c>
      <c r="AH189" s="418">
        <v>0</v>
      </c>
      <c r="AI189" s="418">
        <v>0</v>
      </c>
      <c r="AJ189" s="418">
        <v>0</v>
      </c>
      <c r="AK189" s="418">
        <v>0</v>
      </c>
      <c r="AL189" s="418">
        <f t="shared" ref="AL189:AL194" si="420">AG189+AI189+AJ189</f>
        <v>0</v>
      </c>
      <c r="AM189" s="418">
        <f t="shared" ref="AM189:AM194" si="421">AH189+AK189</f>
        <v>0</v>
      </c>
      <c r="AN189" s="418">
        <f t="shared" ref="AN189:AN194" si="422">SUM(AL189:AM189)</f>
        <v>0</v>
      </c>
      <c r="AO189" s="418">
        <f t="shared" ref="AO189:AP194" si="423">AD189+AL189</f>
        <v>0</v>
      </c>
      <c r="AP189" s="418">
        <f t="shared" si="423"/>
        <v>0</v>
      </c>
      <c r="AQ189" s="418">
        <f t="shared" ref="AQ189:AQ194" si="424">SUM(AO189:AP189)</f>
        <v>0</v>
      </c>
      <c r="AR189" s="68">
        <f t="shared" ref="AR189:AR194" si="425">ROUND((AF189+AG189+AH189+AI189)*33.8%,0)</f>
        <v>0</v>
      </c>
      <c r="AS189" s="68">
        <f t="shared" ref="AS189:AS194" si="426">ROUND(AF189*1%,0)</f>
        <v>0</v>
      </c>
      <c r="AT189" s="418">
        <v>0</v>
      </c>
      <c r="AU189" s="415">
        <v>0</v>
      </c>
      <c r="AV189" s="418">
        <f t="shared" ref="AV189:AV194" si="427">AT189+AU189</f>
        <v>0</v>
      </c>
      <c r="AW189" s="418">
        <f t="shared" ref="AW189:AW194" si="428">AQ189+AR189+AS189+AV189</f>
        <v>0</v>
      </c>
      <c r="AX189" s="419">
        <v>0</v>
      </c>
      <c r="AY189" s="419">
        <v>0</v>
      </c>
      <c r="AZ189" s="419">
        <v>0</v>
      </c>
      <c r="BA189" s="419">
        <v>0</v>
      </c>
      <c r="BB189" s="416">
        <v>0</v>
      </c>
      <c r="BC189" s="939">
        <v>0</v>
      </c>
      <c r="BD189" s="419">
        <v>0</v>
      </c>
      <c r="BE189" s="419">
        <v>0</v>
      </c>
      <c r="BF189" s="419">
        <f t="shared" ref="BF189:BF194" si="429">AX189+AZ189+BA189+BC189+BD189</f>
        <v>0</v>
      </c>
      <c r="BG189" s="419">
        <f t="shared" ref="BG189:BG194" si="430">AY189+BB189+BE189</f>
        <v>0</v>
      </c>
      <c r="BH189" s="421">
        <f t="shared" ref="BH189:BH194" si="431">SUM(BF189:BG189)</f>
        <v>0</v>
      </c>
      <c r="BI189" s="780">
        <f t="shared" ref="BI189:BI194" si="432">I189+AW189</f>
        <v>2999603</v>
      </c>
      <c r="BJ189" s="418">
        <f t="shared" ref="BJ189:BJ194" si="433">J189+AF189</f>
        <v>2218490</v>
      </c>
      <c r="BK189" s="418">
        <f t="shared" ref="BK189:BL194" si="434">K189+AD189</f>
        <v>2098682</v>
      </c>
      <c r="BL189" s="418">
        <f t="shared" si="434"/>
        <v>119808</v>
      </c>
      <c r="BM189" s="418">
        <f t="shared" ref="BM189:BM194" si="435">M189+AN189</f>
        <v>0</v>
      </c>
      <c r="BN189" s="418">
        <f t="shared" ref="BN189:BO194" si="436">N189+AL189</f>
        <v>0</v>
      </c>
      <c r="BO189" s="418">
        <f t="shared" si="436"/>
        <v>0</v>
      </c>
      <c r="BP189" s="418">
        <f t="shared" ref="BP189:BQ194" si="437">P189+AR189</f>
        <v>749850</v>
      </c>
      <c r="BQ189" s="418">
        <f t="shared" si="437"/>
        <v>22185</v>
      </c>
      <c r="BR189" s="418">
        <f t="shared" ref="BR189:BR194" si="438">R189+AV189</f>
        <v>9078</v>
      </c>
      <c r="BS189" s="419">
        <f t="shared" ref="BS189:BS194" si="439">S189+BH189</f>
        <v>4.4800000000000004</v>
      </c>
      <c r="BT189" s="419">
        <f t="shared" ref="BT189:BU194" si="440">T189+BF189</f>
        <v>4</v>
      </c>
      <c r="BU189" s="421">
        <f t="shared" si="440"/>
        <v>0.48</v>
      </c>
      <c r="BV189" s="420"/>
      <c r="BW189" s="415"/>
      <c r="BX189" s="415"/>
      <c r="BY189" s="415"/>
      <c r="BZ189" s="415"/>
      <c r="CA189" s="510"/>
    </row>
    <row r="190" spans="1:79" s="221" customFormat="1" ht="12.75" customHeight="1" x14ac:dyDescent="0.2">
      <c r="A190" s="209">
        <v>34</v>
      </c>
      <c r="B190" s="210">
        <v>4449</v>
      </c>
      <c r="C190" s="210">
        <v>650037090</v>
      </c>
      <c r="D190" s="210">
        <v>72744171</v>
      </c>
      <c r="E190" s="208" t="s">
        <v>211</v>
      </c>
      <c r="F190" s="210">
        <v>3113</v>
      </c>
      <c r="G190" s="165" t="s">
        <v>293</v>
      </c>
      <c r="H190" s="626" t="s">
        <v>271</v>
      </c>
      <c r="I190" s="511">
        <v>12748714</v>
      </c>
      <c r="J190" s="415">
        <v>9219373</v>
      </c>
      <c r="K190" s="415">
        <v>8187699</v>
      </c>
      <c r="L190" s="415">
        <v>1031674</v>
      </c>
      <c r="M190" s="415">
        <v>125920</v>
      </c>
      <c r="N190" s="415">
        <v>105920</v>
      </c>
      <c r="O190" s="415">
        <v>20000</v>
      </c>
      <c r="P190" s="68">
        <v>3158709</v>
      </c>
      <c r="Q190" s="68">
        <v>92194</v>
      </c>
      <c r="R190" s="415">
        <v>152518</v>
      </c>
      <c r="S190" s="416">
        <v>15.2127</v>
      </c>
      <c r="T190" s="417">
        <v>12.1363</v>
      </c>
      <c r="U190" s="423">
        <v>3.0764</v>
      </c>
      <c r="V190" s="424">
        <f t="shared" si="416"/>
        <v>0</v>
      </c>
      <c r="W190" s="418">
        <f t="shared" si="416"/>
        <v>0</v>
      </c>
      <c r="X190" s="418">
        <v>0</v>
      </c>
      <c r="Y190" s="418">
        <v>0</v>
      </c>
      <c r="Z190" s="418">
        <v>0</v>
      </c>
      <c r="AA190" s="415">
        <v>0</v>
      </c>
      <c r="AB190" s="418">
        <v>0</v>
      </c>
      <c r="AC190" s="418">
        <v>0</v>
      </c>
      <c r="AD190" s="418">
        <f t="shared" si="417"/>
        <v>0</v>
      </c>
      <c r="AE190" s="418">
        <f t="shared" si="418"/>
        <v>0</v>
      </c>
      <c r="AF190" s="418">
        <f t="shared" si="419"/>
        <v>0</v>
      </c>
      <c r="AG190" s="418">
        <v>0</v>
      </c>
      <c r="AH190" s="418">
        <v>0</v>
      </c>
      <c r="AI190" s="418">
        <v>0</v>
      </c>
      <c r="AJ190" s="418">
        <v>0</v>
      </c>
      <c r="AK190" s="418">
        <v>0</v>
      </c>
      <c r="AL190" s="418">
        <f t="shared" si="420"/>
        <v>0</v>
      </c>
      <c r="AM190" s="418">
        <f t="shared" si="421"/>
        <v>0</v>
      </c>
      <c r="AN190" s="418">
        <f t="shared" si="422"/>
        <v>0</v>
      </c>
      <c r="AO190" s="418">
        <f t="shared" si="423"/>
        <v>0</v>
      </c>
      <c r="AP190" s="418">
        <f t="shared" si="423"/>
        <v>0</v>
      </c>
      <c r="AQ190" s="418">
        <f t="shared" si="424"/>
        <v>0</v>
      </c>
      <c r="AR190" s="68">
        <f t="shared" si="425"/>
        <v>0</v>
      </c>
      <c r="AS190" s="68">
        <f t="shared" si="426"/>
        <v>0</v>
      </c>
      <c r="AT190" s="418">
        <v>0</v>
      </c>
      <c r="AU190" s="415">
        <v>0</v>
      </c>
      <c r="AV190" s="418">
        <f t="shared" si="427"/>
        <v>0</v>
      </c>
      <c r="AW190" s="418">
        <f t="shared" si="428"/>
        <v>0</v>
      </c>
      <c r="AX190" s="419">
        <v>0</v>
      </c>
      <c r="AY190" s="419">
        <v>0</v>
      </c>
      <c r="AZ190" s="419">
        <v>0</v>
      </c>
      <c r="BA190" s="419">
        <v>0</v>
      </c>
      <c r="BB190" s="416">
        <v>0</v>
      </c>
      <c r="BC190" s="939">
        <v>0</v>
      </c>
      <c r="BD190" s="419">
        <v>0</v>
      </c>
      <c r="BE190" s="419">
        <v>0</v>
      </c>
      <c r="BF190" s="419">
        <f t="shared" si="429"/>
        <v>0</v>
      </c>
      <c r="BG190" s="419">
        <f t="shared" si="430"/>
        <v>0</v>
      </c>
      <c r="BH190" s="421">
        <f t="shared" si="431"/>
        <v>0</v>
      </c>
      <c r="BI190" s="780">
        <f t="shared" si="432"/>
        <v>12748714</v>
      </c>
      <c r="BJ190" s="418">
        <f t="shared" si="433"/>
        <v>9219373</v>
      </c>
      <c r="BK190" s="418">
        <f t="shared" si="434"/>
        <v>8187699</v>
      </c>
      <c r="BL190" s="418">
        <f t="shared" si="434"/>
        <v>1031674</v>
      </c>
      <c r="BM190" s="418">
        <f t="shared" si="435"/>
        <v>125920</v>
      </c>
      <c r="BN190" s="418">
        <f t="shared" si="436"/>
        <v>105920</v>
      </c>
      <c r="BO190" s="418">
        <f t="shared" si="436"/>
        <v>20000</v>
      </c>
      <c r="BP190" s="418">
        <f t="shared" si="437"/>
        <v>3158709</v>
      </c>
      <c r="BQ190" s="418">
        <f t="shared" si="437"/>
        <v>92194</v>
      </c>
      <c r="BR190" s="418">
        <f t="shared" si="438"/>
        <v>152518</v>
      </c>
      <c r="BS190" s="419">
        <f t="shared" si="439"/>
        <v>15.2127</v>
      </c>
      <c r="BT190" s="419">
        <f t="shared" si="440"/>
        <v>12.1363</v>
      </c>
      <c r="BU190" s="421">
        <f t="shared" si="440"/>
        <v>3.0764</v>
      </c>
      <c r="BV190" s="420"/>
      <c r="BW190" s="415"/>
      <c r="BX190" s="415"/>
      <c r="BY190" s="415"/>
      <c r="BZ190" s="415"/>
      <c r="CA190" s="510"/>
    </row>
    <row r="191" spans="1:79" s="221" customFormat="1" ht="12.75" customHeight="1" x14ac:dyDescent="0.2">
      <c r="A191" s="209">
        <v>34</v>
      </c>
      <c r="B191" s="210">
        <v>4449</v>
      </c>
      <c r="C191" s="210">
        <v>650037090</v>
      </c>
      <c r="D191" s="210">
        <v>72744171</v>
      </c>
      <c r="E191" s="208" t="s">
        <v>211</v>
      </c>
      <c r="F191" s="210">
        <v>3113</v>
      </c>
      <c r="G191" s="165" t="s">
        <v>291</v>
      </c>
      <c r="H191" s="626" t="s">
        <v>272</v>
      </c>
      <c r="I191" s="511">
        <v>2010575</v>
      </c>
      <c r="J191" s="415">
        <v>1491525</v>
      </c>
      <c r="K191" s="415">
        <v>1491525</v>
      </c>
      <c r="L191" s="415">
        <v>0</v>
      </c>
      <c r="M191" s="415">
        <v>0</v>
      </c>
      <c r="N191" s="415">
        <v>0</v>
      </c>
      <c r="O191" s="415">
        <v>0</v>
      </c>
      <c r="P191" s="68">
        <v>504135</v>
      </c>
      <c r="Q191" s="68">
        <v>14915</v>
      </c>
      <c r="R191" s="415">
        <v>0</v>
      </c>
      <c r="S191" s="416">
        <v>3.99</v>
      </c>
      <c r="T191" s="417">
        <v>3.99</v>
      </c>
      <c r="U191" s="423">
        <v>0</v>
      </c>
      <c r="V191" s="424">
        <f t="shared" si="416"/>
        <v>0</v>
      </c>
      <c r="W191" s="418">
        <f t="shared" si="416"/>
        <v>0</v>
      </c>
      <c r="X191" s="418">
        <v>0</v>
      </c>
      <c r="Y191" s="418">
        <v>0</v>
      </c>
      <c r="Z191" s="418">
        <v>0</v>
      </c>
      <c r="AA191" s="415">
        <v>0</v>
      </c>
      <c r="AB191" s="418">
        <v>0</v>
      </c>
      <c r="AC191" s="418">
        <v>0</v>
      </c>
      <c r="AD191" s="418">
        <f t="shared" si="417"/>
        <v>0</v>
      </c>
      <c r="AE191" s="418">
        <f t="shared" si="418"/>
        <v>0</v>
      </c>
      <c r="AF191" s="418">
        <f t="shared" si="419"/>
        <v>0</v>
      </c>
      <c r="AG191" s="418">
        <v>0</v>
      </c>
      <c r="AH191" s="418">
        <v>0</v>
      </c>
      <c r="AI191" s="418">
        <v>0</v>
      </c>
      <c r="AJ191" s="418">
        <v>0</v>
      </c>
      <c r="AK191" s="418">
        <v>0</v>
      </c>
      <c r="AL191" s="418">
        <f t="shared" si="420"/>
        <v>0</v>
      </c>
      <c r="AM191" s="418">
        <f t="shared" si="421"/>
        <v>0</v>
      </c>
      <c r="AN191" s="418">
        <f t="shared" si="422"/>
        <v>0</v>
      </c>
      <c r="AO191" s="418">
        <f t="shared" si="423"/>
        <v>0</v>
      </c>
      <c r="AP191" s="418">
        <f t="shared" si="423"/>
        <v>0</v>
      </c>
      <c r="AQ191" s="418">
        <f t="shared" si="424"/>
        <v>0</v>
      </c>
      <c r="AR191" s="68">
        <f t="shared" si="425"/>
        <v>0</v>
      </c>
      <c r="AS191" s="68">
        <f t="shared" si="426"/>
        <v>0</v>
      </c>
      <c r="AT191" s="418">
        <v>0</v>
      </c>
      <c r="AU191" s="415">
        <v>0</v>
      </c>
      <c r="AV191" s="418">
        <f t="shared" si="427"/>
        <v>0</v>
      </c>
      <c r="AW191" s="418">
        <f t="shared" si="428"/>
        <v>0</v>
      </c>
      <c r="AX191" s="419">
        <v>0</v>
      </c>
      <c r="AY191" s="419">
        <v>0</v>
      </c>
      <c r="AZ191" s="419">
        <v>0</v>
      </c>
      <c r="BA191" s="419">
        <v>0</v>
      </c>
      <c r="BB191" s="416">
        <v>0</v>
      </c>
      <c r="BC191" s="939">
        <v>0</v>
      </c>
      <c r="BD191" s="419">
        <v>0</v>
      </c>
      <c r="BE191" s="419">
        <v>0</v>
      </c>
      <c r="BF191" s="419">
        <f t="shared" si="429"/>
        <v>0</v>
      </c>
      <c r="BG191" s="419">
        <f t="shared" si="430"/>
        <v>0</v>
      </c>
      <c r="BH191" s="421">
        <f t="shared" si="431"/>
        <v>0</v>
      </c>
      <c r="BI191" s="780">
        <f t="shared" si="432"/>
        <v>2010575</v>
      </c>
      <c r="BJ191" s="418">
        <f t="shared" si="433"/>
        <v>1491525</v>
      </c>
      <c r="BK191" s="418">
        <f t="shared" si="434"/>
        <v>1491525</v>
      </c>
      <c r="BL191" s="418">
        <f t="shared" si="434"/>
        <v>0</v>
      </c>
      <c r="BM191" s="418">
        <f t="shared" si="435"/>
        <v>0</v>
      </c>
      <c r="BN191" s="418">
        <f t="shared" si="436"/>
        <v>0</v>
      </c>
      <c r="BO191" s="418">
        <f t="shared" si="436"/>
        <v>0</v>
      </c>
      <c r="BP191" s="418">
        <f t="shared" si="437"/>
        <v>504135</v>
      </c>
      <c r="BQ191" s="418">
        <f t="shared" si="437"/>
        <v>14915</v>
      </c>
      <c r="BR191" s="418">
        <f t="shared" si="438"/>
        <v>0</v>
      </c>
      <c r="BS191" s="419">
        <f t="shared" si="439"/>
        <v>3.99</v>
      </c>
      <c r="BT191" s="419">
        <f t="shared" si="440"/>
        <v>3.99</v>
      </c>
      <c r="BU191" s="421">
        <f t="shared" si="440"/>
        <v>0</v>
      </c>
      <c r="BV191" s="420"/>
      <c r="BW191" s="415"/>
      <c r="BX191" s="415"/>
      <c r="BY191" s="415"/>
      <c r="BZ191" s="415"/>
      <c r="CA191" s="510"/>
    </row>
    <row r="192" spans="1:79" s="221" customFormat="1" ht="12.75" customHeight="1" x14ac:dyDescent="0.2">
      <c r="A192" s="209">
        <v>34</v>
      </c>
      <c r="B192" s="210">
        <v>4449</v>
      </c>
      <c r="C192" s="210">
        <v>650037090</v>
      </c>
      <c r="D192" s="210">
        <v>72744171</v>
      </c>
      <c r="E192" s="208" t="s">
        <v>211</v>
      </c>
      <c r="F192" s="210">
        <v>3141</v>
      </c>
      <c r="G192" s="165" t="s">
        <v>294</v>
      </c>
      <c r="H192" s="626" t="s">
        <v>272</v>
      </c>
      <c r="I192" s="511">
        <v>855088</v>
      </c>
      <c r="J192" s="415">
        <v>631378</v>
      </c>
      <c r="K192" s="415">
        <v>0</v>
      </c>
      <c r="L192" s="415">
        <v>631378</v>
      </c>
      <c r="M192" s="415">
        <v>0</v>
      </c>
      <c r="N192" s="415">
        <v>0</v>
      </c>
      <c r="O192" s="415">
        <v>0</v>
      </c>
      <c r="P192" s="68">
        <v>213406</v>
      </c>
      <c r="Q192" s="68">
        <v>6314</v>
      </c>
      <c r="R192" s="415">
        <v>3990</v>
      </c>
      <c r="S192" s="416">
        <v>1.89</v>
      </c>
      <c r="T192" s="417">
        <v>0</v>
      </c>
      <c r="U192" s="423">
        <v>1.89</v>
      </c>
      <c r="V192" s="424">
        <f t="shared" si="416"/>
        <v>0</v>
      </c>
      <c r="W192" s="418">
        <f t="shared" si="416"/>
        <v>0</v>
      </c>
      <c r="X192" s="418">
        <v>0</v>
      </c>
      <c r="Y192" s="418">
        <v>0</v>
      </c>
      <c r="Z192" s="418">
        <v>0</v>
      </c>
      <c r="AA192" s="605">
        <v>317302</v>
      </c>
      <c r="AB192" s="418">
        <v>0</v>
      </c>
      <c r="AC192" s="418">
        <v>0</v>
      </c>
      <c r="AD192" s="418">
        <f t="shared" si="417"/>
        <v>0</v>
      </c>
      <c r="AE192" s="418">
        <f t="shared" si="418"/>
        <v>317302</v>
      </c>
      <c r="AF192" s="418">
        <f t="shared" si="419"/>
        <v>317302</v>
      </c>
      <c r="AG192" s="418">
        <v>0</v>
      </c>
      <c r="AH192" s="418">
        <v>0</v>
      </c>
      <c r="AI192" s="418">
        <v>0</v>
      </c>
      <c r="AJ192" s="418">
        <v>0</v>
      </c>
      <c r="AK192" s="418">
        <v>0</v>
      </c>
      <c r="AL192" s="418">
        <f t="shared" si="420"/>
        <v>0</v>
      </c>
      <c r="AM192" s="418">
        <f t="shared" si="421"/>
        <v>0</v>
      </c>
      <c r="AN192" s="418">
        <f t="shared" si="422"/>
        <v>0</v>
      </c>
      <c r="AO192" s="418">
        <f t="shared" si="423"/>
        <v>0</v>
      </c>
      <c r="AP192" s="418">
        <f t="shared" si="423"/>
        <v>317302</v>
      </c>
      <c r="AQ192" s="418">
        <f t="shared" si="424"/>
        <v>317302</v>
      </c>
      <c r="AR192" s="68">
        <f t="shared" si="425"/>
        <v>107248</v>
      </c>
      <c r="AS192" s="68">
        <f t="shared" si="426"/>
        <v>3173</v>
      </c>
      <c r="AT192" s="418">
        <v>0</v>
      </c>
      <c r="AU192" s="605">
        <v>1938</v>
      </c>
      <c r="AV192" s="418">
        <f t="shared" si="427"/>
        <v>1938</v>
      </c>
      <c r="AW192" s="418">
        <f t="shared" si="428"/>
        <v>429661</v>
      </c>
      <c r="AX192" s="419">
        <v>0</v>
      </c>
      <c r="AY192" s="419">
        <v>0</v>
      </c>
      <c r="AZ192" s="419">
        <v>0</v>
      </c>
      <c r="BA192" s="419">
        <v>0</v>
      </c>
      <c r="BB192" s="607">
        <v>0.95</v>
      </c>
      <c r="BC192" s="939">
        <v>0</v>
      </c>
      <c r="BD192" s="419">
        <v>0</v>
      </c>
      <c r="BE192" s="419">
        <v>0</v>
      </c>
      <c r="BF192" s="419">
        <f t="shared" si="429"/>
        <v>0</v>
      </c>
      <c r="BG192" s="419">
        <f t="shared" si="430"/>
        <v>0.95</v>
      </c>
      <c r="BH192" s="421">
        <f t="shared" si="431"/>
        <v>0.95</v>
      </c>
      <c r="BI192" s="780">
        <f t="shared" si="432"/>
        <v>1284749</v>
      </c>
      <c r="BJ192" s="418">
        <f t="shared" si="433"/>
        <v>948680</v>
      </c>
      <c r="BK192" s="418">
        <f t="shared" si="434"/>
        <v>0</v>
      </c>
      <c r="BL192" s="418">
        <f t="shared" si="434"/>
        <v>948680</v>
      </c>
      <c r="BM192" s="418">
        <f t="shared" si="435"/>
        <v>0</v>
      </c>
      <c r="BN192" s="418">
        <f t="shared" si="436"/>
        <v>0</v>
      </c>
      <c r="BO192" s="418">
        <f t="shared" si="436"/>
        <v>0</v>
      </c>
      <c r="BP192" s="418">
        <f t="shared" si="437"/>
        <v>320654</v>
      </c>
      <c r="BQ192" s="418">
        <f t="shared" si="437"/>
        <v>9487</v>
      </c>
      <c r="BR192" s="418">
        <f t="shared" si="438"/>
        <v>5928</v>
      </c>
      <c r="BS192" s="419">
        <f t="shared" si="439"/>
        <v>2.84</v>
      </c>
      <c r="BT192" s="419">
        <f t="shared" si="440"/>
        <v>0</v>
      </c>
      <c r="BU192" s="421">
        <f t="shared" si="440"/>
        <v>2.84</v>
      </c>
      <c r="BV192" s="420"/>
      <c r="BW192" s="415"/>
      <c r="BX192" s="415"/>
      <c r="BY192" s="415"/>
      <c r="BZ192" s="415"/>
      <c r="CA192" s="510"/>
    </row>
    <row r="193" spans="1:79" s="221" customFormat="1" ht="12.75" customHeight="1" x14ac:dyDescent="0.2">
      <c r="A193" s="209">
        <v>34</v>
      </c>
      <c r="B193" s="210">
        <v>4449</v>
      </c>
      <c r="C193" s="210">
        <v>650037090</v>
      </c>
      <c r="D193" s="210">
        <v>72744171</v>
      </c>
      <c r="E193" s="208" t="s">
        <v>211</v>
      </c>
      <c r="F193" s="210">
        <v>3143</v>
      </c>
      <c r="G193" s="165" t="s">
        <v>595</v>
      </c>
      <c r="H193" s="614" t="s">
        <v>271</v>
      </c>
      <c r="I193" s="511">
        <v>1588765</v>
      </c>
      <c r="J193" s="415">
        <v>1178609</v>
      </c>
      <c r="K193" s="415">
        <v>1178609</v>
      </c>
      <c r="L193" s="415">
        <v>0</v>
      </c>
      <c r="M193" s="415">
        <v>0</v>
      </c>
      <c r="N193" s="415">
        <v>0</v>
      </c>
      <c r="O193" s="415">
        <v>0</v>
      </c>
      <c r="P193" s="68">
        <v>398370</v>
      </c>
      <c r="Q193" s="68">
        <v>11786</v>
      </c>
      <c r="R193" s="415">
        <v>0</v>
      </c>
      <c r="S193" s="416">
        <v>2.5</v>
      </c>
      <c r="T193" s="417">
        <v>2.5</v>
      </c>
      <c r="U193" s="423">
        <v>0</v>
      </c>
      <c r="V193" s="424">
        <f t="shared" si="416"/>
        <v>0</v>
      </c>
      <c r="W193" s="418">
        <f t="shared" si="416"/>
        <v>0</v>
      </c>
      <c r="X193" s="418">
        <v>0</v>
      </c>
      <c r="Y193" s="418">
        <v>0</v>
      </c>
      <c r="Z193" s="418">
        <v>0</v>
      </c>
      <c r="AA193" s="415">
        <v>0</v>
      </c>
      <c r="AB193" s="418">
        <v>0</v>
      </c>
      <c r="AC193" s="418">
        <v>0</v>
      </c>
      <c r="AD193" s="418">
        <f t="shared" si="417"/>
        <v>0</v>
      </c>
      <c r="AE193" s="418">
        <f t="shared" si="418"/>
        <v>0</v>
      </c>
      <c r="AF193" s="418">
        <f t="shared" si="419"/>
        <v>0</v>
      </c>
      <c r="AG193" s="418">
        <v>0</v>
      </c>
      <c r="AH193" s="418">
        <v>0</v>
      </c>
      <c r="AI193" s="418">
        <v>0</v>
      </c>
      <c r="AJ193" s="418">
        <v>0</v>
      </c>
      <c r="AK193" s="418">
        <v>0</v>
      </c>
      <c r="AL193" s="418">
        <f t="shared" si="420"/>
        <v>0</v>
      </c>
      <c r="AM193" s="418">
        <f t="shared" si="421"/>
        <v>0</v>
      </c>
      <c r="AN193" s="418">
        <f t="shared" si="422"/>
        <v>0</v>
      </c>
      <c r="AO193" s="418">
        <f t="shared" si="423"/>
        <v>0</v>
      </c>
      <c r="AP193" s="418">
        <f t="shared" si="423"/>
        <v>0</v>
      </c>
      <c r="AQ193" s="418">
        <f t="shared" si="424"/>
        <v>0</v>
      </c>
      <c r="AR193" s="68">
        <f t="shared" si="425"/>
        <v>0</v>
      </c>
      <c r="AS193" s="68">
        <f t="shared" si="426"/>
        <v>0</v>
      </c>
      <c r="AT193" s="418">
        <v>0</v>
      </c>
      <c r="AU193" s="415">
        <v>0</v>
      </c>
      <c r="AV193" s="418">
        <f t="shared" si="427"/>
        <v>0</v>
      </c>
      <c r="AW193" s="418">
        <f t="shared" si="428"/>
        <v>0</v>
      </c>
      <c r="AX193" s="419">
        <v>0</v>
      </c>
      <c r="AY193" s="419">
        <v>0</v>
      </c>
      <c r="AZ193" s="419">
        <v>0</v>
      </c>
      <c r="BA193" s="419">
        <v>0</v>
      </c>
      <c r="BB193" s="416">
        <v>0</v>
      </c>
      <c r="BC193" s="939">
        <v>0</v>
      </c>
      <c r="BD193" s="419">
        <v>0</v>
      </c>
      <c r="BE193" s="419">
        <v>0</v>
      </c>
      <c r="BF193" s="419">
        <f t="shared" si="429"/>
        <v>0</v>
      </c>
      <c r="BG193" s="419">
        <f t="shared" si="430"/>
        <v>0</v>
      </c>
      <c r="BH193" s="421">
        <f t="shared" si="431"/>
        <v>0</v>
      </c>
      <c r="BI193" s="780">
        <f t="shared" si="432"/>
        <v>1588765</v>
      </c>
      <c r="BJ193" s="418">
        <f t="shared" si="433"/>
        <v>1178609</v>
      </c>
      <c r="BK193" s="418">
        <f t="shared" si="434"/>
        <v>1178609</v>
      </c>
      <c r="BL193" s="418">
        <f t="shared" si="434"/>
        <v>0</v>
      </c>
      <c r="BM193" s="418">
        <f t="shared" si="435"/>
        <v>0</v>
      </c>
      <c r="BN193" s="418">
        <f t="shared" si="436"/>
        <v>0</v>
      </c>
      <c r="BO193" s="418">
        <f t="shared" si="436"/>
        <v>0</v>
      </c>
      <c r="BP193" s="418">
        <f t="shared" si="437"/>
        <v>398370</v>
      </c>
      <c r="BQ193" s="418">
        <f t="shared" si="437"/>
        <v>11786</v>
      </c>
      <c r="BR193" s="418">
        <f t="shared" si="438"/>
        <v>0</v>
      </c>
      <c r="BS193" s="419">
        <f t="shared" si="439"/>
        <v>2.5</v>
      </c>
      <c r="BT193" s="419">
        <f t="shared" si="440"/>
        <v>2.5</v>
      </c>
      <c r="BU193" s="421">
        <f t="shared" si="440"/>
        <v>0</v>
      </c>
      <c r="BV193" s="420"/>
      <c r="BW193" s="415"/>
      <c r="BX193" s="415"/>
      <c r="BY193" s="415"/>
      <c r="BZ193" s="415"/>
      <c r="CA193" s="510"/>
    </row>
    <row r="194" spans="1:79" s="221" customFormat="1" ht="12.75" customHeight="1" x14ac:dyDescent="0.2">
      <c r="A194" s="209">
        <v>34</v>
      </c>
      <c r="B194" s="210">
        <v>4449</v>
      </c>
      <c r="C194" s="210">
        <v>650037090</v>
      </c>
      <c r="D194" s="210">
        <v>72744171</v>
      </c>
      <c r="E194" s="208" t="s">
        <v>211</v>
      </c>
      <c r="F194" s="210">
        <v>3143</v>
      </c>
      <c r="G194" s="165" t="s">
        <v>596</v>
      </c>
      <c r="H194" s="614" t="s">
        <v>272</v>
      </c>
      <c r="I194" s="511">
        <v>31241</v>
      </c>
      <c r="J194" s="415">
        <v>22361</v>
      </c>
      <c r="K194" s="415">
        <v>0</v>
      </c>
      <c r="L194" s="415">
        <v>22361</v>
      </c>
      <c r="M194" s="415">
        <v>0</v>
      </c>
      <c r="N194" s="415">
        <v>0</v>
      </c>
      <c r="O194" s="415">
        <v>0</v>
      </c>
      <c r="P194" s="68">
        <v>7558</v>
      </c>
      <c r="Q194" s="68">
        <v>224</v>
      </c>
      <c r="R194" s="415">
        <v>1098</v>
      </c>
      <c r="S194" s="416">
        <v>0.08</v>
      </c>
      <c r="T194" s="417">
        <v>0</v>
      </c>
      <c r="U194" s="423">
        <v>0.08</v>
      </c>
      <c r="V194" s="424">
        <f t="shared" si="416"/>
        <v>0</v>
      </c>
      <c r="W194" s="418">
        <f t="shared" si="416"/>
        <v>0</v>
      </c>
      <c r="X194" s="418">
        <v>0</v>
      </c>
      <c r="Y194" s="418">
        <v>0</v>
      </c>
      <c r="Z194" s="418">
        <v>0</v>
      </c>
      <c r="AA194" s="415">
        <v>11189</v>
      </c>
      <c r="AB194" s="418">
        <v>0</v>
      </c>
      <c r="AC194" s="418">
        <v>0</v>
      </c>
      <c r="AD194" s="418">
        <f t="shared" si="417"/>
        <v>0</v>
      </c>
      <c r="AE194" s="418">
        <f t="shared" si="418"/>
        <v>11189</v>
      </c>
      <c r="AF194" s="418">
        <f t="shared" si="419"/>
        <v>11189</v>
      </c>
      <c r="AG194" s="418">
        <v>0</v>
      </c>
      <c r="AH194" s="418">
        <v>0</v>
      </c>
      <c r="AI194" s="418">
        <v>0</v>
      </c>
      <c r="AJ194" s="418">
        <v>0</v>
      </c>
      <c r="AK194" s="418">
        <v>0</v>
      </c>
      <c r="AL194" s="418">
        <f t="shared" si="420"/>
        <v>0</v>
      </c>
      <c r="AM194" s="418">
        <f t="shared" si="421"/>
        <v>0</v>
      </c>
      <c r="AN194" s="418">
        <f t="shared" si="422"/>
        <v>0</v>
      </c>
      <c r="AO194" s="418">
        <f t="shared" si="423"/>
        <v>0</v>
      </c>
      <c r="AP194" s="418">
        <f t="shared" si="423"/>
        <v>11189</v>
      </c>
      <c r="AQ194" s="418">
        <f t="shared" si="424"/>
        <v>11189</v>
      </c>
      <c r="AR194" s="68">
        <f t="shared" si="425"/>
        <v>3782</v>
      </c>
      <c r="AS194" s="68">
        <f t="shared" si="426"/>
        <v>112</v>
      </c>
      <c r="AT194" s="418">
        <v>0</v>
      </c>
      <c r="AU194" s="415">
        <v>549</v>
      </c>
      <c r="AV194" s="418">
        <f t="shared" si="427"/>
        <v>549</v>
      </c>
      <c r="AW194" s="418">
        <f t="shared" si="428"/>
        <v>15632</v>
      </c>
      <c r="AX194" s="419">
        <v>0</v>
      </c>
      <c r="AY194" s="419">
        <v>0</v>
      </c>
      <c r="AZ194" s="419">
        <v>0</v>
      </c>
      <c r="BA194" s="419">
        <v>0</v>
      </c>
      <c r="BB194" s="416">
        <v>0.04</v>
      </c>
      <c r="BC194" s="939">
        <v>0</v>
      </c>
      <c r="BD194" s="419">
        <v>0</v>
      </c>
      <c r="BE194" s="419">
        <v>0</v>
      </c>
      <c r="BF194" s="419">
        <f t="shared" si="429"/>
        <v>0</v>
      </c>
      <c r="BG194" s="419">
        <f t="shared" si="430"/>
        <v>0.04</v>
      </c>
      <c r="BH194" s="421">
        <f t="shared" si="431"/>
        <v>0.04</v>
      </c>
      <c r="BI194" s="780">
        <f t="shared" si="432"/>
        <v>46873</v>
      </c>
      <c r="BJ194" s="418">
        <f t="shared" si="433"/>
        <v>33550</v>
      </c>
      <c r="BK194" s="418">
        <f t="shared" si="434"/>
        <v>0</v>
      </c>
      <c r="BL194" s="418">
        <f t="shared" si="434"/>
        <v>33550</v>
      </c>
      <c r="BM194" s="418">
        <f t="shared" si="435"/>
        <v>0</v>
      </c>
      <c r="BN194" s="418">
        <f t="shared" si="436"/>
        <v>0</v>
      </c>
      <c r="BO194" s="418">
        <f t="shared" si="436"/>
        <v>0</v>
      </c>
      <c r="BP194" s="418">
        <f t="shared" si="437"/>
        <v>11340</v>
      </c>
      <c r="BQ194" s="418">
        <f t="shared" si="437"/>
        <v>336</v>
      </c>
      <c r="BR194" s="418">
        <f t="shared" si="438"/>
        <v>1647</v>
      </c>
      <c r="BS194" s="419">
        <f t="shared" si="439"/>
        <v>0.12</v>
      </c>
      <c r="BT194" s="419">
        <f t="shared" si="440"/>
        <v>0</v>
      </c>
      <c r="BU194" s="421">
        <f t="shared" si="440"/>
        <v>0.12</v>
      </c>
      <c r="BV194" s="420"/>
      <c r="BW194" s="415"/>
      <c r="BX194" s="415"/>
      <c r="BY194" s="415"/>
      <c r="BZ194" s="415"/>
      <c r="CA194" s="510"/>
    </row>
    <row r="195" spans="1:79" s="221" customFormat="1" ht="12.75" customHeight="1" x14ac:dyDescent="0.2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13"/>
      <c r="I195" s="452">
        <v>20233986</v>
      </c>
      <c r="J195" s="445">
        <v>14761736</v>
      </c>
      <c r="K195" s="445">
        <v>12956515</v>
      </c>
      <c r="L195" s="445">
        <v>1805221</v>
      </c>
      <c r="M195" s="445">
        <v>125920</v>
      </c>
      <c r="N195" s="445">
        <v>105920</v>
      </c>
      <c r="O195" s="445">
        <v>20000</v>
      </c>
      <c r="P195" s="445">
        <v>5032028</v>
      </c>
      <c r="Q195" s="445">
        <v>147618</v>
      </c>
      <c r="R195" s="445">
        <v>166684</v>
      </c>
      <c r="S195" s="446">
        <v>28.152700000000003</v>
      </c>
      <c r="T195" s="446">
        <v>22.626300000000001</v>
      </c>
      <c r="U195" s="450">
        <v>5.5263999999999998</v>
      </c>
      <c r="V195" s="448">
        <f t="shared" ref="V195:CA195" si="441">SUM(V189:V194)</f>
        <v>0</v>
      </c>
      <c r="W195" s="445">
        <f t="shared" si="441"/>
        <v>0</v>
      </c>
      <c r="X195" s="445">
        <f t="shared" si="441"/>
        <v>0</v>
      </c>
      <c r="Y195" s="445">
        <f t="shared" si="441"/>
        <v>0</v>
      </c>
      <c r="Z195" s="445">
        <f t="shared" si="441"/>
        <v>0</v>
      </c>
      <c r="AA195" s="445">
        <f t="shared" si="441"/>
        <v>328491</v>
      </c>
      <c r="AB195" s="445">
        <f t="shared" si="441"/>
        <v>0</v>
      </c>
      <c r="AC195" s="445">
        <f t="shared" si="441"/>
        <v>0</v>
      </c>
      <c r="AD195" s="445">
        <f t="shared" si="441"/>
        <v>0</v>
      </c>
      <c r="AE195" s="445">
        <f t="shared" si="441"/>
        <v>328491</v>
      </c>
      <c r="AF195" s="445">
        <f t="shared" si="441"/>
        <v>328491</v>
      </c>
      <c r="AG195" s="445">
        <f t="shared" si="441"/>
        <v>0</v>
      </c>
      <c r="AH195" s="445">
        <f t="shared" si="441"/>
        <v>0</v>
      </c>
      <c r="AI195" s="445">
        <f t="shared" si="441"/>
        <v>0</v>
      </c>
      <c r="AJ195" s="445">
        <f t="shared" si="441"/>
        <v>0</v>
      </c>
      <c r="AK195" s="445">
        <f t="shared" si="441"/>
        <v>0</v>
      </c>
      <c r="AL195" s="445">
        <f t="shared" si="441"/>
        <v>0</v>
      </c>
      <c r="AM195" s="445">
        <f t="shared" si="441"/>
        <v>0</v>
      </c>
      <c r="AN195" s="445">
        <f t="shared" si="441"/>
        <v>0</v>
      </c>
      <c r="AO195" s="445">
        <f t="shared" si="441"/>
        <v>0</v>
      </c>
      <c r="AP195" s="445">
        <f t="shared" si="441"/>
        <v>328491</v>
      </c>
      <c r="AQ195" s="445">
        <f t="shared" si="441"/>
        <v>328491</v>
      </c>
      <c r="AR195" s="445">
        <f t="shared" si="441"/>
        <v>111030</v>
      </c>
      <c r="AS195" s="445">
        <f t="shared" si="441"/>
        <v>3285</v>
      </c>
      <c r="AT195" s="445">
        <f t="shared" si="441"/>
        <v>0</v>
      </c>
      <c r="AU195" s="445">
        <f t="shared" si="441"/>
        <v>2487</v>
      </c>
      <c r="AV195" s="445">
        <f t="shared" si="441"/>
        <v>2487</v>
      </c>
      <c r="AW195" s="445">
        <f t="shared" si="441"/>
        <v>445293</v>
      </c>
      <c r="AX195" s="446">
        <f t="shared" si="441"/>
        <v>0</v>
      </c>
      <c r="AY195" s="446">
        <f t="shared" si="441"/>
        <v>0</v>
      </c>
      <c r="AZ195" s="446">
        <f t="shared" si="441"/>
        <v>0</v>
      </c>
      <c r="BA195" s="446">
        <f t="shared" si="441"/>
        <v>0</v>
      </c>
      <c r="BB195" s="446">
        <f t="shared" si="441"/>
        <v>0.99</v>
      </c>
      <c r="BC195" s="948">
        <f t="shared" si="441"/>
        <v>0</v>
      </c>
      <c r="BD195" s="446">
        <f t="shared" si="441"/>
        <v>0</v>
      </c>
      <c r="BE195" s="446">
        <f t="shared" si="441"/>
        <v>0</v>
      </c>
      <c r="BF195" s="446">
        <f t="shared" si="441"/>
        <v>0</v>
      </c>
      <c r="BG195" s="446">
        <f t="shared" si="441"/>
        <v>0.99</v>
      </c>
      <c r="BH195" s="39">
        <f t="shared" si="441"/>
        <v>0.99</v>
      </c>
      <c r="BI195" s="452">
        <f t="shared" si="441"/>
        <v>20679279</v>
      </c>
      <c r="BJ195" s="445">
        <f t="shared" si="441"/>
        <v>15090227</v>
      </c>
      <c r="BK195" s="445">
        <f t="shared" si="441"/>
        <v>12956515</v>
      </c>
      <c r="BL195" s="445">
        <f t="shared" si="441"/>
        <v>2133712</v>
      </c>
      <c r="BM195" s="445">
        <f t="shared" si="441"/>
        <v>125920</v>
      </c>
      <c r="BN195" s="445">
        <f t="shared" si="441"/>
        <v>105920</v>
      </c>
      <c r="BO195" s="445">
        <f t="shared" si="441"/>
        <v>20000</v>
      </c>
      <c r="BP195" s="445">
        <f t="shared" si="441"/>
        <v>5143058</v>
      </c>
      <c r="BQ195" s="445">
        <f t="shared" si="441"/>
        <v>150903</v>
      </c>
      <c r="BR195" s="445">
        <f t="shared" si="441"/>
        <v>169171</v>
      </c>
      <c r="BS195" s="446">
        <f t="shared" si="441"/>
        <v>29.142700000000005</v>
      </c>
      <c r="BT195" s="446">
        <f t="shared" si="441"/>
        <v>22.626300000000001</v>
      </c>
      <c r="BU195" s="39">
        <f t="shared" si="441"/>
        <v>6.5164</v>
      </c>
      <c r="BV195" s="833">
        <f t="shared" si="441"/>
        <v>0</v>
      </c>
      <c r="BW195" s="715">
        <f t="shared" si="441"/>
        <v>0</v>
      </c>
      <c r="BX195" s="715">
        <f t="shared" si="441"/>
        <v>0</v>
      </c>
      <c r="BY195" s="715">
        <f t="shared" si="441"/>
        <v>0</v>
      </c>
      <c r="BZ195" s="715">
        <f t="shared" si="441"/>
        <v>0</v>
      </c>
      <c r="CA195" s="834">
        <f t="shared" si="441"/>
        <v>0</v>
      </c>
    </row>
    <row r="196" spans="1:79" s="221" customFormat="1" ht="12.75" customHeight="1" x14ac:dyDescent="0.2">
      <c r="A196" s="209">
        <v>35</v>
      </c>
      <c r="B196" s="210">
        <v>4401</v>
      </c>
      <c r="C196" s="210">
        <v>600074196</v>
      </c>
      <c r="D196" s="210">
        <v>71011129</v>
      </c>
      <c r="E196" s="208" t="s">
        <v>213</v>
      </c>
      <c r="F196" s="210">
        <v>3111</v>
      </c>
      <c r="G196" s="165" t="s">
        <v>290</v>
      </c>
      <c r="H196" s="626" t="s">
        <v>271</v>
      </c>
      <c r="I196" s="511">
        <v>3332120</v>
      </c>
      <c r="J196" s="415">
        <v>2375040</v>
      </c>
      <c r="K196" s="415">
        <v>2233248</v>
      </c>
      <c r="L196" s="415">
        <v>141792</v>
      </c>
      <c r="M196" s="415">
        <v>90000</v>
      </c>
      <c r="N196" s="415">
        <v>10000</v>
      </c>
      <c r="O196" s="415">
        <v>80000</v>
      </c>
      <c r="P196" s="68">
        <v>833184</v>
      </c>
      <c r="Q196" s="68">
        <v>23750</v>
      </c>
      <c r="R196" s="415">
        <v>10146</v>
      </c>
      <c r="S196" s="416">
        <v>4.4667000000000003</v>
      </c>
      <c r="T196" s="417">
        <v>4</v>
      </c>
      <c r="U196" s="423">
        <v>0.4667</v>
      </c>
      <c r="V196" s="424">
        <f t="shared" ref="V196:W198" si="442">AG196*-1</f>
        <v>0</v>
      </c>
      <c r="W196" s="418">
        <f t="shared" si="442"/>
        <v>0</v>
      </c>
      <c r="X196" s="418">
        <v>0</v>
      </c>
      <c r="Y196" s="418">
        <v>0</v>
      </c>
      <c r="Z196" s="418">
        <v>0</v>
      </c>
      <c r="AA196" s="415">
        <v>0</v>
      </c>
      <c r="AB196" s="418">
        <v>0</v>
      </c>
      <c r="AC196" s="418">
        <v>0</v>
      </c>
      <c r="AD196" s="418">
        <f>V196+X196+Y196+Z196+AB196</f>
        <v>0</v>
      </c>
      <c r="AE196" s="418">
        <f>W196+AA196+AC196</f>
        <v>0</v>
      </c>
      <c r="AF196" s="418">
        <f>SUM(AD196:AE196)</f>
        <v>0</v>
      </c>
      <c r="AG196" s="418">
        <v>0</v>
      </c>
      <c r="AH196" s="418">
        <v>0</v>
      </c>
      <c r="AI196" s="418">
        <v>0</v>
      </c>
      <c r="AJ196" s="418">
        <v>0</v>
      </c>
      <c r="AK196" s="418">
        <v>0</v>
      </c>
      <c r="AL196" s="418">
        <f>AG196+AI196+AJ196</f>
        <v>0</v>
      </c>
      <c r="AM196" s="418">
        <f>AH196+AK196</f>
        <v>0</v>
      </c>
      <c r="AN196" s="418">
        <f>SUM(AL196:AM196)</f>
        <v>0</v>
      </c>
      <c r="AO196" s="418">
        <f t="shared" ref="AO196:AP198" si="443">AD196+AL196</f>
        <v>0</v>
      </c>
      <c r="AP196" s="418">
        <f t="shared" si="443"/>
        <v>0</v>
      </c>
      <c r="AQ196" s="418">
        <f>SUM(AO196:AP196)</f>
        <v>0</v>
      </c>
      <c r="AR196" s="68">
        <f>ROUND((AF196+AG196+AH196+AI196)*33.8%,0)</f>
        <v>0</v>
      </c>
      <c r="AS196" s="68">
        <f>ROUND(AF196*1%,0)</f>
        <v>0</v>
      </c>
      <c r="AT196" s="418">
        <v>0</v>
      </c>
      <c r="AU196" s="415">
        <v>0</v>
      </c>
      <c r="AV196" s="418">
        <f>AT196+AU196</f>
        <v>0</v>
      </c>
      <c r="AW196" s="418">
        <f>AQ196+AR196+AS196+AV196</f>
        <v>0</v>
      </c>
      <c r="AX196" s="419">
        <v>0</v>
      </c>
      <c r="AY196" s="419">
        <v>0</v>
      </c>
      <c r="AZ196" s="419">
        <v>0</v>
      </c>
      <c r="BA196" s="419">
        <v>0</v>
      </c>
      <c r="BB196" s="416">
        <v>0</v>
      </c>
      <c r="BC196" s="939">
        <v>0</v>
      </c>
      <c r="BD196" s="419">
        <v>0</v>
      </c>
      <c r="BE196" s="419">
        <v>0</v>
      </c>
      <c r="BF196" s="419">
        <f>AX196+AZ196+BA196+BC196+BD196</f>
        <v>0</v>
      </c>
      <c r="BG196" s="419">
        <f>AY196+BB196+BE196</f>
        <v>0</v>
      </c>
      <c r="BH196" s="421">
        <f>SUM(BF196:BG196)</f>
        <v>0</v>
      </c>
      <c r="BI196" s="780">
        <f>I196+AW196</f>
        <v>3332120</v>
      </c>
      <c r="BJ196" s="418">
        <f>J196+AF196</f>
        <v>2375040</v>
      </c>
      <c r="BK196" s="418">
        <f t="shared" ref="BK196:BL198" si="444">K196+AD196</f>
        <v>2233248</v>
      </c>
      <c r="BL196" s="418">
        <f t="shared" si="444"/>
        <v>141792</v>
      </c>
      <c r="BM196" s="418">
        <f>M196+AN196</f>
        <v>90000</v>
      </c>
      <c r="BN196" s="418">
        <f t="shared" ref="BN196:BO198" si="445">N196+AL196</f>
        <v>10000</v>
      </c>
      <c r="BO196" s="418">
        <f t="shared" si="445"/>
        <v>80000</v>
      </c>
      <c r="BP196" s="418">
        <f t="shared" ref="BP196:BQ198" si="446">P196+AR196</f>
        <v>833184</v>
      </c>
      <c r="BQ196" s="418">
        <f t="shared" si="446"/>
        <v>23750</v>
      </c>
      <c r="BR196" s="418">
        <f>R196+AV196</f>
        <v>10146</v>
      </c>
      <c r="BS196" s="419">
        <f>S196+BH196</f>
        <v>4.4667000000000003</v>
      </c>
      <c r="BT196" s="419">
        <f t="shared" ref="BT196:BU198" si="447">T196+BF196</f>
        <v>4</v>
      </c>
      <c r="BU196" s="421">
        <f t="shared" si="447"/>
        <v>0.4667</v>
      </c>
      <c r="BV196" s="420"/>
      <c r="BW196" s="415"/>
      <c r="BX196" s="415"/>
      <c r="BY196" s="415"/>
      <c r="BZ196" s="415"/>
      <c r="CA196" s="510"/>
    </row>
    <row r="197" spans="1:79" s="221" customFormat="1" ht="12.75" customHeight="1" x14ac:dyDescent="0.2">
      <c r="A197" s="209">
        <v>35</v>
      </c>
      <c r="B197" s="210">
        <v>4401</v>
      </c>
      <c r="C197" s="210">
        <v>600074196</v>
      </c>
      <c r="D197" s="210">
        <v>71011129</v>
      </c>
      <c r="E197" s="208" t="s">
        <v>213</v>
      </c>
      <c r="F197" s="210">
        <v>3111</v>
      </c>
      <c r="G197" s="165" t="s">
        <v>291</v>
      </c>
      <c r="H197" s="626" t="s">
        <v>272</v>
      </c>
      <c r="I197" s="511">
        <v>319348</v>
      </c>
      <c r="J197" s="415">
        <v>236905</v>
      </c>
      <c r="K197" s="415">
        <v>236905</v>
      </c>
      <c r="L197" s="415">
        <v>0</v>
      </c>
      <c r="M197" s="415">
        <v>0</v>
      </c>
      <c r="N197" s="415">
        <v>0</v>
      </c>
      <c r="O197" s="415">
        <v>0</v>
      </c>
      <c r="P197" s="68">
        <v>80074</v>
      </c>
      <c r="Q197" s="68">
        <v>2369</v>
      </c>
      <c r="R197" s="415">
        <v>0</v>
      </c>
      <c r="S197" s="416">
        <v>0.64</v>
      </c>
      <c r="T197" s="417">
        <v>0.64</v>
      </c>
      <c r="U197" s="423">
        <v>0</v>
      </c>
      <c r="V197" s="424">
        <f t="shared" si="442"/>
        <v>0</v>
      </c>
      <c r="W197" s="418">
        <f t="shared" si="442"/>
        <v>0</v>
      </c>
      <c r="X197" s="418">
        <v>0</v>
      </c>
      <c r="Y197" s="418">
        <v>0</v>
      </c>
      <c r="Z197" s="418">
        <v>0</v>
      </c>
      <c r="AA197" s="415">
        <v>0</v>
      </c>
      <c r="AB197" s="418">
        <v>0</v>
      </c>
      <c r="AC197" s="418">
        <v>0</v>
      </c>
      <c r="AD197" s="418">
        <f>V197+X197+Y197+Z197+AB197</f>
        <v>0</v>
      </c>
      <c r="AE197" s="418">
        <f>W197+AA197+AC197</f>
        <v>0</v>
      </c>
      <c r="AF197" s="418">
        <f>SUM(AD197:AE197)</f>
        <v>0</v>
      </c>
      <c r="AG197" s="418">
        <v>0</v>
      </c>
      <c r="AH197" s="418">
        <v>0</v>
      </c>
      <c r="AI197" s="418">
        <v>0</v>
      </c>
      <c r="AJ197" s="418">
        <v>0</v>
      </c>
      <c r="AK197" s="418">
        <v>0</v>
      </c>
      <c r="AL197" s="418">
        <f>AG197+AI197+AJ197</f>
        <v>0</v>
      </c>
      <c r="AM197" s="418">
        <f>AH197+AK197</f>
        <v>0</v>
      </c>
      <c r="AN197" s="418">
        <f>SUM(AL197:AM197)</f>
        <v>0</v>
      </c>
      <c r="AO197" s="418">
        <f t="shared" si="443"/>
        <v>0</v>
      </c>
      <c r="AP197" s="418">
        <f t="shared" si="443"/>
        <v>0</v>
      </c>
      <c r="AQ197" s="418">
        <f>SUM(AO197:AP197)</f>
        <v>0</v>
      </c>
      <c r="AR197" s="68">
        <f>ROUND((AF197+AG197+AH197+AI197)*33.8%,0)</f>
        <v>0</v>
      </c>
      <c r="AS197" s="68">
        <f>ROUND(AF197*1%,0)</f>
        <v>0</v>
      </c>
      <c r="AT197" s="418">
        <v>0</v>
      </c>
      <c r="AU197" s="415">
        <v>0</v>
      </c>
      <c r="AV197" s="418">
        <f>AT197+AU197</f>
        <v>0</v>
      </c>
      <c r="AW197" s="418">
        <f>AQ197+AR197+AS197+AV197</f>
        <v>0</v>
      </c>
      <c r="AX197" s="419">
        <v>0</v>
      </c>
      <c r="AY197" s="419">
        <v>0</v>
      </c>
      <c r="AZ197" s="419">
        <v>0</v>
      </c>
      <c r="BA197" s="419">
        <v>0</v>
      </c>
      <c r="BB197" s="416">
        <v>0</v>
      </c>
      <c r="BC197" s="939">
        <v>0</v>
      </c>
      <c r="BD197" s="419">
        <v>0</v>
      </c>
      <c r="BE197" s="419">
        <v>0</v>
      </c>
      <c r="BF197" s="419">
        <f>AX197+AZ197+BA197+BC197+BD197</f>
        <v>0</v>
      </c>
      <c r="BG197" s="419">
        <f>AY197+BB197+BE197</f>
        <v>0</v>
      </c>
      <c r="BH197" s="421">
        <f>SUM(BF197:BG197)</f>
        <v>0</v>
      </c>
      <c r="BI197" s="780">
        <f>I197+AW197</f>
        <v>319348</v>
      </c>
      <c r="BJ197" s="418">
        <f>J197+AF197</f>
        <v>236905</v>
      </c>
      <c r="BK197" s="418">
        <f t="shared" si="444"/>
        <v>236905</v>
      </c>
      <c r="BL197" s="418">
        <f t="shared" si="444"/>
        <v>0</v>
      </c>
      <c r="BM197" s="418">
        <f>M197+AN197</f>
        <v>0</v>
      </c>
      <c r="BN197" s="418">
        <f t="shared" si="445"/>
        <v>0</v>
      </c>
      <c r="BO197" s="418">
        <f t="shared" si="445"/>
        <v>0</v>
      </c>
      <c r="BP197" s="418">
        <f t="shared" si="446"/>
        <v>80074</v>
      </c>
      <c r="BQ197" s="418">
        <f t="shared" si="446"/>
        <v>2369</v>
      </c>
      <c r="BR197" s="418">
        <f>R197+AV197</f>
        <v>0</v>
      </c>
      <c r="BS197" s="419">
        <f>S197+BH197</f>
        <v>0.64</v>
      </c>
      <c r="BT197" s="419">
        <f t="shared" si="447"/>
        <v>0.64</v>
      </c>
      <c r="BU197" s="421">
        <f t="shared" si="447"/>
        <v>0</v>
      </c>
      <c r="BV197" s="420"/>
      <c r="BW197" s="415"/>
      <c r="BX197" s="415"/>
      <c r="BY197" s="415"/>
      <c r="BZ197" s="415"/>
      <c r="CA197" s="510"/>
    </row>
    <row r="198" spans="1:79" s="221" customFormat="1" ht="12.75" customHeight="1" x14ac:dyDescent="0.2">
      <c r="A198" s="209">
        <v>35</v>
      </c>
      <c r="B198" s="210">
        <v>4401</v>
      </c>
      <c r="C198" s="210">
        <v>600074196</v>
      </c>
      <c r="D198" s="210">
        <v>71011129</v>
      </c>
      <c r="E198" s="204" t="s">
        <v>213</v>
      </c>
      <c r="F198" s="210">
        <v>3141</v>
      </c>
      <c r="G198" s="165" t="s">
        <v>294</v>
      </c>
      <c r="H198" s="626" t="s">
        <v>272</v>
      </c>
      <c r="I198" s="511">
        <v>153714</v>
      </c>
      <c r="J198" s="415">
        <v>113383</v>
      </c>
      <c r="K198" s="415">
        <v>0</v>
      </c>
      <c r="L198" s="415">
        <v>113383</v>
      </c>
      <c r="M198" s="415">
        <v>0</v>
      </c>
      <c r="N198" s="415">
        <v>0</v>
      </c>
      <c r="O198" s="415">
        <v>0</v>
      </c>
      <c r="P198" s="68">
        <v>38323</v>
      </c>
      <c r="Q198" s="68">
        <v>1134</v>
      </c>
      <c r="R198" s="415">
        <v>874</v>
      </c>
      <c r="S198" s="416">
        <v>0.34</v>
      </c>
      <c r="T198" s="417">
        <v>0</v>
      </c>
      <c r="U198" s="423">
        <v>0.34</v>
      </c>
      <c r="V198" s="424">
        <f t="shared" si="442"/>
        <v>0</v>
      </c>
      <c r="W198" s="418">
        <f t="shared" si="442"/>
        <v>0</v>
      </c>
      <c r="X198" s="418">
        <v>0</v>
      </c>
      <c r="Y198" s="418">
        <v>0</v>
      </c>
      <c r="Z198" s="418">
        <v>0</v>
      </c>
      <c r="AA198" s="605">
        <v>56624</v>
      </c>
      <c r="AB198" s="418">
        <v>0</v>
      </c>
      <c r="AC198" s="418">
        <v>0</v>
      </c>
      <c r="AD198" s="418">
        <f>V198+X198+Y198+Z198+AB198</f>
        <v>0</v>
      </c>
      <c r="AE198" s="418">
        <f>W198+AA198+AC198</f>
        <v>56624</v>
      </c>
      <c r="AF198" s="418">
        <f>SUM(AD198:AE198)</f>
        <v>56624</v>
      </c>
      <c r="AG198" s="418">
        <v>0</v>
      </c>
      <c r="AH198" s="418">
        <v>0</v>
      </c>
      <c r="AI198" s="418">
        <v>0</v>
      </c>
      <c r="AJ198" s="418">
        <v>0</v>
      </c>
      <c r="AK198" s="418">
        <v>0</v>
      </c>
      <c r="AL198" s="418">
        <f>AG198+AI198+AJ198</f>
        <v>0</v>
      </c>
      <c r="AM198" s="418">
        <f>AH198+AK198</f>
        <v>0</v>
      </c>
      <c r="AN198" s="418">
        <f>SUM(AL198:AM198)</f>
        <v>0</v>
      </c>
      <c r="AO198" s="418">
        <f t="shared" si="443"/>
        <v>0</v>
      </c>
      <c r="AP198" s="418">
        <f t="shared" si="443"/>
        <v>56624</v>
      </c>
      <c r="AQ198" s="418">
        <f>SUM(AO198:AP198)</f>
        <v>56624</v>
      </c>
      <c r="AR198" s="68">
        <f>ROUND((AF198+AG198+AH198+AI198)*33.8%,0)</f>
        <v>19139</v>
      </c>
      <c r="AS198" s="68">
        <f>ROUND(AF198*1%,0)</f>
        <v>566</v>
      </c>
      <c r="AT198" s="418">
        <v>0</v>
      </c>
      <c r="AU198" s="605">
        <v>418</v>
      </c>
      <c r="AV198" s="418">
        <f>AT198+AU198</f>
        <v>418</v>
      </c>
      <c r="AW198" s="418">
        <f>AQ198+AR198+AS198+AV198</f>
        <v>76747</v>
      </c>
      <c r="AX198" s="419">
        <v>0</v>
      </c>
      <c r="AY198" s="419">
        <v>0</v>
      </c>
      <c r="AZ198" s="419">
        <v>0</v>
      </c>
      <c r="BA198" s="419">
        <v>0</v>
      </c>
      <c r="BB198" s="607">
        <v>0.16999999999999998</v>
      </c>
      <c r="BC198" s="939">
        <v>0</v>
      </c>
      <c r="BD198" s="419">
        <v>0</v>
      </c>
      <c r="BE198" s="419">
        <v>0</v>
      </c>
      <c r="BF198" s="419">
        <f>AX198+AZ198+BA198+BC198+BD198</f>
        <v>0</v>
      </c>
      <c r="BG198" s="419">
        <f>AY198+BB198+BE198</f>
        <v>0.16999999999999998</v>
      </c>
      <c r="BH198" s="421">
        <f>SUM(BF198:BG198)</f>
        <v>0.16999999999999998</v>
      </c>
      <c r="BI198" s="780">
        <f>I198+AW198</f>
        <v>230461</v>
      </c>
      <c r="BJ198" s="418">
        <f>J198+AF198</f>
        <v>170007</v>
      </c>
      <c r="BK198" s="418">
        <f t="shared" si="444"/>
        <v>0</v>
      </c>
      <c r="BL198" s="418">
        <f t="shared" si="444"/>
        <v>170007</v>
      </c>
      <c r="BM198" s="418">
        <f>M198+AN198</f>
        <v>0</v>
      </c>
      <c r="BN198" s="418">
        <f t="shared" si="445"/>
        <v>0</v>
      </c>
      <c r="BO198" s="418">
        <f t="shared" si="445"/>
        <v>0</v>
      </c>
      <c r="BP198" s="418">
        <f t="shared" si="446"/>
        <v>57462</v>
      </c>
      <c r="BQ198" s="418">
        <f t="shared" si="446"/>
        <v>1700</v>
      </c>
      <c r="BR198" s="418">
        <f>R198+AV198</f>
        <v>1292</v>
      </c>
      <c r="BS198" s="419">
        <f>S198+BH198</f>
        <v>0.51</v>
      </c>
      <c r="BT198" s="419">
        <f t="shared" si="447"/>
        <v>0</v>
      </c>
      <c r="BU198" s="421">
        <f t="shared" si="447"/>
        <v>0.51</v>
      </c>
      <c r="BV198" s="420"/>
      <c r="BW198" s="415"/>
      <c r="BX198" s="415"/>
      <c r="BY198" s="415"/>
      <c r="BZ198" s="415"/>
      <c r="CA198" s="510"/>
    </row>
    <row r="199" spans="1:79" s="221" customFormat="1" ht="12.75" customHeight="1" x14ac:dyDescent="0.2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13"/>
      <c r="I199" s="452">
        <v>3805182</v>
      </c>
      <c r="J199" s="445">
        <v>2725328</v>
      </c>
      <c r="K199" s="445">
        <v>2470153</v>
      </c>
      <c r="L199" s="445">
        <v>255175</v>
      </c>
      <c r="M199" s="445">
        <v>90000</v>
      </c>
      <c r="N199" s="445">
        <v>10000</v>
      </c>
      <c r="O199" s="445">
        <v>80000</v>
      </c>
      <c r="P199" s="445">
        <v>951581</v>
      </c>
      <c r="Q199" s="445">
        <v>27253</v>
      </c>
      <c r="R199" s="445">
        <v>11020</v>
      </c>
      <c r="S199" s="446">
        <v>5.4466999999999999</v>
      </c>
      <c r="T199" s="446">
        <v>4.6399999999999997</v>
      </c>
      <c r="U199" s="450">
        <v>0.80669999999999997</v>
      </c>
      <c r="V199" s="448">
        <f t="shared" ref="V199:CA199" si="448">SUM(V196:V198)</f>
        <v>0</v>
      </c>
      <c r="W199" s="445">
        <f t="shared" si="448"/>
        <v>0</v>
      </c>
      <c r="X199" s="445">
        <f t="shared" si="448"/>
        <v>0</v>
      </c>
      <c r="Y199" s="445">
        <f t="shared" si="448"/>
        <v>0</v>
      </c>
      <c r="Z199" s="445">
        <f t="shared" si="448"/>
        <v>0</v>
      </c>
      <c r="AA199" s="445">
        <f t="shared" si="448"/>
        <v>56624</v>
      </c>
      <c r="AB199" s="445">
        <f t="shared" si="448"/>
        <v>0</v>
      </c>
      <c r="AC199" s="445">
        <f t="shared" si="448"/>
        <v>0</v>
      </c>
      <c r="AD199" s="445">
        <f t="shared" si="448"/>
        <v>0</v>
      </c>
      <c r="AE199" s="445">
        <f t="shared" si="448"/>
        <v>56624</v>
      </c>
      <c r="AF199" s="445">
        <f t="shared" si="448"/>
        <v>56624</v>
      </c>
      <c r="AG199" s="445">
        <f t="shared" si="448"/>
        <v>0</v>
      </c>
      <c r="AH199" s="445">
        <f t="shared" si="448"/>
        <v>0</v>
      </c>
      <c r="AI199" s="445">
        <f t="shared" si="448"/>
        <v>0</v>
      </c>
      <c r="AJ199" s="445">
        <f t="shared" si="448"/>
        <v>0</v>
      </c>
      <c r="AK199" s="445">
        <f t="shared" si="448"/>
        <v>0</v>
      </c>
      <c r="AL199" s="445">
        <f t="shared" si="448"/>
        <v>0</v>
      </c>
      <c r="AM199" s="445">
        <f t="shared" si="448"/>
        <v>0</v>
      </c>
      <c r="AN199" s="445">
        <f t="shared" si="448"/>
        <v>0</v>
      </c>
      <c r="AO199" s="445">
        <f t="shared" si="448"/>
        <v>0</v>
      </c>
      <c r="AP199" s="445">
        <f t="shared" si="448"/>
        <v>56624</v>
      </c>
      <c r="AQ199" s="445">
        <f t="shared" si="448"/>
        <v>56624</v>
      </c>
      <c r="AR199" s="445">
        <f t="shared" si="448"/>
        <v>19139</v>
      </c>
      <c r="AS199" s="445">
        <f t="shared" si="448"/>
        <v>566</v>
      </c>
      <c r="AT199" s="445">
        <f t="shared" si="448"/>
        <v>0</v>
      </c>
      <c r="AU199" s="445">
        <f t="shared" si="448"/>
        <v>418</v>
      </c>
      <c r="AV199" s="445">
        <f t="shared" si="448"/>
        <v>418</v>
      </c>
      <c r="AW199" s="445">
        <f t="shared" si="448"/>
        <v>76747</v>
      </c>
      <c r="AX199" s="446">
        <f t="shared" si="448"/>
        <v>0</v>
      </c>
      <c r="AY199" s="446">
        <f t="shared" si="448"/>
        <v>0</v>
      </c>
      <c r="AZ199" s="446">
        <f t="shared" si="448"/>
        <v>0</v>
      </c>
      <c r="BA199" s="446">
        <f t="shared" si="448"/>
        <v>0</v>
      </c>
      <c r="BB199" s="446">
        <f t="shared" si="448"/>
        <v>0.16999999999999998</v>
      </c>
      <c r="BC199" s="948">
        <f t="shared" si="448"/>
        <v>0</v>
      </c>
      <c r="BD199" s="446">
        <f t="shared" si="448"/>
        <v>0</v>
      </c>
      <c r="BE199" s="446">
        <f t="shared" si="448"/>
        <v>0</v>
      </c>
      <c r="BF199" s="446">
        <f t="shared" si="448"/>
        <v>0</v>
      </c>
      <c r="BG199" s="446">
        <f t="shared" si="448"/>
        <v>0.16999999999999998</v>
      </c>
      <c r="BH199" s="39">
        <f t="shared" si="448"/>
        <v>0.16999999999999998</v>
      </c>
      <c r="BI199" s="452">
        <f t="shared" si="448"/>
        <v>3881929</v>
      </c>
      <c r="BJ199" s="445">
        <f t="shared" si="448"/>
        <v>2781952</v>
      </c>
      <c r="BK199" s="445">
        <f t="shared" si="448"/>
        <v>2470153</v>
      </c>
      <c r="BL199" s="445">
        <f t="shared" si="448"/>
        <v>311799</v>
      </c>
      <c r="BM199" s="445">
        <f t="shared" si="448"/>
        <v>90000</v>
      </c>
      <c r="BN199" s="445">
        <f t="shared" si="448"/>
        <v>10000</v>
      </c>
      <c r="BO199" s="445">
        <f t="shared" si="448"/>
        <v>80000</v>
      </c>
      <c r="BP199" s="445">
        <f t="shared" si="448"/>
        <v>970720</v>
      </c>
      <c r="BQ199" s="445">
        <f t="shared" si="448"/>
        <v>27819</v>
      </c>
      <c r="BR199" s="445">
        <f t="shared" si="448"/>
        <v>11438</v>
      </c>
      <c r="BS199" s="446">
        <f t="shared" si="448"/>
        <v>5.6166999999999998</v>
      </c>
      <c r="BT199" s="446">
        <f t="shared" si="448"/>
        <v>4.6399999999999997</v>
      </c>
      <c r="BU199" s="39">
        <f t="shared" si="448"/>
        <v>0.97670000000000001</v>
      </c>
      <c r="BV199" s="833">
        <f t="shared" si="448"/>
        <v>0</v>
      </c>
      <c r="BW199" s="715">
        <f t="shared" si="448"/>
        <v>0</v>
      </c>
      <c r="BX199" s="715">
        <f t="shared" si="448"/>
        <v>0</v>
      </c>
      <c r="BY199" s="715">
        <f t="shared" si="448"/>
        <v>0</v>
      </c>
      <c r="BZ199" s="715">
        <f t="shared" si="448"/>
        <v>0</v>
      </c>
      <c r="CA199" s="834">
        <f t="shared" si="448"/>
        <v>0</v>
      </c>
    </row>
    <row r="200" spans="1:79" s="221" customFormat="1" ht="12.75" customHeight="1" x14ac:dyDescent="0.2">
      <c r="A200" s="209">
        <v>36</v>
      </c>
      <c r="B200" s="210">
        <v>4453</v>
      </c>
      <c r="C200" s="210">
        <v>600074790</v>
      </c>
      <c r="D200" s="210">
        <v>71011111</v>
      </c>
      <c r="E200" s="208" t="s">
        <v>215</v>
      </c>
      <c r="F200" s="210">
        <v>3113</v>
      </c>
      <c r="G200" s="165" t="s">
        <v>293</v>
      </c>
      <c r="H200" s="626" t="s">
        <v>271</v>
      </c>
      <c r="I200" s="511">
        <v>12042566</v>
      </c>
      <c r="J200" s="415">
        <v>8790530</v>
      </c>
      <c r="K200" s="415">
        <v>7935352</v>
      </c>
      <c r="L200" s="415">
        <v>855178</v>
      </c>
      <c r="M200" s="415">
        <v>30000</v>
      </c>
      <c r="N200" s="415">
        <v>20000</v>
      </c>
      <c r="O200" s="415">
        <v>10000</v>
      </c>
      <c r="P200" s="68">
        <v>2981339</v>
      </c>
      <c r="Q200" s="68">
        <v>87906</v>
      </c>
      <c r="R200" s="415">
        <v>152791</v>
      </c>
      <c r="S200" s="416">
        <v>14.210199999999999</v>
      </c>
      <c r="T200" s="417">
        <v>11.767200000000001</v>
      </c>
      <c r="U200" s="423">
        <v>2.4430000000000001</v>
      </c>
      <c r="V200" s="424">
        <f t="shared" ref="V200:W204" si="449">AG200*-1</f>
        <v>0</v>
      </c>
      <c r="W200" s="418">
        <f t="shared" si="449"/>
        <v>0</v>
      </c>
      <c r="X200" s="418">
        <v>0</v>
      </c>
      <c r="Y200" s="418">
        <v>0</v>
      </c>
      <c r="Z200" s="418">
        <v>0</v>
      </c>
      <c r="AA200" s="415">
        <v>0</v>
      </c>
      <c r="AB200" s="418">
        <v>0</v>
      </c>
      <c r="AC200" s="418">
        <v>0</v>
      </c>
      <c r="AD200" s="418">
        <f>V200+X200+Y200+Z200+AB200</f>
        <v>0</v>
      </c>
      <c r="AE200" s="418">
        <f>W200+AA200+AC200</f>
        <v>0</v>
      </c>
      <c r="AF200" s="418">
        <f>SUM(AD200:AE200)</f>
        <v>0</v>
      </c>
      <c r="AG200" s="418">
        <v>0</v>
      </c>
      <c r="AH200" s="418">
        <v>0</v>
      </c>
      <c r="AI200" s="418">
        <v>0</v>
      </c>
      <c r="AJ200" s="418">
        <v>0</v>
      </c>
      <c r="AK200" s="418">
        <v>0</v>
      </c>
      <c r="AL200" s="418">
        <f>AG200+AI200+AJ200</f>
        <v>0</v>
      </c>
      <c r="AM200" s="418">
        <f>AH200+AK200</f>
        <v>0</v>
      </c>
      <c r="AN200" s="418">
        <f>SUM(AL200:AM200)</f>
        <v>0</v>
      </c>
      <c r="AO200" s="418">
        <f t="shared" ref="AO200:AP204" si="450">AD200+AL200</f>
        <v>0</v>
      </c>
      <c r="AP200" s="418">
        <f t="shared" si="450"/>
        <v>0</v>
      </c>
      <c r="AQ200" s="418">
        <f>SUM(AO200:AP200)</f>
        <v>0</v>
      </c>
      <c r="AR200" s="68">
        <f>ROUND((AF200+AG200+AH200+AI200)*33.8%,0)</f>
        <v>0</v>
      </c>
      <c r="AS200" s="68">
        <f>ROUND(AF200*1%,0)</f>
        <v>0</v>
      </c>
      <c r="AT200" s="418">
        <v>0</v>
      </c>
      <c r="AU200" s="415">
        <v>0</v>
      </c>
      <c r="AV200" s="418">
        <f>AT200+AU200</f>
        <v>0</v>
      </c>
      <c r="AW200" s="418">
        <f>AQ200+AR200+AS200+AV200</f>
        <v>0</v>
      </c>
      <c r="AX200" s="419">
        <v>0</v>
      </c>
      <c r="AY200" s="419">
        <v>0</v>
      </c>
      <c r="AZ200" s="419">
        <v>0</v>
      </c>
      <c r="BA200" s="419">
        <v>0</v>
      </c>
      <c r="BB200" s="416">
        <v>0</v>
      </c>
      <c r="BC200" s="939">
        <v>0</v>
      </c>
      <c r="BD200" s="419">
        <v>0</v>
      </c>
      <c r="BE200" s="419">
        <v>0</v>
      </c>
      <c r="BF200" s="419">
        <f>AX200+AZ200+BA200+BC200+BD200</f>
        <v>0</v>
      </c>
      <c r="BG200" s="419">
        <f>AY200+BB200+BE200</f>
        <v>0</v>
      </c>
      <c r="BH200" s="421">
        <f>SUM(BF200:BG200)</f>
        <v>0</v>
      </c>
      <c r="BI200" s="780">
        <f>I200+AW200</f>
        <v>12042566</v>
      </c>
      <c r="BJ200" s="418">
        <f>J200+AF200</f>
        <v>8790530</v>
      </c>
      <c r="BK200" s="418">
        <f t="shared" ref="BK200:BL204" si="451">K200+AD200</f>
        <v>7935352</v>
      </c>
      <c r="BL200" s="418">
        <f t="shared" si="451"/>
        <v>855178</v>
      </c>
      <c r="BM200" s="418">
        <f>M200+AN200</f>
        <v>30000</v>
      </c>
      <c r="BN200" s="418">
        <f t="shared" ref="BN200:BO204" si="452">N200+AL200</f>
        <v>20000</v>
      </c>
      <c r="BO200" s="418">
        <f t="shared" si="452"/>
        <v>10000</v>
      </c>
      <c r="BP200" s="418">
        <f t="shared" ref="BP200:BQ204" si="453">P200+AR200</f>
        <v>2981339</v>
      </c>
      <c r="BQ200" s="418">
        <f t="shared" si="453"/>
        <v>87906</v>
      </c>
      <c r="BR200" s="418">
        <f>R200+AV200</f>
        <v>152791</v>
      </c>
      <c r="BS200" s="419">
        <f>S200+BH200</f>
        <v>14.210199999999999</v>
      </c>
      <c r="BT200" s="419">
        <f t="shared" ref="BT200:BU204" si="454">T200+BF200</f>
        <v>11.767200000000001</v>
      </c>
      <c r="BU200" s="421">
        <f t="shared" si="454"/>
        <v>2.4430000000000001</v>
      </c>
      <c r="BV200" s="420"/>
      <c r="BW200" s="415"/>
      <c r="BX200" s="415"/>
      <c r="BY200" s="415"/>
      <c r="BZ200" s="415"/>
      <c r="CA200" s="510"/>
    </row>
    <row r="201" spans="1:79" s="221" customFormat="1" ht="12.75" customHeight="1" x14ac:dyDescent="0.2">
      <c r="A201" s="209">
        <v>36</v>
      </c>
      <c r="B201" s="210">
        <v>4453</v>
      </c>
      <c r="C201" s="210">
        <v>600074790</v>
      </c>
      <c r="D201" s="210">
        <v>71011111</v>
      </c>
      <c r="E201" s="208" t="s">
        <v>215</v>
      </c>
      <c r="F201" s="210">
        <v>3113</v>
      </c>
      <c r="G201" s="165" t="s">
        <v>291</v>
      </c>
      <c r="H201" s="626" t="s">
        <v>272</v>
      </c>
      <c r="I201" s="511">
        <v>0</v>
      </c>
      <c r="J201" s="415">
        <v>0</v>
      </c>
      <c r="K201" s="415">
        <v>0</v>
      </c>
      <c r="L201" s="415">
        <v>0</v>
      </c>
      <c r="M201" s="415">
        <v>0</v>
      </c>
      <c r="N201" s="415">
        <v>0</v>
      </c>
      <c r="O201" s="415">
        <v>0</v>
      </c>
      <c r="P201" s="68">
        <v>0</v>
      </c>
      <c r="Q201" s="68">
        <v>0</v>
      </c>
      <c r="R201" s="415">
        <v>0</v>
      </c>
      <c r="S201" s="416">
        <v>0</v>
      </c>
      <c r="T201" s="417">
        <v>0</v>
      </c>
      <c r="U201" s="423">
        <v>0</v>
      </c>
      <c r="V201" s="424">
        <f t="shared" si="449"/>
        <v>0</v>
      </c>
      <c r="W201" s="418">
        <f t="shared" si="449"/>
        <v>0</v>
      </c>
      <c r="X201" s="418">
        <v>0</v>
      </c>
      <c r="Y201" s="418">
        <v>0</v>
      </c>
      <c r="Z201" s="418">
        <v>0</v>
      </c>
      <c r="AA201" s="415">
        <v>0</v>
      </c>
      <c r="AB201" s="418">
        <v>0</v>
      </c>
      <c r="AC201" s="418">
        <v>0</v>
      </c>
      <c r="AD201" s="418">
        <f>V201+X201+Y201+Z201+AB201</f>
        <v>0</v>
      </c>
      <c r="AE201" s="418">
        <f>W201+AA201+AC201</f>
        <v>0</v>
      </c>
      <c r="AF201" s="418">
        <f>SUM(AD201:AE201)</f>
        <v>0</v>
      </c>
      <c r="AG201" s="418">
        <v>0</v>
      </c>
      <c r="AH201" s="418">
        <v>0</v>
      </c>
      <c r="AI201" s="418">
        <v>0</v>
      </c>
      <c r="AJ201" s="418">
        <v>0</v>
      </c>
      <c r="AK201" s="418">
        <v>0</v>
      </c>
      <c r="AL201" s="418">
        <f>AG201+AI201+AJ201</f>
        <v>0</v>
      </c>
      <c r="AM201" s="418">
        <f>AH201+AK201</f>
        <v>0</v>
      </c>
      <c r="AN201" s="418">
        <f>SUM(AL201:AM201)</f>
        <v>0</v>
      </c>
      <c r="AO201" s="418">
        <f t="shared" si="450"/>
        <v>0</v>
      </c>
      <c r="AP201" s="418">
        <f t="shared" si="450"/>
        <v>0</v>
      </c>
      <c r="AQ201" s="418">
        <f>SUM(AO201:AP201)</f>
        <v>0</v>
      </c>
      <c r="AR201" s="68">
        <f>ROUND((AF201+AG201+AH201+AI201)*33.8%,0)</f>
        <v>0</v>
      </c>
      <c r="AS201" s="68">
        <f>ROUND(AF201*1%,0)</f>
        <v>0</v>
      </c>
      <c r="AT201" s="418">
        <v>0</v>
      </c>
      <c r="AU201" s="415">
        <v>0</v>
      </c>
      <c r="AV201" s="418">
        <f>AT201+AU201</f>
        <v>0</v>
      </c>
      <c r="AW201" s="418">
        <f>AQ201+AR201+AS201+AV201</f>
        <v>0</v>
      </c>
      <c r="AX201" s="419">
        <v>0</v>
      </c>
      <c r="AY201" s="419">
        <v>0</v>
      </c>
      <c r="AZ201" s="419">
        <v>0</v>
      </c>
      <c r="BA201" s="419">
        <v>0</v>
      </c>
      <c r="BB201" s="416">
        <v>0</v>
      </c>
      <c r="BC201" s="939">
        <v>0</v>
      </c>
      <c r="BD201" s="419">
        <v>0</v>
      </c>
      <c r="BE201" s="419">
        <v>0</v>
      </c>
      <c r="BF201" s="419">
        <f>AX201+AZ201+BA201+BC201+BD201</f>
        <v>0</v>
      </c>
      <c r="BG201" s="419">
        <f>AY201+BB201+BE201</f>
        <v>0</v>
      </c>
      <c r="BH201" s="421">
        <f>SUM(BF201:BG201)</f>
        <v>0</v>
      </c>
      <c r="BI201" s="780">
        <f>I201+AW201</f>
        <v>0</v>
      </c>
      <c r="BJ201" s="418">
        <f>J201+AF201</f>
        <v>0</v>
      </c>
      <c r="BK201" s="418">
        <f t="shared" si="451"/>
        <v>0</v>
      </c>
      <c r="BL201" s="418">
        <f t="shared" si="451"/>
        <v>0</v>
      </c>
      <c r="BM201" s="418">
        <f>M201+AN201</f>
        <v>0</v>
      </c>
      <c r="BN201" s="418">
        <f t="shared" si="452"/>
        <v>0</v>
      </c>
      <c r="BO201" s="418">
        <f t="shared" si="452"/>
        <v>0</v>
      </c>
      <c r="BP201" s="418">
        <f t="shared" si="453"/>
        <v>0</v>
      </c>
      <c r="BQ201" s="418">
        <f t="shared" si="453"/>
        <v>0</v>
      </c>
      <c r="BR201" s="418">
        <f>R201+AV201</f>
        <v>0</v>
      </c>
      <c r="BS201" s="419">
        <f>S201+BH201</f>
        <v>0</v>
      </c>
      <c r="BT201" s="419">
        <f t="shared" si="454"/>
        <v>0</v>
      </c>
      <c r="BU201" s="421">
        <f t="shared" si="454"/>
        <v>0</v>
      </c>
      <c r="BV201" s="420"/>
      <c r="BW201" s="415"/>
      <c r="BX201" s="415"/>
      <c r="BY201" s="415"/>
      <c r="BZ201" s="415"/>
      <c r="CA201" s="510"/>
    </row>
    <row r="202" spans="1:79" s="221" customFormat="1" ht="12.75" customHeight="1" x14ac:dyDescent="0.2">
      <c r="A202" s="209">
        <v>36</v>
      </c>
      <c r="B202" s="210">
        <v>4453</v>
      </c>
      <c r="C202" s="210">
        <v>600074790</v>
      </c>
      <c r="D202" s="210">
        <v>71011111</v>
      </c>
      <c r="E202" s="208" t="s">
        <v>215</v>
      </c>
      <c r="F202" s="210">
        <v>3141</v>
      </c>
      <c r="G202" s="165" t="s">
        <v>294</v>
      </c>
      <c r="H202" s="626" t="s">
        <v>272</v>
      </c>
      <c r="I202" s="511">
        <v>985611</v>
      </c>
      <c r="J202" s="415">
        <v>726986</v>
      </c>
      <c r="K202" s="415">
        <v>0</v>
      </c>
      <c r="L202" s="415">
        <v>726986</v>
      </c>
      <c r="M202" s="415">
        <v>0</v>
      </c>
      <c r="N202" s="415">
        <v>0</v>
      </c>
      <c r="O202" s="415">
        <v>0</v>
      </c>
      <c r="P202" s="68">
        <v>245721</v>
      </c>
      <c r="Q202" s="68">
        <v>7270</v>
      </c>
      <c r="R202" s="415">
        <v>5634</v>
      </c>
      <c r="S202" s="416">
        <v>2.1800000000000002</v>
      </c>
      <c r="T202" s="417">
        <v>0</v>
      </c>
      <c r="U202" s="423">
        <v>2.1800000000000002</v>
      </c>
      <c r="V202" s="424">
        <f t="shared" si="449"/>
        <v>0</v>
      </c>
      <c r="W202" s="418">
        <f t="shared" si="449"/>
        <v>0</v>
      </c>
      <c r="X202" s="418">
        <v>0</v>
      </c>
      <c r="Y202" s="418">
        <v>0</v>
      </c>
      <c r="Z202" s="418">
        <v>0</v>
      </c>
      <c r="AA202" s="605">
        <v>362642</v>
      </c>
      <c r="AB202" s="418">
        <v>0</v>
      </c>
      <c r="AC202" s="418">
        <v>0</v>
      </c>
      <c r="AD202" s="418">
        <f>V202+X202+Y202+Z202+AB202</f>
        <v>0</v>
      </c>
      <c r="AE202" s="418">
        <f>W202+AA202+AC202</f>
        <v>362642</v>
      </c>
      <c r="AF202" s="418">
        <f>SUM(AD202:AE202)</f>
        <v>362642</v>
      </c>
      <c r="AG202" s="418">
        <v>0</v>
      </c>
      <c r="AH202" s="418">
        <v>0</v>
      </c>
      <c r="AI202" s="418">
        <v>0</v>
      </c>
      <c r="AJ202" s="418">
        <v>0</v>
      </c>
      <c r="AK202" s="418">
        <v>0</v>
      </c>
      <c r="AL202" s="418">
        <f>AG202+AI202+AJ202</f>
        <v>0</v>
      </c>
      <c r="AM202" s="418">
        <f>AH202+AK202</f>
        <v>0</v>
      </c>
      <c r="AN202" s="418">
        <f>SUM(AL202:AM202)</f>
        <v>0</v>
      </c>
      <c r="AO202" s="418">
        <f t="shared" si="450"/>
        <v>0</v>
      </c>
      <c r="AP202" s="418">
        <f t="shared" si="450"/>
        <v>362642</v>
      </c>
      <c r="AQ202" s="418">
        <f>SUM(AO202:AP202)</f>
        <v>362642</v>
      </c>
      <c r="AR202" s="68">
        <f>ROUND((AF202+AG202+AH202+AI202)*33.8%,0)</f>
        <v>122573</v>
      </c>
      <c r="AS202" s="68">
        <f>ROUND(AF202*1%,0)</f>
        <v>3626</v>
      </c>
      <c r="AT202" s="418">
        <v>0</v>
      </c>
      <c r="AU202" s="605">
        <v>2730</v>
      </c>
      <c r="AV202" s="418">
        <f>AT202+AU202</f>
        <v>2730</v>
      </c>
      <c r="AW202" s="418">
        <f>AQ202+AR202+AS202+AV202</f>
        <v>491571</v>
      </c>
      <c r="AX202" s="419">
        <v>0</v>
      </c>
      <c r="AY202" s="419">
        <v>0</v>
      </c>
      <c r="AZ202" s="419">
        <v>0</v>
      </c>
      <c r="BA202" s="419">
        <v>0</v>
      </c>
      <c r="BB202" s="607">
        <v>1.0899999999999999</v>
      </c>
      <c r="BC202" s="939">
        <v>0</v>
      </c>
      <c r="BD202" s="419">
        <v>0</v>
      </c>
      <c r="BE202" s="419">
        <v>0</v>
      </c>
      <c r="BF202" s="419">
        <f>AX202+AZ202+BA202+BC202+BD202</f>
        <v>0</v>
      </c>
      <c r="BG202" s="419">
        <f>AY202+BB202+BE202</f>
        <v>1.0899999999999999</v>
      </c>
      <c r="BH202" s="421">
        <f>SUM(BF202:BG202)</f>
        <v>1.0899999999999999</v>
      </c>
      <c r="BI202" s="780">
        <f>I202+AW202</f>
        <v>1477182</v>
      </c>
      <c r="BJ202" s="418">
        <f>J202+AF202</f>
        <v>1089628</v>
      </c>
      <c r="BK202" s="418">
        <f t="shared" si="451"/>
        <v>0</v>
      </c>
      <c r="BL202" s="418">
        <f t="shared" si="451"/>
        <v>1089628</v>
      </c>
      <c r="BM202" s="418">
        <f>M202+AN202</f>
        <v>0</v>
      </c>
      <c r="BN202" s="418">
        <f t="shared" si="452"/>
        <v>0</v>
      </c>
      <c r="BO202" s="418">
        <f t="shared" si="452"/>
        <v>0</v>
      </c>
      <c r="BP202" s="418">
        <f t="shared" si="453"/>
        <v>368294</v>
      </c>
      <c r="BQ202" s="418">
        <f t="shared" si="453"/>
        <v>10896</v>
      </c>
      <c r="BR202" s="418">
        <f>R202+AV202</f>
        <v>8364</v>
      </c>
      <c r="BS202" s="419">
        <f>S202+BH202</f>
        <v>3.27</v>
      </c>
      <c r="BT202" s="419">
        <f t="shared" si="454"/>
        <v>0</v>
      </c>
      <c r="BU202" s="421">
        <f t="shared" si="454"/>
        <v>3.27</v>
      </c>
      <c r="BV202" s="420"/>
      <c r="BW202" s="415"/>
      <c r="BX202" s="415"/>
      <c r="BY202" s="415"/>
      <c r="BZ202" s="415"/>
      <c r="CA202" s="510"/>
    </row>
    <row r="203" spans="1:79" s="221" customFormat="1" ht="12.75" customHeight="1" x14ac:dyDescent="0.2">
      <c r="A203" s="209">
        <v>36</v>
      </c>
      <c r="B203" s="210">
        <v>4453</v>
      </c>
      <c r="C203" s="210">
        <v>600074790</v>
      </c>
      <c r="D203" s="210">
        <v>71011111</v>
      </c>
      <c r="E203" s="204" t="s">
        <v>215</v>
      </c>
      <c r="F203" s="210">
        <v>3143</v>
      </c>
      <c r="G203" s="165" t="s">
        <v>595</v>
      </c>
      <c r="H203" s="614" t="s">
        <v>271</v>
      </c>
      <c r="I203" s="511">
        <v>726493</v>
      </c>
      <c r="J203" s="415">
        <v>538942</v>
      </c>
      <c r="K203" s="415">
        <v>538942</v>
      </c>
      <c r="L203" s="415">
        <v>0</v>
      </c>
      <c r="M203" s="415">
        <v>0</v>
      </c>
      <c r="N203" s="415">
        <v>0</v>
      </c>
      <c r="O203" s="415">
        <v>0</v>
      </c>
      <c r="P203" s="68">
        <v>182162</v>
      </c>
      <c r="Q203" s="68">
        <v>5389</v>
      </c>
      <c r="R203" s="415">
        <v>0</v>
      </c>
      <c r="S203" s="416">
        <v>1.2916000000000001</v>
      </c>
      <c r="T203" s="417">
        <v>1.2916000000000001</v>
      </c>
      <c r="U203" s="423">
        <v>0</v>
      </c>
      <c r="V203" s="424">
        <f t="shared" si="449"/>
        <v>0</v>
      </c>
      <c r="W203" s="418">
        <f t="shared" si="449"/>
        <v>0</v>
      </c>
      <c r="X203" s="418">
        <v>0</v>
      </c>
      <c r="Y203" s="418">
        <v>0</v>
      </c>
      <c r="Z203" s="418">
        <v>0</v>
      </c>
      <c r="AA203" s="415">
        <v>0</v>
      </c>
      <c r="AB203" s="418">
        <v>0</v>
      </c>
      <c r="AC203" s="418">
        <v>0</v>
      </c>
      <c r="AD203" s="418">
        <f>V203+X203+Y203+Z203+AB203</f>
        <v>0</v>
      </c>
      <c r="AE203" s="418">
        <f>W203+AA203+AC203</f>
        <v>0</v>
      </c>
      <c r="AF203" s="418">
        <f>SUM(AD203:AE203)</f>
        <v>0</v>
      </c>
      <c r="AG203" s="418">
        <v>0</v>
      </c>
      <c r="AH203" s="418">
        <v>0</v>
      </c>
      <c r="AI203" s="418">
        <v>0</v>
      </c>
      <c r="AJ203" s="418">
        <v>0</v>
      </c>
      <c r="AK203" s="418">
        <v>0</v>
      </c>
      <c r="AL203" s="418">
        <f>AG203+AI203+AJ203</f>
        <v>0</v>
      </c>
      <c r="AM203" s="418">
        <f>AH203+AK203</f>
        <v>0</v>
      </c>
      <c r="AN203" s="418">
        <f>SUM(AL203:AM203)</f>
        <v>0</v>
      </c>
      <c r="AO203" s="418">
        <f t="shared" si="450"/>
        <v>0</v>
      </c>
      <c r="AP203" s="418">
        <f t="shared" si="450"/>
        <v>0</v>
      </c>
      <c r="AQ203" s="418">
        <f>SUM(AO203:AP203)</f>
        <v>0</v>
      </c>
      <c r="AR203" s="68">
        <f>ROUND((AF203+AG203+AH203+AI203)*33.8%,0)</f>
        <v>0</v>
      </c>
      <c r="AS203" s="68">
        <f>ROUND(AF203*1%,0)</f>
        <v>0</v>
      </c>
      <c r="AT203" s="418">
        <v>0</v>
      </c>
      <c r="AU203" s="415">
        <v>0</v>
      </c>
      <c r="AV203" s="418">
        <f>AT203+AU203</f>
        <v>0</v>
      </c>
      <c r="AW203" s="418">
        <f>AQ203+AR203+AS203+AV203</f>
        <v>0</v>
      </c>
      <c r="AX203" s="419">
        <v>0</v>
      </c>
      <c r="AY203" s="419">
        <v>0</v>
      </c>
      <c r="AZ203" s="419">
        <v>0</v>
      </c>
      <c r="BA203" s="419">
        <v>0</v>
      </c>
      <c r="BB203" s="416">
        <v>0</v>
      </c>
      <c r="BC203" s="939">
        <v>0</v>
      </c>
      <c r="BD203" s="419">
        <v>0</v>
      </c>
      <c r="BE203" s="419">
        <v>0</v>
      </c>
      <c r="BF203" s="419">
        <f>AX203+AZ203+BA203+BC203+BD203</f>
        <v>0</v>
      </c>
      <c r="BG203" s="419">
        <f>AY203+BB203+BE203</f>
        <v>0</v>
      </c>
      <c r="BH203" s="421">
        <f>SUM(BF203:BG203)</f>
        <v>0</v>
      </c>
      <c r="BI203" s="780">
        <f>I203+AW203</f>
        <v>726493</v>
      </c>
      <c r="BJ203" s="418">
        <f>J203+AF203</f>
        <v>538942</v>
      </c>
      <c r="BK203" s="418">
        <f t="shared" si="451"/>
        <v>538942</v>
      </c>
      <c r="BL203" s="418">
        <f t="shared" si="451"/>
        <v>0</v>
      </c>
      <c r="BM203" s="418">
        <f>M203+AN203</f>
        <v>0</v>
      </c>
      <c r="BN203" s="418">
        <f t="shared" si="452"/>
        <v>0</v>
      </c>
      <c r="BO203" s="418">
        <f t="shared" si="452"/>
        <v>0</v>
      </c>
      <c r="BP203" s="418">
        <f t="shared" si="453"/>
        <v>182162</v>
      </c>
      <c r="BQ203" s="418">
        <f t="shared" si="453"/>
        <v>5389</v>
      </c>
      <c r="BR203" s="418">
        <f>R203+AV203</f>
        <v>0</v>
      </c>
      <c r="BS203" s="419">
        <f>S203+BH203</f>
        <v>1.2916000000000001</v>
      </c>
      <c r="BT203" s="419">
        <f t="shared" si="454"/>
        <v>1.2916000000000001</v>
      </c>
      <c r="BU203" s="421">
        <f t="shared" si="454"/>
        <v>0</v>
      </c>
      <c r="BV203" s="420"/>
      <c r="BW203" s="415"/>
      <c r="BX203" s="415"/>
      <c r="BY203" s="415"/>
      <c r="BZ203" s="415"/>
      <c r="CA203" s="510"/>
    </row>
    <row r="204" spans="1:79" s="221" customFormat="1" ht="12.75" customHeight="1" x14ac:dyDescent="0.2">
      <c r="A204" s="209">
        <v>36</v>
      </c>
      <c r="B204" s="210">
        <v>4453</v>
      </c>
      <c r="C204" s="210">
        <v>600074790</v>
      </c>
      <c r="D204" s="210">
        <v>71011111</v>
      </c>
      <c r="E204" s="204" t="s">
        <v>215</v>
      </c>
      <c r="F204" s="210">
        <v>3143</v>
      </c>
      <c r="G204" s="165" t="s">
        <v>596</v>
      </c>
      <c r="H204" s="614" t="s">
        <v>272</v>
      </c>
      <c r="I204" s="511">
        <v>24084</v>
      </c>
      <c r="J204" s="415">
        <v>17239</v>
      </c>
      <c r="K204" s="415">
        <v>0</v>
      </c>
      <c r="L204" s="415">
        <v>17239</v>
      </c>
      <c r="M204" s="415">
        <v>0</v>
      </c>
      <c r="N204" s="415">
        <v>0</v>
      </c>
      <c r="O204" s="415">
        <v>0</v>
      </c>
      <c r="P204" s="68">
        <v>5827</v>
      </c>
      <c r="Q204" s="68">
        <v>172</v>
      </c>
      <c r="R204" s="415">
        <v>846</v>
      </c>
      <c r="S204" s="416">
        <v>7.0000000000000007E-2</v>
      </c>
      <c r="T204" s="417">
        <v>0</v>
      </c>
      <c r="U204" s="423">
        <v>7.0000000000000007E-2</v>
      </c>
      <c r="V204" s="424">
        <f t="shared" si="449"/>
        <v>0</v>
      </c>
      <c r="W204" s="418">
        <f t="shared" si="449"/>
        <v>0</v>
      </c>
      <c r="X204" s="418">
        <v>0</v>
      </c>
      <c r="Y204" s="418">
        <v>0</v>
      </c>
      <c r="Z204" s="418">
        <v>0</v>
      </c>
      <c r="AA204" s="605">
        <v>8611</v>
      </c>
      <c r="AB204" s="418">
        <v>0</v>
      </c>
      <c r="AC204" s="418">
        <v>0</v>
      </c>
      <c r="AD204" s="418">
        <f>V204+X204+Y204+Z204+AB204</f>
        <v>0</v>
      </c>
      <c r="AE204" s="418">
        <f>W204+AA204+AC204</f>
        <v>8611</v>
      </c>
      <c r="AF204" s="418">
        <f>SUM(AD204:AE204)</f>
        <v>8611</v>
      </c>
      <c r="AG204" s="418">
        <v>0</v>
      </c>
      <c r="AH204" s="418">
        <v>0</v>
      </c>
      <c r="AI204" s="418">
        <v>0</v>
      </c>
      <c r="AJ204" s="418">
        <v>0</v>
      </c>
      <c r="AK204" s="418">
        <v>0</v>
      </c>
      <c r="AL204" s="418">
        <f>AG204+AI204+AJ204</f>
        <v>0</v>
      </c>
      <c r="AM204" s="418">
        <f>AH204+AK204</f>
        <v>0</v>
      </c>
      <c r="AN204" s="418">
        <f>SUM(AL204:AM204)</f>
        <v>0</v>
      </c>
      <c r="AO204" s="418">
        <f t="shared" si="450"/>
        <v>0</v>
      </c>
      <c r="AP204" s="418">
        <f t="shared" si="450"/>
        <v>8611</v>
      </c>
      <c r="AQ204" s="418">
        <f>SUM(AO204:AP204)</f>
        <v>8611</v>
      </c>
      <c r="AR204" s="68">
        <f>ROUND((AF204+AG204+AH204+AI204)*33.8%,0)</f>
        <v>2911</v>
      </c>
      <c r="AS204" s="68">
        <f>ROUND(AF204*1%,0)</f>
        <v>86</v>
      </c>
      <c r="AT204" s="418">
        <v>0</v>
      </c>
      <c r="AU204" s="606">
        <v>423</v>
      </c>
      <c r="AV204" s="418">
        <f>AT204+AU204</f>
        <v>423</v>
      </c>
      <c r="AW204" s="418">
        <f>AQ204+AR204+AS204+AV204</f>
        <v>12031</v>
      </c>
      <c r="AX204" s="419">
        <v>0</v>
      </c>
      <c r="AY204" s="419">
        <v>0</v>
      </c>
      <c r="AZ204" s="419">
        <v>0</v>
      </c>
      <c r="BA204" s="419">
        <v>0</v>
      </c>
      <c r="BB204" s="607">
        <v>0.03</v>
      </c>
      <c r="BC204" s="939">
        <v>0</v>
      </c>
      <c r="BD204" s="419">
        <v>0</v>
      </c>
      <c r="BE204" s="419">
        <v>0</v>
      </c>
      <c r="BF204" s="419">
        <f>AX204+AZ204+BA204+BC204+BD204</f>
        <v>0</v>
      </c>
      <c r="BG204" s="419">
        <f>AY204+BB204+BE204</f>
        <v>0.03</v>
      </c>
      <c r="BH204" s="421">
        <f>SUM(BF204:BG204)</f>
        <v>0.03</v>
      </c>
      <c r="BI204" s="780">
        <f>I204+AW204</f>
        <v>36115</v>
      </c>
      <c r="BJ204" s="418">
        <f>J204+AF204</f>
        <v>25850</v>
      </c>
      <c r="BK204" s="418">
        <f t="shared" si="451"/>
        <v>0</v>
      </c>
      <c r="BL204" s="418">
        <f t="shared" si="451"/>
        <v>25850</v>
      </c>
      <c r="BM204" s="418">
        <f>M204+AN204</f>
        <v>0</v>
      </c>
      <c r="BN204" s="418">
        <f t="shared" si="452"/>
        <v>0</v>
      </c>
      <c r="BO204" s="418">
        <f t="shared" si="452"/>
        <v>0</v>
      </c>
      <c r="BP204" s="418">
        <f t="shared" si="453"/>
        <v>8738</v>
      </c>
      <c r="BQ204" s="418">
        <f t="shared" si="453"/>
        <v>258</v>
      </c>
      <c r="BR204" s="418">
        <f>R204+AV204</f>
        <v>1269</v>
      </c>
      <c r="BS204" s="419">
        <f>S204+BH204</f>
        <v>0.1</v>
      </c>
      <c r="BT204" s="419">
        <f t="shared" si="454"/>
        <v>0</v>
      </c>
      <c r="BU204" s="421">
        <f t="shared" si="454"/>
        <v>0.1</v>
      </c>
      <c r="BV204" s="420"/>
      <c r="BW204" s="415"/>
      <c r="BX204" s="415"/>
      <c r="BY204" s="415"/>
      <c r="BZ204" s="415"/>
      <c r="CA204" s="510"/>
    </row>
    <row r="205" spans="1:79" s="221" customFormat="1" ht="12.75" customHeight="1" x14ac:dyDescent="0.2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13"/>
      <c r="I205" s="452">
        <v>13778754</v>
      </c>
      <c r="J205" s="445">
        <v>10073697</v>
      </c>
      <c r="K205" s="445">
        <v>8474294</v>
      </c>
      <c r="L205" s="445">
        <v>1599403</v>
      </c>
      <c r="M205" s="445">
        <v>30000</v>
      </c>
      <c r="N205" s="445">
        <v>20000</v>
      </c>
      <c r="O205" s="445">
        <v>10000</v>
      </c>
      <c r="P205" s="445">
        <v>3415049</v>
      </c>
      <c r="Q205" s="445">
        <v>100737</v>
      </c>
      <c r="R205" s="445">
        <v>159271</v>
      </c>
      <c r="S205" s="446">
        <v>17.751799999999999</v>
      </c>
      <c r="T205" s="446">
        <v>13.058800000000002</v>
      </c>
      <c r="U205" s="450">
        <v>4.6930000000000005</v>
      </c>
      <c r="V205" s="448">
        <f t="shared" ref="V205:CA205" si="455">SUM(V200:V204)</f>
        <v>0</v>
      </c>
      <c r="W205" s="445">
        <f t="shared" si="455"/>
        <v>0</v>
      </c>
      <c r="X205" s="445">
        <f t="shared" si="455"/>
        <v>0</v>
      </c>
      <c r="Y205" s="445">
        <f t="shared" si="455"/>
        <v>0</v>
      </c>
      <c r="Z205" s="445">
        <f t="shared" si="455"/>
        <v>0</v>
      </c>
      <c r="AA205" s="445">
        <f t="shared" si="455"/>
        <v>371253</v>
      </c>
      <c r="AB205" s="445">
        <f t="shared" si="455"/>
        <v>0</v>
      </c>
      <c r="AC205" s="445">
        <f t="shared" si="455"/>
        <v>0</v>
      </c>
      <c r="AD205" s="445">
        <f t="shared" si="455"/>
        <v>0</v>
      </c>
      <c r="AE205" s="445">
        <f t="shared" si="455"/>
        <v>371253</v>
      </c>
      <c r="AF205" s="445">
        <f t="shared" si="455"/>
        <v>371253</v>
      </c>
      <c r="AG205" s="445">
        <f t="shared" si="455"/>
        <v>0</v>
      </c>
      <c r="AH205" s="445">
        <f t="shared" si="455"/>
        <v>0</v>
      </c>
      <c r="AI205" s="445">
        <f t="shared" si="455"/>
        <v>0</v>
      </c>
      <c r="AJ205" s="445">
        <f t="shared" si="455"/>
        <v>0</v>
      </c>
      <c r="AK205" s="445">
        <f t="shared" si="455"/>
        <v>0</v>
      </c>
      <c r="AL205" s="445">
        <f t="shared" si="455"/>
        <v>0</v>
      </c>
      <c r="AM205" s="445">
        <f t="shared" si="455"/>
        <v>0</v>
      </c>
      <c r="AN205" s="445">
        <f t="shared" si="455"/>
        <v>0</v>
      </c>
      <c r="AO205" s="445">
        <f t="shared" si="455"/>
        <v>0</v>
      </c>
      <c r="AP205" s="445">
        <f t="shared" si="455"/>
        <v>371253</v>
      </c>
      <c r="AQ205" s="445">
        <f t="shared" si="455"/>
        <v>371253</v>
      </c>
      <c r="AR205" s="445">
        <f t="shared" si="455"/>
        <v>125484</v>
      </c>
      <c r="AS205" s="445">
        <f t="shared" si="455"/>
        <v>3712</v>
      </c>
      <c r="AT205" s="445">
        <f t="shared" si="455"/>
        <v>0</v>
      </c>
      <c r="AU205" s="445">
        <f t="shared" si="455"/>
        <v>3153</v>
      </c>
      <c r="AV205" s="445">
        <f t="shared" si="455"/>
        <v>3153</v>
      </c>
      <c r="AW205" s="445">
        <f t="shared" si="455"/>
        <v>503602</v>
      </c>
      <c r="AX205" s="446">
        <f t="shared" si="455"/>
        <v>0</v>
      </c>
      <c r="AY205" s="446">
        <f t="shared" si="455"/>
        <v>0</v>
      </c>
      <c r="AZ205" s="446">
        <f t="shared" si="455"/>
        <v>0</v>
      </c>
      <c r="BA205" s="446">
        <f t="shared" si="455"/>
        <v>0</v>
      </c>
      <c r="BB205" s="446">
        <f t="shared" si="455"/>
        <v>1.1199999999999999</v>
      </c>
      <c r="BC205" s="948">
        <f t="shared" si="455"/>
        <v>0</v>
      </c>
      <c r="BD205" s="446">
        <f t="shared" si="455"/>
        <v>0</v>
      </c>
      <c r="BE205" s="446">
        <f t="shared" si="455"/>
        <v>0</v>
      </c>
      <c r="BF205" s="446">
        <f t="shared" si="455"/>
        <v>0</v>
      </c>
      <c r="BG205" s="446">
        <f t="shared" si="455"/>
        <v>1.1199999999999999</v>
      </c>
      <c r="BH205" s="39">
        <f t="shared" si="455"/>
        <v>1.1199999999999999</v>
      </c>
      <c r="BI205" s="452">
        <f t="shared" si="455"/>
        <v>14282356</v>
      </c>
      <c r="BJ205" s="445">
        <f t="shared" si="455"/>
        <v>10444950</v>
      </c>
      <c r="BK205" s="445">
        <f t="shared" si="455"/>
        <v>8474294</v>
      </c>
      <c r="BL205" s="445">
        <f t="shared" si="455"/>
        <v>1970656</v>
      </c>
      <c r="BM205" s="445">
        <f t="shared" si="455"/>
        <v>30000</v>
      </c>
      <c r="BN205" s="445">
        <f t="shared" si="455"/>
        <v>20000</v>
      </c>
      <c r="BO205" s="445">
        <f t="shared" si="455"/>
        <v>10000</v>
      </c>
      <c r="BP205" s="445">
        <f t="shared" si="455"/>
        <v>3540533</v>
      </c>
      <c r="BQ205" s="445">
        <f t="shared" si="455"/>
        <v>104449</v>
      </c>
      <c r="BR205" s="445">
        <f t="shared" si="455"/>
        <v>162424</v>
      </c>
      <c r="BS205" s="446">
        <f t="shared" si="455"/>
        <v>18.8718</v>
      </c>
      <c r="BT205" s="446">
        <f t="shared" si="455"/>
        <v>13.058800000000002</v>
      </c>
      <c r="BU205" s="39">
        <f t="shared" si="455"/>
        <v>5.8129999999999997</v>
      </c>
      <c r="BV205" s="833">
        <f t="shared" si="455"/>
        <v>0</v>
      </c>
      <c r="BW205" s="715">
        <f t="shared" si="455"/>
        <v>0</v>
      </c>
      <c r="BX205" s="715">
        <f t="shared" si="455"/>
        <v>0</v>
      </c>
      <c r="BY205" s="715">
        <f t="shared" si="455"/>
        <v>0</v>
      </c>
      <c r="BZ205" s="715">
        <f t="shared" si="455"/>
        <v>0</v>
      </c>
      <c r="CA205" s="834">
        <f t="shared" si="455"/>
        <v>0</v>
      </c>
    </row>
    <row r="206" spans="1:79" s="221" customFormat="1" ht="12.75" customHeight="1" x14ac:dyDescent="0.2">
      <c r="A206" s="209">
        <v>37</v>
      </c>
      <c r="B206" s="210">
        <v>4467</v>
      </c>
      <c r="C206" s="210">
        <v>600074935</v>
      </c>
      <c r="D206" s="210">
        <v>48282545</v>
      </c>
      <c r="E206" s="208" t="s">
        <v>799</v>
      </c>
      <c r="F206" s="210">
        <v>3111</v>
      </c>
      <c r="G206" s="165" t="s">
        <v>290</v>
      </c>
      <c r="H206" s="626" t="s">
        <v>271</v>
      </c>
      <c r="I206" s="511">
        <v>16962486</v>
      </c>
      <c r="J206" s="415">
        <v>12535816</v>
      </c>
      <c r="K206" s="415">
        <v>11870136</v>
      </c>
      <c r="L206" s="415">
        <v>665680</v>
      </c>
      <c r="M206" s="415">
        <v>0</v>
      </c>
      <c r="N206" s="415">
        <v>0</v>
      </c>
      <c r="O206" s="415">
        <v>0</v>
      </c>
      <c r="P206" s="68">
        <v>4237106</v>
      </c>
      <c r="Q206" s="68">
        <v>125358</v>
      </c>
      <c r="R206" s="415">
        <v>64206</v>
      </c>
      <c r="S206" s="416">
        <v>22.924999999999997</v>
      </c>
      <c r="T206" s="417">
        <v>20.257999999999999</v>
      </c>
      <c r="U206" s="423">
        <v>2.6669999999999998</v>
      </c>
      <c r="V206" s="424">
        <f t="shared" ref="V206:W213" si="456">AG206*-1</f>
        <v>0</v>
      </c>
      <c r="W206" s="418">
        <f t="shared" si="456"/>
        <v>0</v>
      </c>
      <c r="X206" s="418">
        <v>0</v>
      </c>
      <c r="Y206" s="418">
        <v>0</v>
      </c>
      <c r="Z206" s="418">
        <v>0</v>
      </c>
      <c r="AA206" s="415">
        <v>0</v>
      </c>
      <c r="AB206" s="418">
        <v>0</v>
      </c>
      <c r="AC206" s="418">
        <v>0</v>
      </c>
      <c r="AD206" s="418">
        <f t="shared" ref="AD206:AD213" si="457">V206+X206+Y206+Z206+AB206</f>
        <v>0</v>
      </c>
      <c r="AE206" s="418">
        <f t="shared" ref="AE206:AE213" si="458">W206+AA206+AC206</f>
        <v>0</v>
      </c>
      <c r="AF206" s="418">
        <f t="shared" ref="AF206:AF213" si="459">SUM(AD206:AE206)</f>
        <v>0</v>
      </c>
      <c r="AG206" s="418">
        <v>0</v>
      </c>
      <c r="AH206" s="418">
        <v>0</v>
      </c>
      <c r="AI206" s="418">
        <v>0</v>
      </c>
      <c r="AJ206" s="418">
        <v>0</v>
      </c>
      <c r="AK206" s="418">
        <v>0</v>
      </c>
      <c r="AL206" s="418">
        <f t="shared" ref="AL206:AL213" si="460">AG206+AI206+AJ206</f>
        <v>0</v>
      </c>
      <c r="AM206" s="418">
        <f t="shared" ref="AM206:AM213" si="461">AH206+AK206</f>
        <v>0</v>
      </c>
      <c r="AN206" s="418">
        <f t="shared" ref="AN206:AN213" si="462">SUM(AL206:AM206)</f>
        <v>0</v>
      </c>
      <c r="AO206" s="418">
        <f t="shared" ref="AO206:AP213" si="463">AD206+AL206</f>
        <v>0</v>
      </c>
      <c r="AP206" s="418">
        <f t="shared" si="463"/>
        <v>0</v>
      </c>
      <c r="AQ206" s="418">
        <f t="shared" ref="AQ206:AQ213" si="464">SUM(AO206:AP206)</f>
        <v>0</v>
      </c>
      <c r="AR206" s="68">
        <f t="shared" ref="AR206:AR213" si="465">ROUND((AF206+AG206+AH206+AI206)*33.8%,0)</f>
        <v>0</v>
      </c>
      <c r="AS206" s="68">
        <f t="shared" ref="AS206:AS213" si="466">ROUND(AF206*1%,0)</f>
        <v>0</v>
      </c>
      <c r="AT206" s="418">
        <v>0</v>
      </c>
      <c r="AU206" s="415">
        <v>0</v>
      </c>
      <c r="AV206" s="418">
        <f t="shared" ref="AV206:AV213" si="467">AT206+AU206</f>
        <v>0</v>
      </c>
      <c r="AW206" s="418">
        <f t="shared" ref="AW206:AW213" si="468">AQ206+AR206+AS206+AV206</f>
        <v>0</v>
      </c>
      <c r="AX206" s="419">
        <v>0</v>
      </c>
      <c r="AY206" s="419">
        <v>0</v>
      </c>
      <c r="AZ206" s="419">
        <v>0</v>
      </c>
      <c r="BA206" s="419">
        <v>0</v>
      </c>
      <c r="BB206" s="416">
        <v>0</v>
      </c>
      <c r="BC206" s="939">
        <v>0</v>
      </c>
      <c r="BD206" s="419">
        <v>0</v>
      </c>
      <c r="BE206" s="419">
        <v>0</v>
      </c>
      <c r="BF206" s="419">
        <f t="shared" ref="BF206:BF213" si="469">AX206+AZ206+BA206+BC206+BD206</f>
        <v>0</v>
      </c>
      <c r="BG206" s="419">
        <f t="shared" ref="BG206:BG213" si="470">AY206+BB206+BE206</f>
        <v>0</v>
      </c>
      <c r="BH206" s="421">
        <f t="shared" ref="BH206:BH213" si="471">SUM(BF206:BG206)</f>
        <v>0</v>
      </c>
      <c r="BI206" s="780">
        <f t="shared" ref="BI206:BI213" si="472">I206+AW206</f>
        <v>16962486</v>
      </c>
      <c r="BJ206" s="418">
        <f t="shared" ref="BJ206:BJ213" si="473">J206+AF206</f>
        <v>12535816</v>
      </c>
      <c r="BK206" s="418">
        <f t="shared" ref="BK206:BL213" si="474">K206+AD206</f>
        <v>11870136</v>
      </c>
      <c r="BL206" s="418">
        <f t="shared" si="474"/>
        <v>665680</v>
      </c>
      <c r="BM206" s="418">
        <f t="shared" ref="BM206:BM213" si="475">M206+AN206</f>
        <v>0</v>
      </c>
      <c r="BN206" s="418">
        <f t="shared" ref="BN206:BO213" si="476">N206+AL206</f>
        <v>0</v>
      </c>
      <c r="BO206" s="418">
        <f t="shared" si="476"/>
        <v>0</v>
      </c>
      <c r="BP206" s="418">
        <f t="shared" ref="BP206:BQ213" si="477">P206+AR206</f>
        <v>4237106</v>
      </c>
      <c r="BQ206" s="418">
        <f t="shared" si="477"/>
        <v>125358</v>
      </c>
      <c r="BR206" s="418">
        <f t="shared" ref="BR206:BR213" si="478">R206+AV206</f>
        <v>64206</v>
      </c>
      <c r="BS206" s="419">
        <f t="shared" ref="BS206:BS213" si="479">S206+BH206</f>
        <v>22.924999999999997</v>
      </c>
      <c r="BT206" s="419">
        <f t="shared" ref="BT206:BU213" si="480">T206+BF206</f>
        <v>20.257999999999999</v>
      </c>
      <c r="BU206" s="421">
        <f t="shared" si="480"/>
        <v>2.6669999999999998</v>
      </c>
      <c r="BV206" s="420"/>
      <c r="BW206" s="415"/>
      <c r="BX206" s="415"/>
      <c r="BY206" s="415"/>
      <c r="BZ206" s="415"/>
      <c r="CA206" s="510"/>
    </row>
    <row r="207" spans="1:79" s="221" customFormat="1" ht="12.75" customHeight="1" x14ac:dyDescent="0.2">
      <c r="A207" s="209">
        <v>37</v>
      </c>
      <c r="B207" s="210">
        <v>4467</v>
      </c>
      <c r="C207" s="210">
        <v>600074935</v>
      </c>
      <c r="D207" s="210">
        <v>48282545</v>
      </c>
      <c r="E207" s="208" t="s">
        <v>799</v>
      </c>
      <c r="F207" s="210">
        <v>3113</v>
      </c>
      <c r="G207" s="165" t="s">
        <v>293</v>
      </c>
      <c r="H207" s="626" t="s">
        <v>271</v>
      </c>
      <c r="I207" s="511">
        <v>53642549</v>
      </c>
      <c r="J207" s="415">
        <v>39003502</v>
      </c>
      <c r="K207" s="415">
        <v>36195527</v>
      </c>
      <c r="L207" s="415">
        <v>2807975</v>
      </c>
      <c r="M207" s="415">
        <v>240000</v>
      </c>
      <c r="N207" s="415">
        <v>120000</v>
      </c>
      <c r="O207" s="415">
        <v>120000</v>
      </c>
      <c r="P207" s="68">
        <v>13264303</v>
      </c>
      <c r="Q207" s="68">
        <v>390035</v>
      </c>
      <c r="R207" s="415">
        <v>744709</v>
      </c>
      <c r="S207" s="416">
        <v>61.423100000000005</v>
      </c>
      <c r="T207" s="417">
        <v>52.657499999999999</v>
      </c>
      <c r="U207" s="423">
        <v>8.7656000000000009</v>
      </c>
      <c r="V207" s="424">
        <f t="shared" si="456"/>
        <v>0</v>
      </c>
      <c r="W207" s="418">
        <f t="shared" si="456"/>
        <v>0</v>
      </c>
      <c r="X207" s="418">
        <v>0</v>
      </c>
      <c r="Y207" s="418">
        <v>0</v>
      </c>
      <c r="Z207" s="418">
        <v>0</v>
      </c>
      <c r="AA207" s="415">
        <v>0</v>
      </c>
      <c r="AB207" s="418">
        <v>0</v>
      </c>
      <c r="AC207" s="418">
        <v>0</v>
      </c>
      <c r="AD207" s="418">
        <f t="shared" si="457"/>
        <v>0</v>
      </c>
      <c r="AE207" s="418">
        <f t="shared" si="458"/>
        <v>0</v>
      </c>
      <c r="AF207" s="418">
        <f t="shared" si="459"/>
        <v>0</v>
      </c>
      <c r="AG207" s="418">
        <v>0</v>
      </c>
      <c r="AH207" s="418">
        <v>0</v>
      </c>
      <c r="AI207" s="418">
        <v>0</v>
      </c>
      <c r="AJ207" s="418">
        <v>0</v>
      </c>
      <c r="AK207" s="418">
        <v>0</v>
      </c>
      <c r="AL207" s="418">
        <f t="shared" si="460"/>
        <v>0</v>
      </c>
      <c r="AM207" s="418">
        <f t="shared" si="461"/>
        <v>0</v>
      </c>
      <c r="AN207" s="418">
        <f t="shared" si="462"/>
        <v>0</v>
      </c>
      <c r="AO207" s="418">
        <f t="shared" si="463"/>
        <v>0</v>
      </c>
      <c r="AP207" s="418">
        <f t="shared" si="463"/>
        <v>0</v>
      </c>
      <c r="AQ207" s="418">
        <f t="shared" si="464"/>
        <v>0</v>
      </c>
      <c r="AR207" s="68">
        <f t="shared" si="465"/>
        <v>0</v>
      </c>
      <c r="AS207" s="68">
        <f t="shared" si="466"/>
        <v>0</v>
      </c>
      <c r="AT207" s="418">
        <v>0</v>
      </c>
      <c r="AU207" s="415">
        <v>0</v>
      </c>
      <c r="AV207" s="418">
        <f t="shared" si="467"/>
        <v>0</v>
      </c>
      <c r="AW207" s="418">
        <f t="shared" si="468"/>
        <v>0</v>
      </c>
      <c r="AX207" s="419">
        <v>0</v>
      </c>
      <c r="AY207" s="419">
        <v>0</v>
      </c>
      <c r="AZ207" s="419">
        <v>0</v>
      </c>
      <c r="BA207" s="419">
        <v>0</v>
      </c>
      <c r="BB207" s="416">
        <v>0</v>
      </c>
      <c r="BC207" s="939">
        <v>0</v>
      </c>
      <c r="BD207" s="419">
        <v>0</v>
      </c>
      <c r="BE207" s="419">
        <v>0</v>
      </c>
      <c r="BF207" s="419">
        <f t="shared" si="469"/>
        <v>0</v>
      </c>
      <c r="BG207" s="419">
        <f t="shared" si="470"/>
        <v>0</v>
      </c>
      <c r="BH207" s="421">
        <f t="shared" si="471"/>
        <v>0</v>
      </c>
      <c r="BI207" s="780">
        <f t="shared" si="472"/>
        <v>53642549</v>
      </c>
      <c r="BJ207" s="418">
        <f t="shared" si="473"/>
        <v>39003502</v>
      </c>
      <c r="BK207" s="418">
        <f t="shared" si="474"/>
        <v>36195527</v>
      </c>
      <c r="BL207" s="418">
        <f t="shared" si="474"/>
        <v>2807975</v>
      </c>
      <c r="BM207" s="418">
        <f t="shared" si="475"/>
        <v>240000</v>
      </c>
      <c r="BN207" s="418">
        <f t="shared" si="476"/>
        <v>120000</v>
      </c>
      <c r="BO207" s="418">
        <f t="shared" si="476"/>
        <v>120000</v>
      </c>
      <c r="BP207" s="418">
        <f t="shared" si="477"/>
        <v>13264303</v>
      </c>
      <c r="BQ207" s="418">
        <f t="shared" si="477"/>
        <v>390035</v>
      </c>
      <c r="BR207" s="418">
        <f t="shared" si="478"/>
        <v>744709</v>
      </c>
      <c r="BS207" s="419">
        <f t="shared" si="479"/>
        <v>61.423100000000005</v>
      </c>
      <c r="BT207" s="419">
        <f t="shared" si="480"/>
        <v>52.657499999999999</v>
      </c>
      <c r="BU207" s="421">
        <f t="shared" si="480"/>
        <v>8.7656000000000009</v>
      </c>
      <c r="BV207" s="420"/>
      <c r="BW207" s="415"/>
      <c r="BX207" s="415"/>
      <c r="BY207" s="415"/>
      <c r="BZ207" s="415"/>
      <c r="CA207" s="510"/>
    </row>
    <row r="208" spans="1:79" s="221" customFormat="1" ht="12.75" customHeight="1" x14ac:dyDescent="0.2">
      <c r="A208" s="209">
        <v>37</v>
      </c>
      <c r="B208" s="210">
        <v>4467</v>
      </c>
      <c r="C208" s="210">
        <v>600074935</v>
      </c>
      <c r="D208" s="210">
        <v>48282545</v>
      </c>
      <c r="E208" s="208" t="s">
        <v>799</v>
      </c>
      <c r="F208" s="210">
        <v>3113</v>
      </c>
      <c r="G208" s="165" t="s">
        <v>292</v>
      </c>
      <c r="H208" s="626" t="s">
        <v>271</v>
      </c>
      <c r="I208" s="511">
        <v>2241615</v>
      </c>
      <c r="J208" s="415">
        <v>1662919</v>
      </c>
      <c r="K208" s="415">
        <v>1662919</v>
      </c>
      <c r="L208" s="415">
        <v>0</v>
      </c>
      <c r="M208" s="415">
        <v>0</v>
      </c>
      <c r="N208" s="415">
        <v>0</v>
      </c>
      <c r="O208" s="415">
        <v>0</v>
      </c>
      <c r="P208" s="68">
        <v>562067</v>
      </c>
      <c r="Q208" s="68">
        <v>16629</v>
      </c>
      <c r="R208" s="415">
        <v>0</v>
      </c>
      <c r="S208" s="416">
        <v>3.9167000000000001</v>
      </c>
      <c r="T208" s="417">
        <v>3.9167000000000001</v>
      </c>
      <c r="U208" s="423">
        <v>0</v>
      </c>
      <c r="V208" s="424">
        <f t="shared" si="456"/>
        <v>0</v>
      </c>
      <c r="W208" s="418">
        <f t="shared" si="456"/>
        <v>0</v>
      </c>
      <c r="X208" s="418">
        <v>0</v>
      </c>
      <c r="Y208" s="418">
        <v>0</v>
      </c>
      <c r="Z208" s="418">
        <v>0</v>
      </c>
      <c r="AA208" s="415">
        <v>0</v>
      </c>
      <c r="AB208" s="418">
        <v>0</v>
      </c>
      <c r="AC208" s="418">
        <v>0</v>
      </c>
      <c r="AD208" s="418">
        <f t="shared" si="457"/>
        <v>0</v>
      </c>
      <c r="AE208" s="418">
        <f t="shared" si="458"/>
        <v>0</v>
      </c>
      <c r="AF208" s="418">
        <f t="shared" si="459"/>
        <v>0</v>
      </c>
      <c r="AG208" s="418">
        <v>0</v>
      </c>
      <c r="AH208" s="418">
        <v>0</v>
      </c>
      <c r="AI208" s="418">
        <v>0</v>
      </c>
      <c r="AJ208" s="418">
        <v>0</v>
      </c>
      <c r="AK208" s="418">
        <v>0</v>
      </c>
      <c r="AL208" s="418">
        <f t="shared" si="460"/>
        <v>0</v>
      </c>
      <c r="AM208" s="418">
        <f t="shared" si="461"/>
        <v>0</v>
      </c>
      <c r="AN208" s="418">
        <f t="shared" si="462"/>
        <v>0</v>
      </c>
      <c r="AO208" s="418">
        <f t="shared" si="463"/>
        <v>0</v>
      </c>
      <c r="AP208" s="418">
        <f t="shared" si="463"/>
        <v>0</v>
      </c>
      <c r="AQ208" s="418">
        <f t="shared" si="464"/>
        <v>0</v>
      </c>
      <c r="AR208" s="68">
        <f t="shared" si="465"/>
        <v>0</v>
      </c>
      <c r="AS208" s="68">
        <f t="shared" si="466"/>
        <v>0</v>
      </c>
      <c r="AT208" s="418">
        <v>0</v>
      </c>
      <c r="AU208" s="415">
        <v>0</v>
      </c>
      <c r="AV208" s="418">
        <f t="shared" si="467"/>
        <v>0</v>
      </c>
      <c r="AW208" s="418">
        <f t="shared" si="468"/>
        <v>0</v>
      </c>
      <c r="AX208" s="419">
        <v>0</v>
      </c>
      <c r="AY208" s="419">
        <v>0</v>
      </c>
      <c r="AZ208" s="419">
        <v>0</v>
      </c>
      <c r="BA208" s="419">
        <v>0</v>
      </c>
      <c r="BB208" s="416">
        <v>0</v>
      </c>
      <c r="BC208" s="939">
        <v>0</v>
      </c>
      <c r="BD208" s="419">
        <v>0</v>
      </c>
      <c r="BE208" s="419">
        <v>0</v>
      </c>
      <c r="BF208" s="419">
        <f t="shared" si="469"/>
        <v>0</v>
      </c>
      <c r="BG208" s="419">
        <f t="shared" si="470"/>
        <v>0</v>
      </c>
      <c r="BH208" s="421">
        <f t="shared" si="471"/>
        <v>0</v>
      </c>
      <c r="BI208" s="780">
        <f t="shared" si="472"/>
        <v>2241615</v>
      </c>
      <c r="BJ208" s="418">
        <f t="shared" si="473"/>
        <v>1662919</v>
      </c>
      <c r="BK208" s="418">
        <f t="shared" si="474"/>
        <v>1662919</v>
      </c>
      <c r="BL208" s="418">
        <f t="shared" si="474"/>
        <v>0</v>
      </c>
      <c r="BM208" s="418">
        <f t="shared" si="475"/>
        <v>0</v>
      </c>
      <c r="BN208" s="418">
        <f t="shared" si="476"/>
        <v>0</v>
      </c>
      <c r="BO208" s="418">
        <f t="shared" si="476"/>
        <v>0</v>
      </c>
      <c r="BP208" s="418">
        <f t="shared" si="477"/>
        <v>562067</v>
      </c>
      <c r="BQ208" s="418">
        <f t="shared" si="477"/>
        <v>16629</v>
      </c>
      <c r="BR208" s="418">
        <f t="shared" si="478"/>
        <v>0</v>
      </c>
      <c r="BS208" s="419">
        <f t="shared" si="479"/>
        <v>3.9167000000000001</v>
      </c>
      <c r="BT208" s="419">
        <f t="shared" si="480"/>
        <v>3.9167000000000001</v>
      </c>
      <c r="BU208" s="421">
        <f t="shared" si="480"/>
        <v>0</v>
      </c>
      <c r="BV208" s="420"/>
      <c r="BW208" s="415"/>
      <c r="BX208" s="415"/>
      <c r="BY208" s="415"/>
      <c r="BZ208" s="415"/>
      <c r="CA208" s="510"/>
    </row>
    <row r="209" spans="1:79" s="221" customFormat="1" ht="12.75" customHeight="1" x14ac:dyDescent="0.2">
      <c r="A209" s="209">
        <v>37</v>
      </c>
      <c r="B209" s="210">
        <v>4467</v>
      </c>
      <c r="C209" s="210">
        <v>600074935</v>
      </c>
      <c r="D209" s="210">
        <v>48282545</v>
      </c>
      <c r="E209" s="208" t="s">
        <v>799</v>
      </c>
      <c r="F209" s="210">
        <v>3113</v>
      </c>
      <c r="G209" s="165" t="s">
        <v>291</v>
      </c>
      <c r="H209" s="626" t="s">
        <v>272</v>
      </c>
      <c r="I209" s="511">
        <v>7588976</v>
      </c>
      <c r="J209" s="415">
        <v>5599203</v>
      </c>
      <c r="K209" s="415">
        <v>5599203</v>
      </c>
      <c r="L209" s="415">
        <v>0</v>
      </c>
      <c r="M209" s="415">
        <v>0</v>
      </c>
      <c r="N209" s="415">
        <v>0</v>
      </c>
      <c r="O209" s="415">
        <v>0</v>
      </c>
      <c r="P209" s="68">
        <v>1892531</v>
      </c>
      <c r="Q209" s="68">
        <v>55992</v>
      </c>
      <c r="R209" s="415">
        <v>41250</v>
      </c>
      <c r="S209" s="416">
        <v>15.42</v>
      </c>
      <c r="T209" s="417">
        <v>15.42</v>
      </c>
      <c r="U209" s="423">
        <v>0</v>
      </c>
      <c r="V209" s="424">
        <f t="shared" si="456"/>
        <v>0</v>
      </c>
      <c r="W209" s="418">
        <f t="shared" si="456"/>
        <v>0</v>
      </c>
      <c r="X209" s="418">
        <v>0</v>
      </c>
      <c r="Y209" s="418">
        <v>0</v>
      </c>
      <c r="Z209" s="418">
        <v>0</v>
      </c>
      <c r="AA209" s="415">
        <v>0</v>
      </c>
      <c r="AB209" s="418">
        <v>0</v>
      </c>
      <c r="AC209" s="418">
        <v>0</v>
      </c>
      <c r="AD209" s="418">
        <f t="shared" si="457"/>
        <v>0</v>
      </c>
      <c r="AE209" s="418">
        <f t="shared" si="458"/>
        <v>0</v>
      </c>
      <c r="AF209" s="418">
        <f t="shared" si="459"/>
        <v>0</v>
      </c>
      <c r="AG209" s="418">
        <v>0</v>
      </c>
      <c r="AH209" s="418">
        <v>0</v>
      </c>
      <c r="AI209" s="418">
        <v>0</v>
      </c>
      <c r="AJ209" s="418">
        <v>0</v>
      </c>
      <c r="AK209" s="418">
        <v>0</v>
      </c>
      <c r="AL209" s="418">
        <f t="shared" si="460"/>
        <v>0</v>
      </c>
      <c r="AM209" s="418">
        <f t="shared" si="461"/>
        <v>0</v>
      </c>
      <c r="AN209" s="418">
        <f t="shared" si="462"/>
        <v>0</v>
      </c>
      <c r="AO209" s="418">
        <f t="shared" si="463"/>
        <v>0</v>
      </c>
      <c r="AP209" s="418">
        <f t="shared" si="463"/>
        <v>0</v>
      </c>
      <c r="AQ209" s="418">
        <f t="shared" si="464"/>
        <v>0</v>
      </c>
      <c r="AR209" s="68">
        <f t="shared" si="465"/>
        <v>0</v>
      </c>
      <c r="AS209" s="68">
        <f t="shared" si="466"/>
        <v>0</v>
      </c>
      <c r="AT209" s="418">
        <v>0</v>
      </c>
      <c r="AU209" s="415">
        <v>0</v>
      </c>
      <c r="AV209" s="418">
        <f t="shared" si="467"/>
        <v>0</v>
      </c>
      <c r="AW209" s="418">
        <f t="shared" si="468"/>
        <v>0</v>
      </c>
      <c r="AX209" s="419">
        <v>0</v>
      </c>
      <c r="AY209" s="419">
        <v>0</v>
      </c>
      <c r="AZ209" s="419">
        <v>0</v>
      </c>
      <c r="BA209" s="419">
        <v>0</v>
      </c>
      <c r="BB209" s="416">
        <v>0</v>
      </c>
      <c r="BC209" s="939">
        <v>0</v>
      </c>
      <c r="BD209" s="419">
        <v>0</v>
      </c>
      <c r="BE209" s="419">
        <v>0</v>
      </c>
      <c r="BF209" s="419">
        <f t="shared" si="469"/>
        <v>0</v>
      </c>
      <c r="BG209" s="419">
        <f t="shared" si="470"/>
        <v>0</v>
      </c>
      <c r="BH209" s="421">
        <f t="shared" si="471"/>
        <v>0</v>
      </c>
      <c r="BI209" s="780">
        <f t="shared" si="472"/>
        <v>7588976</v>
      </c>
      <c r="BJ209" s="418">
        <f t="shared" si="473"/>
        <v>5599203</v>
      </c>
      <c r="BK209" s="418">
        <f t="shared" si="474"/>
        <v>5599203</v>
      </c>
      <c r="BL209" s="418">
        <f t="shared" si="474"/>
        <v>0</v>
      </c>
      <c r="BM209" s="418">
        <f t="shared" si="475"/>
        <v>0</v>
      </c>
      <c r="BN209" s="418">
        <f t="shared" si="476"/>
        <v>0</v>
      </c>
      <c r="BO209" s="418">
        <f t="shared" si="476"/>
        <v>0</v>
      </c>
      <c r="BP209" s="418">
        <f t="shared" si="477"/>
        <v>1892531</v>
      </c>
      <c r="BQ209" s="418">
        <f t="shared" si="477"/>
        <v>55992</v>
      </c>
      <c r="BR209" s="418">
        <f t="shared" si="478"/>
        <v>41250</v>
      </c>
      <c r="BS209" s="419">
        <f t="shared" si="479"/>
        <v>15.42</v>
      </c>
      <c r="BT209" s="419">
        <f t="shared" si="480"/>
        <v>15.42</v>
      </c>
      <c r="BU209" s="421">
        <f t="shared" si="480"/>
        <v>0</v>
      </c>
      <c r="BV209" s="420"/>
      <c r="BW209" s="415"/>
      <c r="BX209" s="415"/>
      <c r="BY209" s="415"/>
      <c r="BZ209" s="415"/>
      <c r="CA209" s="510"/>
    </row>
    <row r="210" spans="1:79" s="221" customFormat="1" ht="12.75" customHeight="1" x14ac:dyDescent="0.2">
      <c r="A210" s="209">
        <v>37</v>
      </c>
      <c r="B210" s="210">
        <v>4467</v>
      </c>
      <c r="C210" s="210">
        <v>600074935</v>
      </c>
      <c r="D210" s="210">
        <v>48282545</v>
      </c>
      <c r="E210" s="208" t="s">
        <v>799</v>
      </c>
      <c r="F210" s="210">
        <v>3141</v>
      </c>
      <c r="G210" s="165" t="s">
        <v>294</v>
      </c>
      <c r="H210" s="626" t="s">
        <v>272</v>
      </c>
      <c r="I210" s="511">
        <v>4184953</v>
      </c>
      <c r="J210" s="415">
        <v>3083557</v>
      </c>
      <c r="K210" s="415">
        <v>0</v>
      </c>
      <c r="L210" s="415">
        <v>3083557</v>
      </c>
      <c r="M210" s="415">
        <v>0</v>
      </c>
      <c r="N210" s="415">
        <v>0</v>
      </c>
      <c r="O210" s="415">
        <v>0</v>
      </c>
      <c r="P210" s="68">
        <v>1042242</v>
      </c>
      <c r="Q210" s="68">
        <v>30836</v>
      </c>
      <c r="R210" s="415">
        <v>28318</v>
      </c>
      <c r="S210" s="416">
        <v>9.25</v>
      </c>
      <c r="T210" s="417">
        <v>0</v>
      </c>
      <c r="U210" s="423">
        <v>9.25</v>
      </c>
      <c r="V210" s="424">
        <f t="shared" si="456"/>
        <v>0</v>
      </c>
      <c r="W210" s="418">
        <f t="shared" si="456"/>
        <v>0</v>
      </c>
      <c r="X210" s="418">
        <v>0</v>
      </c>
      <c r="Y210" s="418">
        <v>0</v>
      </c>
      <c r="Z210" s="418">
        <v>0</v>
      </c>
      <c r="AA210" s="415">
        <v>1540226</v>
      </c>
      <c r="AB210" s="418">
        <v>0</v>
      </c>
      <c r="AC210" s="418">
        <v>0</v>
      </c>
      <c r="AD210" s="418">
        <f t="shared" si="457"/>
        <v>0</v>
      </c>
      <c r="AE210" s="418">
        <f t="shared" si="458"/>
        <v>1540226</v>
      </c>
      <c r="AF210" s="418">
        <f t="shared" si="459"/>
        <v>1540226</v>
      </c>
      <c r="AG210" s="418">
        <v>0</v>
      </c>
      <c r="AH210" s="418">
        <v>0</v>
      </c>
      <c r="AI210" s="418">
        <v>0</v>
      </c>
      <c r="AJ210" s="418">
        <v>0</v>
      </c>
      <c r="AK210" s="418">
        <v>0</v>
      </c>
      <c r="AL210" s="418">
        <f t="shared" si="460"/>
        <v>0</v>
      </c>
      <c r="AM210" s="418">
        <f t="shared" si="461"/>
        <v>0</v>
      </c>
      <c r="AN210" s="418">
        <f t="shared" si="462"/>
        <v>0</v>
      </c>
      <c r="AO210" s="418">
        <f t="shared" si="463"/>
        <v>0</v>
      </c>
      <c r="AP210" s="418">
        <f t="shared" si="463"/>
        <v>1540226</v>
      </c>
      <c r="AQ210" s="418">
        <f t="shared" si="464"/>
        <v>1540226</v>
      </c>
      <c r="AR210" s="68">
        <f t="shared" si="465"/>
        <v>520596</v>
      </c>
      <c r="AS210" s="68">
        <f t="shared" si="466"/>
        <v>15402</v>
      </c>
      <c r="AT210" s="418">
        <v>0</v>
      </c>
      <c r="AU210" s="415">
        <v>13678</v>
      </c>
      <c r="AV210" s="418">
        <f t="shared" si="467"/>
        <v>13678</v>
      </c>
      <c r="AW210" s="418">
        <f t="shared" si="468"/>
        <v>2089902</v>
      </c>
      <c r="AX210" s="419">
        <v>0</v>
      </c>
      <c r="AY210" s="419">
        <v>0</v>
      </c>
      <c r="AZ210" s="419">
        <v>0</v>
      </c>
      <c r="BA210" s="419">
        <v>0</v>
      </c>
      <c r="BB210" s="416">
        <v>4.62</v>
      </c>
      <c r="BC210" s="939">
        <v>0</v>
      </c>
      <c r="BD210" s="419">
        <v>0</v>
      </c>
      <c r="BE210" s="419">
        <v>0</v>
      </c>
      <c r="BF210" s="419">
        <f t="shared" si="469"/>
        <v>0</v>
      </c>
      <c r="BG210" s="419">
        <f t="shared" si="470"/>
        <v>4.62</v>
      </c>
      <c r="BH210" s="421">
        <f t="shared" si="471"/>
        <v>4.62</v>
      </c>
      <c r="BI210" s="780">
        <f t="shared" si="472"/>
        <v>6274855</v>
      </c>
      <c r="BJ210" s="418">
        <f t="shared" si="473"/>
        <v>4623783</v>
      </c>
      <c r="BK210" s="418">
        <f t="shared" si="474"/>
        <v>0</v>
      </c>
      <c r="BL210" s="418">
        <f t="shared" si="474"/>
        <v>4623783</v>
      </c>
      <c r="BM210" s="418">
        <f t="shared" si="475"/>
        <v>0</v>
      </c>
      <c r="BN210" s="418">
        <f t="shared" si="476"/>
        <v>0</v>
      </c>
      <c r="BO210" s="418">
        <f t="shared" si="476"/>
        <v>0</v>
      </c>
      <c r="BP210" s="418">
        <f t="shared" si="477"/>
        <v>1562838</v>
      </c>
      <c r="BQ210" s="418">
        <f t="shared" si="477"/>
        <v>46238</v>
      </c>
      <c r="BR210" s="418">
        <f t="shared" si="478"/>
        <v>41996</v>
      </c>
      <c r="BS210" s="419">
        <f t="shared" si="479"/>
        <v>13.870000000000001</v>
      </c>
      <c r="BT210" s="419">
        <f t="shared" si="480"/>
        <v>0</v>
      </c>
      <c r="BU210" s="421">
        <f t="shared" si="480"/>
        <v>13.870000000000001</v>
      </c>
      <c r="BV210" s="420"/>
      <c r="BW210" s="415"/>
      <c r="BX210" s="415"/>
      <c r="BY210" s="415"/>
      <c r="BZ210" s="415"/>
      <c r="CA210" s="510"/>
    </row>
    <row r="211" spans="1:79" s="221" customFormat="1" ht="12.75" customHeight="1" x14ac:dyDescent="0.2">
      <c r="A211" s="209">
        <v>37</v>
      </c>
      <c r="B211" s="210">
        <v>4467</v>
      </c>
      <c r="C211" s="210">
        <v>600074935</v>
      </c>
      <c r="D211" s="210">
        <v>48282545</v>
      </c>
      <c r="E211" s="208" t="s">
        <v>799</v>
      </c>
      <c r="F211" s="210">
        <v>3143</v>
      </c>
      <c r="G211" s="165" t="s">
        <v>595</v>
      </c>
      <c r="H211" s="614" t="s">
        <v>271</v>
      </c>
      <c r="I211" s="511">
        <v>4811717</v>
      </c>
      <c r="J211" s="415">
        <v>3569523</v>
      </c>
      <c r="K211" s="415">
        <v>3569523</v>
      </c>
      <c r="L211" s="415">
        <v>0</v>
      </c>
      <c r="M211" s="415">
        <v>0</v>
      </c>
      <c r="N211" s="415">
        <v>0</v>
      </c>
      <c r="O211" s="415">
        <v>0</v>
      </c>
      <c r="P211" s="68">
        <v>1206499</v>
      </c>
      <c r="Q211" s="68">
        <v>35695</v>
      </c>
      <c r="R211" s="415">
        <v>0</v>
      </c>
      <c r="S211" s="416">
        <v>6.9642999999999997</v>
      </c>
      <c r="T211" s="417">
        <v>6.9642999999999997</v>
      </c>
      <c r="U211" s="423">
        <v>0</v>
      </c>
      <c r="V211" s="424">
        <f t="shared" si="456"/>
        <v>0</v>
      </c>
      <c r="W211" s="418">
        <f t="shared" si="456"/>
        <v>0</v>
      </c>
      <c r="X211" s="418">
        <v>0</v>
      </c>
      <c r="Y211" s="418">
        <v>0</v>
      </c>
      <c r="Z211" s="418">
        <v>0</v>
      </c>
      <c r="AA211" s="415">
        <v>0</v>
      </c>
      <c r="AB211" s="418">
        <v>0</v>
      </c>
      <c r="AC211" s="418">
        <v>0</v>
      </c>
      <c r="AD211" s="418">
        <f t="shared" si="457"/>
        <v>0</v>
      </c>
      <c r="AE211" s="418">
        <f t="shared" si="458"/>
        <v>0</v>
      </c>
      <c r="AF211" s="418">
        <f t="shared" si="459"/>
        <v>0</v>
      </c>
      <c r="AG211" s="418">
        <v>0</v>
      </c>
      <c r="AH211" s="418">
        <v>0</v>
      </c>
      <c r="AI211" s="418">
        <v>0</v>
      </c>
      <c r="AJ211" s="418">
        <v>0</v>
      </c>
      <c r="AK211" s="418">
        <v>0</v>
      </c>
      <c r="AL211" s="418">
        <f t="shared" si="460"/>
        <v>0</v>
      </c>
      <c r="AM211" s="418">
        <f t="shared" si="461"/>
        <v>0</v>
      </c>
      <c r="AN211" s="418">
        <f t="shared" si="462"/>
        <v>0</v>
      </c>
      <c r="AO211" s="418">
        <f t="shared" si="463"/>
        <v>0</v>
      </c>
      <c r="AP211" s="418">
        <f t="shared" si="463"/>
        <v>0</v>
      </c>
      <c r="AQ211" s="418">
        <f t="shared" si="464"/>
        <v>0</v>
      </c>
      <c r="AR211" s="68">
        <f t="shared" si="465"/>
        <v>0</v>
      </c>
      <c r="AS211" s="68">
        <f t="shared" si="466"/>
        <v>0</v>
      </c>
      <c r="AT211" s="418">
        <v>0</v>
      </c>
      <c r="AU211" s="415">
        <v>0</v>
      </c>
      <c r="AV211" s="418">
        <f t="shared" si="467"/>
        <v>0</v>
      </c>
      <c r="AW211" s="418">
        <f t="shared" si="468"/>
        <v>0</v>
      </c>
      <c r="AX211" s="419">
        <v>0</v>
      </c>
      <c r="AY211" s="419">
        <v>0</v>
      </c>
      <c r="AZ211" s="419">
        <v>0</v>
      </c>
      <c r="BA211" s="419">
        <v>0</v>
      </c>
      <c r="BB211" s="416">
        <v>0</v>
      </c>
      <c r="BC211" s="939">
        <v>0</v>
      </c>
      <c r="BD211" s="419">
        <v>0</v>
      </c>
      <c r="BE211" s="419">
        <v>0</v>
      </c>
      <c r="BF211" s="419">
        <f t="shared" si="469"/>
        <v>0</v>
      </c>
      <c r="BG211" s="419">
        <f t="shared" si="470"/>
        <v>0</v>
      </c>
      <c r="BH211" s="421">
        <f t="shared" si="471"/>
        <v>0</v>
      </c>
      <c r="BI211" s="780">
        <f t="shared" si="472"/>
        <v>4811717</v>
      </c>
      <c r="BJ211" s="418">
        <f t="shared" si="473"/>
        <v>3569523</v>
      </c>
      <c r="BK211" s="418">
        <f t="shared" si="474"/>
        <v>3569523</v>
      </c>
      <c r="BL211" s="418">
        <f t="shared" si="474"/>
        <v>0</v>
      </c>
      <c r="BM211" s="418">
        <f t="shared" si="475"/>
        <v>0</v>
      </c>
      <c r="BN211" s="418">
        <f t="shared" si="476"/>
        <v>0</v>
      </c>
      <c r="BO211" s="418">
        <f t="shared" si="476"/>
        <v>0</v>
      </c>
      <c r="BP211" s="418">
        <f t="shared" si="477"/>
        <v>1206499</v>
      </c>
      <c r="BQ211" s="418">
        <f t="shared" si="477"/>
        <v>35695</v>
      </c>
      <c r="BR211" s="418">
        <f t="shared" si="478"/>
        <v>0</v>
      </c>
      <c r="BS211" s="419">
        <f t="shared" si="479"/>
        <v>6.9642999999999997</v>
      </c>
      <c r="BT211" s="419">
        <f t="shared" si="480"/>
        <v>6.9642999999999997</v>
      </c>
      <c r="BU211" s="421">
        <f t="shared" si="480"/>
        <v>0</v>
      </c>
      <c r="BV211" s="420"/>
      <c r="BW211" s="415"/>
      <c r="BX211" s="415"/>
      <c r="BY211" s="415"/>
      <c r="BZ211" s="415"/>
      <c r="CA211" s="510"/>
    </row>
    <row r="212" spans="1:79" s="221" customFormat="1" ht="12.75" customHeight="1" x14ac:dyDescent="0.2">
      <c r="A212" s="209">
        <v>37</v>
      </c>
      <c r="B212" s="210">
        <v>4467</v>
      </c>
      <c r="C212" s="210">
        <v>600074935</v>
      </c>
      <c r="D212" s="210">
        <v>48282545</v>
      </c>
      <c r="E212" s="208" t="s">
        <v>799</v>
      </c>
      <c r="F212" s="210">
        <v>3143</v>
      </c>
      <c r="G212" s="165" t="s">
        <v>596</v>
      </c>
      <c r="H212" s="614" t="s">
        <v>272</v>
      </c>
      <c r="I212" s="511">
        <v>100948</v>
      </c>
      <c r="J212" s="415">
        <v>72256</v>
      </c>
      <c r="K212" s="415">
        <v>0</v>
      </c>
      <c r="L212" s="415">
        <v>72256</v>
      </c>
      <c r="M212" s="415">
        <v>0</v>
      </c>
      <c r="N212" s="415">
        <v>0</v>
      </c>
      <c r="O212" s="415">
        <v>0</v>
      </c>
      <c r="P212" s="68">
        <v>24423</v>
      </c>
      <c r="Q212" s="68">
        <v>723</v>
      </c>
      <c r="R212" s="415">
        <v>3546</v>
      </c>
      <c r="S212" s="416">
        <v>0.27</v>
      </c>
      <c r="T212" s="417">
        <v>0</v>
      </c>
      <c r="U212" s="423">
        <v>0.27</v>
      </c>
      <c r="V212" s="424">
        <f t="shared" si="456"/>
        <v>0</v>
      </c>
      <c r="W212" s="418">
        <f t="shared" si="456"/>
        <v>0</v>
      </c>
      <c r="X212" s="418">
        <v>0</v>
      </c>
      <c r="Y212" s="418">
        <v>0</v>
      </c>
      <c r="Z212" s="418">
        <v>0</v>
      </c>
      <c r="AA212" s="415">
        <v>36094</v>
      </c>
      <c r="AB212" s="418">
        <v>0</v>
      </c>
      <c r="AC212" s="418">
        <v>0</v>
      </c>
      <c r="AD212" s="418">
        <f t="shared" si="457"/>
        <v>0</v>
      </c>
      <c r="AE212" s="418">
        <f t="shared" si="458"/>
        <v>36094</v>
      </c>
      <c r="AF212" s="418">
        <f t="shared" si="459"/>
        <v>36094</v>
      </c>
      <c r="AG212" s="418">
        <v>0</v>
      </c>
      <c r="AH212" s="418">
        <v>0</v>
      </c>
      <c r="AI212" s="418">
        <v>0</v>
      </c>
      <c r="AJ212" s="418">
        <v>0</v>
      </c>
      <c r="AK212" s="418">
        <v>0</v>
      </c>
      <c r="AL212" s="418">
        <f t="shared" si="460"/>
        <v>0</v>
      </c>
      <c r="AM212" s="418">
        <f t="shared" si="461"/>
        <v>0</v>
      </c>
      <c r="AN212" s="418">
        <f t="shared" si="462"/>
        <v>0</v>
      </c>
      <c r="AO212" s="418">
        <f t="shared" si="463"/>
        <v>0</v>
      </c>
      <c r="AP212" s="418">
        <f t="shared" si="463"/>
        <v>36094</v>
      </c>
      <c r="AQ212" s="418">
        <f t="shared" si="464"/>
        <v>36094</v>
      </c>
      <c r="AR212" s="68">
        <f t="shared" si="465"/>
        <v>12200</v>
      </c>
      <c r="AS212" s="68">
        <f t="shared" si="466"/>
        <v>361</v>
      </c>
      <c r="AT212" s="418">
        <v>0</v>
      </c>
      <c r="AU212" s="415">
        <v>1773</v>
      </c>
      <c r="AV212" s="418">
        <f t="shared" si="467"/>
        <v>1773</v>
      </c>
      <c r="AW212" s="418">
        <f t="shared" si="468"/>
        <v>50428</v>
      </c>
      <c r="AX212" s="419">
        <v>0</v>
      </c>
      <c r="AY212" s="419">
        <v>0</v>
      </c>
      <c r="AZ212" s="419">
        <v>0</v>
      </c>
      <c r="BA212" s="419">
        <v>0</v>
      </c>
      <c r="BB212" s="416">
        <v>0.14000000000000001</v>
      </c>
      <c r="BC212" s="939">
        <v>0</v>
      </c>
      <c r="BD212" s="419">
        <v>0</v>
      </c>
      <c r="BE212" s="419">
        <v>0</v>
      </c>
      <c r="BF212" s="419">
        <f t="shared" si="469"/>
        <v>0</v>
      </c>
      <c r="BG212" s="419">
        <f t="shared" si="470"/>
        <v>0.14000000000000001</v>
      </c>
      <c r="BH212" s="421">
        <f t="shared" si="471"/>
        <v>0.14000000000000001</v>
      </c>
      <c r="BI212" s="780">
        <f t="shared" si="472"/>
        <v>151376</v>
      </c>
      <c r="BJ212" s="418">
        <f t="shared" si="473"/>
        <v>108350</v>
      </c>
      <c r="BK212" s="418">
        <f t="shared" si="474"/>
        <v>0</v>
      </c>
      <c r="BL212" s="418">
        <f t="shared" si="474"/>
        <v>108350</v>
      </c>
      <c r="BM212" s="418">
        <f t="shared" si="475"/>
        <v>0</v>
      </c>
      <c r="BN212" s="418">
        <f t="shared" si="476"/>
        <v>0</v>
      </c>
      <c r="BO212" s="418">
        <f t="shared" si="476"/>
        <v>0</v>
      </c>
      <c r="BP212" s="418">
        <f t="shared" si="477"/>
        <v>36623</v>
      </c>
      <c r="BQ212" s="418">
        <f t="shared" si="477"/>
        <v>1084</v>
      </c>
      <c r="BR212" s="418">
        <f t="shared" si="478"/>
        <v>5319</v>
      </c>
      <c r="BS212" s="419">
        <f t="shared" si="479"/>
        <v>0.41000000000000003</v>
      </c>
      <c r="BT212" s="419">
        <f t="shared" si="480"/>
        <v>0</v>
      </c>
      <c r="BU212" s="421">
        <f t="shared" si="480"/>
        <v>0.41000000000000003</v>
      </c>
      <c r="BV212" s="420"/>
      <c r="BW212" s="415"/>
      <c r="BX212" s="415"/>
      <c r="BY212" s="415"/>
      <c r="BZ212" s="415"/>
      <c r="CA212" s="510"/>
    </row>
    <row r="213" spans="1:79" s="221" customFormat="1" ht="12.75" customHeight="1" x14ac:dyDescent="0.2">
      <c r="A213" s="209">
        <v>37</v>
      </c>
      <c r="B213" s="210">
        <v>4467</v>
      </c>
      <c r="C213" s="210">
        <v>600074935</v>
      </c>
      <c r="D213" s="210">
        <v>48282545</v>
      </c>
      <c r="E213" s="208" t="s">
        <v>799</v>
      </c>
      <c r="F213" s="210">
        <v>3233</v>
      </c>
      <c r="G213" s="165" t="s">
        <v>297</v>
      </c>
      <c r="H213" s="626" t="s">
        <v>272</v>
      </c>
      <c r="I213" s="511">
        <v>2270213</v>
      </c>
      <c r="J213" s="415">
        <v>1375250</v>
      </c>
      <c r="K213" s="415">
        <v>1163549</v>
      </c>
      <c r="L213" s="415">
        <v>211701</v>
      </c>
      <c r="M213" s="415">
        <v>310000</v>
      </c>
      <c r="N213" s="415">
        <v>300000</v>
      </c>
      <c r="O213" s="415">
        <v>10000</v>
      </c>
      <c r="P213" s="68">
        <v>569615</v>
      </c>
      <c r="Q213" s="68">
        <v>13753</v>
      </c>
      <c r="R213" s="415">
        <v>1595</v>
      </c>
      <c r="S213" s="416">
        <v>2.6799999999999997</v>
      </c>
      <c r="T213" s="417">
        <v>2</v>
      </c>
      <c r="U213" s="423">
        <v>0.67999999999999994</v>
      </c>
      <c r="V213" s="424">
        <f t="shared" si="456"/>
        <v>0</v>
      </c>
      <c r="W213" s="418">
        <f t="shared" si="456"/>
        <v>0</v>
      </c>
      <c r="X213" s="418">
        <v>0</v>
      </c>
      <c r="Y213" s="418">
        <v>0</v>
      </c>
      <c r="Z213" s="418">
        <v>0</v>
      </c>
      <c r="AA213" s="606">
        <v>110836</v>
      </c>
      <c r="AB213" s="418">
        <v>0</v>
      </c>
      <c r="AC213" s="418">
        <v>0</v>
      </c>
      <c r="AD213" s="418">
        <f t="shared" si="457"/>
        <v>0</v>
      </c>
      <c r="AE213" s="418">
        <f t="shared" si="458"/>
        <v>110836</v>
      </c>
      <c r="AF213" s="418">
        <f t="shared" si="459"/>
        <v>110836</v>
      </c>
      <c r="AG213" s="418">
        <v>0</v>
      </c>
      <c r="AH213" s="418">
        <v>0</v>
      </c>
      <c r="AI213" s="418">
        <v>0</v>
      </c>
      <c r="AJ213" s="418">
        <v>0</v>
      </c>
      <c r="AK213" s="418">
        <v>0</v>
      </c>
      <c r="AL213" s="418">
        <f t="shared" si="460"/>
        <v>0</v>
      </c>
      <c r="AM213" s="418">
        <f t="shared" si="461"/>
        <v>0</v>
      </c>
      <c r="AN213" s="418">
        <f t="shared" si="462"/>
        <v>0</v>
      </c>
      <c r="AO213" s="418">
        <f t="shared" si="463"/>
        <v>0</v>
      </c>
      <c r="AP213" s="418">
        <f t="shared" si="463"/>
        <v>110836</v>
      </c>
      <c r="AQ213" s="418">
        <f t="shared" si="464"/>
        <v>110836</v>
      </c>
      <c r="AR213" s="68">
        <f t="shared" si="465"/>
        <v>37463</v>
      </c>
      <c r="AS213" s="68">
        <f t="shared" si="466"/>
        <v>1108</v>
      </c>
      <c r="AT213" s="418">
        <v>0</v>
      </c>
      <c r="AU213" s="898">
        <v>638</v>
      </c>
      <c r="AV213" s="418">
        <f t="shared" si="467"/>
        <v>638</v>
      </c>
      <c r="AW213" s="418">
        <f t="shared" si="468"/>
        <v>150045</v>
      </c>
      <c r="AX213" s="419">
        <v>0</v>
      </c>
      <c r="AY213" s="419">
        <v>0</v>
      </c>
      <c r="AZ213" s="419">
        <v>0</v>
      </c>
      <c r="BA213" s="419">
        <v>0</v>
      </c>
      <c r="BB213" s="609">
        <v>0.36</v>
      </c>
      <c r="BC213" s="939">
        <v>0</v>
      </c>
      <c r="BD213" s="419">
        <v>0</v>
      </c>
      <c r="BE213" s="419">
        <v>0</v>
      </c>
      <c r="BF213" s="419">
        <f t="shared" si="469"/>
        <v>0</v>
      </c>
      <c r="BG213" s="419">
        <f t="shared" si="470"/>
        <v>0.36</v>
      </c>
      <c r="BH213" s="421">
        <f t="shared" si="471"/>
        <v>0.36</v>
      </c>
      <c r="BI213" s="780">
        <f t="shared" si="472"/>
        <v>2420258</v>
      </c>
      <c r="BJ213" s="418">
        <f t="shared" si="473"/>
        <v>1486086</v>
      </c>
      <c r="BK213" s="418">
        <f t="shared" si="474"/>
        <v>1163549</v>
      </c>
      <c r="BL213" s="418">
        <f t="shared" si="474"/>
        <v>322537</v>
      </c>
      <c r="BM213" s="418">
        <f t="shared" si="475"/>
        <v>310000</v>
      </c>
      <c r="BN213" s="418">
        <f t="shared" si="476"/>
        <v>300000</v>
      </c>
      <c r="BO213" s="418">
        <f t="shared" si="476"/>
        <v>10000</v>
      </c>
      <c r="BP213" s="418">
        <f t="shared" si="477"/>
        <v>607078</v>
      </c>
      <c r="BQ213" s="418">
        <f t="shared" si="477"/>
        <v>14861</v>
      </c>
      <c r="BR213" s="418">
        <f t="shared" si="478"/>
        <v>2233</v>
      </c>
      <c r="BS213" s="419">
        <f t="shared" si="479"/>
        <v>3.0399999999999996</v>
      </c>
      <c r="BT213" s="419">
        <f t="shared" si="480"/>
        <v>2</v>
      </c>
      <c r="BU213" s="421">
        <f t="shared" si="480"/>
        <v>1.04</v>
      </c>
      <c r="BV213" s="420"/>
      <c r="BW213" s="415"/>
      <c r="BX213" s="415"/>
      <c r="BY213" s="415"/>
      <c r="BZ213" s="415"/>
      <c r="CA213" s="510"/>
    </row>
    <row r="214" spans="1:79" s="221" customFormat="1" ht="12.75" customHeight="1" x14ac:dyDescent="0.2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13"/>
      <c r="I214" s="452">
        <v>91803457</v>
      </c>
      <c r="J214" s="445">
        <v>66902026</v>
      </c>
      <c r="K214" s="445">
        <v>60060857</v>
      </c>
      <c r="L214" s="445">
        <v>6841169</v>
      </c>
      <c r="M214" s="445">
        <v>550000</v>
      </c>
      <c r="N214" s="445">
        <v>420000</v>
      </c>
      <c r="O214" s="445">
        <v>130000</v>
      </c>
      <c r="P214" s="445">
        <v>22798786</v>
      </c>
      <c r="Q214" s="445">
        <v>669021</v>
      </c>
      <c r="R214" s="445">
        <v>883624</v>
      </c>
      <c r="S214" s="446">
        <v>122.84909999999999</v>
      </c>
      <c r="T214" s="446">
        <v>101.2165</v>
      </c>
      <c r="U214" s="450">
        <v>21.6326</v>
      </c>
      <c r="V214" s="448">
        <f t="shared" ref="V214:CA214" si="481">SUM(V206:V213)</f>
        <v>0</v>
      </c>
      <c r="W214" s="445">
        <f t="shared" si="481"/>
        <v>0</v>
      </c>
      <c r="X214" s="445">
        <f t="shared" si="481"/>
        <v>0</v>
      </c>
      <c r="Y214" s="445">
        <f t="shared" si="481"/>
        <v>0</v>
      </c>
      <c r="Z214" s="445">
        <f t="shared" si="481"/>
        <v>0</v>
      </c>
      <c r="AA214" s="445">
        <f t="shared" si="481"/>
        <v>1687156</v>
      </c>
      <c r="AB214" s="445">
        <f t="shared" si="481"/>
        <v>0</v>
      </c>
      <c r="AC214" s="445">
        <f t="shared" si="481"/>
        <v>0</v>
      </c>
      <c r="AD214" s="445">
        <f t="shared" si="481"/>
        <v>0</v>
      </c>
      <c r="AE214" s="445">
        <f t="shared" si="481"/>
        <v>1687156</v>
      </c>
      <c r="AF214" s="445">
        <f t="shared" si="481"/>
        <v>1687156</v>
      </c>
      <c r="AG214" s="445">
        <f t="shared" si="481"/>
        <v>0</v>
      </c>
      <c r="AH214" s="445">
        <f t="shared" si="481"/>
        <v>0</v>
      </c>
      <c r="AI214" s="445">
        <f t="shared" si="481"/>
        <v>0</v>
      </c>
      <c r="AJ214" s="445">
        <f t="shared" si="481"/>
        <v>0</v>
      </c>
      <c r="AK214" s="445">
        <f t="shared" si="481"/>
        <v>0</v>
      </c>
      <c r="AL214" s="445">
        <f t="shared" si="481"/>
        <v>0</v>
      </c>
      <c r="AM214" s="445">
        <f t="shared" si="481"/>
        <v>0</v>
      </c>
      <c r="AN214" s="445">
        <f t="shared" si="481"/>
        <v>0</v>
      </c>
      <c r="AO214" s="445">
        <f t="shared" si="481"/>
        <v>0</v>
      </c>
      <c r="AP214" s="445">
        <f t="shared" si="481"/>
        <v>1687156</v>
      </c>
      <c r="AQ214" s="445">
        <f t="shared" si="481"/>
        <v>1687156</v>
      </c>
      <c r="AR214" s="445">
        <f t="shared" si="481"/>
        <v>570259</v>
      </c>
      <c r="AS214" s="445">
        <f t="shared" si="481"/>
        <v>16871</v>
      </c>
      <c r="AT214" s="445">
        <f t="shared" si="481"/>
        <v>0</v>
      </c>
      <c r="AU214" s="445">
        <f t="shared" si="481"/>
        <v>16089</v>
      </c>
      <c r="AV214" s="445">
        <f t="shared" si="481"/>
        <v>16089</v>
      </c>
      <c r="AW214" s="445">
        <f t="shared" si="481"/>
        <v>2290375</v>
      </c>
      <c r="AX214" s="446">
        <f t="shared" si="481"/>
        <v>0</v>
      </c>
      <c r="AY214" s="446">
        <f t="shared" si="481"/>
        <v>0</v>
      </c>
      <c r="AZ214" s="446">
        <f t="shared" si="481"/>
        <v>0</v>
      </c>
      <c r="BA214" s="446">
        <f t="shared" si="481"/>
        <v>0</v>
      </c>
      <c r="BB214" s="446">
        <f t="shared" si="481"/>
        <v>5.12</v>
      </c>
      <c r="BC214" s="948">
        <f t="shared" si="481"/>
        <v>0</v>
      </c>
      <c r="BD214" s="446">
        <f t="shared" si="481"/>
        <v>0</v>
      </c>
      <c r="BE214" s="446">
        <f t="shared" si="481"/>
        <v>0</v>
      </c>
      <c r="BF214" s="446">
        <f t="shared" si="481"/>
        <v>0</v>
      </c>
      <c r="BG214" s="446">
        <f t="shared" si="481"/>
        <v>5.12</v>
      </c>
      <c r="BH214" s="39">
        <f t="shared" si="481"/>
        <v>5.12</v>
      </c>
      <c r="BI214" s="452">
        <f t="shared" si="481"/>
        <v>94093832</v>
      </c>
      <c r="BJ214" s="445">
        <f t="shared" si="481"/>
        <v>68589182</v>
      </c>
      <c r="BK214" s="445">
        <f t="shared" si="481"/>
        <v>60060857</v>
      </c>
      <c r="BL214" s="445">
        <f t="shared" si="481"/>
        <v>8528325</v>
      </c>
      <c r="BM214" s="445">
        <f t="shared" si="481"/>
        <v>550000</v>
      </c>
      <c r="BN214" s="445">
        <f t="shared" si="481"/>
        <v>420000</v>
      </c>
      <c r="BO214" s="445">
        <f t="shared" si="481"/>
        <v>130000</v>
      </c>
      <c r="BP214" s="445">
        <f t="shared" si="481"/>
        <v>23369045</v>
      </c>
      <c r="BQ214" s="445">
        <f t="shared" si="481"/>
        <v>685892</v>
      </c>
      <c r="BR214" s="445">
        <f t="shared" si="481"/>
        <v>899713</v>
      </c>
      <c r="BS214" s="446">
        <f t="shared" si="481"/>
        <v>127.96910000000001</v>
      </c>
      <c r="BT214" s="446">
        <f t="shared" si="481"/>
        <v>101.2165</v>
      </c>
      <c r="BU214" s="39">
        <f t="shared" si="481"/>
        <v>26.752600000000001</v>
      </c>
      <c r="BV214" s="833">
        <f t="shared" si="481"/>
        <v>0</v>
      </c>
      <c r="BW214" s="715">
        <f t="shared" si="481"/>
        <v>0</v>
      </c>
      <c r="BX214" s="715">
        <f t="shared" si="481"/>
        <v>0</v>
      </c>
      <c r="BY214" s="715">
        <f t="shared" si="481"/>
        <v>0</v>
      </c>
      <c r="BZ214" s="715">
        <f t="shared" si="481"/>
        <v>0</v>
      </c>
      <c r="CA214" s="834">
        <f t="shared" si="481"/>
        <v>0</v>
      </c>
    </row>
    <row r="215" spans="1:79" s="221" customFormat="1" ht="12.75" customHeight="1" x14ac:dyDescent="0.2">
      <c r="A215" s="209">
        <v>39</v>
      </c>
      <c r="B215" s="210">
        <v>4472</v>
      </c>
      <c r="C215" s="210">
        <v>600075095</v>
      </c>
      <c r="D215" s="210">
        <v>48282561</v>
      </c>
      <c r="E215" s="208" t="s">
        <v>218</v>
      </c>
      <c r="F215" s="210">
        <v>3231</v>
      </c>
      <c r="G215" s="165" t="s">
        <v>295</v>
      </c>
      <c r="H215" s="626" t="s">
        <v>271</v>
      </c>
      <c r="I215" s="511">
        <v>11996288</v>
      </c>
      <c r="J215" s="415">
        <v>8848645</v>
      </c>
      <c r="K215" s="415">
        <v>8549329</v>
      </c>
      <c r="L215" s="415">
        <v>299316</v>
      </c>
      <c r="M215" s="415">
        <v>40000</v>
      </c>
      <c r="N215" s="415">
        <v>0</v>
      </c>
      <c r="O215" s="415">
        <v>40000</v>
      </c>
      <c r="P215" s="68">
        <v>3004362</v>
      </c>
      <c r="Q215" s="68">
        <v>88486</v>
      </c>
      <c r="R215" s="415">
        <v>14795</v>
      </c>
      <c r="S215" s="416">
        <v>14.362599999999999</v>
      </c>
      <c r="T215" s="417">
        <v>13.5505</v>
      </c>
      <c r="U215" s="423">
        <v>0.81209999999999993</v>
      </c>
      <c r="V215" s="424">
        <f>AG215*-1</f>
        <v>0</v>
      </c>
      <c r="W215" s="418">
        <f>AH215*-1</f>
        <v>0</v>
      </c>
      <c r="X215" s="418">
        <v>0</v>
      </c>
      <c r="Y215" s="418">
        <v>0</v>
      </c>
      <c r="Z215" s="418">
        <v>0</v>
      </c>
      <c r="AA215" s="415">
        <v>0</v>
      </c>
      <c r="AB215" s="418">
        <v>0</v>
      </c>
      <c r="AC215" s="418">
        <v>0</v>
      </c>
      <c r="AD215" s="418">
        <f>V215+X215+Y215+Z215+AB215</f>
        <v>0</v>
      </c>
      <c r="AE215" s="418">
        <f>W215+AA215+AC215</f>
        <v>0</v>
      </c>
      <c r="AF215" s="418">
        <f>SUM(AD215:AE215)</f>
        <v>0</v>
      </c>
      <c r="AG215" s="418">
        <v>0</v>
      </c>
      <c r="AH215" s="418">
        <v>0</v>
      </c>
      <c r="AI215" s="418">
        <v>0</v>
      </c>
      <c r="AJ215" s="418">
        <v>0</v>
      </c>
      <c r="AK215" s="418">
        <v>0</v>
      </c>
      <c r="AL215" s="418">
        <f>AG215+AI215+AJ215</f>
        <v>0</v>
      </c>
      <c r="AM215" s="418">
        <f>AH215+AK215</f>
        <v>0</v>
      </c>
      <c r="AN215" s="418">
        <f>SUM(AL215:AM215)</f>
        <v>0</v>
      </c>
      <c r="AO215" s="418">
        <f>AD215+AL215</f>
        <v>0</v>
      </c>
      <c r="AP215" s="418">
        <f>AE215+AM215</f>
        <v>0</v>
      </c>
      <c r="AQ215" s="418">
        <f>SUM(AO215:AP215)</f>
        <v>0</v>
      </c>
      <c r="AR215" s="68">
        <f>ROUND((AF215+AG215+AH215+AI215)*33.8%,0)</f>
        <v>0</v>
      </c>
      <c r="AS215" s="68">
        <f>ROUND(AF215*1%,0)</f>
        <v>0</v>
      </c>
      <c r="AT215" s="418">
        <v>0</v>
      </c>
      <c r="AU215" s="415">
        <v>0</v>
      </c>
      <c r="AV215" s="418">
        <f>AT215+AU215</f>
        <v>0</v>
      </c>
      <c r="AW215" s="418">
        <f>AQ215+AR215+AS215+AV215</f>
        <v>0</v>
      </c>
      <c r="AX215" s="419">
        <v>0</v>
      </c>
      <c r="AY215" s="419">
        <v>0</v>
      </c>
      <c r="AZ215" s="419">
        <v>0</v>
      </c>
      <c r="BA215" s="419">
        <v>0</v>
      </c>
      <c r="BB215" s="416">
        <v>0</v>
      </c>
      <c r="BC215" s="939">
        <v>0</v>
      </c>
      <c r="BD215" s="419">
        <v>0</v>
      </c>
      <c r="BE215" s="419">
        <v>0</v>
      </c>
      <c r="BF215" s="419">
        <f>AX215+AZ215+BA215+BC215+BD215</f>
        <v>0</v>
      </c>
      <c r="BG215" s="419">
        <f>AY215+BB215+BE215</f>
        <v>0</v>
      </c>
      <c r="BH215" s="421">
        <f>SUM(BF215:BG215)</f>
        <v>0</v>
      </c>
      <c r="BI215" s="780">
        <f>I215+AW215</f>
        <v>11996288</v>
      </c>
      <c r="BJ215" s="418">
        <f>J215+AF215</f>
        <v>8848645</v>
      </c>
      <c r="BK215" s="418">
        <f>K215+AD215</f>
        <v>8549329</v>
      </c>
      <c r="BL215" s="418">
        <f>L215+AE215</f>
        <v>299316</v>
      </c>
      <c r="BM215" s="418">
        <f>M215+AN215</f>
        <v>40000</v>
      </c>
      <c r="BN215" s="418">
        <f>N215+AL215</f>
        <v>0</v>
      </c>
      <c r="BO215" s="418">
        <f>O215+AM215</f>
        <v>40000</v>
      </c>
      <c r="BP215" s="418">
        <f>P215+AR215</f>
        <v>3004362</v>
      </c>
      <c r="BQ215" s="418">
        <f>Q215+AS215</f>
        <v>88486</v>
      </c>
      <c r="BR215" s="418">
        <f>R215+AV215</f>
        <v>14795</v>
      </c>
      <c r="BS215" s="419">
        <f>S215+BH215</f>
        <v>14.362599999999999</v>
      </c>
      <c r="BT215" s="419">
        <f>T215+BF215</f>
        <v>13.5505</v>
      </c>
      <c r="BU215" s="421">
        <f>U215+BG215</f>
        <v>0.81209999999999993</v>
      </c>
      <c r="BV215" s="420"/>
      <c r="BW215" s="415"/>
      <c r="BX215" s="415"/>
      <c r="BY215" s="415"/>
      <c r="BZ215" s="415"/>
      <c r="CA215" s="510"/>
    </row>
    <row r="216" spans="1:79" s="221" customFormat="1" ht="12.75" customHeight="1" x14ac:dyDescent="0.2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13"/>
      <c r="I216" s="452">
        <v>11996288</v>
      </c>
      <c r="J216" s="445">
        <v>8848645</v>
      </c>
      <c r="K216" s="445">
        <v>8549329</v>
      </c>
      <c r="L216" s="445">
        <v>299316</v>
      </c>
      <c r="M216" s="445">
        <v>40000</v>
      </c>
      <c r="N216" s="445">
        <v>0</v>
      </c>
      <c r="O216" s="445">
        <v>40000</v>
      </c>
      <c r="P216" s="445">
        <v>3004362</v>
      </c>
      <c r="Q216" s="445">
        <v>88486</v>
      </c>
      <c r="R216" s="445">
        <v>14795</v>
      </c>
      <c r="S216" s="446">
        <v>14.362599999999999</v>
      </c>
      <c r="T216" s="446">
        <v>13.5505</v>
      </c>
      <c r="U216" s="450">
        <v>0.81209999999999993</v>
      </c>
      <c r="V216" s="448">
        <f t="shared" ref="V216:CA216" si="482">SUM(V215)</f>
        <v>0</v>
      </c>
      <c r="W216" s="445">
        <f t="shared" si="482"/>
        <v>0</v>
      </c>
      <c r="X216" s="445">
        <f t="shared" si="482"/>
        <v>0</v>
      </c>
      <c r="Y216" s="445">
        <f t="shared" si="482"/>
        <v>0</v>
      </c>
      <c r="Z216" s="445">
        <f t="shared" si="482"/>
        <v>0</v>
      </c>
      <c r="AA216" s="445">
        <f t="shared" si="482"/>
        <v>0</v>
      </c>
      <c r="AB216" s="445">
        <f t="shared" si="482"/>
        <v>0</v>
      </c>
      <c r="AC216" s="445">
        <f t="shared" si="482"/>
        <v>0</v>
      </c>
      <c r="AD216" s="445">
        <f t="shared" si="482"/>
        <v>0</v>
      </c>
      <c r="AE216" s="445">
        <f t="shared" si="482"/>
        <v>0</v>
      </c>
      <c r="AF216" s="445">
        <f t="shared" si="482"/>
        <v>0</v>
      </c>
      <c r="AG216" s="445">
        <f t="shared" si="482"/>
        <v>0</v>
      </c>
      <c r="AH216" s="445">
        <f t="shared" si="482"/>
        <v>0</v>
      </c>
      <c r="AI216" s="445">
        <f t="shared" si="482"/>
        <v>0</v>
      </c>
      <c r="AJ216" s="445">
        <f t="shared" si="482"/>
        <v>0</v>
      </c>
      <c r="AK216" s="445">
        <f t="shared" si="482"/>
        <v>0</v>
      </c>
      <c r="AL216" s="445">
        <f t="shared" si="482"/>
        <v>0</v>
      </c>
      <c r="AM216" s="445">
        <f t="shared" si="482"/>
        <v>0</v>
      </c>
      <c r="AN216" s="445">
        <f t="shared" si="482"/>
        <v>0</v>
      </c>
      <c r="AO216" s="445">
        <f t="shared" si="482"/>
        <v>0</v>
      </c>
      <c r="AP216" s="445">
        <f t="shared" si="482"/>
        <v>0</v>
      </c>
      <c r="AQ216" s="445">
        <f t="shared" si="482"/>
        <v>0</v>
      </c>
      <c r="AR216" s="445">
        <f t="shared" si="482"/>
        <v>0</v>
      </c>
      <c r="AS216" s="445">
        <f t="shared" si="482"/>
        <v>0</v>
      </c>
      <c r="AT216" s="445">
        <f t="shared" si="482"/>
        <v>0</v>
      </c>
      <c r="AU216" s="445">
        <f t="shared" si="482"/>
        <v>0</v>
      </c>
      <c r="AV216" s="445">
        <f t="shared" si="482"/>
        <v>0</v>
      </c>
      <c r="AW216" s="445">
        <f t="shared" si="482"/>
        <v>0</v>
      </c>
      <c r="AX216" s="446">
        <f t="shared" si="482"/>
        <v>0</v>
      </c>
      <c r="AY216" s="446">
        <f t="shared" si="482"/>
        <v>0</v>
      </c>
      <c r="AZ216" s="446">
        <f t="shared" si="482"/>
        <v>0</v>
      </c>
      <c r="BA216" s="446">
        <f t="shared" si="482"/>
        <v>0</v>
      </c>
      <c r="BB216" s="446">
        <f t="shared" si="482"/>
        <v>0</v>
      </c>
      <c r="BC216" s="948">
        <f t="shared" si="482"/>
        <v>0</v>
      </c>
      <c r="BD216" s="446">
        <f t="shared" si="482"/>
        <v>0</v>
      </c>
      <c r="BE216" s="446">
        <f t="shared" si="482"/>
        <v>0</v>
      </c>
      <c r="BF216" s="446">
        <f t="shared" si="482"/>
        <v>0</v>
      </c>
      <c r="BG216" s="446">
        <f t="shared" si="482"/>
        <v>0</v>
      </c>
      <c r="BH216" s="39">
        <f t="shared" si="482"/>
        <v>0</v>
      </c>
      <c r="BI216" s="452">
        <f t="shared" si="482"/>
        <v>11996288</v>
      </c>
      <c r="BJ216" s="445">
        <f t="shared" si="482"/>
        <v>8848645</v>
      </c>
      <c r="BK216" s="445">
        <f t="shared" si="482"/>
        <v>8549329</v>
      </c>
      <c r="BL216" s="445">
        <f t="shared" si="482"/>
        <v>299316</v>
      </c>
      <c r="BM216" s="445">
        <f t="shared" si="482"/>
        <v>40000</v>
      </c>
      <c r="BN216" s="445">
        <f t="shared" si="482"/>
        <v>0</v>
      </c>
      <c r="BO216" s="445">
        <f t="shared" si="482"/>
        <v>40000</v>
      </c>
      <c r="BP216" s="445">
        <f t="shared" si="482"/>
        <v>3004362</v>
      </c>
      <c r="BQ216" s="445">
        <f t="shared" si="482"/>
        <v>88486</v>
      </c>
      <c r="BR216" s="445">
        <f t="shared" si="482"/>
        <v>14795</v>
      </c>
      <c r="BS216" s="446">
        <f t="shared" si="482"/>
        <v>14.362599999999999</v>
      </c>
      <c r="BT216" s="446">
        <f t="shared" si="482"/>
        <v>13.5505</v>
      </c>
      <c r="BU216" s="39">
        <f t="shared" si="482"/>
        <v>0.81209999999999993</v>
      </c>
      <c r="BV216" s="833">
        <f t="shared" si="482"/>
        <v>0</v>
      </c>
      <c r="BW216" s="715">
        <f t="shared" si="482"/>
        <v>0</v>
      </c>
      <c r="BX216" s="715">
        <f t="shared" si="482"/>
        <v>0</v>
      </c>
      <c r="BY216" s="715">
        <f t="shared" si="482"/>
        <v>0</v>
      </c>
      <c r="BZ216" s="715">
        <f t="shared" si="482"/>
        <v>0</v>
      </c>
      <c r="CA216" s="834">
        <f t="shared" si="482"/>
        <v>0</v>
      </c>
    </row>
    <row r="217" spans="1:79" s="221" customFormat="1" ht="12.75" customHeight="1" x14ac:dyDescent="0.2">
      <c r="A217" s="209">
        <v>40</v>
      </c>
      <c r="B217" s="210">
        <v>4418</v>
      </c>
      <c r="C217" s="210">
        <v>600074048</v>
      </c>
      <c r="D217" s="210">
        <v>72742411</v>
      </c>
      <c r="E217" s="208" t="s">
        <v>220</v>
      </c>
      <c r="F217" s="210">
        <v>3111</v>
      </c>
      <c r="G217" s="165" t="s">
        <v>290</v>
      </c>
      <c r="H217" s="626" t="s">
        <v>271</v>
      </c>
      <c r="I217" s="511">
        <v>2039121</v>
      </c>
      <c r="J217" s="415">
        <v>1475289</v>
      </c>
      <c r="K217" s="415">
        <v>1389412</v>
      </c>
      <c r="L217" s="415">
        <v>85877</v>
      </c>
      <c r="M217" s="415">
        <v>34100</v>
      </c>
      <c r="N217" s="415">
        <v>9100</v>
      </c>
      <c r="O217" s="415">
        <v>25000</v>
      </c>
      <c r="P217" s="68">
        <v>510173</v>
      </c>
      <c r="Q217" s="68">
        <v>14753</v>
      </c>
      <c r="R217" s="415">
        <v>4806</v>
      </c>
      <c r="S217" s="416">
        <v>2.6341999999999999</v>
      </c>
      <c r="T217" s="417">
        <v>2.3708999999999998</v>
      </c>
      <c r="U217" s="423">
        <v>0.26329999999999998</v>
      </c>
      <c r="V217" s="424">
        <f t="shared" ref="V217:W219" si="483">AG217*-1</f>
        <v>0</v>
      </c>
      <c r="W217" s="418">
        <f t="shared" si="483"/>
        <v>0</v>
      </c>
      <c r="X217" s="418">
        <v>0</v>
      </c>
      <c r="Y217" s="418">
        <v>0</v>
      </c>
      <c r="Z217" s="418">
        <v>0</v>
      </c>
      <c r="AA217" s="415">
        <v>0</v>
      </c>
      <c r="AB217" s="418">
        <v>0</v>
      </c>
      <c r="AC217" s="418">
        <v>0</v>
      </c>
      <c r="AD217" s="418">
        <f>V217+X217+Y217+Z217+AB217</f>
        <v>0</v>
      </c>
      <c r="AE217" s="418">
        <f>W217+AA217+AC217</f>
        <v>0</v>
      </c>
      <c r="AF217" s="418">
        <f>SUM(AD217:AE217)</f>
        <v>0</v>
      </c>
      <c r="AG217" s="418">
        <v>0</v>
      </c>
      <c r="AH217" s="418">
        <v>0</v>
      </c>
      <c r="AI217" s="418">
        <v>0</v>
      </c>
      <c r="AJ217" s="418">
        <v>0</v>
      </c>
      <c r="AK217" s="418">
        <v>0</v>
      </c>
      <c r="AL217" s="418">
        <f>AG217+AI217+AJ217</f>
        <v>0</v>
      </c>
      <c r="AM217" s="418">
        <f>AH217+AK217</f>
        <v>0</v>
      </c>
      <c r="AN217" s="418">
        <f>SUM(AL217:AM217)</f>
        <v>0</v>
      </c>
      <c r="AO217" s="418">
        <f t="shared" ref="AO217:AP219" si="484">AD217+AL217</f>
        <v>0</v>
      </c>
      <c r="AP217" s="418">
        <f t="shared" si="484"/>
        <v>0</v>
      </c>
      <c r="AQ217" s="418">
        <f>SUM(AO217:AP217)</f>
        <v>0</v>
      </c>
      <c r="AR217" s="68">
        <f>ROUND((AF217+AG217+AH217+AI217)*33.8%,0)</f>
        <v>0</v>
      </c>
      <c r="AS217" s="68">
        <f>ROUND(AF217*1%,0)</f>
        <v>0</v>
      </c>
      <c r="AT217" s="418">
        <v>0</v>
      </c>
      <c r="AU217" s="415">
        <v>0</v>
      </c>
      <c r="AV217" s="418">
        <f>AT217+AU217</f>
        <v>0</v>
      </c>
      <c r="AW217" s="418">
        <f>AQ217+AR217+AS217+AV217</f>
        <v>0</v>
      </c>
      <c r="AX217" s="419">
        <v>0</v>
      </c>
      <c r="AY217" s="419">
        <v>0</v>
      </c>
      <c r="AZ217" s="419">
        <v>0</v>
      </c>
      <c r="BA217" s="419">
        <v>0</v>
      </c>
      <c r="BB217" s="416">
        <v>0</v>
      </c>
      <c r="BC217" s="939">
        <v>0</v>
      </c>
      <c r="BD217" s="419">
        <v>0</v>
      </c>
      <c r="BE217" s="419">
        <v>0</v>
      </c>
      <c r="BF217" s="419">
        <f>AX217+AZ217+BA217+BC217+BD217</f>
        <v>0</v>
      </c>
      <c r="BG217" s="419">
        <f>AY217+BB217+BE217</f>
        <v>0</v>
      </c>
      <c r="BH217" s="421">
        <f>SUM(BF217:BG217)</f>
        <v>0</v>
      </c>
      <c r="BI217" s="780">
        <f>I217+AW217</f>
        <v>2039121</v>
      </c>
      <c r="BJ217" s="418">
        <f>J217+AF217</f>
        <v>1475289</v>
      </c>
      <c r="BK217" s="418">
        <f t="shared" ref="BK217:BL219" si="485">K217+AD217</f>
        <v>1389412</v>
      </c>
      <c r="BL217" s="418">
        <f t="shared" si="485"/>
        <v>85877</v>
      </c>
      <c r="BM217" s="418">
        <f>M217+AN217</f>
        <v>34100</v>
      </c>
      <c r="BN217" s="418">
        <f t="shared" ref="BN217:BO219" si="486">N217+AL217</f>
        <v>9100</v>
      </c>
      <c r="BO217" s="418">
        <f t="shared" si="486"/>
        <v>25000</v>
      </c>
      <c r="BP217" s="418">
        <f t="shared" ref="BP217:BQ219" si="487">P217+AR217</f>
        <v>510173</v>
      </c>
      <c r="BQ217" s="418">
        <f t="shared" si="487"/>
        <v>14753</v>
      </c>
      <c r="BR217" s="418">
        <f>R217+AV217</f>
        <v>4806</v>
      </c>
      <c r="BS217" s="419">
        <f>S217+BH217</f>
        <v>2.6341999999999999</v>
      </c>
      <c r="BT217" s="419">
        <f t="shared" ref="BT217:BU219" si="488">T217+BF217</f>
        <v>2.3708999999999998</v>
      </c>
      <c r="BU217" s="421">
        <f t="shared" si="488"/>
        <v>0.26329999999999998</v>
      </c>
      <c r="BV217" s="420"/>
      <c r="BW217" s="415"/>
      <c r="BX217" s="415"/>
      <c r="BY217" s="415"/>
      <c r="BZ217" s="415"/>
      <c r="CA217" s="510"/>
    </row>
    <row r="218" spans="1:79" s="221" customFormat="1" ht="12.75" customHeight="1" x14ac:dyDescent="0.2">
      <c r="A218" s="209">
        <v>40</v>
      </c>
      <c r="B218" s="210">
        <v>4418</v>
      </c>
      <c r="C218" s="210">
        <v>600074048</v>
      </c>
      <c r="D218" s="210">
        <v>72742411</v>
      </c>
      <c r="E218" s="208" t="s">
        <v>220</v>
      </c>
      <c r="F218" s="210">
        <v>3111</v>
      </c>
      <c r="G218" s="165" t="s">
        <v>291</v>
      </c>
      <c r="H218" s="626" t="s">
        <v>272</v>
      </c>
      <c r="I218" s="511">
        <v>0</v>
      </c>
      <c r="J218" s="415">
        <v>0</v>
      </c>
      <c r="K218" s="415">
        <v>0</v>
      </c>
      <c r="L218" s="415">
        <v>0</v>
      </c>
      <c r="M218" s="415">
        <v>0</v>
      </c>
      <c r="N218" s="415">
        <v>0</v>
      </c>
      <c r="O218" s="415">
        <v>0</v>
      </c>
      <c r="P218" s="68">
        <v>0</v>
      </c>
      <c r="Q218" s="68">
        <v>0</v>
      </c>
      <c r="R218" s="415">
        <v>0</v>
      </c>
      <c r="S218" s="416">
        <v>0</v>
      </c>
      <c r="T218" s="417">
        <v>0</v>
      </c>
      <c r="U218" s="423">
        <v>0</v>
      </c>
      <c r="V218" s="424">
        <f t="shared" si="483"/>
        <v>0</v>
      </c>
      <c r="W218" s="418">
        <f t="shared" si="483"/>
        <v>0</v>
      </c>
      <c r="X218" s="418">
        <v>0</v>
      </c>
      <c r="Y218" s="418">
        <v>0</v>
      </c>
      <c r="Z218" s="418">
        <v>0</v>
      </c>
      <c r="AA218" s="415">
        <v>0</v>
      </c>
      <c r="AB218" s="418">
        <v>0</v>
      </c>
      <c r="AC218" s="418">
        <v>0</v>
      </c>
      <c r="AD218" s="418">
        <f>V218+X218+Y218+Z218+AB218</f>
        <v>0</v>
      </c>
      <c r="AE218" s="418">
        <f>W218+AA218+AC218</f>
        <v>0</v>
      </c>
      <c r="AF218" s="418">
        <f>SUM(AD218:AE218)</f>
        <v>0</v>
      </c>
      <c r="AG218" s="418">
        <v>0</v>
      </c>
      <c r="AH218" s="418">
        <v>0</v>
      </c>
      <c r="AI218" s="418">
        <v>0</v>
      </c>
      <c r="AJ218" s="418">
        <v>0</v>
      </c>
      <c r="AK218" s="418">
        <v>0</v>
      </c>
      <c r="AL218" s="418">
        <f>AG218+AI218+AJ218</f>
        <v>0</v>
      </c>
      <c r="AM218" s="418">
        <f>AH218+AK218</f>
        <v>0</v>
      </c>
      <c r="AN218" s="418">
        <f>SUM(AL218:AM218)</f>
        <v>0</v>
      </c>
      <c r="AO218" s="418">
        <f t="shared" si="484"/>
        <v>0</v>
      </c>
      <c r="AP218" s="418">
        <f t="shared" si="484"/>
        <v>0</v>
      </c>
      <c r="AQ218" s="418">
        <f>SUM(AO218:AP218)</f>
        <v>0</v>
      </c>
      <c r="AR218" s="68">
        <f>ROUND((AF218+AG218+AH218+AI218)*33.8%,0)</f>
        <v>0</v>
      </c>
      <c r="AS218" s="68">
        <f>ROUND(AF218*1%,0)</f>
        <v>0</v>
      </c>
      <c r="AT218" s="418">
        <v>0</v>
      </c>
      <c r="AU218" s="415">
        <v>0</v>
      </c>
      <c r="AV218" s="418">
        <f>AT218+AU218</f>
        <v>0</v>
      </c>
      <c r="AW218" s="418">
        <f>AQ218+AR218+AS218+AV218</f>
        <v>0</v>
      </c>
      <c r="AX218" s="419">
        <v>0</v>
      </c>
      <c r="AY218" s="419">
        <v>0</v>
      </c>
      <c r="AZ218" s="419">
        <v>0</v>
      </c>
      <c r="BA218" s="419">
        <v>0</v>
      </c>
      <c r="BB218" s="416">
        <v>0</v>
      </c>
      <c r="BC218" s="939">
        <v>0</v>
      </c>
      <c r="BD218" s="419">
        <v>0</v>
      </c>
      <c r="BE218" s="419">
        <v>0</v>
      </c>
      <c r="BF218" s="419">
        <f>AX218+AZ218+BA218+BC218+BD218</f>
        <v>0</v>
      </c>
      <c r="BG218" s="419">
        <f>AY218+BB218+BE218</f>
        <v>0</v>
      </c>
      <c r="BH218" s="421">
        <f>SUM(BF218:BG218)</f>
        <v>0</v>
      </c>
      <c r="BI218" s="780">
        <f>I218+AW218</f>
        <v>0</v>
      </c>
      <c r="BJ218" s="418">
        <f>J218+AF218</f>
        <v>0</v>
      </c>
      <c r="BK218" s="418">
        <f t="shared" si="485"/>
        <v>0</v>
      </c>
      <c r="BL218" s="418">
        <f t="shared" si="485"/>
        <v>0</v>
      </c>
      <c r="BM218" s="418">
        <f>M218+AN218</f>
        <v>0</v>
      </c>
      <c r="BN218" s="418">
        <f t="shared" si="486"/>
        <v>0</v>
      </c>
      <c r="BO218" s="418">
        <f t="shared" si="486"/>
        <v>0</v>
      </c>
      <c r="BP218" s="418">
        <f t="shared" si="487"/>
        <v>0</v>
      </c>
      <c r="BQ218" s="418">
        <f t="shared" si="487"/>
        <v>0</v>
      </c>
      <c r="BR218" s="418">
        <f>R218+AV218</f>
        <v>0</v>
      </c>
      <c r="BS218" s="419">
        <f>S218+BH218</f>
        <v>0</v>
      </c>
      <c r="BT218" s="419">
        <f t="shared" si="488"/>
        <v>0</v>
      </c>
      <c r="BU218" s="421">
        <f t="shared" si="488"/>
        <v>0</v>
      </c>
      <c r="BV218" s="420"/>
      <c r="BW218" s="415"/>
      <c r="BX218" s="415"/>
      <c r="BY218" s="415"/>
      <c r="BZ218" s="415"/>
      <c r="CA218" s="510"/>
    </row>
    <row r="219" spans="1:79" s="221" customFormat="1" ht="12.75" customHeight="1" x14ac:dyDescent="0.2">
      <c r="A219" s="209">
        <v>40</v>
      </c>
      <c r="B219" s="210">
        <v>4418</v>
      </c>
      <c r="C219" s="210">
        <v>600074048</v>
      </c>
      <c r="D219" s="210">
        <v>72742411</v>
      </c>
      <c r="E219" s="204" t="s">
        <v>220</v>
      </c>
      <c r="F219" s="210">
        <v>3141</v>
      </c>
      <c r="G219" s="165" t="s">
        <v>294</v>
      </c>
      <c r="H219" s="626" t="s">
        <v>272</v>
      </c>
      <c r="I219" s="511">
        <v>216341</v>
      </c>
      <c r="J219" s="415">
        <v>153670</v>
      </c>
      <c r="K219" s="415">
        <v>0</v>
      </c>
      <c r="L219" s="415">
        <v>153670</v>
      </c>
      <c r="M219" s="415">
        <v>6400</v>
      </c>
      <c r="N219" s="415">
        <v>0</v>
      </c>
      <c r="O219" s="415">
        <v>6400</v>
      </c>
      <c r="P219" s="68">
        <v>54104</v>
      </c>
      <c r="Q219" s="68">
        <v>1537</v>
      </c>
      <c r="R219" s="415">
        <v>630</v>
      </c>
      <c r="S219" s="416">
        <v>0.48</v>
      </c>
      <c r="T219" s="417">
        <v>0</v>
      </c>
      <c r="U219" s="423">
        <v>0.48</v>
      </c>
      <c r="V219" s="424">
        <f t="shared" si="483"/>
        <v>0</v>
      </c>
      <c r="W219" s="418">
        <f t="shared" si="483"/>
        <v>0</v>
      </c>
      <c r="X219" s="418">
        <v>0</v>
      </c>
      <c r="Y219" s="418">
        <v>0</v>
      </c>
      <c r="Z219" s="418">
        <v>0</v>
      </c>
      <c r="AA219" s="605">
        <v>81397</v>
      </c>
      <c r="AB219" s="418">
        <v>0</v>
      </c>
      <c r="AC219" s="418">
        <v>0</v>
      </c>
      <c r="AD219" s="418">
        <f>V219+X219+Y219+Z219+AB219</f>
        <v>0</v>
      </c>
      <c r="AE219" s="418">
        <f>W219+AA219+AC219</f>
        <v>81397</v>
      </c>
      <c r="AF219" s="418">
        <f>SUM(AD219:AE219)</f>
        <v>81397</v>
      </c>
      <c r="AG219" s="418">
        <v>0</v>
      </c>
      <c r="AH219" s="418">
        <v>0</v>
      </c>
      <c r="AI219" s="418">
        <v>0</v>
      </c>
      <c r="AJ219" s="418">
        <v>0</v>
      </c>
      <c r="AK219" s="418">
        <v>0</v>
      </c>
      <c r="AL219" s="418">
        <f>AG219+AI219+AJ219</f>
        <v>0</v>
      </c>
      <c r="AM219" s="418">
        <f>AH219+AK219</f>
        <v>0</v>
      </c>
      <c r="AN219" s="418">
        <f>SUM(AL219:AM219)</f>
        <v>0</v>
      </c>
      <c r="AO219" s="418">
        <f t="shared" si="484"/>
        <v>0</v>
      </c>
      <c r="AP219" s="418">
        <f t="shared" si="484"/>
        <v>81397</v>
      </c>
      <c r="AQ219" s="418">
        <f>SUM(AO219:AP219)</f>
        <v>81397</v>
      </c>
      <c r="AR219" s="68">
        <f>ROUND((AF219+AG219+AH219+AI219)*33.8%,0)</f>
        <v>27512</v>
      </c>
      <c r="AS219" s="68">
        <f>ROUND(AF219*1%,0)</f>
        <v>814</v>
      </c>
      <c r="AT219" s="418">
        <v>0</v>
      </c>
      <c r="AU219" s="605">
        <v>306</v>
      </c>
      <c r="AV219" s="418">
        <f>AT219+AU219</f>
        <v>306</v>
      </c>
      <c r="AW219" s="418">
        <f>AQ219+AR219+AS219+AV219</f>
        <v>110029</v>
      </c>
      <c r="AX219" s="419">
        <v>0</v>
      </c>
      <c r="AY219" s="419">
        <v>0</v>
      </c>
      <c r="AZ219" s="419">
        <v>0</v>
      </c>
      <c r="BA219" s="419">
        <v>0</v>
      </c>
      <c r="BB219" s="607">
        <v>0.24</v>
      </c>
      <c r="BC219" s="939">
        <v>0</v>
      </c>
      <c r="BD219" s="419">
        <v>0</v>
      </c>
      <c r="BE219" s="419">
        <v>0</v>
      </c>
      <c r="BF219" s="419">
        <f>AX219+AZ219+BA219+BC219+BD219</f>
        <v>0</v>
      </c>
      <c r="BG219" s="419">
        <f>AY219+BB219+BE219</f>
        <v>0.24</v>
      </c>
      <c r="BH219" s="421">
        <f>SUM(BF219:BG219)</f>
        <v>0.24</v>
      </c>
      <c r="BI219" s="780">
        <f>I219+AW219</f>
        <v>326370</v>
      </c>
      <c r="BJ219" s="418">
        <f>J219+AF219</f>
        <v>235067</v>
      </c>
      <c r="BK219" s="418">
        <f t="shared" si="485"/>
        <v>0</v>
      </c>
      <c r="BL219" s="418">
        <f t="shared" si="485"/>
        <v>235067</v>
      </c>
      <c r="BM219" s="418">
        <f>M219+AN219</f>
        <v>6400</v>
      </c>
      <c r="BN219" s="418">
        <f t="shared" si="486"/>
        <v>0</v>
      </c>
      <c r="BO219" s="418">
        <f t="shared" si="486"/>
        <v>6400</v>
      </c>
      <c r="BP219" s="418">
        <f t="shared" si="487"/>
        <v>81616</v>
      </c>
      <c r="BQ219" s="418">
        <f t="shared" si="487"/>
        <v>2351</v>
      </c>
      <c r="BR219" s="418">
        <f>R219+AV219</f>
        <v>936</v>
      </c>
      <c r="BS219" s="419">
        <f>S219+BH219</f>
        <v>0.72</v>
      </c>
      <c r="BT219" s="419">
        <f t="shared" si="488"/>
        <v>0</v>
      </c>
      <c r="BU219" s="421">
        <f t="shared" si="488"/>
        <v>0.72</v>
      </c>
      <c r="BV219" s="420"/>
      <c r="BW219" s="415"/>
      <c r="BX219" s="415"/>
      <c r="BY219" s="415"/>
      <c r="BZ219" s="415"/>
      <c r="CA219" s="510"/>
    </row>
    <row r="220" spans="1:79" s="221" customFormat="1" ht="12.75" customHeight="1" x14ac:dyDescent="0.2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13"/>
      <c r="I220" s="452">
        <v>2255462</v>
      </c>
      <c r="J220" s="445">
        <v>1628959</v>
      </c>
      <c r="K220" s="445">
        <v>1389412</v>
      </c>
      <c r="L220" s="445">
        <v>239547</v>
      </c>
      <c r="M220" s="445">
        <v>40500</v>
      </c>
      <c r="N220" s="445">
        <v>9100</v>
      </c>
      <c r="O220" s="445">
        <v>31400</v>
      </c>
      <c r="P220" s="445">
        <v>564277</v>
      </c>
      <c r="Q220" s="445">
        <v>16290</v>
      </c>
      <c r="R220" s="445">
        <v>5436</v>
      </c>
      <c r="S220" s="446">
        <v>3.1141999999999999</v>
      </c>
      <c r="T220" s="446">
        <v>2.3708999999999998</v>
      </c>
      <c r="U220" s="450">
        <v>0.74329999999999996</v>
      </c>
      <c r="V220" s="448">
        <f t="shared" ref="V220:CA220" si="489">SUM(V217:V219)</f>
        <v>0</v>
      </c>
      <c r="W220" s="445">
        <f t="shared" si="489"/>
        <v>0</v>
      </c>
      <c r="X220" s="445">
        <f t="shared" si="489"/>
        <v>0</v>
      </c>
      <c r="Y220" s="445">
        <f t="shared" si="489"/>
        <v>0</v>
      </c>
      <c r="Z220" s="445">
        <f t="shared" si="489"/>
        <v>0</v>
      </c>
      <c r="AA220" s="445">
        <f t="shared" si="489"/>
        <v>81397</v>
      </c>
      <c r="AB220" s="445">
        <f t="shared" si="489"/>
        <v>0</v>
      </c>
      <c r="AC220" s="445">
        <f t="shared" si="489"/>
        <v>0</v>
      </c>
      <c r="AD220" s="445">
        <f t="shared" si="489"/>
        <v>0</v>
      </c>
      <c r="AE220" s="445">
        <f t="shared" si="489"/>
        <v>81397</v>
      </c>
      <c r="AF220" s="445">
        <f t="shared" si="489"/>
        <v>81397</v>
      </c>
      <c r="AG220" s="445">
        <f t="shared" si="489"/>
        <v>0</v>
      </c>
      <c r="AH220" s="445">
        <f t="shared" si="489"/>
        <v>0</v>
      </c>
      <c r="AI220" s="445">
        <f t="shared" si="489"/>
        <v>0</v>
      </c>
      <c r="AJ220" s="445">
        <f t="shared" si="489"/>
        <v>0</v>
      </c>
      <c r="AK220" s="445">
        <f t="shared" si="489"/>
        <v>0</v>
      </c>
      <c r="AL220" s="445">
        <f t="shared" si="489"/>
        <v>0</v>
      </c>
      <c r="AM220" s="445">
        <f t="shared" si="489"/>
        <v>0</v>
      </c>
      <c r="AN220" s="445">
        <f t="shared" si="489"/>
        <v>0</v>
      </c>
      <c r="AO220" s="445">
        <f t="shared" si="489"/>
        <v>0</v>
      </c>
      <c r="AP220" s="445">
        <f t="shared" si="489"/>
        <v>81397</v>
      </c>
      <c r="AQ220" s="445">
        <f t="shared" si="489"/>
        <v>81397</v>
      </c>
      <c r="AR220" s="445">
        <f t="shared" si="489"/>
        <v>27512</v>
      </c>
      <c r="AS220" s="445">
        <f t="shared" si="489"/>
        <v>814</v>
      </c>
      <c r="AT220" s="445">
        <f t="shared" si="489"/>
        <v>0</v>
      </c>
      <c r="AU220" s="445">
        <f t="shared" si="489"/>
        <v>306</v>
      </c>
      <c r="AV220" s="445">
        <f t="shared" si="489"/>
        <v>306</v>
      </c>
      <c r="AW220" s="445">
        <f t="shared" si="489"/>
        <v>110029</v>
      </c>
      <c r="AX220" s="446">
        <f t="shared" si="489"/>
        <v>0</v>
      </c>
      <c r="AY220" s="446">
        <f t="shared" si="489"/>
        <v>0</v>
      </c>
      <c r="AZ220" s="446">
        <f t="shared" si="489"/>
        <v>0</v>
      </c>
      <c r="BA220" s="446">
        <f t="shared" si="489"/>
        <v>0</v>
      </c>
      <c r="BB220" s="446">
        <f t="shared" si="489"/>
        <v>0.24</v>
      </c>
      <c r="BC220" s="948">
        <f t="shared" si="489"/>
        <v>0</v>
      </c>
      <c r="BD220" s="446">
        <f t="shared" si="489"/>
        <v>0</v>
      </c>
      <c r="BE220" s="446">
        <f t="shared" si="489"/>
        <v>0</v>
      </c>
      <c r="BF220" s="446">
        <f t="shared" si="489"/>
        <v>0</v>
      </c>
      <c r="BG220" s="446">
        <f t="shared" si="489"/>
        <v>0.24</v>
      </c>
      <c r="BH220" s="39">
        <f t="shared" si="489"/>
        <v>0.24</v>
      </c>
      <c r="BI220" s="452">
        <f t="shared" si="489"/>
        <v>2365491</v>
      </c>
      <c r="BJ220" s="445">
        <f t="shared" si="489"/>
        <v>1710356</v>
      </c>
      <c r="BK220" s="445">
        <f t="shared" si="489"/>
        <v>1389412</v>
      </c>
      <c r="BL220" s="445">
        <f t="shared" si="489"/>
        <v>320944</v>
      </c>
      <c r="BM220" s="445">
        <f t="shared" si="489"/>
        <v>40500</v>
      </c>
      <c r="BN220" s="445">
        <f t="shared" si="489"/>
        <v>9100</v>
      </c>
      <c r="BO220" s="445">
        <f t="shared" si="489"/>
        <v>31400</v>
      </c>
      <c r="BP220" s="445">
        <f t="shared" si="489"/>
        <v>591789</v>
      </c>
      <c r="BQ220" s="445">
        <f t="shared" si="489"/>
        <v>17104</v>
      </c>
      <c r="BR220" s="445">
        <f t="shared" si="489"/>
        <v>5742</v>
      </c>
      <c r="BS220" s="446">
        <f t="shared" si="489"/>
        <v>3.3541999999999996</v>
      </c>
      <c r="BT220" s="446">
        <f t="shared" si="489"/>
        <v>2.3708999999999998</v>
      </c>
      <c r="BU220" s="39">
        <f t="shared" si="489"/>
        <v>0.98329999999999995</v>
      </c>
      <c r="BV220" s="833">
        <f t="shared" si="489"/>
        <v>0</v>
      </c>
      <c r="BW220" s="715">
        <f t="shared" si="489"/>
        <v>0</v>
      </c>
      <c r="BX220" s="715">
        <f t="shared" si="489"/>
        <v>0</v>
      </c>
      <c r="BY220" s="715">
        <f t="shared" si="489"/>
        <v>0</v>
      </c>
      <c r="BZ220" s="715">
        <f t="shared" si="489"/>
        <v>0</v>
      </c>
      <c r="CA220" s="834">
        <f t="shared" si="489"/>
        <v>0</v>
      </c>
    </row>
    <row r="221" spans="1:79" s="221" customFormat="1" ht="12.75" customHeight="1" x14ac:dyDescent="0.2">
      <c r="A221" s="209">
        <v>41</v>
      </c>
      <c r="B221" s="210">
        <v>4432</v>
      </c>
      <c r="C221" s="210">
        <v>600074625</v>
      </c>
      <c r="D221" s="210">
        <v>70695903</v>
      </c>
      <c r="E221" s="208" t="s">
        <v>222</v>
      </c>
      <c r="F221" s="210">
        <v>3111</v>
      </c>
      <c r="G221" s="165" t="s">
        <v>290</v>
      </c>
      <c r="H221" s="626" t="s">
        <v>271</v>
      </c>
      <c r="I221" s="511">
        <v>1762905</v>
      </c>
      <c r="J221" s="415">
        <v>1303238</v>
      </c>
      <c r="K221" s="415">
        <v>1236670</v>
      </c>
      <c r="L221" s="415">
        <v>66568</v>
      </c>
      <c r="M221" s="415">
        <v>0</v>
      </c>
      <c r="N221" s="415">
        <v>0</v>
      </c>
      <c r="O221" s="415">
        <v>0</v>
      </c>
      <c r="P221" s="68">
        <v>440494</v>
      </c>
      <c r="Q221" s="68">
        <v>13032</v>
      </c>
      <c r="R221" s="415">
        <v>6141</v>
      </c>
      <c r="S221" s="416">
        <v>2.4279000000000002</v>
      </c>
      <c r="T221" s="417">
        <v>2.1612</v>
      </c>
      <c r="U221" s="423">
        <v>0.26669999999999999</v>
      </c>
      <c r="V221" s="424">
        <f t="shared" ref="V221:W226" si="490">AG221*-1</f>
        <v>0</v>
      </c>
      <c r="W221" s="418">
        <f t="shared" si="490"/>
        <v>0</v>
      </c>
      <c r="X221" s="418">
        <v>0</v>
      </c>
      <c r="Y221" s="418">
        <v>0</v>
      </c>
      <c r="Z221" s="418">
        <v>0</v>
      </c>
      <c r="AA221" s="415">
        <v>0</v>
      </c>
      <c r="AB221" s="418">
        <v>0</v>
      </c>
      <c r="AC221" s="418">
        <v>0</v>
      </c>
      <c r="AD221" s="418">
        <f t="shared" ref="AD221:AD226" si="491">V221+X221+Y221+Z221+AB221</f>
        <v>0</v>
      </c>
      <c r="AE221" s="418">
        <f t="shared" ref="AE221:AE226" si="492">W221+AA221+AC221</f>
        <v>0</v>
      </c>
      <c r="AF221" s="418">
        <f t="shared" ref="AF221:AF226" si="493">SUM(AD221:AE221)</f>
        <v>0</v>
      </c>
      <c r="AG221" s="418">
        <v>0</v>
      </c>
      <c r="AH221" s="418">
        <v>0</v>
      </c>
      <c r="AI221" s="418">
        <v>0</v>
      </c>
      <c r="AJ221" s="418">
        <v>0</v>
      </c>
      <c r="AK221" s="418">
        <v>0</v>
      </c>
      <c r="AL221" s="418">
        <f t="shared" ref="AL221:AL226" si="494">AG221+AI221+AJ221</f>
        <v>0</v>
      </c>
      <c r="AM221" s="418">
        <f t="shared" ref="AM221:AM226" si="495">AH221+AK221</f>
        <v>0</v>
      </c>
      <c r="AN221" s="418">
        <f t="shared" ref="AN221:AN226" si="496">SUM(AL221:AM221)</f>
        <v>0</v>
      </c>
      <c r="AO221" s="418">
        <f t="shared" ref="AO221:AP226" si="497">AD221+AL221</f>
        <v>0</v>
      </c>
      <c r="AP221" s="418">
        <f t="shared" si="497"/>
        <v>0</v>
      </c>
      <c r="AQ221" s="418">
        <f t="shared" ref="AQ221:AQ226" si="498">SUM(AO221:AP221)</f>
        <v>0</v>
      </c>
      <c r="AR221" s="68">
        <f t="shared" ref="AR221:AR226" si="499">ROUND((AF221+AG221+AH221+AI221)*33.8%,0)</f>
        <v>0</v>
      </c>
      <c r="AS221" s="68">
        <f t="shared" ref="AS221:AS226" si="500">ROUND(AF221*1%,0)</f>
        <v>0</v>
      </c>
      <c r="AT221" s="418">
        <v>0</v>
      </c>
      <c r="AU221" s="415">
        <v>0</v>
      </c>
      <c r="AV221" s="418">
        <f t="shared" ref="AV221:AV226" si="501">AT221+AU221</f>
        <v>0</v>
      </c>
      <c r="AW221" s="418">
        <f t="shared" ref="AW221:AW226" si="502">AQ221+AR221+AS221+AV221</f>
        <v>0</v>
      </c>
      <c r="AX221" s="419">
        <v>0</v>
      </c>
      <c r="AY221" s="419">
        <v>0</v>
      </c>
      <c r="AZ221" s="419">
        <v>0</v>
      </c>
      <c r="BA221" s="419">
        <v>0</v>
      </c>
      <c r="BB221" s="416">
        <v>0</v>
      </c>
      <c r="BC221" s="939">
        <v>0</v>
      </c>
      <c r="BD221" s="419">
        <v>0</v>
      </c>
      <c r="BE221" s="419">
        <v>0</v>
      </c>
      <c r="BF221" s="419">
        <f t="shared" ref="BF221:BF226" si="503">AX221+AZ221+BA221+BC221+BD221</f>
        <v>0</v>
      </c>
      <c r="BG221" s="419">
        <f t="shared" ref="BG221:BG226" si="504">AY221+BB221+BE221</f>
        <v>0</v>
      </c>
      <c r="BH221" s="421">
        <f t="shared" ref="BH221:BH226" si="505">SUM(BF221:BG221)</f>
        <v>0</v>
      </c>
      <c r="BI221" s="780">
        <f t="shared" ref="BI221:BI226" si="506">I221+AW221</f>
        <v>1762905</v>
      </c>
      <c r="BJ221" s="418">
        <f t="shared" ref="BJ221:BJ226" si="507">J221+AF221</f>
        <v>1303238</v>
      </c>
      <c r="BK221" s="418">
        <f t="shared" ref="BK221:BL226" si="508">K221+AD221</f>
        <v>1236670</v>
      </c>
      <c r="BL221" s="418">
        <f t="shared" si="508"/>
        <v>66568</v>
      </c>
      <c r="BM221" s="418">
        <f t="shared" ref="BM221:BM226" si="509">M221+AN221</f>
        <v>0</v>
      </c>
      <c r="BN221" s="418">
        <f t="shared" ref="BN221:BO226" si="510">N221+AL221</f>
        <v>0</v>
      </c>
      <c r="BO221" s="418">
        <f t="shared" si="510"/>
        <v>0</v>
      </c>
      <c r="BP221" s="418">
        <f t="shared" ref="BP221:BQ226" si="511">P221+AR221</f>
        <v>440494</v>
      </c>
      <c r="BQ221" s="418">
        <f t="shared" si="511"/>
        <v>13032</v>
      </c>
      <c r="BR221" s="418">
        <f t="shared" ref="BR221:BR226" si="512">R221+AV221</f>
        <v>6141</v>
      </c>
      <c r="BS221" s="419">
        <f t="shared" ref="BS221:BS226" si="513">S221+BH221</f>
        <v>2.4279000000000002</v>
      </c>
      <c r="BT221" s="419">
        <f t="shared" ref="BT221:BU226" si="514">T221+BF221</f>
        <v>2.1612</v>
      </c>
      <c r="BU221" s="421">
        <f t="shared" si="514"/>
        <v>0.26669999999999999</v>
      </c>
      <c r="BV221" s="420"/>
      <c r="BW221" s="415"/>
      <c r="BX221" s="415"/>
      <c r="BY221" s="415"/>
      <c r="BZ221" s="415"/>
      <c r="CA221" s="510"/>
    </row>
    <row r="222" spans="1:79" s="221" customFormat="1" ht="12.75" customHeight="1" x14ac:dyDescent="0.2">
      <c r="A222" s="209">
        <v>41</v>
      </c>
      <c r="B222" s="210">
        <v>4432</v>
      </c>
      <c r="C222" s="210">
        <v>600074625</v>
      </c>
      <c r="D222" s="210">
        <v>70695903</v>
      </c>
      <c r="E222" s="208" t="s">
        <v>222</v>
      </c>
      <c r="F222" s="210">
        <v>3117</v>
      </c>
      <c r="G222" s="165" t="s">
        <v>293</v>
      </c>
      <c r="H222" s="626" t="s">
        <v>271</v>
      </c>
      <c r="I222" s="511">
        <v>3274169</v>
      </c>
      <c r="J222" s="415">
        <v>2399115</v>
      </c>
      <c r="K222" s="415">
        <v>2122282</v>
      </c>
      <c r="L222" s="415">
        <v>276833</v>
      </c>
      <c r="M222" s="415">
        <v>0</v>
      </c>
      <c r="N222" s="415">
        <v>0</v>
      </c>
      <c r="O222" s="415">
        <v>0</v>
      </c>
      <c r="P222" s="68">
        <v>810901</v>
      </c>
      <c r="Q222" s="68">
        <v>23992</v>
      </c>
      <c r="R222" s="415">
        <v>40161</v>
      </c>
      <c r="S222" s="416">
        <v>3.9469000000000003</v>
      </c>
      <c r="T222" s="417">
        <v>3.2351000000000001</v>
      </c>
      <c r="U222" s="423">
        <v>0.71179999999999999</v>
      </c>
      <c r="V222" s="424">
        <f t="shared" si="490"/>
        <v>0</v>
      </c>
      <c r="W222" s="418">
        <f t="shared" si="490"/>
        <v>0</v>
      </c>
      <c r="X222" s="418">
        <v>0</v>
      </c>
      <c r="Y222" s="418">
        <v>0</v>
      </c>
      <c r="Z222" s="418">
        <v>0</v>
      </c>
      <c r="AA222" s="415">
        <v>0</v>
      </c>
      <c r="AB222" s="418">
        <v>0</v>
      </c>
      <c r="AC222" s="418">
        <v>0</v>
      </c>
      <c r="AD222" s="418">
        <f t="shared" si="491"/>
        <v>0</v>
      </c>
      <c r="AE222" s="418">
        <f t="shared" si="492"/>
        <v>0</v>
      </c>
      <c r="AF222" s="418">
        <f t="shared" si="493"/>
        <v>0</v>
      </c>
      <c r="AG222" s="418">
        <v>0</v>
      </c>
      <c r="AH222" s="418">
        <v>0</v>
      </c>
      <c r="AI222" s="418">
        <v>0</v>
      </c>
      <c r="AJ222" s="418">
        <v>0</v>
      </c>
      <c r="AK222" s="418">
        <v>0</v>
      </c>
      <c r="AL222" s="418">
        <f t="shared" si="494"/>
        <v>0</v>
      </c>
      <c r="AM222" s="418">
        <f t="shared" si="495"/>
        <v>0</v>
      </c>
      <c r="AN222" s="418">
        <f t="shared" si="496"/>
        <v>0</v>
      </c>
      <c r="AO222" s="418">
        <f t="shared" si="497"/>
        <v>0</v>
      </c>
      <c r="AP222" s="418">
        <f t="shared" si="497"/>
        <v>0</v>
      </c>
      <c r="AQ222" s="418">
        <f t="shared" si="498"/>
        <v>0</v>
      </c>
      <c r="AR222" s="68">
        <f t="shared" si="499"/>
        <v>0</v>
      </c>
      <c r="AS222" s="68">
        <f t="shared" si="500"/>
        <v>0</v>
      </c>
      <c r="AT222" s="418">
        <v>0</v>
      </c>
      <c r="AU222" s="415">
        <v>0</v>
      </c>
      <c r="AV222" s="418">
        <f t="shared" si="501"/>
        <v>0</v>
      </c>
      <c r="AW222" s="418">
        <f t="shared" si="502"/>
        <v>0</v>
      </c>
      <c r="AX222" s="419">
        <v>0</v>
      </c>
      <c r="AY222" s="419">
        <v>0</v>
      </c>
      <c r="AZ222" s="419">
        <v>0</v>
      </c>
      <c r="BA222" s="419">
        <v>0</v>
      </c>
      <c r="BB222" s="416">
        <v>0</v>
      </c>
      <c r="BC222" s="939">
        <v>0</v>
      </c>
      <c r="BD222" s="419">
        <v>0</v>
      </c>
      <c r="BE222" s="419">
        <v>0</v>
      </c>
      <c r="BF222" s="419">
        <f t="shared" si="503"/>
        <v>0</v>
      </c>
      <c r="BG222" s="419">
        <f t="shared" si="504"/>
        <v>0</v>
      </c>
      <c r="BH222" s="421">
        <f t="shared" si="505"/>
        <v>0</v>
      </c>
      <c r="BI222" s="780">
        <f t="shared" si="506"/>
        <v>3274169</v>
      </c>
      <c r="BJ222" s="418">
        <f t="shared" si="507"/>
        <v>2399115</v>
      </c>
      <c r="BK222" s="418">
        <f t="shared" si="508"/>
        <v>2122282</v>
      </c>
      <c r="BL222" s="418">
        <f t="shared" si="508"/>
        <v>276833</v>
      </c>
      <c r="BM222" s="418">
        <f t="shared" si="509"/>
        <v>0</v>
      </c>
      <c r="BN222" s="418">
        <f t="shared" si="510"/>
        <v>0</v>
      </c>
      <c r="BO222" s="418">
        <f t="shared" si="510"/>
        <v>0</v>
      </c>
      <c r="BP222" s="418">
        <f t="shared" si="511"/>
        <v>810901</v>
      </c>
      <c r="BQ222" s="418">
        <f t="shared" si="511"/>
        <v>23992</v>
      </c>
      <c r="BR222" s="418">
        <f t="shared" si="512"/>
        <v>40161</v>
      </c>
      <c r="BS222" s="419">
        <f t="shared" si="513"/>
        <v>3.9469000000000003</v>
      </c>
      <c r="BT222" s="419">
        <f t="shared" si="514"/>
        <v>3.2351000000000001</v>
      </c>
      <c r="BU222" s="421">
        <f t="shared" si="514"/>
        <v>0.71179999999999999</v>
      </c>
      <c r="BV222" s="420"/>
      <c r="BW222" s="415"/>
      <c r="BX222" s="415"/>
      <c r="BY222" s="415"/>
      <c r="BZ222" s="415"/>
      <c r="CA222" s="510"/>
    </row>
    <row r="223" spans="1:79" s="221" customFormat="1" ht="12.75" customHeight="1" x14ac:dyDescent="0.2">
      <c r="A223" s="209">
        <v>41</v>
      </c>
      <c r="B223" s="210">
        <v>4432</v>
      </c>
      <c r="C223" s="210">
        <v>600074625</v>
      </c>
      <c r="D223" s="210">
        <v>70695903</v>
      </c>
      <c r="E223" s="208" t="s">
        <v>222</v>
      </c>
      <c r="F223" s="210">
        <v>3117</v>
      </c>
      <c r="G223" s="165" t="s">
        <v>291</v>
      </c>
      <c r="H223" s="626" t="s">
        <v>272</v>
      </c>
      <c r="I223" s="511">
        <v>1805224</v>
      </c>
      <c r="J223" s="415">
        <v>1336961</v>
      </c>
      <c r="K223" s="415">
        <v>1336961</v>
      </c>
      <c r="L223" s="415">
        <v>0</v>
      </c>
      <c r="M223" s="415">
        <v>0</v>
      </c>
      <c r="N223" s="415">
        <v>0</v>
      </c>
      <c r="O223" s="415">
        <v>0</v>
      </c>
      <c r="P223" s="68">
        <v>451893</v>
      </c>
      <c r="Q223" s="68">
        <v>13370</v>
      </c>
      <c r="R223" s="415">
        <v>3000</v>
      </c>
      <c r="S223" s="416">
        <v>3.81</v>
      </c>
      <c r="T223" s="417">
        <v>3.81</v>
      </c>
      <c r="U223" s="423">
        <v>0</v>
      </c>
      <c r="V223" s="424">
        <f t="shared" si="490"/>
        <v>0</v>
      </c>
      <c r="W223" s="418">
        <f t="shared" si="490"/>
        <v>0</v>
      </c>
      <c r="X223" s="418">
        <v>0</v>
      </c>
      <c r="Y223" s="418">
        <v>0</v>
      </c>
      <c r="Z223" s="418">
        <v>0</v>
      </c>
      <c r="AA223" s="415">
        <v>0</v>
      </c>
      <c r="AB223" s="418">
        <v>0</v>
      </c>
      <c r="AC223" s="418">
        <v>0</v>
      </c>
      <c r="AD223" s="418">
        <f t="shared" si="491"/>
        <v>0</v>
      </c>
      <c r="AE223" s="418">
        <f t="shared" si="492"/>
        <v>0</v>
      </c>
      <c r="AF223" s="418">
        <f t="shared" si="493"/>
        <v>0</v>
      </c>
      <c r="AG223" s="418">
        <v>0</v>
      </c>
      <c r="AH223" s="418">
        <v>0</v>
      </c>
      <c r="AI223" s="418">
        <v>0</v>
      </c>
      <c r="AJ223" s="418">
        <v>0</v>
      </c>
      <c r="AK223" s="418">
        <v>0</v>
      </c>
      <c r="AL223" s="418">
        <f t="shared" si="494"/>
        <v>0</v>
      </c>
      <c r="AM223" s="418">
        <f t="shared" si="495"/>
        <v>0</v>
      </c>
      <c r="AN223" s="418">
        <f t="shared" si="496"/>
        <v>0</v>
      </c>
      <c r="AO223" s="418">
        <f t="shared" si="497"/>
        <v>0</v>
      </c>
      <c r="AP223" s="418">
        <f t="shared" si="497"/>
        <v>0</v>
      </c>
      <c r="AQ223" s="418">
        <f t="shared" si="498"/>
        <v>0</v>
      </c>
      <c r="AR223" s="68">
        <f t="shared" si="499"/>
        <v>0</v>
      </c>
      <c r="AS223" s="68">
        <f t="shared" si="500"/>
        <v>0</v>
      </c>
      <c r="AT223" s="418">
        <v>0</v>
      </c>
      <c r="AU223" s="415">
        <v>0</v>
      </c>
      <c r="AV223" s="418">
        <f t="shared" si="501"/>
        <v>0</v>
      </c>
      <c r="AW223" s="418">
        <f t="shared" si="502"/>
        <v>0</v>
      </c>
      <c r="AX223" s="419">
        <v>0</v>
      </c>
      <c r="AY223" s="419">
        <v>0</v>
      </c>
      <c r="AZ223" s="419">
        <v>0</v>
      </c>
      <c r="BA223" s="419">
        <v>0</v>
      </c>
      <c r="BB223" s="416">
        <v>0</v>
      </c>
      <c r="BC223" s="939">
        <v>0</v>
      </c>
      <c r="BD223" s="419">
        <v>0</v>
      </c>
      <c r="BE223" s="419">
        <v>0</v>
      </c>
      <c r="BF223" s="419">
        <f t="shared" si="503"/>
        <v>0</v>
      </c>
      <c r="BG223" s="419">
        <f t="shared" si="504"/>
        <v>0</v>
      </c>
      <c r="BH223" s="421">
        <f t="shared" si="505"/>
        <v>0</v>
      </c>
      <c r="BI223" s="780">
        <f t="shared" si="506"/>
        <v>1805224</v>
      </c>
      <c r="BJ223" s="418">
        <f t="shared" si="507"/>
        <v>1336961</v>
      </c>
      <c r="BK223" s="418">
        <f t="shared" si="508"/>
        <v>1336961</v>
      </c>
      <c r="BL223" s="418">
        <f t="shared" si="508"/>
        <v>0</v>
      </c>
      <c r="BM223" s="418">
        <f t="shared" si="509"/>
        <v>0</v>
      </c>
      <c r="BN223" s="418">
        <f t="shared" si="510"/>
        <v>0</v>
      </c>
      <c r="BO223" s="418">
        <f t="shared" si="510"/>
        <v>0</v>
      </c>
      <c r="BP223" s="418">
        <f t="shared" si="511"/>
        <v>451893</v>
      </c>
      <c r="BQ223" s="418">
        <f t="shared" si="511"/>
        <v>13370</v>
      </c>
      <c r="BR223" s="418">
        <f t="shared" si="512"/>
        <v>3000</v>
      </c>
      <c r="BS223" s="419">
        <f t="shared" si="513"/>
        <v>3.81</v>
      </c>
      <c r="BT223" s="419">
        <f t="shared" si="514"/>
        <v>3.81</v>
      </c>
      <c r="BU223" s="421">
        <f t="shared" si="514"/>
        <v>0</v>
      </c>
      <c r="BV223" s="420"/>
      <c r="BW223" s="415"/>
      <c r="BX223" s="415"/>
      <c r="BY223" s="415"/>
      <c r="BZ223" s="415"/>
      <c r="CA223" s="510"/>
    </row>
    <row r="224" spans="1:79" s="221" customFormat="1" ht="12.75" customHeight="1" x14ac:dyDescent="0.2">
      <c r="A224" s="209">
        <v>41</v>
      </c>
      <c r="B224" s="210">
        <v>4432</v>
      </c>
      <c r="C224" s="210">
        <v>600074625</v>
      </c>
      <c r="D224" s="210">
        <v>70695903</v>
      </c>
      <c r="E224" s="208" t="s">
        <v>222</v>
      </c>
      <c r="F224" s="210">
        <v>3141</v>
      </c>
      <c r="G224" s="165" t="s">
        <v>294</v>
      </c>
      <c r="H224" s="626" t="s">
        <v>272</v>
      </c>
      <c r="I224" s="511">
        <v>529395</v>
      </c>
      <c r="J224" s="415">
        <v>391272</v>
      </c>
      <c r="K224" s="415">
        <v>0</v>
      </c>
      <c r="L224" s="415">
        <v>391272</v>
      </c>
      <c r="M224" s="415">
        <v>0</v>
      </c>
      <c r="N224" s="415">
        <v>0</v>
      </c>
      <c r="O224" s="415">
        <v>0</v>
      </c>
      <c r="P224" s="68">
        <v>132250</v>
      </c>
      <c r="Q224" s="68">
        <v>3913</v>
      </c>
      <c r="R224" s="415">
        <v>1960</v>
      </c>
      <c r="S224" s="416">
        <v>1.17</v>
      </c>
      <c r="T224" s="417">
        <v>0</v>
      </c>
      <c r="U224" s="423">
        <v>1.17</v>
      </c>
      <c r="V224" s="424">
        <f t="shared" si="490"/>
        <v>0</v>
      </c>
      <c r="W224" s="418">
        <f t="shared" si="490"/>
        <v>0</v>
      </c>
      <c r="X224" s="418">
        <v>0</v>
      </c>
      <c r="Y224" s="418">
        <v>0</v>
      </c>
      <c r="Z224" s="418">
        <v>0</v>
      </c>
      <c r="AA224" s="605">
        <v>194632</v>
      </c>
      <c r="AB224" s="418">
        <v>0</v>
      </c>
      <c r="AC224" s="418">
        <v>0</v>
      </c>
      <c r="AD224" s="418">
        <f t="shared" si="491"/>
        <v>0</v>
      </c>
      <c r="AE224" s="418">
        <f t="shared" si="492"/>
        <v>194632</v>
      </c>
      <c r="AF224" s="418">
        <f t="shared" si="493"/>
        <v>194632</v>
      </c>
      <c r="AG224" s="418">
        <v>0</v>
      </c>
      <c r="AH224" s="418">
        <v>0</v>
      </c>
      <c r="AI224" s="418">
        <v>0</v>
      </c>
      <c r="AJ224" s="418">
        <v>0</v>
      </c>
      <c r="AK224" s="418">
        <v>0</v>
      </c>
      <c r="AL224" s="418">
        <f t="shared" si="494"/>
        <v>0</v>
      </c>
      <c r="AM224" s="418">
        <f t="shared" si="495"/>
        <v>0</v>
      </c>
      <c r="AN224" s="418">
        <f t="shared" si="496"/>
        <v>0</v>
      </c>
      <c r="AO224" s="418">
        <f t="shared" si="497"/>
        <v>0</v>
      </c>
      <c r="AP224" s="418">
        <f t="shared" si="497"/>
        <v>194632</v>
      </c>
      <c r="AQ224" s="418">
        <f t="shared" si="498"/>
        <v>194632</v>
      </c>
      <c r="AR224" s="68">
        <f t="shared" si="499"/>
        <v>65786</v>
      </c>
      <c r="AS224" s="68">
        <f t="shared" si="500"/>
        <v>1946</v>
      </c>
      <c r="AT224" s="418">
        <v>0</v>
      </c>
      <c r="AU224" s="605">
        <v>952</v>
      </c>
      <c r="AV224" s="418">
        <f t="shared" si="501"/>
        <v>952</v>
      </c>
      <c r="AW224" s="418">
        <f t="shared" si="502"/>
        <v>263316</v>
      </c>
      <c r="AX224" s="419">
        <v>0</v>
      </c>
      <c r="AY224" s="419">
        <v>0</v>
      </c>
      <c r="AZ224" s="419">
        <v>0</v>
      </c>
      <c r="BA224" s="419">
        <v>0</v>
      </c>
      <c r="BB224" s="607">
        <v>0.59</v>
      </c>
      <c r="BC224" s="939">
        <v>0</v>
      </c>
      <c r="BD224" s="419">
        <v>0</v>
      </c>
      <c r="BE224" s="419">
        <v>0</v>
      </c>
      <c r="BF224" s="419">
        <f t="shared" si="503"/>
        <v>0</v>
      </c>
      <c r="BG224" s="419">
        <f t="shared" si="504"/>
        <v>0.59</v>
      </c>
      <c r="BH224" s="421">
        <f t="shared" si="505"/>
        <v>0.59</v>
      </c>
      <c r="BI224" s="780">
        <f t="shared" si="506"/>
        <v>792711</v>
      </c>
      <c r="BJ224" s="418">
        <f t="shared" si="507"/>
        <v>585904</v>
      </c>
      <c r="BK224" s="418">
        <f t="shared" si="508"/>
        <v>0</v>
      </c>
      <c r="BL224" s="418">
        <f t="shared" si="508"/>
        <v>585904</v>
      </c>
      <c r="BM224" s="418">
        <f t="shared" si="509"/>
        <v>0</v>
      </c>
      <c r="BN224" s="418">
        <f t="shared" si="510"/>
        <v>0</v>
      </c>
      <c r="BO224" s="418">
        <f t="shared" si="510"/>
        <v>0</v>
      </c>
      <c r="BP224" s="418">
        <f t="shared" si="511"/>
        <v>198036</v>
      </c>
      <c r="BQ224" s="418">
        <f t="shared" si="511"/>
        <v>5859</v>
      </c>
      <c r="BR224" s="418">
        <f t="shared" si="512"/>
        <v>2912</v>
      </c>
      <c r="BS224" s="419">
        <f t="shared" si="513"/>
        <v>1.7599999999999998</v>
      </c>
      <c r="BT224" s="419">
        <f t="shared" si="514"/>
        <v>0</v>
      </c>
      <c r="BU224" s="421">
        <f t="shared" si="514"/>
        <v>1.7599999999999998</v>
      </c>
      <c r="BV224" s="420"/>
      <c r="BW224" s="415"/>
      <c r="BX224" s="415"/>
      <c r="BY224" s="415"/>
      <c r="BZ224" s="415"/>
      <c r="CA224" s="510"/>
    </row>
    <row r="225" spans="1:79" s="221" customFormat="1" ht="12.75" customHeight="1" x14ac:dyDescent="0.2">
      <c r="A225" s="209">
        <v>41</v>
      </c>
      <c r="B225" s="210">
        <v>4432</v>
      </c>
      <c r="C225" s="210">
        <v>600074625</v>
      </c>
      <c r="D225" s="210">
        <v>70695903</v>
      </c>
      <c r="E225" s="208" t="s">
        <v>222</v>
      </c>
      <c r="F225" s="210">
        <v>3143</v>
      </c>
      <c r="G225" s="165" t="s">
        <v>595</v>
      </c>
      <c r="H225" s="614" t="s">
        <v>271</v>
      </c>
      <c r="I225" s="511">
        <v>797668</v>
      </c>
      <c r="J225" s="415">
        <v>591742</v>
      </c>
      <c r="K225" s="415">
        <v>591742</v>
      </c>
      <c r="L225" s="415">
        <v>0</v>
      </c>
      <c r="M225" s="415">
        <v>0</v>
      </c>
      <c r="N225" s="415">
        <v>0</v>
      </c>
      <c r="O225" s="415">
        <v>0</v>
      </c>
      <c r="P225" s="68">
        <v>200009</v>
      </c>
      <c r="Q225" s="68">
        <v>5917</v>
      </c>
      <c r="R225" s="415">
        <v>0</v>
      </c>
      <c r="S225" s="416">
        <v>1.2000999999999999</v>
      </c>
      <c r="T225" s="417">
        <v>1.2000999999999999</v>
      </c>
      <c r="U225" s="423">
        <v>0</v>
      </c>
      <c r="V225" s="424">
        <f t="shared" si="490"/>
        <v>0</v>
      </c>
      <c r="W225" s="418">
        <f t="shared" si="490"/>
        <v>0</v>
      </c>
      <c r="X225" s="418">
        <v>0</v>
      </c>
      <c r="Y225" s="418">
        <v>0</v>
      </c>
      <c r="Z225" s="418">
        <v>0</v>
      </c>
      <c r="AA225" s="415">
        <v>0</v>
      </c>
      <c r="AB225" s="418">
        <v>0</v>
      </c>
      <c r="AC225" s="418">
        <v>0</v>
      </c>
      <c r="AD225" s="418">
        <f t="shared" si="491"/>
        <v>0</v>
      </c>
      <c r="AE225" s="418">
        <f t="shared" si="492"/>
        <v>0</v>
      </c>
      <c r="AF225" s="418">
        <f t="shared" si="493"/>
        <v>0</v>
      </c>
      <c r="AG225" s="418">
        <v>0</v>
      </c>
      <c r="AH225" s="418">
        <v>0</v>
      </c>
      <c r="AI225" s="418">
        <v>0</v>
      </c>
      <c r="AJ225" s="418">
        <v>0</v>
      </c>
      <c r="AK225" s="418">
        <v>0</v>
      </c>
      <c r="AL225" s="418">
        <f t="shared" si="494"/>
        <v>0</v>
      </c>
      <c r="AM225" s="418">
        <f t="shared" si="495"/>
        <v>0</v>
      </c>
      <c r="AN225" s="418">
        <f t="shared" si="496"/>
        <v>0</v>
      </c>
      <c r="AO225" s="418">
        <f t="shared" si="497"/>
        <v>0</v>
      </c>
      <c r="AP225" s="418">
        <f t="shared" si="497"/>
        <v>0</v>
      </c>
      <c r="AQ225" s="418">
        <f t="shared" si="498"/>
        <v>0</v>
      </c>
      <c r="AR225" s="68">
        <f t="shared" si="499"/>
        <v>0</v>
      </c>
      <c r="AS225" s="68">
        <f t="shared" si="500"/>
        <v>0</v>
      </c>
      <c r="AT225" s="418">
        <v>0</v>
      </c>
      <c r="AU225" s="415">
        <v>0</v>
      </c>
      <c r="AV225" s="418">
        <f t="shared" si="501"/>
        <v>0</v>
      </c>
      <c r="AW225" s="418">
        <f t="shared" si="502"/>
        <v>0</v>
      </c>
      <c r="AX225" s="419">
        <v>0</v>
      </c>
      <c r="AY225" s="419">
        <v>0</v>
      </c>
      <c r="AZ225" s="419">
        <v>0</v>
      </c>
      <c r="BA225" s="419">
        <v>0</v>
      </c>
      <c r="BB225" s="416">
        <v>0</v>
      </c>
      <c r="BC225" s="939">
        <v>0</v>
      </c>
      <c r="BD225" s="419">
        <v>0</v>
      </c>
      <c r="BE225" s="419">
        <v>0</v>
      </c>
      <c r="BF225" s="419">
        <f t="shared" si="503"/>
        <v>0</v>
      </c>
      <c r="BG225" s="419">
        <f t="shared" si="504"/>
        <v>0</v>
      </c>
      <c r="BH225" s="421">
        <f t="shared" si="505"/>
        <v>0</v>
      </c>
      <c r="BI225" s="780">
        <f t="shared" si="506"/>
        <v>797668</v>
      </c>
      <c r="BJ225" s="418">
        <f t="shared" si="507"/>
        <v>591742</v>
      </c>
      <c r="BK225" s="418">
        <f t="shared" si="508"/>
        <v>591742</v>
      </c>
      <c r="BL225" s="418">
        <f t="shared" si="508"/>
        <v>0</v>
      </c>
      <c r="BM225" s="418">
        <f t="shared" si="509"/>
        <v>0</v>
      </c>
      <c r="BN225" s="418">
        <f t="shared" si="510"/>
        <v>0</v>
      </c>
      <c r="BO225" s="418">
        <f t="shared" si="510"/>
        <v>0</v>
      </c>
      <c r="BP225" s="418">
        <f t="shared" si="511"/>
        <v>200009</v>
      </c>
      <c r="BQ225" s="418">
        <f t="shared" si="511"/>
        <v>5917</v>
      </c>
      <c r="BR225" s="418">
        <f t="shared" si="512"/>
        <v>0</v>
      </c>
      <c r="BS225" s="419">
        <f t="shared" si="513"/>
        <v>1.2000999999999999</v>
      </c>
      <c r="BT225" s="419">
        <f t="shared" si="514"/>
        <v>1.2000999999999999</v>
      </c>
      <c r="BU225" s="421">
        <f t="shared" si="514"/>
        <v>0</v>
      </c>
      <c r="BV225" s="420"/>
      <c r="BW225" s="415"/>
      <c r="BX225" s="415"/>
      <c r="BY225" s="415"/>
      <c r="BZ225" s="415"/>
      <c r="CA225" s="510"/>
    </row>
    <row r="226" spans="1:79" s="221" customFormat="1" ht="12.75" customHeight="1" x14ac:dyDescent="0.2">
      <c r="A226" s="209">
        <v>41</v>
      </c>
      <c r="B226" s="210">
        <v>4432</v>
      </c>
      <c r="C226" s="210">
        <v>600074625</v>
      </c>
      <c r="D226" s="210">
        <v>70695903</v>
      </c>
      <c r="E226" s="208" t="s">
        <v>222</v>
      </c>
      <c r="F226" s="210">
        <v>3143</v>
      </c>
      <c r="G226" s="165" t="s">
        <v>596</v>
      </c>
      <c r="H226" s="614" t="s">
        <v>272</v>
      </c>
      <c r="I226" s="511">
        <v>10253</v>
      </c>
      <c r="J226" s="415">
        <v>7339</v>
      </c>
      <c r="K226" s="415">
        <v>0</v>
      </c>
      <c r="L226" s="415">
        <v>7339</v>
      </c>
      <c r="M226" s="415">
        <v>0</v>
      </c>
      <c r="N226" s="415">
        <v>0</v>
      </c>
      <c r="O226" s="415">
        <v>0</v>
      </c>
      <c r="P226" s="68">
        <v>2481</v>
      </c>
      <c r="Q226" s="68">
        <v>73</v>
      </c>
      <c r="R226" s="415">
        <v>360</v>
      </c>
      <c r="S226" s="416">
        <v>0.03</v>
      </c>
      <c r="T226" s="417">
        <v>0</v>
      </c>
      <c r="U226" s="423">
        <v>0.03</v>
      </c>
      <c r="V226" s="424">
        <f t="shared" si="490"/>
        <v>0</v>
      </c>
      <c r="W226" s="418">
        <f t="shared" si="490"/>
        <v>0</v>
      </c>
      <c r="X226" s="418">
        <v>0</v>
      </c>
      <c r="Y226" s="418">
        <v>0</v>
      </c>
      <c r="Z226" s="418">
        <v>0</v>
      </c>
      <c r="AA226" s="605">
        <v>3661</v>
      </c>
      <c r="AB226" s="418">
        <v>0</v>
      </c>
      <c r="AC226" s="418">
        <v>0</v>
      </c>
      <c r="AD226" s="418">
        <f t="shared" si="491"/>
        <v>0</v>
      </c>
      <c r="AE226" s="418">
        <f t="shared" si="492"/>
        <v>3661</v>
      </c>
      <c r="AF226" s="418">
        <f t="shared" si="493"/>
        <v>3661</v>
      </c>
      <c r="AG226" s="418">
        <v>0</v>
      </c>
      <c r="AH226" s="418">
        <v>0</v>
      </c>
      <c r="AI226" s="418">
        <v>0</v>
      </c>
      <c r="AJ226" s="418">
        <v>0</v>
      </c>
      <c r="AK226" s="418">
        <v>0</v>
      </c>
      <c r="AL226" s="418">
        <f t="shared" si="494"/>
        <v>0</v>
      </c>
      <c r="AM226" s="418">
        <f t="shared" si="495"/>
        <v>0</v>
      </c>
      <c r="AN226" s="418">
        <f t="shared" si="496"/>
        <v>0</v>
      </c>
      <c r="AO226" s="418">
        <f t="shared" si="497"/>
        <v>0</v>
      </c>
      <c r="AP226" s="418">
        <f t="shared" si="497"/>
        <v>3661</v>
      </c>
      <c r="AQ226" s="418">
        <f t="shared" si="498"/>
        <v>3661</v>
      </c>
      <c r="AR226" s="68">
        <f t="shared" si="499"/>
        <v>1237</v>
      </c>
      <c r="AS226" s="68">
        <f t="shared" si="500"/>
        <v>37</v>
      </c>
      <c r="AT226" s="418">
        <v>0</v>
      </c>
      <c r="AU226" s="606">
        <v>180</v>
      </c>
      <c r="AV226" s="418">
        <f t="shared" si="501"/>
        <v>180</v>
      </c>
      <c r="AW226" s="418">
        <f t="shared" si="502"/>
        <v>5115</v>
      </c>
      <c r="AX226" s="419">
        <v>0</v>
      </c>
      <c r="AY226" s="419">
        <v>0</v>
      </c>
      <c r="AZ226" s="419">
        <v>0</v>
      </c>
      <c r="BA226" s="419">
        <v>0</v>
      </c>
      <c r="BB226" s="607">
        <v>0.01</v>
      </c>
      <c r="BC226" s="939">
        <v>0</v>
      </c>
      <c r="BD226" s="419">
        <v>0</v>
      </c>
      <c r="BE226" s="419">
        <v>0</v>
      </c>
      <c r="BF226" s="419">
        <f t="shared" si="503"/>
        <v>0</v>
      </c>
      <c r="BG226" s="419">
        <f t="shared" si="504"/>
        <v>0.01</v>
      </c>
      <c r="BH226" s="421">
        <f t="shared" si="505"/>
        <v>0.01</v>
      </c>
      <c r="BI226" s="780">
        <f t="shared" si="506"/>
        <v>15368</v>
      </c>
      <c r="BJ226" s="418">
        <f t="shared" si="507"/>
        <v>11000</v>
      </c>
      <c r="BK226" s="418">
        <f t="shared" si="508"/>
        <v>0</v>
      </c>
      <c r="BL226" s="418">
        <f t="shared" si="508"/>
        <v>11000</v>
      </c>
      <c r="BM226" s="418">
        <f t="shared" si="509"/>
        <v>0</v>
      </c>
      <c r="BN226" s="418">
        <f t="shared" si="510"/>
        <v>0</v>
      </c>
      <c r="BO226" s="418">
        <f t="shared" si="510"/>
        <v>0</v>
      </c>
      <c r="BP226" s="418">
        <f t="shared" si="511"/>
        <v>3718</v>
      </c>
      <c r="BQ226" s="418">
        <f t="shared" si="511"/>
        <v>110</v>
      </c>
      <c r="BR226" s="418">
        <f t="shared" si="512"/>
        <v>540</v>
      </c>
      <c r="BS226" s="419">
        <f t="shared" si="513"/>
        <v>0.04</v>
      </c>
      <c r="BT226" s="419">
        <f t="shared" si="514"/>
        <v>0</v>
      </c>
      <c r="BU226" s="421">
        <f t="shared" si="514"/>
        <v>0.04</v>
      </c>
      <c r="BV226" s="420"/>
      <c r="BW226" s="415"/>
      <c r="BX226" s="415"/>
      <c r="BY226" s="415"/>
      <c r="BZ226" s="415"/>
      <c r="CA226" s="510"/>
    </row>
    <row r="227" spans="1:79" s="221" customFormat="1" ht="12.75" customHeight="1" x14ac:dyDescent="0.2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13"/>
      <c r="I227" s="452">
        <v>8179614</v>
      </c>
      <c r="J227" s="445">
        <v>6029667</v>
      </c>
      <c r="K227" s="445">
        <v>5287655</v>
      </c>
      <c r="L227" s="445">
        <v>742012</v>
      </c>
      <c r="M227" s="445">
        <v>0</v>
      </c>
      <c r="N227" s="445">
        <v>0</v>
      </c>
      <c r="O227" s="445">
        <v>0</v>
      </c>
      <c r="P227" s="445">
        <v>2038028</v>
      </c>
      <c r="Q227" s="445">
        <v>60297</v>
      </c>
      <c r="R227" s="445">
        <v>51622</v>
      </c>
      <c r="S227" s="446">
        <v>12.584899999999999</v>
      </c>
      <c r="T227" s="446">
        <v>10.406400000000001</v>
      </c>
      <c r="U227" s="450">
        <v>2.1784999999999997</v>
      </c>
      <c r="V227" s="448">
        <f t="shared" ref="V227:CA227" si="515">SUM(V221:V226)</f>
        <v>0</v>
      </c>
      <c r="W227" s="445">
        <f t="shared" si="515"/>
        <v>0</v>
      </c>
      <c r="X227" s="445">
        <f t="shared" si="515"/>
        <v>0</v>
      </c>
      <c r="Y227" s="445">
        <f t="shared" si="515"/>
        <v>0</v>
      </c>
      <c r="Z227" s="445">
        <f t="shared" si="515"/>
        <v>0</v>
      </c>
      <c r="AA227" s="445">
        <f t="shared" si="515"/>
        <v>198293</v>
      </c>
      <c r="AB227" s="445">
        <f t="shared" si="515"/>
        <v>0</v>
      </c>
      <c r="AC227" s="445">
        <f t="shared" si="515"/>
        <v>0</v>
      </c>
      <c r="AD227" s="445">
        <f t="shared" si="515"/>
        <v>0</v>
      </c>
      <c r="AE227" s="445">
        <f t="shared" si="515"/>
        <v>198293</v>
      </c>
      <c r="AF227" s="445">
        <f t="shared" si="515"/>
        <v>198293</v>
      </c>
      <c r="AG227" s="445">
        <f t="shared" si="515"/>
        <v>0</v>
      </c>
      <c r="AH227" s="445">
        <f t="shared" si="515"/>
        <v>0</v>
      </c>
      <c r="AI227" s="445">
        <f t="shared" si="515"/>
        <v>0</v>
      </c>
      <c r="AJ227" s="445">
        <f t="shared" si="515"/>
        <v>0</v>
      </c>
      <c r="AK227" s="445">
        <f t="shared" si="515"/>
        <v>0</v>
      </c>
      <c r="AL227" s="445">
        <f t="shared" si="515"/>
        <v>0</v>
      </c>
      <c r="AM227" s="445">
        <f t="shared" si="515"/>
        <v>0</v>
      </c>
      <c r="AN227" s="445">
        <f t="shared" si="515"/>
        <v>0</v>
      </c>
      <c r="AO227" s="445">
        <f t="shared" si="515"/>
        <v>0</v>
      </c>
      <c r="AP227" s="445">
        <f t="shared" si="515"/>
        <v>198293</v>
      </c>
      <c r="AQ227" s="445">
        <f t="shared" si="515"/>
        <v>198293</v>
      </c>
      <c r="AR227" s="445">
        <f t="shared" si="515"/>
        <v>67023</v>
      </c>
      <c r="AS227" s="445">
        <f t="shared" si="515"/>
        <v>1983</v>
      </c>
      <c r="AT227" s="445">
        <f t="shared" si="515"/>
        <v>0</v>
      </c>
      <c r="AU227" s="445">
        <f t="shared" si="515"/>
        <v>1132</v>
      </c>
      <c r="AV227" s="445">
        <f t="shared" si="515"/>
        <v>1132</v>
      </c>
      <c r="AW227" s="445">
        <f t="shared" si="515"/>
        <v>268431</v>
      </c>
      <c r="AX227" s="446">
        <f t="shared" si="515"/>
        <v>0</v>
      </c>
      <c r="AY227" s="446">
        <f t="shared" si="515"/>
        <v>0</v>
      </c>
      <c r="AZ227" s="446">
        <f t="shared" si="515"/>
        <v>0</v>
      </c>
      <c r="BA227" s="446">
        <f t="shared" si="515"/>
        <v>0</v>
      </c>
      <c r="BB227" s="446">
        <f t="shared" si="515"/>
        <v>0.6</v>
      </c>
      <c r="BC227" s="948">
        <f t="shared" si="515"/>
        <v>0</v>
      </c>
      <c r="BD227" s="446">
        <f t="shared" si="515"/>
        <v>0</v>
      </c>
      <c r="BE227" s="446">
        <f t="shared" si="515"/>
        <v>0</v>
      </c>
      <c r="BF227" s="446">
        <f t="shared" si="515"/>
        <v>0</v>
      </c>
      <c r="BG227" s="446">
        <f t="shared" si="515"/>
        <v>0.6</v>
      </c>
      <c r="BH227" s="39">
        <f t="shared" si="515"/>
        <v>0.6</v>
      </c>
      <c r="BI227" s="452">
        <f t="shared" si="515"/>
        <v>8448045</v>
      </c>
      <c r="BJ227" s="445">
        <f t="shared" si="515"/>
        <v>6227960</v>
      </c>
      <c r="BK227" s="445">
        <f t="shared" si="515"/>
        <v>5287655</v>
      </c>
      <c r="BL227" s="445">
        <f t="shared" si="515"/>
        <v>940305</v>
      </c>
      <c r="BM227" s="445">
        <f t="shared" si="515"/>
        <v>0</v>
      </c>
      <c r="BN227" s="445">
        <f t="shared" si="515"/>
        <v>0</v>
      </c>
      <c r="BO227" s="445">
        <f t="shared" si="515"/>
        <v>0</v>
      </c>
      <c r="BP227" s="445">
        <f t="shared" si="515"/>
        <v>2105051</v>
      </c>
      <c r="BQ227" s="445">
        <f t="shared" si="515"/>
        <v>62280</v>
      </c>
      <c r="BR227" s="445">
        <f t="shared" si="515"/>
        <v>52754</v>
      </c>
      <c r="BS227" s="446">
        <f t="shared" si="515"/>
        <v>13.184899999999999</v>
      </c>
      <c r="BT227" s="446">
        <f t="shared" si="515"/>
        <v>10.406400000000001</v>
      </c>
      <c r="BU227" s="39">
        <f t="shared" si="515"/>
        <v>2.7784999999999997</v>
      </c>
      <c r="BV227" s="833">
        <f t="shared" si="515"/>
        <v>0</v>
      </c>
      <c r="BW227" s="715">
        <f t="shared" si="515"/>
        <v>0</v>
      </c>
      <c r="BX227" s="715">
        <f t="shared" si="515"/>
        <v>0</v>
      </c>
      <c r="BY227" s="715">
        <f t="shared" si="515"/>
        <v>0</v>
      </c>
      <c r="BZ227" s="715">
        <f t="shared" si="515"/>
        <v>0</v>
      </c>
      <c r="CA227" s="834">
        <f t="shared" si="515"/>
        <v>0</v>
      </c>
    </row>
    <row r="228" spans="1:79" s="221" customFormat="1" ht="12.75" customHeight="1" x14ac:dyDescent="0.2">
      <c r="A228" s="209">
        <v>42</v>
      </c>
      <c r="B228" s="210">
        <v>4459</v>
      </c>
      <c r="C228" s="210">
        <v>650037171</v>
      </c>
      <c r="D228" s="210">
        <v>72742356</v>
      </c>
      <c r="E228" s="208" t="s">
        <v>224</v>
      </c>
      <c r="F228" s="210">
        <v>3111</v>
      </c>
      <c r="G228" s="165" t="s">
        <v>290</v>
      </c>
      <c r="H228" s="626" t="s">
        <v>271</v>
      </c>
      <c r="I228" s="511">
        <v>3191985</v>
      </c>
      <c r="J228" s="415">
        <v>2358434</v>
      </c>
      <c r="K228" s="415">
        <v>2225298</v>
      </c>
      <c r="L228" s="415">
        <v>133136</v>
      </c>
      <c r="M228" s="415">
        <v>0</v>
      </c>
      <c r="N228" s="415">
        <v>0</v>
      </c>
      <c r="O228" s="415">
        <v>0</v>
      </c>
      <c r="P228" s="68">
        <v>797151</v>
      </c>
      <c r="Q228" s="68">
        <v>23584</v>
      </c>
      <c r="R228" s="415">
        <v>12816</v>
      </c>
      <c r="S228" s="416">
        <v>4.3236999999999997</v>
      </c>
      <c r="T228" s="417">
        <v>3.7902999999999998</v>
      </c>
      <c r="U228" s="423">
        <v>0.53339999999999999</v>
      </c>
      <c r="V228" s="424">
        <f t="shared" ref="V228:W233" si="516">AG228*-1</f>
        <v>0</v>
      </c>
      <c r="W228" s="418">
        <f t="shared" si="516"/>
        <v>0</v>
      </c>
      <c r="X228" s="418">
        <v>0</v>
      </c>
      <c r="Y228" s="418">
        <v>0</v>
      </c>
      <c r="Z228" s="418">
        <v>0</v>
      </c>
      <c r="AA228" s="415">
        <v>0</v>
      </c>
      <c r="AB228" s="418">
        <v>0</v>
      </c>
      <c r="AC228" s="418">
        <v>0</v>
      </c>
      <c r="AD228" s="418">
        <f t="shared" ref="AD228:AD233" si="517">V228+X228+Y228+Z228+AB228</f>
        <v>0</v>
      </c>
      <c r="AE228" s="418">
        <f t="shared" ref="AE228:AE233" si="518">W228+AA228+AC228</f>
        <v>0</v>
      </c>
      <c r="AF228" s="418">
        <f t="shared" ref="AF228:AF233" si="519">SUM(AD228:AE228)</f>
        <v>0</v>
      </c>
      <c r="AG228" s="418">
        <v>0</v>
      </c>
      <c r="AH228" s="418">
        <v>0</v>
      </c>
      <c r="AI228" s="418">
        <v>0</v>
      </c>
      <c r="AJ228" s="418">
        <v>0</v>
      </c>
      <c r="AK228" s="418">
        <v>0</v>
      </c>
      <c r="AL228" s="418">
        <f t="shared" ref="AL228:AL233" si="520">AG228+AI228+AJ228</f>
        <v>0</v>
      </c>
      <c r="AM228" s="418">
        <f t="shared" ref="AM228:AM233" si="521">AH228+AK228</f>
        <v>0</v>
      </c>
      <c r="AN228" s="418">
        <f t="shared" ref="AN228:AN233" si="522">SUM(AL228:AM228)</f>
        <v>0</v>
      </c>
      <c r="AO228" s="418">
        <f t="shared" ref="AO228:AP233" si="523">AD228+AL228</f>
        <v>0</v>
      </c>
      <c r="AP228" s="418">
        <f t="shared" si="523"/>
        <v>0</v>
      </c>
      <c r="AQ228" s="418">
        <f t="shared" ref="AQ228:AQ233" si="524">SUM(AO228:AP228)</f>
        <v>0</v>
      </c>
      <c r="AR228" s="68">
        <f t="shared" ref="AR228:AR233" si="525">ROUND((AF228+AG228+AH228+AI228)*33.8%,0)</f>
        <v>0</v>
      </c>
      <c r="AS228" s="68">
        <f t="shared" ref="AS228:AS233" si="526">ROUND(AF228*1%,0)</f>
        <v>0</v>
      </c>
      <c r="AT228" s="418">
        <v>0</v>
      </c>
      <c r="AU228" s="415">
        <v>0</v>
      </c>
      <c r="AV228" s="418">
        <f t="shared" ref="AV228:AV233" si="527">AT228+AU228</f>
        <v>0</v>
      </c>
      <c r="AW228" s="418">
        <f t="shared" ref="AW228:AW233" si="528">AQ228+AR228+AS228+AV228</f>
        <v>0</v>
      </c>
      <c r="AX228" s="419">
        <v>0</v>
      </c>
      <c r="AY228" s="419">
        <v>0</v>
      </c>
      <c r="AZ228" s="419">
        <v>0</v>
      </c>
      <c r="BA228" s="419">
        <v>0</v>
      </c>
      <c r="BB228" s="416">
        <v>0</v>
      </c>
      <c r="BC228" s="939">
        <v>0</v>
      </c>
      <c r="BD228" s="419">
        <v>0</v>
      </c>
      <c r="BE228" s="419">
        <v>0</v>
      </c>
      <c r="BF228" s="419">
        <f t="shared" ref="BF228:BF233" si="529">AX228+AZ228+BA228+BC228+BD228</f>
        <v>0</v>
      </c>
      <c r="BG228" s="419">
        <f t="shared" ref="BG228:BG233" si="530">AY228+BB228+BE228</f>
        <v>0</v>
      </c>
      <c r="BH228" s="421">
        <f t="shared" ref="BH228:BH233" si="531">SUM(BF228:BG228)</f>
        <v>0</v>
      </c>
      <c r="BI228" s="780">
        <f t="shared" ref="BI228:BI233" si="532">I228+AW228</f>
        <v>3191985</v>
      </c>
      <c r="BJ228" s="418">
        <f t="shared" ref="BJ228:BJ233" si="533">J228+AF228</f>
        <v>2358434</v>
      </c>
      <c r="BK228" s="418">
        <f t="shared" ref="BK228:BL233" si="534">K228+AD228</f>
        <v>2225298</v>
      </c>
      <c r="BL228" s="418">
        <f t="shared" si="534"/>
        <v>133136</v>
      </c>
      <c r="BM228" s="418">
        <f t="shared" ref="BM228:BM233" si="535">M228+AN228</f>
        <v>0</v>
      </c>
      <c r="BN228" s="418">
        <f t="shared" ref="BN228:BO233" si="536">N228+AL228</f>
        <v>0</v>
      </c>
      <c r="BO228" s="418">
        <f t="shared" si="536"/>
        <v>0</v>
      </c>
      <c r="BP228" s="418">
        <f t="shared" ref="BP228:BQ233" si="537">P228+AR228</f>
        <v>797151</v>
      </c>
      <c r="BQ228" s="418">
        <f t="shared" si="537"/>
        <v>23584</v>
      </c>
      <c r="BR228" s="418">
        <f t="shared" ref="BR228:BR233" si="538">R228+AV228</f>
        <v>12816</v>
      </c>
      <c r="BS228" s="419">
        <f t="shared" ref="BS228:BS233" si="539">S228+BH228</f>
        <v>4.3236999999999997</v>
      </c>
      <c r="BT228" s="419">
        <f t="shared" ref="BT228:BU233" si="540">T228+BF228</f>
        <v>3.7902999999999998</v>
      </c>
      <c r="BU228" s="421">
        <f t="shared" si="540"/>
        <v>0.53339999999999999</v>
      </c>
      <c r="BV228" s="420"/>
      <c r="BW228" s="415"/>
      <c r="BX228" s="415"/>
      <c r="BY228" s="415"/>
      <c r="BZ228" s="415"/>
      <c r="CA228" s="510"/>
    </row>
    <row r="229" spans="1:79" s="221" customFormat="1" ht="12.75" customHeight="1" x14ac:dyDescent="0.2">
      <c r="A229" s="209">
        <v>42</v>
      </c>
      <c r="B229" s="210">
        <v>4459</v>
      </c>
      <c r="C229" s="210">
        <v>650037171</v>
      </c>
      <c r="D229" s="210">
        <v>72742356</v>
      </c>
      <c r="E229" s="208" t="s">
        <v>224</v>
      </c>
      <c r="F229" s="210">
        <v>3113</v>
      </c>
      <c r="G229" s="165" t="s">
        <v>293</v>
      </c>
      <c r="H229" s="626" t="s">
        <v>271</v>
      </c>
      <c r="I229" s="511">
        <v>13163325</v>
      </c>
      <c r="J229" s="415">
        <v>9619673</v>
      </c>
      <c r="K229" s="415">
        <v>8567999</v>
      </c>
      <c r="L229" s="415">
        <v>1051674</v>
      </c>
      <c r="M229" s="415">
        <v>0</v>
      </c>
      <c r="N229" s="415">
        <v>0</v>
      </c>
      <c r="O229" s="415">
        <v>0</v>
      </c>
      <c r="P229" s="68">
        <v>3251449</v>
      </c>
      <c r="Q229" s="68">
        <v>96197</v>
      </c>
      <c r="R229" s="415">
        <v>196006</v>
      </c>
      <c r="S229" s="416">
        <v>16.230399999999999</v>
      </c>
      <c r="T229" s="417">
        <v>13.124000000000001</v>
      </c>
      <c r="U229" s="423">
        <v>3.1063999999999998</v>
      </c>
      <c r="V229" s="424">
        <f t="shared" si="516"/>
        <v>0</v>
      </c>
      <c r="W229" s="418">
        <f t="shared" si="516"/>
        <v>0</v>
      </c>
      <c r="X229" s="418">
        <v>0</v>
      </c>
      <c r="Y229" s="418">
        <v>0</v>
      </c>
      <c r="Z229" s="418">
        <v>0</v>
      </c>
      <c r="AA229" s="415">
        <v>0</v>
      </c>
      <c r="AB229" s="418">
        <v>0</v>
      </c>
      <c r="AC229" s="418">
        <v>0</v>
      </c>
      <c r="AD229" s="418">
        <f t="shared" si="517"/>
        <v>0</v>
      </c>
      <c r="AE229" s="418">
        <f t="shared" si="518"/>
        <v>0</v>
      </c>
      <c r="AF229" s="418">
        <f t="shared" si="519"/>
        <v>0</v>
      </c>
      <c r="AG229" s="418">
        <v>0</v>
      </c>
      <c r="AH229" s="418">
        <v>0</v>
      </c>
      <c r="AI229" s="418">
        <v>0</v>
      </c>
      <c r="AJ229" s="418">
        <v>0</v>
      </c>
      <c r="AK229" s="418">
        <v>0</v>
      </c>
      <c r="AL229" s="418">
        <f t="shared" si="520"/>
        <v>0</v>
      </c>
      <c r="AM229" s="418">
        <f t="shared" si="521"/>
        <v>0</v>
      </c>
      <c r="AN229" s="418">
        <f t="shared" si="522"/>
        <v>0</v>
      </c>
      <c r="AO229" s="418">
        <f t="shared" si="523"/>
        <v>0</v>
      </c>
      <c r="AP229" s="418">
        <f t="shared" si="523"/>
        <v>0</v>
      </c>
      <c r="AQ229" s="418">
        <f t="shared" si="524"/>
        <v>0</v>
      </c>
      <c r="AR229" s="68">
        <f t="shared" si="525"/>
        <v>0</v>
      </c>
      <c r="AS229" s="68">
        <f t="shared" si="526"/>
        <v>0</v>
      </c>
      <c r="AT229" s="418">
        <v>0</v>
      </c>
      <c r="AU229" s="415">
        <v>0</v>
      </c>
      <c r="AV229" s="418">
        <f t="shared" si="527"/>
        <v>0</v>
      </c>
      <c r="AW229" s="418">
        <f t="shared" si="528"/>
        <v>0</v>
      </c>
      <c r="AX229" s="419">
        <v>0</v>
      </c>
      <c r="AY229" s="419">
        <v>0</v>
      </c>
      <c r="AZ229" s="419">
        <v>0</v>
      </c>
      <c r="BA229" s="419">
        <v>0</v>
      </c>
      <c r="BB229" s="416">
        <v>0</v>
      </c>
      <c r="BC229" s="939">
        <v>0</v>
      </c>
      <c r="BD229" s="419">
        <v>0</v>
      </c>
      <c r="BE229" s="419">
        <v>0</v>
      </c>
      <c r="BF229" s="419">
        <f t="shared" si="529"/>
        <v>0</v>
      </c>
      <c r="BG229" s="419">
        <f t="shared" si="530"/>
        <v>0</v>
      </c>
      <c r="BH229" s="421">
        <f t="shared" si="531"/>
        <v>0</v>
      </c>
      <c r="BI229" s="780">
        <f t="shared" si="532"/>
        <v>13163325</v>
      </c>
      <c r="BJ229" s="418">
        <f t="shared" si="533"/>
        <v>9619673</v>
      </c>
      <c r="BK229" s="418">
        <f t="shared" si="534"/>
        <v>8567999</v>
      </c>
      <c r="BL229" s="418">
        <f t="shared" si="534"/>
        <v>1051674</v>
      </c>
      <c r="BM229" s="418">
        <f t="shared" si="535"/>
        <v>0</v>
      </c>
      <c r="BN229" s="418">
        <f t="shared" si="536"/>
        <v>0</v>
      </c>
      <c r="BO229" s="418">
        <f t="shared" si="536"/>
        <v>0</v>
      </c>
      <c r="BP229" s="418">
        <f t="shared" si="537"/>
        <v>3251449</v>
      </c>
      <c r="BQ229" s="418">
        <f t="shared" si="537"/>
        <v>96197</v>
      </c>
      <c r="BR229" s="418">
        <f t="shared" si="538"/>
        <v>196006</v>
      </c>
      <c r="BS229" s="419">
        <f t="shared" si="539"/>
        <v>16.230399999999999</v>
      </c>
      <c r="BT229" s="419">
        <f t="shared" si="540"/>
        <v>13.124000000000001</v>
      </c>
      <c r="BU229" s="421">
        <f t="shared" si="540"/>
        <v>3.1063999999999998</v>
      </c>
      <c r="BV229" s="420"/>
      <c r="BW229" s="415"/>
      <c r="BX229" s="415"/>
      <c r="BY229" s="415"/>
      <c r="BZ229" s="415"/>
      <c r="CA229" s="510"/>
    </row>
    <row r="230" spans="1:79" s="221" customFormat="1" ht="12.75" customHeight="1" x14ac:dyDescent="0.2">
      <c r="A230" s="209">
        <v>42</v>
      </c>
      <c r="B230" s="210">
        <v>4459</v>
      </c>
      <c r="C230" s="210">
        <v>650037171</v>
      </c>
      <c r="D230" s="210">
        <v>72742356</v>
      </c>
      <c r="E230" s="208" t="s">
        <v>224</v>
      </c>
      <c r="F230" s="210">
        <v>3113</v>
      </c>
      <c r="G230" s="165" t="s">
        <v>291</v>
      </c>
      <c r="H230" s="626" t="s">
        <v>272</v>
      </c>
      <c r="I230" s="511">
        <v>2749123</v>
      </c>
      <c r="J230" s="415">
        <v>2039409</v>
      </c>
      <c r="K230" s="415">
        <v>2039409</v>
      </c>
      <c r="L230" s="415">
        <v>0</v>
      </c>
      <c r="M230" s="415">
        <v>0</v>
      </c>
      <c r="N230" s="415">
        <v>0</v>
      </c>
      <c r="O230" s="415">
        <v>0</v>
      </c>
      <c r="P230" s="68">
        <v>689320</v>
      </c>
      <c r="Q230" s="68">
        <v>20394</v>
      </c>
      <c r="R230" s="415">
        <v>0</v>
      </c>
      <c r="S230" s="416">
        <v>5.5</v>
      </c>
      <c r="T230" s="417">
        <v>5.5</v>
      </c>
      <c r="U230" s="423">
        <v>0</v>
      </c>
      <c r="V230" s="424">
        <f t="shared" si="516"/>
        <v>0</v>
      </c>
      <c r="W230" s="418">
        <f t="shared" si="516"/>
        <v>0</v>
      </c>
      <c r="X230" s="418">
        <v>0</v>
      </c>
      <c r="Y230" s="418">
        <v>0</v>
      </c>
      <c r="Z230" s="418">
        <v>0</v>
      </c>
      <c r="AA230" s="415">
        <v>0</v>
      </c>
      <c r="AB230" s="418">
        <v>0</v>
      </c>
      <c r="AC230" s="418">
        <v>0</v>
      </c>
      <c r="AD230" s="418">
        <f t="shared" si="517"/>
        <v>0</v>
      </c>
      <c r="AE230" s="418">
        <f t="shared" si="518"/>
        <v>0</v>
      </c>
      <c r="AF230" s="418">
        <f t="shared" si="519"/>
        <v>0</v>
      </c>
      <c r="AG230" s="418">
        <v>0</v>
      </c>
      <c r="AH230" s="418">
        <v>0</v>
      </c>
      <c r="AI230" s="418">
        <v>0</v>
      </c>
      <c r="AJ230" s="418">
        <v>0</v>
      </c>
      <c r="AK230" s="418">
        <v>0</v>
      </c>
      <c r="AL230" s="418">
        <f t="shared" si="520"/>
        <v>0</v>
      </c>
      <c r="AM230" s="418">
        <f t="shared" si="521"/>
        <v>0</v>
      </c>
      <c r="AN230" s="418">
        <f t="shared" si="522"/>
        <v>0</v>
      </c>
      <c r="AO230" s="418">
        <f t="shared" si="523"/>
        <v>0</v>
      </c>
      <c r="AP230" s="418">
        <f t="shared" si="523"/>
        <v>0</v>
      </c>
      <c r="AQ230" s="418">
        <f t="shared" si="524"/>
        <v>0</v>
      </c>
      <c r="AR230" s="68">
        <f t="shared" si="525"/>
        <v>0</v>
      </c>
      <c r="AS230" s="68">
        <f t="shared" si="526"/>
        <v>0</v>
      </c>
      <c r="AT230" s="418">
        <v>0</v>
      </c>
      <c r="AU230" s="415">
        <v>0</v>
      </c>
      <c r="AV230" s="418">
        <f t="shared" si="527"/>
        <v>0</v>
      </c>
      <c r="AW230" s="418">
        <f t="shared" si="528"/>
        <v>0</v>
      </c>
      <c r="AX230" s="419">
        <v>0</v>
      </c>
      <c r="AY230" s="419">
        <v>0</v>
      </c>
      <c r="AZ230" s="419">
        <v>0</v>
      </c>
      <c r="BA230" s="419">
        <v>0</v>
      </c>
      <c r="BB230" s="416">
        <v>0</v>
      </c>
      <c r="BC230" s="939">
        <v>0</v>
      </c>
      <c r="BD230" s="419">
        <v>0</v>
      </c>
      <c r="BE230" s="419">
        <v>0</v>
      </c>
      <c r="BF230" s="419">
        <f t="shared" si="529"/>
        <v>0</v>
      </c>
      <c r="BG230" s="419">
        <f t="shared" si="530"/>
        <v>0</v>
      </c>
      <c r="BH230" s="421">
        <f t="shared" si="531"/>
        <v>0</v>
      </c>
      <c r="BI230" s="780">
        <f t="shared" si="532"/>
        <v>2749123</v>
      </c>
      <c r="BJ230" s="418">
        <f t="shared" si="533"/>
        <v>2039409</v>
      </c>
      <c r="BK230" s="418">
        <f t="shared" si="534"/>
        <v>2039409</v>
      </c>
      <c r="BL230" s="418">
        <f t="shared" si="534"/>
        <v>0</v>
      </c>
      <c r="BM230" s="418">
        <f t="shared" si="535"/>
        <v>0</v>
      </c>
      <c r="BN230" s="418">
        <f t="shared" si="536"/>
        <v>0</v>
      </c>
      <c r="BO230" s="418">
        <f t="shared" si="536"/>
        <v>0</v>
      </c>
      <c r="BP230" s="418">
        <f t="shared" si="537"/>
        <v>689320</v>
      </c>
      <c r="BQ230" s="418">
        <f t="shared" si="537"/>
        <v>20394</v>
      </c>
      <c r="BR230" s="418">
        <f t="shared" si="538"/>
        <v>0</v>
      </c>
      <c r="BS230" s="419">
        <f t="shared" si="539"/>
        <v>5.5</v>
      </c>
      <c r="BT230" s="419">
        <f t="shared" si="540"/>
        <v>5.5</v>
      </c>
      <c r="BU230" s="421">
        <f t="shared" si="540"/>
        <v>0</v>
      </c>
      <c r="BV230" s="420"/>
      <c r="BW230" s="415"/>
      <c r="BX230" s="415"/>
      <c r="BY230" s="415"/>
      <c r="BZ230" s="415"/>
      <c r="CA230" s="510"/>
    </row>
    <row r="231" spans="1:79" s="221" customFormat="1" ht="12.75" customHeight="1" x14ac:dyDescent="0.2">
      <c r="A231" s="209">
        <v>42</v>
      </c>
      <c r="B231" s="210">
        <v>4459</v>
      </c>
      <c r="C231" s="210">
        <v>650037171</v>
      </c>
      <c r="D231" s="210">
        <v>72742356</v>
      </c>
      <c r="E231" s="204" t="s">
        <v>224</v>
      </c>
      <c r="F231" s="210">
        <v>3141</v>
      </c>
      <c r="G231" s="165" t="s">
        <v>294</v>
      </c>
      <c r="H231" s="626" t="s">
        <v>272</v>
      </c>
      <c r="I231" s="511">
        <v>1135326</v>
      </c>
      <c r="J231" s="415">
        <v>838135</v>
      </c>
      <c r="K231" s="415">
        <v>0</v>
      </c>
      <c r="L231" s="415">
        <v>838135</v>
      </c>
      <c r="M231" s="415">
        <v>0</v>
      </c>
      <c r="N231" s="415">
        <v>0</v>
      </c>
      <c r="O231" s="415">
        <v>0</v>
      </c>
      <c r="P231" s="68">
        <v>283290</v>
      </c>
      <c r="Q231" s="68">
        <v>8381</v>
      </c>
      <c r="R231" s="415">
        <v>5520</v>
      </c>
      <c r="S231" s="416">
        <v>2.5099999999999998</v>
      </c>
      <c r="T231" s="417">
        <v>0</v>
      </c>
      <c r="U231" s="423">
        <v>2.5099999999999998</v>
      </c>
      <c r="V231" s="424">
        <f t="shared" si="516"/>
        <v>0</v>
      </c>
      <c r="W231" s="418">
        <f t="shared" si="516"/>
        <v>0</v>
      </c>
      <c r="X231" s="418">
        <v>0</v>
      </c>
      <c r="Y231" s="418">
        <v>0</v>
      </c>
      <c r="Z231" s="418">
        <v>0</v>
      </c>
      <c r="AA231" s="415">
        <v>415336</v>
      </c>
      <c r="AB231" s="418">
        <v>0</v>
      </c>
      <c r="AC231" s="418">
        <v>0</v>
      </c>
      <c r="AD231" s="418">
        <f t="shared" si="517"/>
        <v>0</v>
      </c>
      <c r="AE231" s="418">
        <f t="shared" si="518"/>
        <v>415336</v>
      </c>
      <c r="AF231" s="418">
        <f t="shared" si="519"/>
        <v>415336</v>
      </c>
      <c r="AG231" s="418">
        <v>0</v>
      </c>
      <c r="AH231" s="418">
        <v>0</v>
      </c>
      <c r="AI231" s="418">
        <v>0</v>
      </c>
      <c r="AJ231" s="418">
        <v>0</v>
      </c>
      <c r="AK231" s="418">
        <v>0</v>
      </c>
      <c r="AL231" s="418">
        <f t="shared" si="520"/>
        <v>0</v>
      </c>
      <c r="AM231" s="418">
        <f t="shared" si="521"/>
        <v>0</v>
      </c>
      <c r="AN231" s="418">
        <f t="shared" si="522"/>
        <v>0</v>
      </c>
      <c r="AO231" s="418">
        <f t="shared" si="523"/>
        <v>0</v>
      </c>
      <c r="AP231" s="418">
        <f t="shared" si="523"/>
        <v>415336</v>
      </c>
      <c r="AQ231" s="418">
        <f t="shared" si="524"/>
        <v>415336</v>
      </c>
      <c r="AR231" s="68">
        <f t="shared" si="525"/>
        <v>140384</v>
      </c>
      <c r="AS231" s="68">
        <f t="shared" si="526"/>
        <v>4153</v>
      </c>
      <c r="AT231" s="418">
        <v>0</v>
      </c>
      <c r="AU231" s="415">
        <v>2664</v>
      </c>
      <c r="AV231" s="418">
        <f t="shared" si="527"/>
        <v>2664</v>
      </c>
      <c r="AW231" s="418">
        <f t="shared" si="528"/>
        <v>562537</v>
      </c>
      <c r="AX231" s="419">
        <v>0</v>
      </c>
      <c r="AY231" s="419">
        <v>0</v>
      </c>
      <c r="AZ231" s="419">
        <v>0</v>
      </c>
      <c r="BA231" s="419">
        <v>0</v>
      </c>
      <c r="BB231" s="416">
        <v>1.26</v>
      </c>
      <c r="BC231" s="939">
        <v>0</v>
      </c>
      <c r="BD231" s="419">
        <v>0</v>
      </c>
      <c r="BE231" s="419">
        <v>0</v>
      </c>
      <c r="BF231" s="419">
        <f t="shared" si="529"/>
        <v>0</v>
      </c>
      <c r="BG231" s="419">
        <f t="shared" si="530"/>
        <v>1.26</v>
      </c>
      <c r="BH231" s="421">
        <f t="shared" si="531"/>
        <v>1.26</v>
      </c>
      <c r="BI231" s="780">
        <f t="shared" si="532"/>
        <v>1697863</v>
      </c>
      <c r="BJ231" s="418">
        <f t="shared" si="533"/>
        <v>1253471</v>
      </c>
      <c r="BK231" s="418">
        <f t="shared" si="534"/>
        <v>0</v>
      </c>
      <c r="BL231" s="418">
        <f t="shared" si="534"/>
        <v>1253471</v>
      </c>
      <c r="BM231" s="418">
        <f t="shared" si="535"/>
        <v>0</v>
      </c>
      <c r="BN231" s="418">
        <f t="shared" si="536"/>
        <v>0</v>
      </c>
      <c r="BO231" s="418">
        <f t="shared" si="536"/>
        <v>0</v>
      </c>
      <c r="BP231" s="418">
        <f t="shared" si="537"/>
        <v>423674</v>
      </c>
      <c r="BQ231" s="418">
        <f t="shared" si="537"/>
        <v>12534</v>
      </c>
      <c r="BR231" s="418">
        <f t="shared" si="538"/>
        <v>8184</v>
      </c>
      <c r="BS231" s="419">
        <f t="shared" si="539"/>
        <v>3.7699999999999996</v>
      </c>
      <c r="BT231" s="419">
        <f t="shared" si="540"/>
        <v>0</v>
      </c>
      <c r="BU231" s="421">
        <f t="shared" si="540"/>
        <v>3.7699999999999996</v>
      </c>
      <c r="BV231" s="420"/>
      <c r="BW231" s="415"/>
      <c r="BX231" s="415"/>
      <c r="BY231" s="415"/>
      <c r="BZ231" s="415"/>
      <c r="CA231" s="510"/>
    </row>
    <row r="232" spans="1:79" s="221" customFormat="1" ht="12.75" customHeight="1" x14ac:dyDescent="0.2">
      <c r="A232" s="209">
        <v>42</v>
      </c>
      <c r="B232" s="210">
        <v>4459</v>
      </c>
      <c r="C232" s="210">
        <v>650037171</v>
      </c>
      <c r="D232" s="210">
        <v>72742356</v>
      </c>
      <c r="E232" s="208" t="s">
        <v>224</v>
      </c>
      <c r="F232" s="210">
        <v>3143</v>
      </c>
      <c r="G232" s="165" t="s">
        <v>595</v>
      </c>
      <c r="H232" s="614" t="s">
        <v>271</v>
      </c>
      <c r="I232" s="511">
        <v>1726288</v>
      </c>
      <c r="J232" s="415">
        <v>1280629</v>
      </c>
      <c r="K232" s="415">
        <v>1280629</v>
      </c>
      <c r="L232" s="415">
        <v>0</v>
      </c>
      <c r="M232" s="415">
        <v>0</v>
      </c>
      <c r="N232" s="415">
        <v>0</v>
      </c>
      <c r="O232" s="415">
        <v>0</v>
      </c>
      <c r="P232" s="68">
        <v>432853</v>
      </c>
      <c r="Q232" s="68">
        <v>12806</v>
      </c>
      <c r="R232" s="415">
        <v>0</v>
      </c>
      <c r="S232" s="416">
        <v>2.8572000000000002</v>
      </c>
      <c r="T232" s="417">
        <v>2.8572000000000002</v>
      </c>
      <c r="U232" s="423">
        <v>0</v>
      </c>
      <c r="V232" s="424">
        <f t="shared" si="516"/>
        <v>0</v>
      </c>
      <c r="W232" s="418">
        <f t="shared" si="516"/>
        <v>0</v>
      </c>
      <c r="X232" s="418">
        <v>0</v>
      </c>
      <c r="Y232" s="418">
        <v>0</v>
      </c>
      <c r="Z232" s="418">
        <v>0</v>
      </c>
      <c r="AA232" s="415">
        <v>0</v>
      </c>
      <c r="AB232" s="418">
        <v>0</v>
      </c>
      <c r="AC232" s="418">
        <v>0</v>
      </c>
      <c r="AD232" s="418">
        <f t="shared" si="517"/>
        <v>0</v>
      </c>
      <c r="AE232" s="418">
        <f t="shared" si="518"/>
        <v>0</v>
      </c>
      <c r="AF232" s="418">
        <f t="shared" si="519"/>
        <v>0</v>
      </c>
      <c r="AG232" s="418">
        <v>0</v>
      </c>
      <c r="AH232" s="418">
        <v>0</v>
      </c>
      <c r="AI232" s="418">
        <v>0</v>
      </c>
      <c r="AJ232" s="418">
        <v>0</v>
      </c>
      <c r="AK232" s="418">
        <v>0</v>
      </c>
      <c r="AL232" s="418">
        <f t="shared" si="520"/>
        <v>0</v>
      </c>
      <c r="AM232" s="418">
        <f t="shared" si="521"/>
        <v>0</v>
      </c>
      <c r="AN232" s="418">
        <f t="shared" si="522"/>
        <v>0</v>
      </c>
      <c r="AO232" s="418">
        <f t="shared" si="523"/>
        <v>0</v>
      </c>
      <c r="AP232" s="418">
        <f t="shared" si="523"/>
        <v>0</v>
      </c>
      <c r="AQ232" s="418">
        <f t="shared" si="524"/>
        <v>0</v>
      </c>
      <c r="AR232" s="68">
        <f t="shared" si="525"/>
        <v>0</v>
      </c>
      <c r="AS232" s="68">
        <f t="shared" si="526"/>
        <v>0</v>
      </c>
      <c r="AT232" s="418">
        <v>0</v>
      </c>
      <c r="AU232" s="415">
        <v>0</v>
      </c>
      <c r="AV232" s="418">
        <f t="shared" si="527"/>
        <v>0</v>
      </c>
      <c r="AW232" s="418">
        <f t="shared" si="528"/>
        <v>0</v>
      </c>
      <c r="AX232" s="419">
        <v>0</v>
      </c>
      <c r="AY232" s="419">
        <v>0</v>
      </c>
      <c r="AZ232" s="419">
        <v>0</v>
      </c>
      <c r="BA232" s="419">
        <v>0</v>
      </c>
      <c r="BB232" s="416">
        <v>0</v>
      </c>
      <c r="BC232" s="939">
        <v>0</v>
      </c>
      <c r="BD232" s="419">
        <v>0</v>
      </c>
      <c r="BE232" s="419">
        <v>0</v>
      </c>
      <c r="BF232" s="419">
        <f t="shared" si="529"/>
        <v>0</v>
      </c>
      <c r="BG232" s="419">
        <f t="shared" si="530"/>
        <v>0</v>
      </c>
      <c r="BH232" s="421">
        <f t="shared" si="531"/>
        <v>0</v>
      </c>
      <c r="BI232" s="780">
        <f t="shared" si="532"/>
        <v>1726288</v>
      </c>
      <c r="BJ232" s="418">
        <f t="shared" si="533"/>
        <v>1280629</v>
      </c>
      <c r="BK232" s="418">
        <f t="shared" si="534"/>
        <v>1280629</v>
      </c>
      <c r="BL232" s="418">
        <f t="shared" si="534"/>
        <v>0</v>
      </c>
      <c r="BM232" s="418">
        <f t="shared" si="535"/>
        <v>0</v>
      </c>
      <c r="BN232" s="418">
        <f t="shared" si="536"/>
        <v>0</v>
      </c>
      <c r="BO232" s="418">
        <f t="shared" si="536"/>
        <v>0</v>
      </c>
      <c r="BP232" s="418">
        <f t="shared" si="537"/>
        <v>432853</v>
      </c>
      <c r="BQ232" s="418">
        <f t="shared" si="537"/>
        <v>12806</v>
      </c>
      <c r="BR232" s="418">
        <f t="shared" si="538"/>
        <v>0</v>
      </c>
      <c r="BS232" s="419">
        <f t="shared" si="539"/>
        <v>2.8572000000000002</v>
      </c>
      <c r="BT232" s="419">
        <f t="shared" si="540"/>
        <v>2.8572000000000002</v>
      </c>
      <c r="BU232" s="421">
        <f t="shared" si="540"/>
        <v>0</v>
      </c>
      <c r="BV232" s="420"/>
      <c r="BW232" s="415"/>
      <c r="BX232" s="415"/>
      <c r="BY232" s="415"/>
      <c r="BZ232" s="415"/>
      <c r="CA232" s="510"/>
    </row>
    <row r="233" spans="1:79" s="221" customFormat="1" ht="12.75" customHeight="1" x14ac:dyDescent="0.2">
      <c r="A233" s="209">
        <v>42</v>
      </c>
      <c r="B233" s="210">
        <v>4459</v>
      </c>
      <c r="C233" s="210">
        <v>650037171</v>
      </c>
      <c r="D233" s="210">
        <v>72742356</v>
      </c>
      <c r="E233" s="208" t="s">
        <v>224</v>
      </c>
      <c r="F233" s="210">
        <v>3143</v>
      </c>
      <c r="G233" s="165" t="s">
        <v>596</v>
      </c>
      <c r="H233" s="614" t="s">
        <v>272</v>
      </c>
      <c r="I233" s="511">
        <v>35851</v>
      </c>
      <c r="J233" s="415">
        <v>25661</v>
      </c>
      <c r="K233" s="415">
        <v>0</v>
      </c>
      <c r="L233" s="415">
        <v>25661</v>
      </c>
      <c r="M233" s="415">
        <v>0</v>
      </c>
      <c r="N233" s="415">
        <v>0</v>
      </c>
      <c r="O233" s="415">
        <v>0</v>
      </c>
      <c r="P233" s="68">
        <v>8673</v>
      </c>
      <c r="Q233" s="68">
        <v>257</v>
      </c>
      <c r="R233" s="415">
        <v>1260</v>
      </c>
      <c r="S233" s="416">
        <v>0.1</v>
      </c>
      <c r="T233" s="417">
        <v>0</v>
      </c>
      <c r="U233" s="423">
        <v>0.1</v>
      </c>
      <c r="V233" s="424">
        <f t="shared" si="516"/>
        <v>0</v>
      </c>
      <c r="W233" s="418">
        <f t="shared" si="516"/>
        <v>0</v>
      </c>
      <c r="X233" s="418">
        <v>0</v>
      </c>
      <c r="Y233" s="418">
        <v>0</v>
      </c>
      <c r="Z233" s="418">
        <v>0</v>
      </c>
      <c r="AA233" s="605">
        <v>12839</v>
      </c>
      <c r="AB233" s="418">
        <v>0</v>
      </c>
      <c r="AC233" s="418">
        <v>0</v>
      </c>
      <c r="AD233" s="418">
        <f t="shared" si="517"/>
        <v>0</v>
      </c>
      <c r="AE233" s="418">
        <f t="shared" si="518"/>
        <v>12839</v>
      </c>
      <c r="AF233" s="418">
        <f t="shared" si="519"/>
        <v>12839</v>
      </c>
      <c r="AG233" s="418">
        <v>0</v>
      </c>
      <c r="AH233" s="418">
        <v>0</v>
      </c>
      <c r="AI233" s="418">
        <v>0</v>
      </c>
      <c r="AJ233" s="418">
        <v>0</v>
      </c>
      <c r="AK233" s="418">
        <v>0</v>
      </c>
      <c r="AL233" s="418">
        <f t="shared" si="520"/>
        <v>0</v>
      </c>
      <c r="AM233" s="418">
        <f t="shared" si="521"/>
        <v>0</v>
      </c>
      <c r="AN233" s="418">
        <f t="shared" si="522"/>
        <v>0</v>
      </c>
      <c r="AO233" s="418">
        <f t="shared" si="523"/>
        <v>0</v>
      </c>
      <c r="AP233" s="418">
        <f t="shared" si="523"/>
        <v>12839</v>
      </c>
      <c r="AQ233" s="418">
        <f t="shared" si="524"/>
        <v>12839</v>
      </c>
      <c r="AR233" s="68">
        <f t="shared" si="525"/>
        <v>4340</v>
      </c>
      <c r="AS233" s="68">
        <f t="shared" si="526"/>
        <v>128</v>
      </c>
      <c r="AT233" s="418">
        <v>0</v>
      </c>
      <c r="AU233" s="606">
        <v>630</v>
      </c>
      <c r="AV233" s="418">
        <f t="shared" si="527"/>
        <v>630</v>
      </c>
      <c r="AW233" s="418">
        <f t="shared" si="528"/>
        <v>17937</v>
      </c>
      <c r="AX233" s="419">
        <v>0</v>
      </c>
      <c r="AY233" s="419">
        <v>0</v>
      </c>
      <c r="AZ233" s="419">
        <v>0</v>
      </c>
      <c r="BA233" s="419">
        <v>0</v>
      </c>
      <c r="BB233" s="607">
        <v>0.05</v>
      </c>
      <c r="BC233" s="939">
        <v>0</v>
      </c>
      <c r="BD233" s="419">
        <v>0</v>
      </c>
      <c r="BE233" s="419">
        <v>0</v>
      </c>
      <c r="BF233" s="419">
        <f t="shared" si="529"/>
        <v>0</v>
      </c>
      <c r="BG233" s="419">
        <f t="shared" si="530"/>
        <v>0.05</v>
      </c>
      <c r="BH233" s="421">
        <f t="shared" si="531"/>
        <v>0.05</v>
      </c>
      <c r="BI233" s="780">
        <f t="shared" si="532"/>
        <v>53788</v>
      </c>
      <c r="BJ233" s="418">
        <f t="shared" si="533"/>
        <v>38500</v>
      </c>
      <c r="BK233" s="418">
        <f t="shared" si="534"/>
        <v>0</v>
      </c>
      <c r="BL233" s="418">
        <f t="shared" si="534"/>
        <v>38500</v>
      </c>
      <c r="BM233" s="418">
        <f t="shared" si="535"/>
        <v>0</v>
      </c>
      <c r="BN233" s="418">
        <f t="shared" si="536"/>
        <v>0</v>
      </c>
      <c r="BO233" s="418">
        <f t="shared" si="536"/>
        <v>0</v>
      </c>
      <c r="BP233" s="418">
        <f t="shared" si="537"/>
        <v>13013</v>
      </c>
      <c r="BQ233" s="418">
        <f t="shared" si="537"/>
        <v>385</v>
      </c>
      <c r="BR233" s="418">
        <f t="shared" si="538"/>
        <v>1890</v>
      </c>
      <c r="BS233" s="419">
        <f t="shared" si="539"/>
        <v>0.15000000000000002</v>
      </c>
      <c r="BT233" s="419">
        <f t="shared" si="540"/>
        <v>0</v>
      </c>
      <c r="BU233" s="421">
        <f t="shared" si="540"/>
        <v>0.15000000000000002</v>
      </c>
      <c r="BV233" s="420"/>
      <c r="BW233" s="415"/>
      <c r="BX233" s="415"/>
      <c r="BY233" s="415"/>
      <c r="BZ233" s="415"/>
      <c r="CA233" s="510"/>
    </row>
    <row r="234" spans="1:79" s="221" customFormat="1" ht="12.75" customHeight="1" x14ac:dyDescent="0.2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13"/>
      <c r="I234" s="452">
        <v>22001898</v>
      </c>
      <c r="J234" s="445">
        <v>16161941</v>
      </c>
      <c r="K234" s="445">
        <v>14113335</v>
      </c>
      <c r="L234" s="445">
        <v>2048606</v>
      </c>
      <c r="M234" s="445">
        <v>0</v>
      </c>
      <c r="N234" s="445">
        <v>0</v>
      </c>
      <c r="O234" s="445">
        <v>0</v>
      </c>
      <c r="P234" s="445">
        <v>5462736</v>
      </c>
      <c r="Q234" s="445">
        <v>161619</v>
      </c>
      <c r="R234" s="445">
        <v>215602</v>
      </c>
      <c r="S234" s="446">
        <v>31.521299999999997</v>
      </c>
      <c r="T234" s="446">
        <v>25.2715</v>
      </c>
      <c r="U234" s="450">
        <v>6.2497999999999987</v>
      </c>
      <c r="V234" s="448">
        <f t="shared" ref="V234:CA234" si="541">SUM(V228:V233)</f>
        <v>0</v>
      </c>
      <c r="W234" s="445">
        <f t="shared" si="541"/>
        <v>0</v>
      </c>
      <c r="X234" s="445">
        <f t="shared" si="541"/>
        <v>0</v>
      </c>
      <c r="Y234" s="445">
        <f t="shared" si="541"/>
        <v>0</v>
      </c>
      <c r="Z234" s="445">
        <f t="shared" si="541"/>
        <v>0</v>
      </c>
      <c r="AA234" s="445">
        <f t="shared" si="541"/>
        <v>428175</v>
      </c>
      <c r="AB234" s="445">
        <f t="shared" si="541"/>
        <v>0</v>
      </c>
      <c r="AC234" s="445">
        <f t="shared" si="541"/>
        <v>0</v>
      </c>
      <c r="AD234" s="445">
        <f t="shared" si="541"/>
        <v>0</v>
      </c>
      <c r="AE234" s="445">
        <f t="shared" si="541"/>
        <v>428175</v>
      </c>
      <c r="AF234" s="445">
        <f t="shared" si="541"/>
        <v>428175</v>
      </c>
      <c r="AG234" s="445">
        <f t="shared" si="541"/>
        <v>0</v>
      </c>
      <c r="AH234" s="445">
        <f t="shared" si="541"/>
        <v>0</v>
      </c>
      <c r="AI234" s="445">
        <f t="shared" si="541"/>
        <v>0</v>
      </c>
      <c r="AJ234" s="445">
        <f t="shared" si="541"/>
        <v>0</v>
      </c>
      <c r="AK234" s="445">
        <f t="shared" si="541"/>
        <v>0</v>
      </c>
      <c r="AL234" s="445">
        <f t="shared" si="541"/>
        <v>0</v>
      </c>
      <c r="AM234" s="445">
        <f t="shared" si="541"/>
        <v>0</v>
      </c>
      <c r="AN234" s="445">
        <f t="shared" si="541"/>
        <v>0</v>
      </c>
      <c r="AO234" s="445">
        <f t="shared" si="541"/>
        <v>0</v>
      </c>
      <c r="AP234" s="445">
        <f t="shared" si="541"/>
        <v>428175</v>
      </c>
      <c r="AQ234" s="445">
        <f t="shared" si="541"/>
        <v>428175</v>
      </c>
      <c r="AR234" s="445">
        <f t="shared" si="541"/>
        <v>144724</v>
      </c>
      <c r="AS234" s="445">
        <f t="shared" si="541"/>
        <v>4281</v>
      </c>
      <c r="AT234" s="445">
        <f t="shared" si="541"/>
        <v>0</v>
      </c>
      <c r="AU234" s="445">
        <f t="shared" si="541"/>
        <v>3294</v>
      </c>
      <c r="AV234" s="445">
        <f t="shared" si="541"/>
        <v>3294</v>
      </c>
      <c r="AW234" s="445">
        <f t="shared" si="541"/>
        <v>580474</v>
      </c>
      <c r="AX234" s="446">
        <f t="shared" si="541"/>
        <v>0</v>
      </c>
      <c r="AY234" s="446">
        <f t="shared" si="541"/>
        <v>0</v>
      </c>
      <c r="AZ234" s="446">
        <f t="shared" si="541"/>
        <v>0</v>
      </c>
      <c r="BA234" s="446">
        <f t="shared" si="541"/>
        <v>0</v>
      </c>
      <c r="BB234" s="446">
        <f t="shared" si="541"/>
        <v>1.31</v>
      </c>
      <c r="BC234" s="948">
        <f t="shared" si="541"/>
        <v>0</v>
      </c>
      <c r="BD234" s="446">
        <f t="shared" si="541"/>
        <v>0</v>
      </c>
      <c r="BE234" s="446">
        <f t="shared" si="541"/>
        <v>0</v>
      </c>
      <c r="BF234" s="446">
        <f t="shared" si="541"/>
        <v>0</v>
      </c>
      <c r="BG234" s="446">
        <f t="shared" si="541"/>
        <v>1.31</v>
      </c>
      <c r="BH234" s="39">
        <f t="shared" si="541"/>
        <v>1.31</v>
      </c>
      <c r="BI234" s="452">
        <f t="shared" si="541"/>
        <v>22582372</v>
      </c>
      <c r="BJ234" s="445">
        <f t="shared" si="541"/>
        <v>16590116</v>
      </c>
      <c r="BK234" s="445">
        <f t="shared" si="541"/>
        <v>14113335</v>
      </c>
      <c r="BL234" s="445">
        <f t="shared" si="541"/>
        <v>2476781</v>
      </c>
      <c r="BM234" s="445">
        <f t="shared" si="541"/>
        <v>0</v>
      </c>
      <c r="BN234" s="445">
        <f t="shared" si="541"/>
        <v>0</v>
      </c>
      <c r="BO234" s="445">
        <f t="shared" si="541"/>
        <v>0</v>
      </c>
      <c r="BP234" s="445">
        <f t="shared" si="541"/>
        <v>5607460</v>
      </c>
      <c r="BQ234" s="445">
        <f t="shared" si="541"/>
        <v>165900</v>
      </c>
      <c r="BR234" s="445">
        <f t="shared" si="541"/>
        <v>218896</v>
      </c>
      <c r="BS234" s="446">
        <f t="shared" si="541"/>
        <v>32.831299999999999</v>
      </c>
      <c r="BT234" s="446">
        <f t="shared" si="541"/>
        <v>25.2715</v>
      </c>
      <c r="BU234" s="39">
        <f t="shared" si="541"/>
        <v>7.5597999999999992</v>
      </c>
      <c r="BV234" s="833">
        <f t="shared" si="541"/>
        <v>0</v>
      </c>
      <c r="BW234" s="715">
        <f t="shared" si="541"/>
        <v>0</v>
      </c>
      <c r="BX234" s="715">
        <f t="shared" si="541"/>
        <v>0</v>
      </c>
      <c r="BY234" s="715">
        <f t="shared" si="541"/>
        <v>0</v>
      </c>
      <c r="BZ234" s="715">
        <f t="shared" si="541"/>
        <v>0</v>
      </c>
      <c r="CA234" s="834">
        <f t="shared" si="541"/>
        <v>0</v>
      </c>
    </row>
    <row r="235" spans="1:79" s="221" customFormat="1" ht="12.75" customHeight="1" x14ac:dyDescent="0.2">
      <c r="A235" s="209">
        <v>43</v>
      </c>
      <c r="B235" s="210">
        <v>4424</v>
      </c>
      <c r="C235" s="210">
        <v>600074170</v>
      </c>
      <c r="D235" s="210">
        <v>72741562</v>
      </c>
      <c r="E235" s="208" t="s">
        <v>226</v>
      </c>
      <c r="F235" s="210">
        <v>3111</v>
      </c>
      <c r="G235" s="165" t="s">
        <v>290</v>
      </c>
      <c r="H235" s="626" t="s">
        <v>271</v>
      </c>
      <c r="I235" s="511">
        <v>3414418</v>
      </c>
      <c r="J235" s="415">
        <v>2526613</v>
      </c>
      <c r="K235" s="415">
        <v>2304821</v>
      </c>
      <c r="L235" s="415">
        <v>221792</v>
      </c>
      <c r="M235" s="415">
        <v>0</v>
      </c>
      <c r="N235" s="415">
        <v>0</v>
      </c>
      <c r="O235" s="415">
        <v>0</v>
      </c>
      <c r="P235" s="68">
        <v>853995</v>
      </c>
      <c r="Q235" s="68">
        <v>25266</v>
      </c>
      <c r="R235" s="415">
        <v>8544</v>
      </c>
      <c r="S235" s="416">
        <v>4.9724999999999993</v>
      </c>
      <c r="T235" s="417">
        <v>4.2257999999999996</v>
      </c>
      <c r="U235" s="423">
        <v>0.74669999999999992</v>
      </c>
      <c r="V235" s="424">
        <f t="shared" ref="V235:W237" si="542">AG235*-1</f>
        <v>0</v>
      </c>
      <c r="W235" s="418">
        <f t="shared" si="542"/>
        <v>0</v>
      </c>
      <c r="X235" s="418">
        <v>0</v>
      </c>
      <c r="Y235" s="418">
        <v>0</v>
      </c>
      <c r="Z235" s="418">
        <v>0</v>
      </c>
      <c r="AA235" s="415">
        <v>0</v>
      </c>
      <c r="AB235" s="418">
        <v>0</v>
      </c>
      <c r="AC235" s="418">
        <v>0</v>
      </c>
      <c r="AD235" s="418">
        <f>V235+X235+Y235+Z235+AB235</f>
        <v>0</v>
      </c>
      <c r="AE235" s="418">
        <f>W235+AA235+AC235</f>
        <v>0</v>
      </c>
      <c r="AF235" s="418">
        <f>SUM(AD235:AE235)</f>
        <v>0</v>
      </c>
      <c r="AG235" s="418">
        <v>0</v>
      </c>
      <c r="AH235" s="418">
        <v>0</v>
      </c>
      <c r="AI235" s="418">
        <v>0</v>
      </c>
      <c r="AJ235" s="418">
        <v>0</v>
      </c>
      <c r="AK235" s="418">
        <v>0</v>
      </c>
      <c r="AL235" s="418">
        <f>AG235+AI235+AJ235</f>
        <v>0</v>
      </c>
      <c r="AM235" s="418">
        <f>AH235+AK235</f>
        <v>0</v>
      </c>
      <c r="AN235" s="418">
        <f>SUM(AL235:AM235)</f>
        <v>0</v>
      </c>
      <c r="AO235" s="418">
        <f t="shared" ref="AO235:AP237" si="543">AD235+AL235</f>
        <v>0</v>
      </c>
      <c r="AP235" s="418">
        <f t="shared" si="543"/>
        <v>0</v>
      </c>
      <c r="AQ235" s="418">
        <f>SUM(AO235:AP235)</f>
        <v>0</v>
      </c>
      <c r="AR235" s="68">
        <f>ROUND((AF235+AG235+AH235+AI235)*33.8%,0)</f>
        <v>0</v>
      </c>
      <c r="AS235" s="68">
        <f>ROUND(AF235*1%,0)</f>
        <v>0</v>
      </c>
      <c r="AT235" s="418">
        <v>0</v>
      </c>
      <c r="AU235" s="415">
        <v>0</v>
      </c>
      <c r="AV235" s="418">
        <f>AT235+AU235</f>
        <v>0</v>
      </c>
      <c r="AW235" s="418">
        <f>AQ235+AR235+AS235+AV235</f>
        <v>0</v>
      </c>
      <c r="AX235" s="419">
        <v>0</v>
      </c>
      <c r="AY235" s="419">
        <v>0</v>
      </c>
      <c r="AZ235" s="419">
        <v>0</v>
      </c>
      <c r="BA235" s="419">
        <v>0</v>
      </c>
      <c r="BB235" s="416">
        <v>0</v>
      </c>
      <c r="BC235" s="939">
        <v>0</v>
      </c>
      <c r="BD235" s="419">
        <v>0</v>
      </c>
      <c r="BE235" s="419">
        <v>0</v>
      </c>
      <c r="BF235" s="419">
        <f>AX235+AZ235+BA235+BC235+BD235</f>
        <v>0</v>
      </c>
      <c r="BG235" s="419">
        <f>AY235+BB235+BE235</f>
        <v>0</v>
      </c>
      <c r="BH235" s="421">
        <f>SUM(BF235:BG235)</f>
        <v>0</v>
      </c>
      <c r="BI235" s="780">
        <f>I235+AW235</f>
        <v>3414418</v>
      </c>
      <c r="BJ235" s="418">
        <f>J235+AF235</f>
        <v>2526613</v>
      </c>
      <c r="BK235" s="418">
        <f t="shared" ref="BK235:BL237" si="544">K235+AD235</f>
        <v>2304821</v>
      </c>
      <c r="BL235" s="418">
        <f t="shared" si="544"/>
        <v>221792</v>
      </c>
      <c r="BM235" s="418">
        <f>M235+AN235</f>
        <v>0</v>
      </c>
      <c r="BN235" s="418">
        <f t="shared" ref="BN235:BO237" si="545">N235+AL235</f>
        <v>0</v>
      </c>
      <c r="BO235" s="418">
        <f t="shared" si="545"/>
        <v>0</v>
      </c>
      <c r="BP235" s="418">
        <f t="shared" ref="BP235:BQ237" si="546">P235+AR235</f>
        <v>853995</v>
      </c>
      <c r="BQ235" s="418">
        <f t="shared" si="546"/>
        <v>25266</v>
      </c>
      <c r="BR235" s="418">
        <f>R235+AV235</f>
        <v>8544</v>
      </c>
      <c r="BS235" s="419">
        <f>S235+BH235</f>
        <v>4.9724999999999993</v>
      </c>
      <c r="BT235" s="419">
        <f t="shared" ref="BT235:BU237" si="547">T235+BF235</f>
        <v>4.2257999999999996</v>
      </c>
      <c r="BU235" s="421">
        <f t="shared" si="547"/>
        <v>0.74669999999999992</v>
      </c>
      <c r="BV235" s="420"/>
      <c r="BW235" s="415"/>
      <c r="BX235" s="415"/>
      <c r="BY235" s="415"/>
      <c r="BZ235" s="415"/>
      <c r="CA235" s="510"/>
    </row>
    <row r="236" spans="1:79" s="221" customFormat="1" ht="12.75" customHeight="1" x14ac:dyDescent="0.2">
      <c r="A236" s="209">
        <v>43</v>
      </c>
      <c r="B236" s="210">
        <v>4424</v>
      </c>
      <c r="C236" s="210">
        <v>600074170</v>
      </c>
      <c r="D236" s="210">
        <v>72741562</v>
      </c>
      <c r="E236" s="208" t="s">
        <v>226</v>
      </c>
      <c r="F236" s="210">
        <v>3111</v>
      </c>
      <c r="G236" s="165" t="s">
        <v>291</v>
      </c>
      <c r="H236" s="626" t="s">
        <v>272</v>
      </c>
      <c r="I236" s="511">
        <v>0</v>
      </c>
      <c r="J236" s="415">
        <v>0</v>
      </c>
      <c r="K236" s="415">
        <v>0</v>
      </c>
      <c r="L236" s="415">
        <v>0</v>
      </c>
      <c r="M236" s="415">
        <v>0</v>
      </c>
      <c r="N236" s="415">
        <v>0</v>
      </c>
      <c r="O236" s="415">
        <v>0</v>
      </c>
      <c r="P236" s="68">
        <v>0</v>
      </c>
      <c r="Q236" s="68">
        <v>0</v>
      </c>
      <c r="R236" s="415">
        <v>0</v>
      </c>
      <c r="S236" s="416">
        <v>0</v>
      </c>
      <c r="T236" s="417">
        <v>0</v>
      </c>
      <c r="U236" s="423">
        <v>0</v>
      </c>
      <c r="V236" s="424">
        <f t="shared" si="542"/>
        <v>0</v>
      </c>
      <c r="W236" s="418">
        <f t="shared" si="542"/>
        <v>0</v>
      </c>
      <c r="X236" s="418">
        <v>0</v>
      </c>
      <c r="Y236" s="418">
        <v>0</v>
      </c>
      <c r="Z236" s="418">
        <v>0</v>
      </c>
      <c r="AA236" s="415">
        <v>0</v>
      </c>
      <c r="AB236" s="418">
        <v>0</v>
      </c>
      <c r="AC236" s="418">
        <v>0</v>
      </c>
      <c r="AD236" s="418">
        <f>V236+X236+Y236+Z236+AB236</f>
        <v>0</v>
      </c>
      <c r="AE236" s="418">
        <f>W236+AA236+AC236</f>
        <v>0</v>
      </c>
      <c r="AF236" s="418">
        <f>SUM(AD236:AE236)</f>
        <v>0</v>
      </c>
      <c r="AG236" s="418">
        <v>0</v>
      </c>
      <c r="AH236" s="418">
        <v>0</v>
      </c>
      <c r="AI236" s="418">
        <v>0</v>
      </c>
      <c r="AJ236" s="418">
        <v>0</v>
      </c>
      <c r="AK236" s="418">
        <v>0</v>
      </c>
      <c r="AL236" s="418">
        <f>AG236+AI236+AJ236</f>
        <v>0</v>
      </c>
      <c r="AM236" s="418">
        <f>AH236+AK236</f>
        <v>0</v>
      </c>
      <c r="AN236" s="418">
        <f>SUM(AL236:AM236)</f>
        <v>0</v>
      </c>
      <c r="AO236" s="418">
        <f t="shared" si="543"/>
        <v>0</v>
      </c>
      <c r="AP236" s="418">
        <f t="shared" si="543"/>
        <v>0</v>
      </c>
      <c r="AQ236" s="418">
        <f>SUM(AO236:AP236)</f>
        <v>0</v>
      </c>
      <c r="AR236" s="68">
        <f>ROUND((AF236+AG236+AH236+AI236)*33.8%,0)</f>
        <v>0</v>
      </c>
      <c r="AS236" s="68">
        <f>ROUND(AF236*1%,0)</f>
        <v>0</v>
      </c>
      <c r="AT236" s="418">
        <v>0</v>
      </c>
      <c r="AU236" s="415">
        <v>0</v>
      </c>
      <c r="AV236" s="418">
        <f>AT236+AU236</f>
        <v>0</v>
      </c>
      <c r="AW236" s="418">
        <f>AQ236+AR236+AS236+AV236</f>
        <v>0</v>
      </c>
      <c r="AX236" s="419">
        <v>0</v>
      </c>
      <c r="AY236" s="419">
        <v>0</v>
      </c>
      <c r="AZ236" s="419">
        <v>0</v>
      </c>
      <c r="BA236" s="419">
        <v>0</v>
      </c>
      <c r="BB236" s="416">
        <v>0</v>
      </c>
      <c r="BC236" s="939">
        <v>0</v>
      </c>
      <c r="BD236" s="419">
        <v>0</v>
      </c>
      <c r="BE236" s="419">
        <v>0</v>
      </c>
      <c r="BF236" s="419">
        <f>AX236+AZ236+BA236+BC236+BD236</f>
        <v>0</v>
      </c>
      <c r="BG236" s="419">
        <f>AY236+BB236+BE236</f>
        <v>0</v>
      </c>
      <c r="BH236" s="421">
        <f>SUM(BF236:BG236)</f>
        <v>0</v>
      </c>
      <c r="BI236" s="780">
        <f>I236+AW236</f>
        <v>0</v>
      </c>
      <c r="BJ236" s="418">
        <f>J236+AF236</f>
        <v>0</v>
      </c>
      <c r="BK236" s="418">
        <f t="shared" si="544"/>
        <v>0</v>
      </c>
      <c r="BL236" s="418">
        <f t="shared" si="544"/>
        <v>0</v>
      </c>
      <c r="BM236" s="418">
        <f>M236+AN236</f>
        <v>0</v>
      </c>
      <c r="BN236" s="418">
        <f t="shared" si="545"/>
        <v>0</v>
      </c>
      <c r="BO236" s="418">
        <f t="shared" si="545"/>
        <v>0</v>
      </c>
      <c r="BP236" s="418">
        <f t="shared" si="546"/>
        <v>0</v>
      </c>
      <c r="BQ236" s="418">
        <f t="shared" si="546"/>
        <v>0</v>
      </c>
      <c r="BR236" s="418">
        <f>R236+AV236</f>
        <v>0</v>
      </c>
      <c r="BS236" s="419">
        <f>S236+BH236</f>
        <v>0</v>
      </c>
      <c r="BT236" s="419">
        <f t="shared" si="547"/>
        <v>0</v>
      </c>
      <c r="BU236" s="421">
        <f t="shared" si="547"/>
        <v>0</v>
      </c>
      <c r="BV236" s="420"/>
      <c r="BW236" s="415"/>
      <c r="BX236" s="415"/>
      <c r="BY236" s="415"/>
      <c r="BZ236" s="415"/>
      <c r="CA236" s="510"/>
    </row>
    <row r="237" spans="1:79" s="221" customFormat="1" ht="12.75" customHeight="1" x14ac:dyDescent="0.2">
      <c r="A237" s="209">
        <v>43</v>
      </c>
      <c r="B237" s="210">
        <v>4424</v>
      </c>
      <c r="C237" s="210">
        <v>600074170</v>
      </c>
      <c r="D237" s="210">
        <v>72741562</v>
      </c>
      <c r="E237" s="208" t="s">
        <v>226</v>
      </c>
      <c r="F237" s="210">
        <v>3141</v>
      </c>
      <c r="G237" s="165" t="s">
        <v>294</v>
      </c>
      <c r="H237" s="626" t="s">
        <v>272</v>
      </c>
      <c r="I237" s="511">
        <v>640854</v>
      </c>
      <c r="J237" s="415">
        <v>473542</v>
      </c>
      <c r="K237" s="415">
        <v>0</v>
      </c>
      <c r="L237" s="415">
        <v>473542</v>
      </c>
      <c r="M237" s="415">
        <v>0</v>
      </c>
      <c r="N237" s="415">
        <v>0</v>
      </c>
      <c r="O237" s="415">
        <v>0</v>
      </c>
      <c r="P237" s="68">
        <v>160057</v>
      </c>
      <c r="Q237" s="68">
        <v>4735</v>
      </c>
      <c r="R237" s="415">
        <v>2520</v>
      </c>
      <c r="S237" s="416">
        <v>1.42</v>
      </c>
      <c r="T237" s="417">
        <v>0</v>
      </c>
      <c r="U237" s="423">
        <v>1.42</v>
      </c>
      <c r="V237" s="424">
        <f t="shared" si="542"/>
        <v>0</v>
      </c>
      <c r="W237" s="418">
        <f t="shared" si="542"/>
        <v>0</v>
      </c>
      <c r="X237" s="418">
        <v>0</v>
      </c>
      <c r="Y237" s="418">
        <v>0</v>
      </c>
      <c r="Z237" s="418">
        <v>0</v>
      </c>
      <c r="AA237" s="605">
        <v>237063</v>
      </c>
      <c r="AB237" s="418">
        <v>0</v>
      </c>
      <c r="AC237" s="418">
        <v>0</v>
      </c>
      <c r="AD237" s="418">
        <f>V237+X237+Y237+Z237+AB237</f>
        <v>0</v>
      </c>
      <c r="AE237" s="418">
        <f>W237+AA237+AC237</f>
        <v>237063</v>
      </c>
      <c r="AF237" s="418">
        <f>SUM(AD237:AE237)</f>
        <v>237063</v>
      </c>
      <c r="AG237" s="418">
        <v>0</v>
      </c>
      <c r="AH237" s="418">
        <v>0</v>
      </c>
      <c r="AI237" s="418">
        <v>0</v>
      </c>
      <c r="AJ237" s="418">
        <v>0</v>
      </c>
      <c r="AK237" s="418">
        <v>0</v>
      </c>
      <c r="AL237" s="418">
        <f>AG237+AI237+AJ237</f>
        <v>0</v>
      </c>
      <c r="AM237" s="418">
        <f>AH237+AK237</f>
        <v>0</v>
      </c>
      <c r="AN237" s="418">
        <f>SUM(AL237:AM237)</f>
        <v>0</v>
      </c>
      <c r="AO237" s="418">
        <f t="shared" si="543"/>
        <v>0</v>
      </c>
      <c r="AP237" s="418">
        <f t="shared" si="543"/>
        <v>237063</v>
      </c>
      <c r="AQ237" s="418">
        <f>SUM(AO237:AP237)</f>
        <v>237063</v>
      </c>
      <c r="AR237" s="68">
        <f>ROUND((AF237+AG237+AH237+AI237)*33.8%,0)</f>
        <v>80127</v>
      </c>
      <c r="AS237" s="68">
        <f>ROUND(AF237*1%,0)</f>
        <v>2371</v>
      </c>
      <c r="AT237" s="418">
        <v>0</v>
      </c>
      <c r="AU237" s="605">
        <v>1224</v>
      </c>
      <c r="AV237" s="418">
        <f>AT237+AU237</f>
        <v>1224</v>
      </c>
      <c r="AW237" s="418">
        <f>AQ237+AR237+AS237+AV237</f>
        <v>320785</v>
      </c>
      <c r="AX237" s="419">
        <v>0</v>
      </c>
      <c r="AY237" s="419">
        <v>0</v>
      </c>
      <c r="AZ237" s="419">
        <v>0</v>
      </c>
      <c r="BA237" s="419">
        <v>0</v>
      </c>
      <c r="BB237" s="607">
        <v>0.71</v>
      </c>
      <c r="BC237" s="939">
        <v>0</v>
      </c>
      <c r="BD237" s="419">
        <v>0</v>
      </c>
      <c r="BE237" s="419">
        <v>0</v>
      </c>
      <c r="BF237" s="419">
        <f>AX237+AZ237+BA237+BC237+BD237</f>
        <v>0</v>
      </c>
      <c r="BG237" s="419">
        <f>AY237+BB237+BE237</f>
        <v>0.71</v>
      </c>
      <c r="BH237" s="421">
        <f>SUM(BF237:BG237)</f>
        <v>0.71</v>
      </c>
      <c r="BI237" s="780">
        <f>I237+AW237</f>
        <v>961639</v>
      </c>
      <c r="BJ237" s="418">
        <f>J237+AF237</f>
        <v>710605</v>
      </c>
      <c r="BK237" s="418">
        <f t="shared" si="544"/>
        <v>0</v>
      </c>
      <c r="BL237" s="418">
        <f t="shared" si="544"/>
        <v>710605</v>
      </c>
      <c r="BM237" s="418">
        <f>M237+AN237</f>
        <v>0</v>
      </c>
      <c r="BN237" s="418">
        <f t="shared" si="545"/>
        <v>0</v>
      </c>
      <c r="BO237" s="418">
        <f t="shared" si="545"/>
        <v>0</v>
      </c>
      <c r="BP237" s="418">
        <f t="shared" si="546"/>
        <v>240184</v>
      </c>
      <c r="BQ237" s="418">
        <f t="shared" si="546"/>
        <v>7106</v>
      </c>
      <c r="BR237" s="418">
        <f>R237+AV237</f>
        <v>3744</v>
      </c>
      <c r="BS237" s="419">
        <f>S237+BH237</f>
        <v>2.13</v>
      </c>
      <c r="BT237" s="419">
        <f t="shared" si="547"/>
        <v>0</v>
      </c>
      <c r="BU237" s="421">
        <f t="shared" si="547"/>
        <v>2.13</v>
      </c>
      <c r="BV237" s="420"/>
      <c r="BW237" s="415"/>
      <c r="BX237" s="415"/>
      <c r="BY237" s="415"/>
      <c r="BZ237" s="415"/>
      <c r="CA237" s="510"/>
    </row>
    <row r="238" spans="1:79" s="221" customFormat="1" ht="12.75" customHeight="1" x14ac:dyDescent="0.2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13"/>
      <c r="I238" s="452">
        <v>4055272</v>
      </c>
      <c r="J238" s="445">
        <v>3000155</v>
      </c>
      <c r="K238" s="445">
        <v>2304821</v>
      </c>
      <c r="L238" s="445">
        <v>695334</v>
      </c>
      <c r="M238" s="445">
        <v>0</v>
      </c>
      <c r="N238" s="445">
        <v>0</v>
      </c>
      <c r="O238" s="445">
        <v>0</v>
      </c>
      <c r="P238" s="445">
        <v>1014052</v>
      </c>
      <c r="Q238" s="445">
        <v>30001</v>
      </c>
      <c r="R238" s="445">
        <v>11064</v>
      </c>
      <c r="S238" s="446">
        <v>6.3924999999999992</v>
      </c>
      <c r="T238" s="446">
        <v>4.2257999999999996</v>
      </c>
      <c r="U238" s="450">
        <v>2.1666999999999996</v>
      </c>
      <c r="V238" s="448">
        <f t="shared" ref="V238:CA238" si="548">SUM(V235:V237)</f>
        <v>0</v>
      </c>
      <c r="W238" s="445">
        <f t="shared" si="548"/>
        <v>0</v>
      </c>
      <c r="X238" s="445">
        <f t="shared" si="548"/>
        <v>0</v>
      </c>
      <c r="Y238" s="445">
        <f t="shared" si="548"/>
        <v>0</v>
      </c>
      <c r="Z238" s="445">
        <f t="shared" si="548"/>
        <v>0</v>
      </c>
      <c r="AA238" s="445">
        <f t="shared" si="548"/>
        <v>237063</v>
      </c>
      <c r="AB238" s="445">
        <f t="shared" si="548"/>
        <v>0</v>
      </c>
      <c r="AC238" s="445">
        <f t="shared" si="548"/>
        <v>0</v>
      </c>
      <c r="AD238" s="445">
        <f t="shared" si="548"/>
        <v>0</v>
      </c>
      <c r="AE238" s="445">
        <f t="shared" si="548"/>
        <v>237063</v>
      </c>
      <c r="AF238" s="445">
        <f t="shared" si="548"/>
        <v>237063</v>
      </c>
      <c r="AG238" s="445">
        <f t="shared" si="548"/>
        <v>0</v>
      </c>
      <c r="AH238" s="445">
        <f t="shared" si="548"/>
        <v>0</v>
      </c>
      <c r="AI238" s="445">
        <f t="shared" si="548"/>
        <v>0</v>
      </c>
      <c r="AJ238" s="445">
        <f t="shared" si="548"/>
        <v>0</v>
      </c>
      <c r="AK238" s="445">
        <f t="shared" si="548"/>
        <v>0</v>
      </c>
      <c r="AL238" s="445">
        <f t="shared" si="548"/>
        <v>0</v>
      </c>
      <c r="AM238" s="445">
        <f t="shared" si="548"/>
        <v>0</v>
      </c>
      <c r="AN238" s="445">
        <f t="shared" si="548"/>
        <v>0</v>
      </c>
      <c r="AO238" s="445">
        <f t="shared" si="548"/>
        <v>0</v>
      </c>
      <c r="AP238" s="445">
        <f t="shared" si="548"/>
        <v>237063</v>
      </c>
      <c r="AQ238" s="445">
        <f t="shared" si="548"/>
        <v>237063</v>
      </c>
      <c r="AR238" s="445">
        <f t="shared" si="548"/>
        <v>80127</v>
      </c>
      <c r="AS238" s="445">
        <f t="shared" si="548"/>
        <v>2371</v>
      </c>
      <c r="AT238" s="445">
        <f t="shared" si="548"/>
        <v>0</v>
      </c>
      <c r="AU238" s="445">
        <f t="shared" si="548"/>
        <v>1224</v>
      </c>
      <c r="AV238" s="445">
        <f t="shared" si="548"/>
        <v>1224</v>
      </c>
      <c r="AW238" s="445">
        <f t="shared" si="548"/>
        <v>320785</v>
      </c>
      <c r="AX238" s="446">
        <f t="shared" si="548"/>
        <v>0</v>
      </c>
      <c r="AY238" s="446">
        <f t="shared" si="548"/>
        <v>0</v>
      </c>
      <c r="AZ238" s="446">
        <f t="shared" si="548"/>
        <v>0</v>
      </c>
      <c r="BA238" s="446">
        <f t="shared" si="548"/>
        <v>0</v>
      </c>
      <c r="BB238" s="446">
        <f t="shared" si="548"/>
        <v>0.71</v>
      </c>
      <c r="BC238" s="948">
        <f t="shared" si="548"/>
        <v>0</v>
      </c>
      <c r="BD238" s="446">
        <f t="shared" si="548"/>
        <v>0</v>
      </c>
      <c r="BE238" s="446">
        <f t="shared" si="548"/>
        <v>0</v>
      </c>
      <c r="BF238" s="446">
        <f t="shared" si="548"/>
        <v>0</v>
      </c>
      <c r="BG238" s="446">
        <f t="shared" si="548"/>
        <v>0.71</v>
      </c>
      <c r="BH238" s="39">
        <f t="shared" si="548"/>
        <v>0.71</v>
      </c>
      <c r="BI238" s="452">
        <f t="shared" si="548"/>
        <v>4376057</v>
      </c>
      <c r="BJ238" s="445">
        <f t="shared" si="548"/>
        <v>3237218</v>
      </c>
      <c r="BK238" s="445">
        <f t="shared" si="548"/>
        <v>2304821</v>
      </c>
      <c r="BL238" s="445">
        <f t="shared" si="548"/>
        <v>932397</v>
      </c>
      <c r="BM238" s="445">
        <f t="shared" si="548"/>
        <v>0</v>
      </c>
      <c r="BN238" s="445">
        <f t="shared" si="548"/>
        <v>0</v>
      </c>
      <c r="BO238" s="445">
        <f t="shared" si="548"/>
        <v>0</v>
      </c>
      <c r="BP238" s="445">
        <f t="shared" si="548"/>
        <v>1094179</v>
      </c>
      <c r="BQ238" s="445">
        <f t="shared" si="548"/>
        <v>32372</v>
      </c>
      <c r="BR238" s="445">
        <f t="shared" si="548"/>
        <v>12288</v>
      </c>
      <c r="BS238" s="446">
        <f t="shared" si="548"/>
        <v>7.1024999999999991</v>
      </c>
      <c r="BT238" s="446">
        <f t="shared" si="548"/>
        <v>4.2257999999999996</v>
      </c>
      <c r="BU238" s="39">
        <f t="shared" si="548"/>
        <v>2.8766999999999996</v>
      </c>
      <c r="BV238" s="833">
        <f t="shared" si="548"/>
        <v>0</v>
      </c>
      <c r="BW238" s="715">
        <f t="shared" si="548"/>
        <v>0</v>
      </c>
      <c r="BX238" s="715">
        <f t="shared" si="548"/>
        <v>0</v>
      </c>
      <c r="BY238" s="715">
        <f t="shared" si="548"/>
        <v>0</v>
      </c>
      <c r="BZ238" s="715">
        <f t="shared" si="548"/>
        <v>0</v>
      </c>
      <c r="CA238" s="834">
        <f t="shared" si="548"/>
        <v>0</v>
      </c>
    </row>
    <row r="239" spans="1:79" s="221" customFormat="1" ht="12.75" customHeight="1" x14ac:dyDescent="0.2">
      <c r="A239" s="209">
        <v>44</v>
      </c>
      <c r="B239" s="210">
        <v>4489</v>
      </c>
      <c r="C239" s="210">
        <v>600075036</v>
      </c>
      <c r="D239" s="210">
        <v>72742607</v>
      </c>
      <c r="E239" s="208" t="s">
        <v>228</v>
      </c>
      <c r="F239" s="210">
        <v>3111</v>
      </c>
      <c r="G239" s="165" t="s">
        <v>290</v>
      </c>
      <c r="H239" s="626" t="s">
        <v>271</v>
      </c>
      <c r="I239" s="511">
        <v>3370399</v>
      </c>
      <c r="J239" s="415">
        <v>2491779</v>
      </c>
      <c r="K239" s="415">
        <v>2358643</v>
      </c>
      <c r="L239" s="415">
        <v>133136</v>
      </c>
      <c r="M239" s="415">
        <v>0</v>
      </c>
      <c r="N239" s="415">
        <v>0</v>
      </c>
      <c r="O239" s="415">
        <v>0</v>
      </c>
      <c r="P239" s="68">
        <v>842221</v>
      </c>
      <c r="Q239" s="68">
        <v>24918</v>
      </c>
      <c r="R239" s="415">
        <v>11481</v>
      </c>
      <c r="S239" s="416">
        <v>4.5334000000000003</v>
      </c>
      <c r="T239" s="417">
        <v>4</v>
      </c>
      <c r="U239" s="423">
        <v>0.53339999999999999</v>
      </c>
      <c r="V239" s="424">
        <f t="shared" ref="V239:W244" si="549">AG239*-1</f>
        <v>0</v>
      </c>
      <c r="W239" s="418">
        <f t="shared" si="549"/>
        <v>0</v>
      </c>
      <c r="X239" s="418">
        <v>0</v>
      </c>
      <c r="Y239" s="418">
        <v>0</v>
      </c>
      <c r="Z239" s="418">
        <v>0</v>
      </c>
      <c r="AA239" s="415">
        <v>0</v>
      </c>
      <c r="AB239" s="418">
        <v>0</v>
      </c>
      <c r="AC239" s="418">
        <v>0</v>
      </c>
      <c r="AD239" s="418">
        <f t="shared" ref="AD239:AD244" si="550">V239+X239+Y239+Z239+AB239</f>
        <v>0</v>
      </c>
      <c r="AE239" s="418">
        <f t="shared" ref="AE239:AE244" si="551">W239+AA239+AC239</f>
        <v>0</v>
      </c>
      <c r="AF239" s="418">
        <f t="shared" ref="AF239:AF244" si="552">SUM(AD239:AE239)</f>
        <v>0</v>
      </c>
      <c r="AG239" s="418">
        <v>0</v>
      </c>
      <c r="AH239" s="418">
        <v>0</v>
      </c>
      <c r="AI239" s="418">
        <v>0</v>
      </c>
      <c r="AJ239" s="418">
        <v>0</v>
      </c>
      <c r="AK239" s="418">
        <v>0</v>
      </c>
      <c r="AL239" s="418">
        <f t="shared" ref="AL239:AL244" si="553">AG239+AI239+AJ239</f>
        <v>0</v>
      </c>
      <c r="AM239" s="418">
        <f t="shared" ref="AM239:AM244" si="554">AH239+AK239</f>
        <v>0</v>
      </c>
      <c r="AN239" s="418">
        <f t="shared" ref="AN239:AN244" si="555">SUM(AL239:AM239)</f>
        <v>0</v>
      </c>
      <c r="AO239" s="418">
        <f t="shared" ref="AO239:AP244" si="556">AD239+AL239</f>
        <v>0</v>
      </c>
      <c r="AP239" s="418">
        <f t="shared" si="556"/>
        <v>0</v>
      </c>
      <c r="AQ239" s="418">
        <f t="shared" ref="AQ239:AQ244" si="557">SUM(AO239:AP239)</f>
        <v>0</v>
      </c>
      <c r="AR239" s="68">
        <f t="shared" ref="AR239:AR244" si="558">ROUND((AF239+AG239+AH239+AI239)*33.8%,0)</f>
        <v>0</v>
      </c>
      <c r="AS239" s="68">
        <f t="shared" ref="AS239:AS244" si="559">ROUND(AF239*1%,0)</f>
        <v>0</v>
      </c>
      <c r="AT239" s="418">
        <v>0</v>
      </c>
      <c r="AU239" s="415">
        <v>0</v>
      </c>
      <c r="AV239" s="418">
        <f t="shared" ref="AV239:AV244" si="560">AT239+AU239</f>
        <v>0</v>
      </c>
      <c r="AW239" s="418">
        <f t="shared" ref="AW239:AW244" si="561">AQ239+AR239+AS239+AV239</f>
        <v>0</v>
      </c>
      <c r="AX239" s="419">
        <v>0</v>
      </c>
      <c r="AY239" s="419">
        <v>0</v>
      </c>
      <c r="AZ239" s="419">
        <v>0</v>
      </c>
      <c r="BA239" s="419">
        <v>0</v>
      </c>
      <c r="BB239" s="416">
        <v>0</v>
      </c>
      <c r="BC239" s="939">
        <v>0</v>
      </c>
      <c r="BD239" s="419">
        <v>0</v>
      </c>
      <c r="BE239" s="419">
        <v>0</v>
      </c>
      <c r="BF239" s="419">
        <f t="shared" ref="BF239:BF244" si="562">AX239+AZ239+BA239+BC239+BD239</f>
        <v>0</v>
      </c>
      <c r="BG239" s="419">
        <f t="shared" ref="BG239:BG244" si="563">AY239+BB239+BE239</f>
        <v>0</v>
      </c>
      <c r="BH239" s="421">
        <f t="shared" ref="BH239:BH244" si="564">SUM(BF239:BG239)</f>
        <v>0</v>
      </c>
      <c r="BI239" s="780">
        <f t="shared" ref="BI239:BI244" si="565">I239+AW239</f>
        <v>3370399</v>
      </c>
      <c r="BJ239" s="418">
        <f t="shared" ref="BJ239:BJ244" si="566">J239+AF239</f>
        <v>2491779</v>
      </c>
      <c r="BK239" s="418">
        <f t="shared" ref="BK239:BL244" si="567">K239+AD239</f>
        <v>2358643</v>
      </c>
      <c r="BL239" s="418">
        <f t="shared" si="567"/>
        <v>133136</v>
      </c>
      <c r="BM239" s="418">
        <f t="shared" ref="BM239:BM244" si="568">M239+AN239</f>
        <v>0</v>
      </c>
      <c r="BN239" s="418">
        <f t="shared" ref="BN239:BO244" si="569">N239+AL239</f>
        <v>0</v>
      </c>
      <c r="BO239" s="418">
        <f t="shared" si="569"/>
        <v>0</v>
      </c>
      <c r="BP239" s="418">
        <f t="shared" ref="BP239:BQ244" si="570">P239+AR239</f>
        <v>842221</v>
      </c>
      <c r="BQ239" s="418">
        <f t="shared" si="570"/>
        <v>24918</v>
      </c>
      <c r="BR239" s="418">
        <f t="shared" ref="BR239:BR244" si="571">R239+AV239</f>
        <v>11481</v>
      </c>
      <c r="BS239" s="419">
        <f t="shared" ref="BS239:BS244" si="572">S239+BH239</f>
        <v>4.5334000000000003</v>
      </c>
      <c r="BT239" s="419">
        <f t="shared" ref="BT239:BU244" si="573">T239+BF239</f>
        <v>4</v>
      </c>
      <c r="BU239" s="421">
        <f t="shared" si="573"/>
        <v>0.53339999999999999</v>
      </c>
      <c r="BV239" s="420"/>
      <c r="BW239" s="415"/>
      <c r="BX239" s="415"/>
      <c r="BY239" s="415"/>
      <c r="BZ239" s="415"/>
      <c r="CA239" s="510"/>
    </row>
    <row r="240" spans="1:79" s="221" customFormat="1" ht="12.75" customHeight="1" x14ac:dyDescent="0.2">
      <c r="A240" s="209">
        <v>44</v>
      </c>
      <c r="B240" s="210">
        <v>4489</v>
      </c>
      <c r="C240" s="210">
        <v>600075036</v>
      </c>
      <c r="D240" s="210">
        <v>72742607</v>
      </c>
      <c r="E240" s="208" t="s">
        <v>228</v>
      </c>
      <c r="F240" s="210">
        <v>3117</v>
      </c>
      <c r="G240" s="165" t="s">
        <v>293</v>
      </c>
      <c r="H240" s="626" t="s">
        <v>271</v>
      </c>
      <c r="I240" s="511">
        <v>3761421</v>
      </c>
      <c r="J240" s="415">
        <v>2713109</v>
      </c>
      <c r="K240" s="415">
        <v>2355765</v>
      </c>
      <c r="L240" s="415">
        <v>357344</v>
      </c>
      <c r="M240" s="415">
        <v>36000</v>
      </c>
      <c r="N240" s="415">
        <v>36000</v>
      </c>
      <c r="O240" s="415">
        <v>0</v>
      </c>
      <c r="P240" s="68">
        <v>929199</v>
      </c>
      <c r="Q240" s="68">
        <v>27131</v>
      </c>
      <c r="R240" s="415">
        <v>55982</v>
      </c>
      <c r="S240" s="416">
        <v>4.8090999999999999</v>
      </c>
      <c r="T240" s="417">
        <v>3.8489999999999998</v>
      </c>
      <c r="U240" s="423">
        <v>0.96009999999999995</v>
      </c>
      <c r="V240" s="424">
        <f t="shared" si="549"/>
        <v>0</v>
      </c>
      <c r="W240" s="418">
        <f t="shared" si="549"/>
        <v>0</v>
      </c>
      <c r="X240" s="418">
        <v>0</v>
      </c>
      <c r="Y240" s="418">
        <v>0</v>
      </c>
      <c r="Z240" s="418">
        <v>0</v>
      </c>
      <c r="AA240" s="415">
        <v>0</v>
      </c>
      <c r="AB240" s="418">
        <v>0</v>
      </c>
      <c r="AC240" s="418">
        <v>0</v>
      </c>
      <c r="AD240" s="418">
        <f t="shared" si="550"/>
        <v>0</v>
      </c>
      <c r="AE240" s="418">
        <f t="shared" si="551"/>
        <v>0</v>
      </c>
      <c r="AF240" s="418">
        <f t="shared" si="552"/>
        <v>0</v>
      </c>
      <c r="AG240" s="418">
        <v>0</v>
      </c>
      <c r="AH240" s="418">
        <v>0</v>
      </c>
      <c r="AI240" s="418">
        <v>0</v>
      </c>
      <c r="AJ240" s="418">
        <v>0</v>
      </c>
      <c r="AK240" s="418">
        <v>0</v>
      </c>
      <c r="AL240" s="418">
        <f t="shared" si="553"/>
        <v>0</v>
      </c>
      <c r="AM240" s="418">
        <f t="shared" si="554"/>
        <v>0</v>
      </c>
      <c r="AN240" s="418">
        <f t="shared" si="555"/>
        <v>0</v>
      </c>
      <c r="AO240" s="418">
        <f t="shared" si="556"/>
        <v>0</v>
      </c>
      <c r="AP240" s="418">
        <f t="shared" si="556"/>
        <v>0</v>
      </c>
      <c r="AQ240" s="418">
        <f t="shared" si="557"/>
        <v>0</v>
      </c>
      <c r="AR240" s="68">
        <f t="shared" si="558"/>
        <v>0</v>
      </c>
      <c r="AS240" s="68">
        <f t="shared" si="559"/>
        <v>0</v>
      </c>
      <c r="AT240" s="418">
        <v>0</v>
      </c>
      <c r="AU240" s="415">
        <v>0</v>
      </c>
      <c r="AV240" s="418">
        <f t="shared" si="560"/>
        <v>0</v>
      </c>
      <c r="AW240" s="418">
        <f t="shared" si="561"/>
        <v>0</v>
      </c>
      <c r="AX240" s="419">
        <v>0</v>
      </c>
      <c r="AY240" s="419">
        <v>0</v>
      </c>
      <c r="AZ240" s="419">
        <v>0</v>
      </c>
      <c r="BA240" s="419">
        <v>0</v>
      </c>
      <c r="BB240" s="416">
        <v>0</v>
      </c>
      <c r="BC240" s="939">
        <v>0</v>
      </c>
      <c r="BD240" s="419">
        <v>0</v>
      </c>
      <c r="BE240" s="419">
        <v>0</v>
      </c>
      <c r="BF240" s="419">
        <f t="shared" si="562"/>
        <v>0</v>
      </c>
      <c r="BG240" s="419">
        <f t="shared" si="563"/>
        <v>0</v>
      </c>
      <c r="BH240" s="421">
        <f t="shared" si="564"/>
        <v>0</v>
      </c>
      <c r="BI240" s="780">
        <f t="shared" si="565"/>
        <v>3761421</v>
      </c>
      <c r="BJ240" s="418">
        <f t="shared" si="566"/>
        <v>2713109</v>
      </c>
      <c r="BK240" s="418">
        <f t="shared" si="567"/>
        <v>2355765</v>
      </c>
      <c r="BL240" s="418">
        <f t="shared" si="567"/>
        <v>357344</v>
      </c>
      <c r="BM240" s="418">
        <f t="shared" si="568"/>
        <v>36000</v>
      </c>
      <c r="BN240" s="418">
        <f t="shared" si="569"/>
        <v>36000</v>
      </c>
      <c r="BO240" s="418">
        <f t="shared" si="569"/>
        <v>0</v>
      </c>
      <c r="BP240" s="418">
        <f t="shared" si="570"/>
        <v>929199</v>
      </c>
      <c r="BQ240" s="418">
        <f t="shared" si="570"/>
        <v>27131</v>
      </c>
      <c r="BR240" s="418">
        <f t="shared" si="571"/>
        <v>55982</v>
      </c>
      <c r="BS240" s="419">
        <f t="shared" si="572"/>
        <v>4.8090999999999999</v>
      </c>
      <c r="BT240" s="419">
        <f t="shared" si="573"/>
        <v>3.8489999999999998</v>
      </c>
      <c r="BU240" s="421">
        <f t="shared" si="573"/>
        <v>0.96009999999999995</v>
      </c>
      <c r="BV240" s="420"/>
      <c r="BW240" s="415"/>
      <c r="BX240" s="415"/>
      <c r="BY240" s="415"/>
      <c r="BZ240" s="415"/>
      <c r="CA240" s="510"/>
    </row>
    <row r="241" spans="1:79" s="221" customFormat="1" ht="12.75" customHeight="1" x14ac:dyDescent="0.2">
      <c r="A241" s="209">
        <v>44</v>
      </c>
      <c r="B241" s="210">
        <v>4489</v>
      </c>
      <c r="C241" s="210">
        <v>600075036</v>
      </c>
      <c r="D241" s="210">
        <v>72742607</v>
      </c>
      <c r="E241" s="208" t="s">
        <v>228</v>
      </c>
      <c r="F241" s="210">
        <v>3117</v>
      </c>
      <c r="G241" s="165" t="s">
        <v>291</v>
      </c>
      <c r="H241" s="626" t="s">
        <v>272</v>
      </c>
      <c r="I241" s="511">
        <v>1499521</v>
      </c>
      <c r="J241" s="415">
        <v>1112404</v>
      </c>
      <c r="K241" s="415">
        <v>1112404</v>
      </c>
      <c r="L241" s="415">
        <v>0</v>
      </c>
      <c r="M241" s="415">
        <v>0</v>
      </c>
      <c r="N241" s="415">
        <v>0</v>
      </c>
      <c r="O241" s="415">
        <v>0</v>
      </c>
      <c r="P241" s="68">
        <v>375993</v>
      </c>
      <c r="Q241" s="68">
        <v>11124</v>
      </c>
      <c r="R241" s="415">
        <v>0</v>
      </c>
      <c r="S241" s="416">
        <v>3</v>
      </c>
      <c r="T241" s="417">
        <v>3</v>
      </c>
      <c r="U241" s="423">
        <v>0</v>
      </c>
      <c r="V241" s="424">
        <f t="shared" si="549"/>
        <v>0</v>
      </c>
      <c r="W241" s="418">
        <f t="shared" si="549"/>
        <v>0</v>
      </c>
      <c r="X241" s="418">
        <v>0</v>
      </c>
      <c r="Y241" s="418">
        <v>0</v>
      </c>
      <c r="Z241" s="418">
        <v>0</v>
      </c>
      <c r="AA241" s="415">
        <v>0</v>
      </c>
      <c r="AB241" s="418">
        <v>0</v>
      </c>
      <c r="AC241" s="418">
        <v>0</v>
      </c>
      <c r="AD241" s="418">
        <f t="shared" si="550"/>
        <v>0</v>
      </c>
      <c r="AE241" s="418">
        <f t="shared" si="551"/>
        <v>0</v>
      </c>
      <c r="AF241" s="418">
        <f t="shared" si="552"/>
        <v>0</v>
      </c>
      <c r="AG241" s="418">
        <v>0</v>
      </c>
      <c r="AH241" s="418">
        <v>0</v>
      </c>
      <c r="AI241" s="418">
        <v>0</v>
      </c>
      <c r="AJ241" s="418">
        <v>0</v>
      </c>
      <c r="AK241" s="418">
        <v>0</v>
      </c>
      <c r="AL241" s="418">
        <f t="shared" si="553"/>
        <v>0</v>
      </c>
      <c r="AM241" s="418">
        <f t="shared" si="554"/>
        <v>0</v>
      </c>
      <c r="AN241" s="418">
        <f t="shared" si="555"/>
        <v>0</v>
      </c>
      <c r="AO241" s="418">
        <f t="shared" si="556"/>
        <v>0</v>
      </c>
      <c r="AP241" s="418">
        <f t="shared" si="556"/>
        <v>0</v>
      </c>
      <c r="AQ241" s="418">
        <f t="shared" si="557"/>
        <v>0</v>
      </c>
      <c r="AR241" s="68">
        <f t="shared" si="558"/>
        <v>0</v>
      </c>
      <c r="AS241" s="68">
        <f t="shared" si="559"/>
        <v>0</v>
      </c>
      <c r="AT241" s="418">
        <v>0</v>
      </c>
      <c r="AU241" s="415">
        <v>0</v>
      </c>
      <c r="AV241" s="418">
        <f t="shared" si="560"/>
        <v>0</v>
      </c>
      <c r="AW241" s="418">
        <f t="shared" si="561"/>
        <v>0</v>
      </c>
      <c r="AX241" s="419">
        <v>0</v>
      </c>
      <c r="AY241" s="419">
        <v>0</v>
      </c>
      <c r="AZ241" s="419">
        <v>0</v>
      </c>
      <c r="BA241" s="419">
        <v>0</v>
      </c>
      <c r="BB241" s="416">
        <v>0</v>
      </c>
      <c r="BC241" s="939">
        <v>0</v>
      </c>
      <c r="BD241" s="419">
        <v>0</v>
      </c>
      <c r="BE241" s="419">
        <v>0</v>
      </c>
      <c r="BF241" s="419">
        <f t="shared" si="562"/>
        <v>0</v>
      </c>
      <c r="BG241" s="419">
        <f t="shared" si="563"/>
        <v>0</v>
      </c>
      <c r="BH241" s="421">
        <f t="shared" si="564"/>
        <v>0</v>
      </c>
      <c r="BI241" s="780">
        <f t="shared" si="565"/>
        <v>1499521</v>
      </c>
      <c r="BJ241" s="418">
        <f t="shared" si="566"/>
        <v>1112404</v>
      </c>
      <c r="BK241" s="418">
        <f t="shared" si="567"/>
        <v>1112404</v>
      </c>
      <c r="BL241" s="418">
        <f t="shared" si="567"/>
        <v>0</v>
      </c>
      <c r="BM241" s="418">
        <f t="shared" si="568"/>
        <v>0</v>
      </c>
      <c r="BN241" s="418">
        <f t="shared" si="569"/>
        <v>0</v>
      </c>
      <c r="BO241" s="418">
        <f t="shared" si="569"/>
        <v>0</v>
      </c>
      <c r="BP241" s="418">
        <f t="shared" si="570"/>
        <v>375993</v>
      </c>
      <c r="BQ241" s="418">
        <f t="shared" si="570"/>
        <v>11124</v>
      </c>
      <c r="BR241" s="418">
        <f t="shared" si="571"/>
        <v>0</v>
      </c>
      <c r="BS241" s="419">
        <f t="shared" si="572"/>
        <v>3</v>
      </c>
      <c r="BT241" s="419">
        <f t="shared" si="573"/>
        <v>3</v>
      </c>
      <c r="BU241" s="421">
        <f t="shared" si="573"/>
        <v>0</v>
      </c>
      <c r="BV241" s="420"/>
      <c r="BW241" s="415"/>
      <c r="BX241" s="415"/>
      <c r="BY241" s="415"/>
      <c r="BZ241" s="415"/>
      <c r="CA241" s="510"/>
    </row>
    <row r="242" spans="1:79" s="221" customFormat="1" ht="12.75" customHeight="1" x14ac:dyDescent="0.2">
      <c r="A242" s="209">
        <v>44</v>
      </c>
      <c r="B242" s="210">
        <v>4489</v>
      </c>
      <c r="C242" s="210">
        <v>600075036</v>
      </c>
      <c r="D242" s="210">
        <v>72742607</v>
      </c>
      <c r="E242" s="208" t="s">
        <v>228</v>
      </c>
      <c r="F242" s="210">
        <v>3141</v>
      </c>
      <c r="G242" s="165" t="s">
        <v>294</v>
      </c>
      <c r="H242" s="626" t="s">
        <v>272</v>
      </c>
      <c r="I242" s="511">
        <v>682775</v>
      </c>
      <c r="J242" s="415">
        <v>488655</v>
      </c>
      <c r="K242" s="415">
        <v>0</v>
      </c>
      <c r="L242" s="415">
        <v>488655</v>
      </c>
      <c r="M242" s="415">
        <v>16000</v>
      </c>
      <c r="N242" s="415">
        <v>0</v>
      </c>
      <c r="O242" s="415">
        <v>16000</v>
      </c>
      <c r="P242" s="68">
        <v>170573</v>
      </c>
      <c r="Q242" s="68">
        <v>4887</v>
      </c>
      <c r="R242" s="415">
        <v>2660</v>
      </c>
      <c r="S242" s="416">
        <v>1.51</v>
      </c>
      <c r="T242" s="417">
        <v>0</v>
      </c>
      <c r="U242" s="423">
        <v>1.51</v>
      </c>
      <c r="V242" s="424">
        <f t="shared" si="549"/>
        <v>0</v>
      </c>
      <c r="W242" s="418">
        <f t="shared" si="549"/>
        <v>0</v>
      </c>
      <c r="X242" s="418">
        <v>0</v>
      </c>
      <c r="Y242" s="418">
        <v>0</v>
      </c>
      <c r="Z242" s="418">
        <v>0</v>
      </c>
      <c r="AA242" s="605">
        <v>251668</v>
      </c>
      <c r="AB242" s="418">
        <v>0</v>
      </c>
      <c r="AC242" s="418">
        <v>0</v>
      </c>
      <c r="AD242" s="418">
        <f t="shared" si="550"/>
        <v>0</v>
      </c>
      <c r="AE242" s="418">
        <f t="shared" si="551"/>
        <v>251668</v>
      </c>
      <c r="AF242" s="418">
        <f t="shared" si="552"/>
        <v>251668</v>
      </c>
      <c r="AG242" s="418">
        <v>0</v>
      </c>
      <c r="AH242" s="418">
        <v>0</v>
      </c>
      <c r="AI242" s="418">
        <v>0</v>
      </c>
      <c r="AJ242" s="418">
        <v>0</v>
      </c>
      <c r="AK242" s="418">
        <v>0</v>
      </c>
      <c r="AL242" s="418">
        <f t="shared" si="553"/>
        <v>0</v>
      </c>
      <c r="AM242" s="418">
        <f t="shared" si="554"/>
        <v>0</v>
      </c>
      <c r="AN242" s="418">
        <f t="shared" si="555"/>
        <v>0</v>
      </c>
      <c r="AO242" s="418">
        <f t="shared" si="556"/>
        <v>0</v>
      </c>
      <c r="AP242" s="418">
        <f t="shared" si="556"/>
        <v>251668</v>
      </c>
      <c r="AQ242" s="418">
        <f t="shared" si="557"/>
        <v>251668</v>
      </c>
      <c r="AR242" s="68">
        <f t="shared" si="558"/>
        <v>85064</v>
      </c>
      <c r="AS242" s="68">
        <f t="shared" si="559"/>
        <v>2517</v>
      </c>
      <c r="AT242" s="418">
        <v>0</v>
      </c>
      <c r="AU242" s="605">
        <v>1292</v>
      </c>
      <c r="AV242" s="418">
        <f t="shared" si="560"/>
        <v>1292</v>
      </c>
      <c r="AW242" s="418">
        <f t="shared" si="561"/>
        <v>340541</v>
      </c>
      <c r="AX242" s="419">
        <v>0</v>
      </c>
      <c r="AY242" s="419">
        <v>0</v>
      </c>
      <c r="AZ242" s="419">
        <v>0</v>
      </c>
      <c r="BA242" s="419">
        <v>0</v>
      </c>
      <c r="BB242" s="607">
        <v>0.76</v>
      </c>
      <c r="BC242" s="939">
        <v>0</v>
      </c>
      <c r="BD242" s="419">
        <v>0</v>
      </c>
      <c r="BE242" s="419">
        <v>0</v>
      </c>
      <c r="BF242" s="419">
        <f t="shared" si="562"/>
        <v>0</v>
      </c>
      <c r="BG242" s="419">
        <f t="shared" si="563"/>
        <v>0.76</v>
      </c>
      <c r="BH242" s="421">
        <f t="shared" si="564"/>
        <v>0.76</v>
      </c>
      <c r="BI242" s="780">
        <f t="shared" si="565"/>
        <v>1023316</v>
      </c>
      <c r="BJ242" s="418">
        <f t="shared" si="566"/>
        <v>740323</v>
      </c>
      <c r="BK242" s="418">
        <f t="shared" si="567"/>
        <v>0</v>
      </c>
      <c r="BL242" s="418">
        <f t="shared" si="567"/>
        <v>740323</v>
      </c>
      <c r="BM242" s="418">
        <f t="shared" si="568"/>
        <v>16000</v>
      </c>
      <c r="BN242" s="418">
        <f t="shared" si="569"/>
        <v>0</v>
      </c>
      <c r="BO242" s="418">
        <f t="shared" si="569"/>
        <v>16000</v>
      </c>
      <c r="BP242" s="418">
        <f t="shared" si="570"/>
        <v>255637</v>
      </c>
      <c r="BQ242" s="418">
        <f t="shared" si="570"/>
        <v>7404</v>
      </c>
      <c r="BR242" s="418">
        <f t="shared" si="571"/>
        <v>3952</v>
      </c>
      <c r="BS242" s="419">
        <f t="shared" si="572"/>
        <v>2.27</v>
      </c>
      <c r="BT242" s="419">
        <f t="shared" si="573"/>
        <v>0</v>
      </c>
      <c r="BU242" s="421">
        <f t="shared" si="573"/>
        <v>2.27</v>
      </c>
      <c r="BV242" s="420"/>
      <c r="BW242" s="415"/>
      <c r="BX242" s="415"/>
      <c r="BY242" s="415"/>
      <c r="BZ242" s="415"/>
      <c r="CA242" s="510"/>
    </row>
    <row r="243" spans="1:79" s="221" customFormat="1" ht="12.75" customHeight="1" x14ac:dyDescent="0.2">
      <c r="A243" s="209">
        <v>44</v>
      </c>
      <c r="B243" s="210">
        <v>4489</v>
      </c>
      <c r="C243" s="210">
        <v>600075036</v>
      </c>
      <c r="D243" s="210">
        <v>72742607</v>
      </c>
      <c r="E243" s="208" t="s">
        <v>228</v>
      </c>
      <c r="F243" s="210">
        <v>3143</v>
      </c>
      <c r="G243" s="165" t="s">
        <v>595</v>
      </c>
      <c r="H243" s="614" t="s">
        <v>271</v>
      </c>
      <c r="I243" s="511">
        <v>1119046</v>
      </c>
      <c r="J243" s="415">
        <v>820227</v>
      </c>
      <c r="K243" s="415">
        <v>820227</v>
      </c>
      <c r="L243" s="415">
        <v>0</v>
      </c>
      <c r="M243" s="415">
        <v>10000</v>
      </c>
      <c r="N243" s="415">
        <v>10000</v>
      </c>
      <c r="O243" s="415">
        <v>0</v>
      </c>
      <c r="P243" s="68">
        <v>280617</v>
      </c>
      <c r="Q243" s="68">
        <v>8202</v>
      </c>
      <c r="R243" s="415">
        <v>0</v>
      </c>
      <c r="S243" s="416">
        <v>1.6367</v>
      </c>
      <c r="T243" s="417">
        <v>1.6367</v>
      </c>
      <c r="U243" s="423">
        <v>0</v>
      </c>
      <c r="V243" s="424">
        <f t="shared" si="549"/>
        <v>0</v>
      </c>
      <c r="W243" s="418">
        <f t="shared" si="549"/>
        <v>0</v>
      </c>
      <c r="X243" s="418">
        <v>0</v>
      </c>
      <c r="Y243" s="418">
        <v>0</v>
      </c>
      <c r="Z243" s="418">
        <v>0</v>
      </c>
      <c r="AA243" s="415">
        <v>0</v>
      </c>
      <c r="AB243" s="418">
        <v>0</v>
      </c>
      <c r="AC243" s="418">
        <v>0</v>
      </c>
      <c r="AD243" s="418">
        <f t="shared" si="550"/>
        <v>0</v>
      </c>
      <c r="AE243" s="418">
        <f t="shared" si="551"/>
        <v>0</v>
      </c>
      <c r="AF243" s="418">
        <f t="shared" si="552"/>
        <v>0</v>
      </c>
      <c r="AG243" s="418">
        <v>0</v>
      </c>
      <c r="AH243" s="418">
        <v>0</v>
      </c>
      <c r="AI243" s="418">
        <v>0</v>
      </c>
      <c r="AJ243" s="418">
        <v>0</v>
      </c>
      <c r="AK243" s="418">
        <v>0</v>
      </c>
      <c r="AL243" s="418">
        <f t="shared" si="553"/>
        <v>0</v>
      </c>
      <c r="AM243" s="418">
        <f t="shared" si="554"/>
        <v>0</v>
      </c>
      <c r="AN243" s="418">
        <f t="shared" si="555"/>
        <v>0</v>
      </c>
      <c r="AO243" s="418">
        <f t="shared" si="556"/>
        <v>0</v>
      </c>
      <c r="AP243" s="418">
        <f t="shared" si="556"/>
        <v>0</v>
      </c>
      <c r="AQ243" s="418">
        <f t="shared" si="557"/>
        <v>0</v>
      </c>
      <c r="AR243" s="68">
        <f t="shared" si="558"/>
        <v>0</v>
      </c>
      <c r="AS243" s="68">
        <f t="shared" si="559"/>
        <v>0</v>
      </c>
      <c r="AT243" s="418">
        <v>0</v>
      </c>
      <c r="AU243" s="415">
        <v>0</v>
      </c>
      <c r="AV243" s="418">
        <f t="shared" si="560"/>
        <v>0</v>
      </c>
      <c r="AW243" s="418">
        <f t="shared" si="561"/>
        <v>0</v>
      </c>
      <c r="AX243" s="419">
        <v>0</v>
      </c>
      <c r="AY243" s="419">
        <v>0</v>
      </c>
      <c r="AZ243" s="419">
        <v>0</v>
      </c>
      <c r="BA243" s="419">
        <v>0</v>
      </c>
      <c r="BB243" s="416">
        <v>0</v>
      </c>
      <c r="BC243" s="939">
        <v>0</v>
      </c>
      <c r="BD243" s="419">
        <v>0</v>
      </c>
      <c r="BE243" s="419">
        <v>0</v>
      </c>
      <c r="BF243" s="419">
        <f t="shared" si="562"/>
        <v>0</v>
      </c>
      <c r="BG243" s="419">
        <f t="shared" si="563"/>
        <v>0</v>
      </c>
      <c r="BH243" s="421">
        <f t="shared" si="564"/>
        <v>0</v>
      </c>
      <c r="BI243" s="780">
        <f t="shared" si="565"/>
        <v>1119046</v>
      </c>
      <c r="BJ243" s="418">
        <f t="shared" si="566"/>
        <v>820227</v>
      </c>
      <c r="BK243" s="418">
        <f t="shared" si="567"/>
        <v>820227</v>
      </c>
      <c r="BL243" s="418">
        <f t="shared" si="567"/>
        <v>0</v>
      </c>
      <c r="BM243" s="418">
        <f t="shared" si="568"/>
        <v>10000</v>
      </c>
      <c r="BN243" s="418">
        <f t="shared" si="569"/>
        <v>10000</v>
      </c>
      <c r="BO243" s="418">
        <f t="shared" si="569"/>
        <v>0</v>
      </c>
      <c r="BP243" s="418">
        <f t="shared" si="570"/>
        <v>280617</v>
      </c>
      <c r="BQ243" s="418">
        <f t="shared" si="570"/>
        <v>8202</v>
      </c>
      <c r="BR243" s="418">
        <f t="shared" si="571"/>
        <v>0</v>
      </c>
      <c r="BS243" s="419">
        <f t="shared" si="572"/>
        <v>1.6367</v>
      </c>
      <c r="BT243" s="419">
        <f t="shared" si="573"/>
        <v>1.6367</v>
      </c>
      <c r="BU243" s="421">
        <f t="shared" si="573"/>
        <v>0</v>
      </c>
      <c r="BV243" s="420"/>
      <c r="BW243" s="415"/>
      <c r="BX243" s="415"/>
      <c r="BY243" s="415"/>
      <c r="BZ243" s="415"/>
      <c r="CA243" s="510"/>
    </row>
    <row r="244" spans="1:79" s="221" customFormat="1" ht="12.75" customHeight="1" x14ac:dyDescent="0.2">
      <c r="A244" s="209">
        <v>44</v>
      </c>
      <c r="B244" s="210">
        <v>4489</v>
      </c>
      <c r="C244" s="210">
        <v>600075036</v>
      </c>
      <c r="D244" s="210">
        <v>72742607</v>
      </c>
      <c r="E244" s="208" t="s">
        <v>228</v>
      </c>
      <c r="F244" s="210">
        <v>3143</v>
      </c>
      <c r="G244" s="165" t="s">
        <v>596</v>
      </c>
      <c r="H244" s="614" t="s">
        <v>272</v>
      </c>
      <c r="I244" s="511">
        <v>22020</v>
      </c>
      <c r="J244" s="415">
        <v>15761</v>
      </c>
      <c r="K244" s="415">
        <v>0</v>
      </c>
      <c r="L244" s="415">
        <v>15761</v>
      </c>
      <c r="M244" s="415">
        <v>0</v>
      </c>
      <c r="N244" s="415">
        <v>0</v>
      </c>
      <c r="O244" s="415">
        <v>0</v>
      </c>
      <c r="P244" s="68">
        <v>5327</v>
      </c>
      <c r="Q244" s="68">
        <v>158</v>
      </c>
      <c r="R244" s="415">
        <v>774</v>
      </c>
      <c r="S244" s="416">
        <v>0.06</v>
      </c>
      <c r="T244" s="417">
        <v>0</v>
      </c>
      <c r="U244" s="423">
        <v>0.06</v>
      </c>
      <c r="V244" s="424">
        <f t="shared" si="549"/>
        <v>0</v>
      </c>
      <c r="W244" s="418">
        <f t="shared" si="549"/>
        <v>0</v>
      </c>
      <c r="X244" s="418">
        <v>0</v>
      </c>
      <c r="Y244" s="418">
        <v>0</v>
      </c>
      <c r="Z244" s="418">
        <v>0</v>
      </c>
      <c r="AA244" s="605">
        <v>7889</v>
      </c>
      <c r="AB244" s="418">
        <v>0</v>
      </c>
      <c r="AC244" s="418">
        <v>0</v>
      </c>
      <c r="AD244" s="418">
        <f t="shared" si="550"/>
        <v>0</v>
      </c>
      <c r="AE244" s="418">
        <f t="shared" si="551"/>
        <v>7889</v>
      </c>
      <c r="AF244" s="418">
        <f t="shared" si="552"/>
        <v>7889</v>
      </c>
      <c r="AG244" s="418">
        <v>0</v>
      </c>
      <c r="AH244" s="418">
        <v>0</v>
      </c>
      <c r="AI244" s="418">
        <v>0</v>
      </c>
      <c r="AJ244" s="418">
        <v>0</v>
      </c>
      <c r="AK244" s="418">
        <v>0</v>
      </c>
      <c r="AL244" s="418">
        <f t="shared" si="553"/>
        <v>0</v>
      </c>
      <c r="AM244" s="418">
        <f t="shared" si="554"/>
        <v>0</v>
      </c>
      <c r="AN244" s="418">
        <f t="shared" si="555"/>
        <v>0</v>
      </c>
      <c r="AO244" s="418">
        <f t="shared" si="556"/>
        <v>0</v>
      </c>
      <c r="AP244" s="418">
        <f t="shared" si="556"/>
        <v>7889</v>
      </c>
      <c r="AQ244" s="418">
        <f t="shared" si="557"/>
        <v>7889</v>
      </c>
      <c r="AR244" s="68">
        <f t="shared" si="558"/>
        <v>2666</v>
      </c>
      <c r="AS244" s="68">
        <f t="shared" si="559"/>
        <v>79</v>
      </c>
      <c r="AT244" s="418">
        <v>0</v>
      </c>
      <c r="AU244" s="606">
        <v>387</v>
      </c>
      <c r="AV244" s="418">
        <f t="shared" si="560"/>
        <v>387</v>
      </c>
      <c r="AW244" s="418">
        <f t="shared" si="561"/>
        <v>11021</v>
      </c>
      <c r="AX244" s="419">
        <v>0</v>
      </c>
      <c r="AY244" s="419">
        <v>0</v>
      </c>
      <c r="AZ244" s="419">
        <v>0</v>
      </c>
      <c r="BA244" s="419">
        <v>0</v>
      </c>
      <c r="BB244" s="607">
        <v>0.03</v>
      </c>
      <c r="BC244" s="939">
        <v>0</v>
      </c>
      <c r="BD244" s="419">
        <v>0</v>
      </c>
      <c r="BE244" s="419">
        <v>0</v>
      </c>
      <c r="BF244" s="419">
        <f t="shared" si="562"/>
        <v>0</v>
      </c>
      <c r="BG244" s="419">
        <f t="shared" si="563"/>
        <v>0.03</v>
      </c>
      <c r="BH244" s="421">
        <f t="shared" si="564"/>
        <v>0.03</v>
      </c>
      <c r="BI244" s="780">
        <f t="shared" si="565"/>
        <v>33041</v>
      </c>
      <c r="BJ244" s="418">
        <f t="shared" si="566"/>
        <v>23650</v>
      </c>
      <c r="BK244" s="418">
        <f t="shared" si="567"/>
        <v>0</v>
      </c>
      <c r="BL244" s="418">
        <f t="shared" si="567"/>
        <v>23650</v>
      </c>
      <c r="BM244" s="418">
        <f t="shared" si="568"/>
        <v>0</v>
      </c>
      <c r="BN244" s="418">
        <f t="shared" si="569"/>
        <v>0</v>
      </c>
      <c r="BO244" s="418">
        <f t="shared" si="569"/>
        <v>0</v>
      </c>
      <c r="BP244" s="418">
        <f t="shared" si="570"/>
        <v>7993</v>
      </c>
      <c r="BQ244" s="418">
        <f t="shared" si="570"/>
        <v>237</v>
      </c>
      <c r="BR244" s="418">
        <f t="shared" si="571"/>
        <v>1161</v>
      </c>
      <c r="BS244" s="419">
        <f t="shared" si="572"/>
        <v>0.09</v>
      </c>
      <c r="BT244" s="419">
        <f t="shared" si="573"/>
        <v>0</v>
      </c>
      <c r="BU244" s="421">
        <f t="shared" si="573"/>
        <v>0.09</v>
      </c>
      <c r="BV244" s="420"/>
      <c r="BW244" s="415"/>
      <c r="BX244" s="415"/>
      <c r="BY244" s="415"/>
      <c r="BZ244" s="415"/>
      <c r="CA244" s="510"/>
    </row>
    <row r="245" spans="1:79" s="221" customFormat="1" ht="12.75" customHeight="1" x14ac:dyDescent="0.2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13"/>
      <c r="I245" s="452">
        <v>10455182</v>
      </c>
      <c r="J245" s="445">
        <v>7641935</v>
      </c>
      <c r="K245" s="445">
        <v>6647039</v>
      </c>
      <c r="L245" s="445">
        <v>994896</v>
      </c>
      <c r="M245" s="445">
        <v>62000</v>
      </c>
      <c r="N245" s="445">
        <v>46000</v>
      </c>
      <c r="O245" s="445">
        <v>16000</v>
      </c>
      <c r="P245" s="445">
        <v>2603930</v>
      </c>
      <c r="Q245" s="445">
        <v>76420</v>
      </c>
      <c r="R245" s="445">
        <v>70897</v>
      </c>
      <c r="S245" s="446">
        <v>15.549200000000001</v>
      </c>
      <c r="T245" s="446">
        <v>12.4857</v>
      </c>
      <c r="U245" s="450">
        <v>3.0634999999999999</v>
      </c>
      <c r="V245" s="448">
        <f t="shared" ref="V245:CA245" si="574">SUM(V239:V244)</f>
        <v>0</v>
      </c>
      <c r="W245" s="445">
        <f t="shared" si="574"/>
        <v>0</v>
      </c>
      <c r="X245" s="445">
        <f t="shared" si="574"/>
        <v>0</v>
      </c>
      <c r="Y245" s="445">
        <f t="shared" si="574"/>
        <v>0</v>
      </c>
      <c r="Z245" s="445">
        <f t="shared" si="574"/>
        <v>0</v>
      </c>
      <c r="AA245" s="445">
        <f t="shared" si="574"/>
        <v>259557</v>
      </c>
      <c r="AB245" s="445">
        <f t="shared" si="574"/>
        <v>0</v>
      </c>
      <c r="AC245" s="445">
        <f t="shared" si="574"/>
        <v>0</v>
      </c>
      <c r="AD245" s="445">
        <f t="shared" si="574"/>
        <v>0</v>
      </c>
      <c r="AE245" s="445">
        <f t="shared" si="574"/>
        <v>259557</v>
      </c>
      <c r="AF245" s="445">
        <f t="shared" si="574"/>
        <v>259557</v>
      </c>
      <c r="AG245" s="445">
        <f t="shared" si="574"/>
        <v>0</v>
      </c>
      <c r="AH245" s="445">
        <f t="shared" si="574"/>
        <v>0</v>
      </c>
      <c r="AI245" s="445">
        <f t="shared" si="574"/>
        <v>0</v>
      </c>
      <c r="AJ245" s="445">
        <f t="shared" si="574"/>
        <v>0</v>
      </c>
      <c r="AK245" s="445">
        <f t="shared" si="574"/>
        <v>0</v>
      </c>
      <c r="AL245" s="445">
        <f t="shared" si="574"/>
        <v>0</v>
      </c>
      <c r="AM245" s="445">
        <f t="shared" si="574"/>
        <v>0</v>
      </c>
      <c r="AN245" s="445">
        <f t="shared" si="574"/>
        <v>0</v>
      </c>
      <c r="AO245" s="445">
        <f t="shared" si="574"/>
        <v>0</v>
      </c>
      <c r="AP245" s="445">
        <f t="shared" si="574"/>
        <v>259557</v>
      </c>
      <c r="AQ245" s="445">
        <f t="shared" si="574"/>
        <v>259557</v>
      </c>
      <c r="AR245" s="445">
        <f t="shared" si="574"/>
        <v>87730</v>
      </c>
      <c r="AS245" s="445">
        <f t="shared" si="574"/>
        <v>2596</v>
      </c>
      <c r="AT245" s="445">
        <f t="shared" si="574"/>
        <v>0</v>
      </c>
      <c r="AU245" s="445">
        <f t="shared" si="574"/>
        <v>1679</v>
      </c>
      <c r="AV245" s="445">
        <f t="shared" si="574"/>
        <v>1679</v>
      </c>
      <c r="AW245" s="445">
        <f t="shared" si="574"/>
        <v>351562</v>
      </c>
      <c r="AX245" s="446">
        <f t="shared" si="574"/>
        <v>0</v>
      </c>
      <c r="AY245" s="446">
        <f t="shared" si="574"/>
        <v>0</v>
      </c>
      <c r="AZ245" s="446">
        <f t="shared" si="574"/>
        <v>0</v>
      </c>
      <c r="BA245" s="446">
        <f t="shared" si="574"/>
        <v>0</v>
      </c>
      <c r="BB245" s="446">
        <f t="shared" si="574"/>
        <v>0.79</v>
      </c>
      <c r="BC245" s="948">
        <f t="shared" si="574"/>
        <v>0</v>
      </c>
      <c r="BD245" s="446">
        <f t="shared" si="574"/>
        <v>0</v>
      </c>
      <c r="BE245" s="446">
        <f t="shared" si="574"/>
        <v>0</v>
      </c>
      <c r="BF245" s="446">
        <f t="shared" si="574"/>
        <v>0</v>
      </c>
      <c r="BG245" s="446">
        <f t="shared" si="574"/>
        <v>0.79</v>
      </c>
      <c r="BH245" s="39">
        <f t="shared" si="574"/>
        <v>0.79</v>
      </c>
      <c r="BI245" s="452">
        <f t="shared" si="574"/>
        <v>10806744</v>
      </c>
      <c r="BJ245" s="445">
        <f t="shared" si="574"/>
        <v>7901492</v>
      </c>
      <c r="BK245" s="445">
        <f t="shared" si="574"/>
        <v>6647039</v>
      </c>
      <c r="BL245" s="445">
        <f t="shared" si="574"/>
        <v>1254453</v>
      </c>
      <c r="BM245" s="445">
        <f t="shared" si="574"/>
        <v>62000</v>
      </c>
      <c r="BN245" s="445">
        <f t="shared" si="574"/>
        <v>46000</v>
      </c>
      <c r="BO245" s="445">
        <f t="shared" si="574"/>
        <v>16000</v>
      </c>
      <c r="BP245" s="445">
        <f t="shared" si="574"/>
        <v>2691660</v>
      </c>
      <c r="BQ245" s="445">
        <f t="shared" si="574"/>
        <v>79016</v>
      </c>
      <c r="BR245" s="445">
        <f t="shared" si="574"/>
        <v>72576</v>
      </c>
      <c r="BS245" s="446">
        <f t="shared" si="574"/>
        <v>16.339200000000002</v>
      </c>
      <c r="BT245" s="446">
        <f t="shared" si="574"/>
        <v>12.4857</v>
      </c>
      <c r="BU245" s="39">
        <f t="shared" si="574"/>
        <v>3.8534999999999999</v>
      </c>
      <c r="BV245" s="833">
        <f t="shared" si="574"/>
        <v>0</v>
      </c>
      <c r="BW245" s="715">
        <f t="shared" si="574"/>
        <v>0</v>
      </c>
      <c r="BX245" s="715">
        <f t="shared" si="574"/>
        <v>0</v>
      </c>
      <c r="BY245" s="715">
        <f t="shared" si="574"/>
        <v>0</v>
      </c>
      <c r="BZ245" s="715">
        <f t="shared" si="574"/>
        <v>0</v>
      </c>
      <c r="CA245" s="834">
        <f t="shared" si="574"/>
        <v>0</v>
      </c>
    </row>
    <row r="246" spans="1:79" s="221" customFormat="1" ht="12.75" customHeight="1" x14ac:dyDescent="0.2">
      <c r="A246" s="209">
        <v>45</v>
      </c>
      <c r="B246" s="210">
        <v>4426</v>
      </c>
      <c r="C246" s="210">
        <v>600074129</v>
      </c>
      <c r="D246" s="210">
        <v>72742160</v>
      </c>
      <c r="E246" s="208" t="s">
        <v>230</v>
      </c>
      <c r="F246" s="210">
        <v>3111</v>
      </c>
      <c r="G246" s="165" t="s">
        <v>290</v>
      </c>
      <c r="H246" s="626" t="s">
        <v>271</v>
      </c>
      <c r="I246" s="511">
        <v>3314455</v>
      </c>
      <c r="J246" s="415">
        <v>2453447</v>
      </c>
      <c r="K246" s="415">
        <v>2231655</v>
      </c>
      <c r="L246" s="415">
        <v>221792</v>
      </c>
      <c r="M246" s="415">
        <v>0</v>
      </c>
      <c r="N246" s="415">
        <v>0</v>
      </c>
      <c r="O246" s="415">
        <v>0</v>
      </c>
      <c r="P246" s="68">
        <v>829265</v>
      </c>
      <c r="Q246" s="68">
        <v>24534</v>
      </c>
      <c r="R246" s="415">
        <v>7209</v>
      </c>
      <c r="S246" s="416">
        <v>4.7466999999999997</v>
      </c>
      <c r="T246" s="417">
        <v>4</v>
      </c>
      <c r="U246" s="423">
        <v>0.74669999999999992</v>
      </c>
      <c r="V246" s="424">
        <f>AG246*-1</f>
        <v>0</v>
      </c>
      <c r="W246" s="418">
        <f>AH246*-1</f>
        <v>0</v>
      </c>
      <c r="X246" s="418">
        <v>0</v>
      </c>
      <c r="Y246" s="418">
        <v>0</v>
      </c>
      <c r="Z246" s="418">
        <v>0</v>
      </c>
      <c r="AA246" s="415">
        <v>0</v>
      </c>
      <c r="AB246" s="418">
        <v>0</v>
      </c>
      <c r="AC246" s="418">
        <v>0</v>
      </c>
      <c r="AD246" s="418">
        <f>V246+X246+Y246+Z246+AB246</f>
        <v>0</v>
      </c>
      <c r="AE246" s="418">
        <f>W246+AA246+AC246</f>
        <v>0</v>
      </c>
      <c r="AF246" s="418">
        <f>SUM(AD246:AE246)</f>
        <v>0</v>
      </c>
      <c r="AG246" s="418">
        <v>0</v>
      </c>
      <c r="AH246" s="418">
        <v>0</v>
      </c>
      <c r="AI246" s="418">
        <v>0</v>
      </c>
      <c r="AJ246" s="418">
        <v>0</v>
      </c>
      <c r="AK246" s="418">
        <v>0</v>
      </c>
      <c r="AL246" s="418">
        <f>AG246+AI246+AJ246</f>
        <v>0</v>
      </c>
      <c r="AM246" s="418">
        <f>AH246+AK246</f>
        <v>0</v>
      </c>
      <c r="AN246" s="418">
        <f>SUM(AL246:AM246)</f>
        <v>0</v>
      </c>
      <c r="AO246" s="418">
        <f>AD246+AL246</f>
        <v>0</v>
      </c>
      <c r="AP246" s="418">
        <f>AE246+AM246</f>
        <v>0</v>
      </c>
      <c r="AQ246" s="418">
        <f>SUM(AO246:AP246)</f>
        <v>0</v>
      </c>
      <c r="AR246" s="68">
        <f>ROUND((AF246+AG246+AH246+AI246)*33.8%,0)</f>
        <v>0</v>
      </c>
      <c r="AS246" s="68">
        <f>ROUND(AF246*1%,0)</f>
        <v>0</v>
      </c>
      <c r="AT246" s="418">
        <v>0</v>
      </c>
      <c r="AU246" s="415">
        <v>0</v>
      </c>
      <c r="AV246" s="418">
        <f>AT246+AU246</f>
        <v>0</v>
      </c>
      <c r="AW246" s="418">
        <f>AQ246+AR246+AS246+AV246</f>
        <v>0</v>
      </c>
      <c r="AX246" s="419">
        <v>0</v>
      </c>
      <c r="AY246" s="419">
        <v>0</v>
      </c>
      <c r="AZ246" s="419">
        <v>0</v>
      </c>
      <c r="BA246" s="419">
        <v>0</v>
      </c>
      <c r="BB246" s="416">
        <v>0</v>
      </c>
      <c r="BC246" s="939">
        <v>0</v>
      </c>
      <c r="BD246" s="419">
        <v>0</v>
      </c>
      <c r="BE246" s="419">
        <v>0</v>
      </c>
      <c r="BF246" s="419">
        <f>AX246+AZ246+BA246+BC246+BD246</f>
        <v>0</v>
      </c>
      <c r="BG246" s="419">
        <f>AY246+BB246+BE246</f>
        <v>0</v>
      </c>
      <c r="BH246" s="421">
        <f>SUM(BF246:BG246)</f>
        <v>0</v>
      </c>
      <c r="BI246" s="780">
        <f>I246+AW246</f>
        <v>3314455</v>
      </c>
      <c r="BJ246" s="418">
        <f>J246+AF246</f>
        <v>2453447</v>
      </c>
      <c r="BK246" s="418">
        <f>K246+AD246</f>
        <v>2231655</v>
      </c>
      <c r="BL246" s="418">
        <f>L246+AE246</f>
        <v>221792</v>
      </c>
      <c r="BM246" s="418">
        <f>M246+AN246</f>
        <v>0</v>
      </c>
      <c r="BN246" s="418">
        <f>N246+AL246</f>
        <v>0</v>
      </c>
      <c r="BO246" s="418">
        <f>O246+AM246</f>
        <v>0</v>
      </c>
      <c r="BP246" s="418">
        <f>P246+AR246</f>
        <v>829265</v>
      </c>
      <c r="BQ246" s="418">
        <f>Q246+AS246</f>
        <v>24534</v>
      </c>
      <c r="BR246" s="418">
        <f>R246+AV246</f>
        <v>7209</v>
      </c>
      <c r="BS246" s="419">
        <f>S246+BH246</f>
        <v>4.7466999999999997</v>
      </c>
      <c r="BT246" s="419">
        <f>T246+BF246</f>
        <v>4</v>
      </c>
      <c r="BU246" s="421">
        <f>U246+BG246</f>
        <v>0.74669999999999992</v>
      </c>
      <c r="BV246" s="420"/>
      <c r="BW246" s="415"/>
      <c r="BX246" s="415"/>
      <c r="BY246" s="415"/>
      <c r="BZ246" s="415"/>
      <c r="CA246" s="510"/>
    </row>
    <row r="247" spans="1:79" s="221" customFormat="1" ht="12.75" customHeight="1" x14ac:dyDescent="0.2">
      <c r="A247" s="209">
        <v>45</v>
      </c>
      <c r="B247" s="210">
        <v>4426</v>
      </c>
      <c r="C247" s="210">
        <v>600074129</v>
      </c>
      <c r="D247" s="210">
        <v>72742160</v>
      </c>
      <c r="E247" s="208" t="s">
        <v>230</v>
      </c>
      <c r="F247" s="210">
        <v>3141</v>
      </c>
      <c r="G247" s="165" t="s">
        <v>294</v>
      </c>
      <c r="H247" s="626" t="s">
        <v>272</v>
      </c>
      <c r="I247" s="511">
        <v>297636</v>
      </c>
      <c r="J247" s="415">
        <v>220097</v>
      </c>
      <c r="K247" s="415">
        <v>0</v>
      </c>
      <c r="L247" s="415">
        <v>220097</v>
      </c>
      <c r="M247" s="415">
        <v>0</v>
      </c>
      <c r="N247" s="415">
        <v>0</v>
      </c>
      <c r="O247" s="415">
        <v>0</v>
      </c>
      <c r="P247" s="68">
        <v>74393</v>
      </c>
      <c r="Q247" s="68">
        <v>2201</v>
      </c>
      <c r="R247" s="415">
        <v>945</v>
      </c>
      <c r="S247" s="416">
        <v>0.66</v>
      </c>
      <c r="T247" s="417">
        <v>0</v>
      </c>
      <c r="U247" s="423">
        <v>0.66</v>
      </c>
      <c r="V247" s="424">
        <f>AG247*-1</f>
        <v>0</v>
      </c>
      <c r="W247" s="418">
        <f>AH247*-1</f>
        <v>0</v>
      </c>
      <c r="X247" s="418">
        <v>0</v>
      </c>
      <c r="Y247" s="418">
        <v>0</v>
      </c>
      <c r="Z247" s="418">
        <v>0</v>
      </c>
      <c r="AA247" s="605">
        <v>111135</v>
      </c>
      <c r="AB247" s="418">
        <v>0</v>
      </c>
      <c r="AC247" s="418">
        <v>0</v>
      </c>
      <c r="AD247" s="418">
        <f>V247+X247+Y247+Z247+AB247</f>
        <v>0</v>
      </c>
      <c r="AE247" s="418">
        <f>W247+AA247+AC247</f>
        <v>111135</v>
      </c>
      <c r="AF247" s="418">
        <f>SUM(AD247:AE247)</f>
        <v>111135</v>
      </c>
      <c r="AG247" s="418">
        <v>0</v>
      </c>
      <c r="AH247" s="418">
        <v>0</v>
      </c>
      <c r="AI247" s="418">
        <v>0</v>
      </c>
      <c r="AJ247" s="418">
        <v>0</v>
      </c>
      <c r="AK247" s="418">
        <v>0</v>
      </c>
      <c r="AL247" s="418">
        <f>AG247+AI247+AJ247</f>
        <v>0</v>
      </c>
      <c r="AM247" s="418">
        <f>AH247+AK247</f>
        <v>0</v>
      </c>
      <c r="AN247" s="418">
        <f>SUM(AL247:AM247)</f>
        <v>0</v>
      </c>
      <c r="AO247" s="418">
        <f>AD247+AL247</f>
        <v>0</v>
      </c>
      <c r="AP247" s="418">
        <f>AE247+AM247</f>
        <v>111135</v>
      </c>
      <c r="AQ247" s="418">
        <f>SUM(AO247:AP247)</f>
        <v>111135</v>
      </c>
      <c r="AR247" s="68">
        <f>ROUND((AF247+AG247+AH247+AI247)*33.8%,0)</f>
        <v>37564</v>
      </c>
      <c r="AS247" s="68">
        <f>ROUND(AF247*1%,0)</f>
        <v>1111</v>
      </c>
      <c r="AT247" s="418">
        <v>0</v>
      </c>
      <c r="AU247" s="605">
        <v>459</v>
      </c>
      <c r="AV247" s="418">
        <f>AT247+AU247</f>
        <v>459</v>
      </c>
      <c r="AW247" s="418">
        <f>AQ247+AR247+AS247+AV247</f>
        <v>150269</v>
      </c>
      <c r="AX247" s="419">
        <v>0</v>
      </c>
      <c r="AY247" s="419">
        <v>0</v>
      </c>
      <c r="AZ247" s="419">
        <v>0</v>
      </c>
      <c r="BA247" s="419">
        <v>0</v>
      </c>
      <c r="BB247" s="607">
        <v>0.32999999999999996</v>
      </c>
      <c r="BC247" s="939">
        <v>0</v>
      </c>
      <c r="BD247" s="419">
        <v>0</v>
      </c>
      <c r="BE247" s="419">
        <v>0</v>
      </c>
      <c r="BF247" s="419">
        <f>AX247+AZ247+BA247+BC247+BD247</f>
        <v>0</v>
      </c>
      <c r="BG247" s="419">
        <f>AY247+BB247+BE247</f>
        <v>0.32999999999999996</v>
      </c>
      <c r="BH247" s="421">
        <f>SUM(BF247:BG247)</f>
        <v>0.32999999999999996</v>
      </c>
      <c r="BI247" s="780">
        <f>I247+AW247</f>
        <v>447905</v>
      </c>
      <c r="BJ247" s="418">
        <f>J247+AF247</f>
        <v>331232</v>
      </c>
      <c r="BK247" s="418">
        <f>K247+AD247</f>
        <v>0</v>
      </c>
      <c r="BL247" s="418">
        <f>L247+AE247</f>
        <v>331232</v>
      </c>
      <c r="BM247" s="418">
        <f>M247+AN247</f>
        <v>0</v>
      </c>
      <c r="BN247" s="418">
        <f>N247+AL247</f>
        <v>0</v>
      </c>
      <c r="BO247" s="418">
        <f>O247+AM247</f>
        <v>0</v>
      </c>
      <c r="BP247" s="418">
        <f>P247+AR247</f>
        <v>111957</v>
      </c>
      <c r="BQ247" s="418">
        <f>Q247+AS247</f>
        <v>3312</v>
      </c>
      <c r="BR247" s="418">
        <f>R247+AV247</f>
        <v>1404</v>
      </c>
      <c r="BS247" s="419">
        <f>S247+BH247</f>
        <v>0.99</v>
      </c>
      <c r="BT247" s="419">
        <f>T247+BF247</f>
        <v>0</v>
      </c>
      <c r="BU247" s="421">
        <f>U247+BG247</f>
        <v>0.99</v>
      </c>
      <c r="BV247" s="420"/>
      <c r="BW247" s="415"/>
      <c r="BX247" s="415"/>
      <c r="BY247" s="415"/>
      <c r="BZ247" s="415"/>
      <c r="CA247" s="510"/>
    </row>
    <row r="248" spans="1:79" s="221" customFormat="1" ht="12.75" customHeight="1" x14ac:dyDescent="0.2">
      <c r="A248" s="155">
        <v>45</v>
      </c>
      <c r="B248" s="18">
        <v>4426</v>
      </c>
      <c r="C248" s="18">
        <v>600074129</v>
      </c>
      <c r="D248" s="18">
        <v>72742160</v>
      </c>
      <c r="E248" s="164" t="s">
        <v>231</v>
      </c>
      <c r="F248" s="18"/>
      <c r="G248" s="154"/>
      <c r="H248" s="613"/>
      <c r="I248" s="451">
        <v>3612091</v>
      </c>
      <c r="J248" s="443">
        <v>2673544</v>
      </c>
      <c r="K248" s="443">
        <v>2231655</v>
      </c>
      <c r="L248" s="443">
        <v>441889</v>
      </c>
      <c r="M248" s="443">
        <v>0</v>
      </c>
      <c r="N248" s="443">
        <v>0</v>
      </c>
      <c r="O248" s="443">
        <v>0</v>
      </c>
      <c r="P248" s="443">
        <v>903658</v>
      </c>
      <c r="Q248" s="443">
        <v>26735</v>
      </c>
      <c r="R248" s="443">
        <v>8154</v>
      </c>
      <c r="S248" s="444">
        <v>5.4066999999999998</v>
      </c>
      <c r="T248" s="444">
        <v>4</v>
      </c>
      <c r="U248" s="449">
        <v>1.4066999999999998</v>
      </c>
      <c r="V248" s="447">
        <f t="shared" ref="V248:CA248" si="575">SUM(V246:V247)</f>
        <v>0</v>
      </c>
      <c r="W248" s="443">
        <f t="shared" si="575"/>
        <v>0</v>
      </c>
      <c r="X248" s="443">
        <f t="shared" si="575"/>
        <v>0</v>
      </c>
      <c r="Y248" s="443">
        <f t="shared" si="575"/>
        <v>0</v>
      </c>
      <c r="Z248" s="443">
        <f t="shared" si="575"/>
        <v>0</v>
      </c>
      <c r="AA248" s="443">
        <f t="shared" si="575"/>
        <v>111135</v>
      </c>
      <c r="AB248" s="443">
        <f t="shared" si="575"/>
        <v>0</v>
      </c>
      <c r="AC248" s="443">
        <f t="shared" si="575"/>
        <v>0</v>
      </c>
      <c r="AD248" s="443">
        <f t="shared" si="575"/>
        <v>0</v>
      </c>
      <c r="AE248" s="443">
        <f t="shared" si="575"/>
        <v>111135</v>
      </c>
      <c r="AF248" s="443">
        <f t="shared" si="575"/>
        <v>111135</v>
      </c>
      <c r="AG248" s="443">
        <f t="shared" si="575"/>
        <v>0</v>
      </c>
      <c r="AH248" s="443">
        <f t="shared" si="575"/>
        <v>0</v>
      </c>
      <c r="AI248" s="443">
        <f t="shared" si="575"/>
        <v>0</v>
      </c>
      <c r="AJ248" s="443">
        <f t="shared" si="575"/>
        <v>0</v>
      </c>
      <c r="AK248" s="443">
        <f t="shared" si="575"/>
        <v>0</v>
      </c>
      <c r="AL248" s="443">
        <f t="shared" si="575"/>
        <v>0</v>
      </c>
      <c r="AM248" s="443">
        <f t="shared" si="575"/>
        <v>0</v>
      </c>
      <c r="AN248" s="443">
        <f t="shared" si="575"/>
        <v>0</v>
      </c>
      <c r="AO248" s="443">
        <f t="shared" si="575"/>
        <v>0</v>
      </c>
      <c r="AP248" s="443">
        <f t="shared" si="575"/>
        <v>111135</v>
      </c>
      <c r="AQ248" s="443">
        <f t="shared" si="575"/>
        <v>111135</v>
      </c>
      <c r="AR248" s="443">
        <f t="shared" si="575"/>
        <v>37564</v>
      </c>
      <c r="AS248" s="443">
        <f t="shared" si="575"/>
        <v>1111</v>
      </c>
      <c r="AT248" s="443">
        <f t="shared" si="575"/>
        <v>0</v>
      </c>
      <c r="AU248" s="443">
        <f t="shared" si="575"/>
        <v>459</v>
      </c>
      <c r="AV248" s="443">
        <f t="shared" si="575"/>
        <v>459</v>
      </c>
      <c r="AW248" s="443">
        <f t="shared" si="575"/>
        <v>150269</v>
      </c>
      <c r="AX248" s="444">
        <f t="shared" si="575"/>
        <v>0</v>
      </c>
      <c r="AY248" s="444">
        <f t="shared" si="575"/>
        <v>0</v>
      </c>
      <c r="AZ248" s="444">
        <f t="shared" si="575"/>
        <v>0</v>
      </c>
      <c r="BA248" s="444">
        <f t="shared" si="575"/>
        <v>0</v>
      </c>
      <c r="BB248" s="444">
        <f t="shared" si="575"/>
        <v>0.32999999999999996</v>
      </c>
      <c r="BC248" s="947">
        <f t="shared" si="575"/>
        <v>0</v>
      </c>
      <c r="BD248" s="444">
        <f t="shared" si="575"/>
        <v>0</v>
      </c>
      <c r="BE248" s="444">
        <f t="shared" si="575"/>
        <v>0</v>
      </c>
      <c r="BF248" s="444">
        <f t="shared" si="575"/>
        <v>0</v>
      </c>
      <c r="BG248" s="444">
        <f t="shared" si="575"/>
        <v>0.32999999999999996</v>
      </c>
      <c r="BH248" s="40">
        <f t="shared" si="575"/>
        <v>0.32999999999999996</v>
      </c>
      <c r="BI248" s="451">
        <f t="shared" si="575"/>
        <v>3762360</v>
      </c>
      <c r="BJ248" s="443">
        <f t="shared" si="575"/>
        <v>2784679</v>
      </c>
      <c r="BK248" s="443">
        <f t="shared" si="575"/>
        <v>2231655</v>
      </c>
      <c r="BL248" s="443">
        <f t="shared" si="575"/>
        <v>553024</v>
      </c>
      <c r="BM248" s="443">
        <f t="shared" si="575"/>
        <v>0</v>
      </c>
      <c r="BN248" s="443">
        <f t="shared" si="575"/>
        <v>0</v>
      </c>
      <c r="BO248" s="443">
        <f t="shared" si="575"/>
        <v>0</v>
      </c>
      <c r="BP248" s="443">
        <f t="shared" si="575"/>
        <v>941222</v>
      </c>
      <c r="BQ248" s="443">
        <f t="shared" si="575"/>
        <v>27846</v>
      </c>
      <c r="BR248" s="443">
        <f t="shared" si="575"/>
        <v>8613</v>
      </c>
      <c r="BS248" s="444">
        <f t="shared" si="575"/>
        <v>5.7366999999999999</v>
      </c>
      <c r="BT248" s="444">
        <f t="shared" si="575"/>
        <v>4</v>
      </c>
      <c r="BU248" s="40">
        <f t="shared" si="575"/>
        <v>1.7366999999999999</v>
      </c>
      <c r="BV248" s="831">
        <f t="shared" si="575"/>
        <v>0</v>
      </c>
      <c r="BW248" s="714">
        <f t="shared" si="575"/>
        <v>0</v>
      </c>
      <c r="BX248" s="714">
        <f t="shared" si="575"/>
        <v>0</v>
      </c>
      <c r="BY248" s="714">
        <f t="shared" si="575"/>
        <v>0</v>
      </c>
      <c r="BZ248" s="714">
        <f t="shared" si="575"/>
        <v>0</v>
      </c>
      <c r="CA248" s="832">
        <f t="shared" si="575"/>
        <v>0</v>
      </c>
    </row>
    <row r="249" spans="1:79" s="221" customFormat="1" ht="12.75" customHeight="1" x14ac:dyDescent="0.2">
      <c r="A249" s="209">
        <v>46</v>
      </c>
      <c r="B249" s="210">
        <v>4461</v>
      </c>
      <c r="C249" s="210">
        <v>600074765</v>
      </c>
      <c r="D249" s="210">
        <v>46750088</v>
      </c>
      <c r="E249" s="208" t="s">
        <v>232</v>
      </c>
      <c r="F249" s="210">
        <v>3111</v>
      </c>
      <c r="G249" s="165" t="s">
        <v>290</v>
      </c>
      <c r="H249" s="626" t="s">
        <v>271</v>
      </c>
      <c r="I249" s="511">
        <v>9551788</v>
      </c>
      <c r="J249" s="415">
        <v>7052004</v>
      </c>
      <c r="K249" s="415">
        <v>6692580</v>
      </c>
      <c r="L249" s="415">
        <v>359424</v>
      </c>
      <c r="M249" s="415">
        <v>10000</v>
      </c>
      <c r="N249" s="415">
        <v>10000</v>
      </c>
      <c r="O249" s="415">
        <v>0</v>
      </c>
      <c r="P249" s="68">
        <v>2386957</v>
      </c>
      <c r="Q249" s="68">
        <v>70520</v>
      </c>
      <c r="R249" s="415">
        <v>32307</v>
      </c>
      <c r="S249" s="416">
        <v>13.213199999999999</v>
      </c>
      <c r="T249" s="417">
        <v>11.773199999999999</v>
      </c>
      <c r="U249" s="423">
        <v>1.44</v>
      </c>
      <c r="V249" s="424">
        <f t="shared" ref="V249:W254" si="576">AG249*-1</f>
        <v>0</v>
      </c>
      <c r="W249" s="418">
        <f t="shared" si="576"/>
        <v>0</v>
      </c>
      <c r="X249" s="418">
        <v>0</v>
      </c>
      <c r="Y249" s="418">
        <v>0</v>
      </c>
      <c r="Z249" s="418">
        <v>0</v>
      </c>
      <c r="AA249" s="415">
        <v>0</v>
      </c>
      <c r="AB249" s="418">
        <v>0</v>
      </c>
      <c r="AC249" s="418">
        <v>0</v>
      </c>
      <c r="AD249" s="418">
        <f t="shared" ref="AD249:AD254" si="577">V249+X249+Y249+Z249+AB249</f>
        <v>0</v>
      </c>
      <c r="AE249" s="418">
        <f t="shared" ref="AE249:AE254" si="578">W249+AA249+AC249</f>
        <v>0</v>
      </c>
      <c r="AF249" s="418">
        <f t="shared" ref="AF249:AF254" si="579">SUM(AD249:AE249)</f>
        <v>0</v>
      </c>
      <c r="AG249" s="418">
        <v>0</v>
      </c>
      <c r="AH249" s="418">
        <v>0</v>
      </c>
      <c r="AI249" s="418">
        <v>0</v>
      </c>
      <c r="AJ249" s="418">
        <v>0</v>
      </c>
      <c r="AK249" s="418">
        <v>0</v>
      </c>
      <c r="AL249" s="418">
        <f t="shared" ref="AL249:AL254" si="580">AG249+AI249+AJ249</f>
        <v>0</v>
      </c>
      <c r="AM249" s="418">
        <f t="shared" ref="AM249:AM254" si="581">AH249+AK249</f>
        <v>0</v>
      </c>
      <c r="AN249" s="418">
        <f t="shared" ref="AN249:AN254" si="582">SUM(AL249:AM249)</f>
        <v>0</v>
      </c>
      <c r="AO249" s="418">
        <f t="shared" ref="AO249:AP254" si="583">AD249+AL249</f>
        <v>0</v>
      </c>
      <c r="AP249" s="418">
        <f t="shared" si="583"/>
        <v>0</v>
      </c>
      <c r="AQ249" s="418">
        <f t="shared" ref="AQ249:AQ254" si="584">SUM(AO249:AP249)</f>
        <v>0</v>
      </c>
      <c r="AR249" s="68">
        <f t="shared" ref="AR249:AR254" si="585">ROUND((AF249+AG249+AH249+AI249)*33.8%,0)</f>
        <v>0</v>
      </c>
      <c r="AS249" s="68">
        <f t="shared" ref="AS249:AS254" si="586">ROUND(AF249*1%,0)</f>
        <v>0</v>
      </c>
      <c r="AT249" s="418">
        <v>0</v>
      </c>
      <c r="AU249" s="415">
        <v>0</v>
      </c>
      <c r="AV249" s="418">
        <f t="shared" ref="AV249:AV254" si="587">AT249+AU249</f>
        <v>0</v>
      </c>
      <c r="AW249" s="418">
        <f t="shared" ref="AW249:AW254" si="588">AQ249+AR249+AS249+AV249</f>
        <v>0</v>
      </c>
      <c r="AX249" s="419">
        <v>0</v>
      </c>
      <c r="AY249" s="419">
        <v>0</v>
      </c>
      <c r="AZ249" s="419">
        <v>0</v>
      </c>
      <c r="BA249" s="419">
        <v>0</v>
      </c>
      <c r="BB249" s="416">
        <v>0</v>
      </c>
      <c r="BC249" s="939">
        <v>0</v>
      </c>
      <c r="BD249" s="419">
        <v>0</v>
      </c>
      <c r="BE249" s="419">
        <v>0</v>
      </c>
      <c r="BF249" s="419">
        <f t="shared" ref="BF249:BF254" si="589">AX249+AZ249+BA249+BC249+BD249</f>
        <v>0</v>
      </c>
      <c r="BG249" s="419">
        <f t="shared" ref="BG249:BG254" si="590">AY249+BB249+BE249</f>
        <v>0</v>
      </c>
      <c r="BH249" s="421">
        <f t="shared" ref="BH249:BH254" si="591">SUM(BF249:BG249)</f>
        <v>0</v>
      </c>
      <c r="BI249" s="780">
        <f t="shared" ref="BI249:BI254" si="592">I249+AW249</f>
        <v>9551788</v>
      </c>
      <c r="BJ249" s="418">
        <f t="shared" ref="BJ249:BJ254" si="593">J249+AF249</f>
        <v>7052004</v>
      </c>
      <c r="BK249" s="418">
        <f t="shared" ref="BK249:BL254" si="594">K249+AD249</f>
        <v>6692580</v>
      </c>
      <c r="BL249" s="418">
        <f t="shared" si="594"/>
        <v>359424</v>
      </c>
      <c r="BM249" s="418">
        <f t="shared" ref="BM249:BM254" si="595">M249+AN249</f>
        <v>10000</v>
      </c>
      <c r="BN249" s="418">
        <f t="shared" ref="BN249:BO254" si="596">N249+AL249</f>
        <v>10000</v>
      </c>
      <c r="BO249" s="418">
        <f t="shared" si="596"/>
        <v>0</v>
      </c>
      <c r="BP249" s="418">
        <f t="shared" ref="BP249:BQ254" si="597">P249+AR249</f>
        <v>2386957</v>
      </c>
      <c r="BQ249" s="418">
        <f t="shared" si="597"/>
        <v>70520</v>
      </c>
      <c r="BR249" s="418">
        <f t="shared" ref="BR249:BR254" si="598">R249+AV249</f>
        <v>32307</v>
      </c>
      <c r="BS249" s="419">
        <f t="shared" ref="BS249:BS254" si="599">S249+BH249</f>
        <v>13.213199999999999</v>
      </c>
      <c r="BT249" s="419">
        <f t="shared" ref="BT249:BU254" si="600">T249+BF249</f>
        <v>11.773199999999999</v>
      </c>
      <c r="BU249" s="421">
        <f t="shared" si="600"/>
        <v>1.44</v>
      </c>
      <c r="BV249" s="420"/>
      <c r="BW249" s="415"/>
      <c r="BX249" s="415"/>
      <c r="BY249" s="415"/>
      <c r="BZ249" s="415"/>
      <c r="CA249" s="510"/>
    </row>
    <row r="250" spans="1:79" s="221" customFormat="1" ht="12.75" customHeight="1" x14ac:dyDescent="0.2">
      <c r="A250" s="209">
        <v>46</v>
      </c>
      <c r="B250" s="210">
        <v>4461</v>
      </c>
      <c r="C250" s="210">
        <v>600074765</v>
      </c>
      <c r="D250" s="210">
        <v>46750088</v>
      </c>
      <c r="E250" s="208" t="s">
        <v>232</v>
      </c>
      <c r="F250" s="210">
        <v>3113</v>
      </c>
      <c r="G250" s="165" t="s">
        <v>293</v>
      </c>
      <c r="H250" s="626" t="s">
        <v>271</v>
      </c>
      <c r="I250" s="511">
        <v>29268594</v>
      </c>
      <c r="J250" s="415">
        <v>21109280</v>
      </c>
      <c r="K250" s="415">
        <v>19556180</v>
      </c>
      <c r="L250" s="415">
        <v>1553100</v>
      </c>
      <c r="M250" s="415">
        <v>298000</v>
      </c>
      <c r="N250" s="415">
        <v>162000</v>
      </c>
      <c r="O250" s="415">
        <v>136000</v>
      </c>
      <c r="P250" s="68">
        <v>7235661</v>
      </c>
      <c r="Q250" s="68">
        <v>211093</v>
      </c>
      <c r="R250" s="415">
        <v>414560</v>
      </c>
      <c r="S250" s="416">
        <v>31.822199999999999</v>
      </c>
      <c r="T250" s="417">
        <v>27.198899999999998</v>
      </c>
      <c r="U250" s="423">
        <v>4.6233000000000013</v>
      </c>
      <c r="V250" s="424">
        <f t="shared" si="576"/>
        <v>0</v>
      </c>
      <c r="W250" s="418">
        <f t="shared" si="576"/>
        <v>0</v>
      </c>
      <c r="X250" s="418">
        <v>0</v>
      </c>
      <c r="Y250" s="418">
        <v>0</v>
      </c>
      <c r="Z250" s="418">
        <v>0</v>
      </c>
      <c r="AA250" s="415">
        <v>0</v>
      </c>
      <c r="AB250" s="418">
        <v>0</v>
      </c>
      <c r="AC250" s="418">
        <v>0</v>
      </c>
      <c r="AD250" s="418">
        <f t="shared" si="577"/>
        <v>0</v>
      </c>
      <c r="AE250" s="418">
        <f t="shared" si="578"/>
        <v>0</v>
      </c>
      <c r="AF250" s="418">
        <f t="shared" si="579"/>
        <v>0</v>
      </c>
      <c r="AG250" s="418">
        <v>0</v>
      </c>
      <c r="AH250" s="418">
        <v>0</v>
      </c>
      <c r="AI250" s="418">
        <v>0</v>
      </c>
      <c r="AJ250" s="418">
        <v>0</v>
      </c>
      <c r="AK250" s="418">
        <v>0</v>
      </c>
      <c r="AL250" s="418">
        <f t="shared" si="580"/>
        <v>0</v>
      </c>
      <c r="AM250" s="418">
        <f t="shared" si="581"/>
        <v>0</v>
      </c>
      <c r="AN250" s="418">
        <f t="shared" si="582"/>
        <v>0</v>
      </c>
      <c r="AO250" s="418">
        <f t="shared" si="583"/>
        <v>0</v>
      </c>
      <c r="AP250" s="418">
        <f t="shared" si="583"/>
        <v>0</v>
      </c>
      <c r="AQ250" s="418">
        <f t="shared" si="584"/>
        <v>0</v>
      </c>
      <c r="AR250" s="68">
        <f t="shared" si="585"/>
        <v>0</v>
      </c>
      <c r="AS250" s="68">
        <f t="shared" si="586"/>
        <v>0</v>
      </c>
      <c r="AT250" s="418">
        <v>0</v>
      </c>
      <c r="AU250" s="415">
        <v>0</v>
      </c>
      <c r="AV250" s="418">
        <f t="shared" si="587"/>
        <v>0</v>
      </c>
      <c r="AW250" s="418">
        <f t="shared" si="588"/>
        <v>0</v>
      </c>
      <c r="AX250" s="419">
        <v>0</v>
      </c>
      <c r="AY250" s="419">
        <v>0</v>
      </c>
      <c r="AZ250" s="419">
        <v>0</v>
      </c>
      <c r="BA250" s="419">
        <v>0</v>
      </c>
      <c r="BB250" s="416">
        <v>0</v>
      </c>
      <c r="BC250" s="939">
        <v>0</v>
      </c>
      <c r="BD250" s="419">
        <v>0</v>
      </c>
      <c r="BE250" s="419">
        <v>0</v>
      </c>
      <c r="BF250" s="419">
        <f t="shared" si="589"/>
        <v>0</v>
      </c>
      <c r="BG250" s="419">
        <f t="shared" si="590"/>
        <v>0</v>
      </c>
      <c r="BH250" s="421">
        <f t="shared" si="591"/>
        <v>0</v>
      </c>
      <c r="BI250" s="780">
        <f t="shared" si="592"/>
        <v>29268594</v>
      </c>
      <c r="BJ250" s="418">
        <f t="shared" si="593"/>
        <v>21109280</v>
      </c>
      <c r="BK250" s="418">
        <f t="shared" si="594"/>
        <v>19556180</v>
      </c>
      <c r="BL250" s="418">
        <f t="shared" si="594"/>
        <v>1553100</v>
      </c>
      <c r="BM250" s="418">
        <f t="shared" si="595"/>
        <v>298000</v>
      </c>
      <c r="BN250" s="418">
        <f t="shared" si="596"/>
        <v>162000</v>
      </c>
      <c r="BO250" s="418">
        <f t="shared" si="596"/>
        <v>136000</v>
      </c>
      <c r="BP250" s="418">
        <f t="shared" si="597"/>
        <v>7235661</v>
      </c>
      <c r="BQ250" s="418">
        <f t="shared" si="597"/>
        <v>211093</v>
      </c>
      <c r="BR250" s="418">
        <f t="shared" si="598"/>
        <v>414560</v>
      </c>
      <c r="BS250" s="419">
        <f t="shared" si="599"/>
        <v>31.822199999999999</v>
      </c>
      <c r="BT250" s="419">
        <f t="shared" si="600"/>
        <v>27.198899999999998</v>
      </c>
      <c r="BU250" s="421">
        <f t="shared" si="600"/>
        <v>4.6233000000000013</v>
      </c>
      <c r="BV250" s="420"/>
      <c r="BW250" s="415"/>
      <c r="BX250" s="415"/>
      <c r="BY250" s="415"/>
      <c r="BZ250" s="415"/>
      <c r="CA250" s="510"/>
    </row>
    <row r="251" spans="1:79" s="221" customFormat="1" ht="12.75" customHeight="1" x14ac:dyDescent="0.2">
      <c r="A251" s="209">
        <v>46</v>
      </c>
      <c r="B251" s="210">
        <v>4461</v>
      </c>
      <c r="C251" s="210">
        <v>600074765</v>
      </c>
      <c r="D251" s="210">
        <v>46750088</v>
      </c>
      <c r="E251" s="208" t="s">
        <v>232</v>
      </c>
      <c r="F251" s="210">
        <v>3113</v>
      </c>
      <c r="G251" s="165" t="s">
        <v>291</v>
      </c>
      <c r="H251" s="626" t="s">
        <v>272</v>
      </c>
      <c r="I251" s="511">
        <v>2163215</v>
      </c>
      <c r="J251" s="415">
        <v>1604759</v>
      </c>
      <c r="K251" s="415">
        <v>1604759</v>
      </c>
      <c r="L251" s="415">
        <v>0</v>
      </c>
      <c r="M251" s="415">
        <v>0</v>
      </c>
      <c r="N251" s="415">
        <v>0</v>
      </c>
      <c r="O251" s="415">
        <v>0</v>
      </c>
      <c r="P251" s="68">
        <v>542409</v>
      </c>
      <c r="Q251" s="68">
        <v>16047</v>
      </c>
      <c r="R251" s="415">
        <v>0</v>
      </c>
      <c r="S251" s="416">
        <v>4.42</v>
      </c>
      <c r="T251" s="417">
        <v>4.42</v>
      </c>
      <c r="U251" s="423">
        <v>0</v>
      </c>
      <c r="V251" s="424">
        <f t="shared" si="576"/>
        <v>0</v>
      </c>
      <c r="W251" s="418">
        <f t="shared" si="576"/>
        <v>0</v>
      </c>
      <c r="X251" s="418">
        <v>0</v>
      </c>
      <c r="Y251" s="418">
        <v>0</v>
      </c>
      <c r="Z251" s="418">
        <v>0</v>
      </c>
      <c r="AA251" s="415">
        <v>0</v>
      </c>
      <c r="AB251" s="418">
        <v>0</v>
      </c>
      <c r="AC251" s="418">
        <v>0</v>
      </c>
      <c r="AD251" s="418">
        <f t="shared" si="577"/>
        <v>0</v>
      </c>
      <c r="AE251" s="418">
        <f t="shared" si="578"/>
        <v>0</v>
      </c>
      <c r="AF251" s="418">
        <f t="shared" si="579"/>
        <v>0</v>
      </c>
      <c r="AG251" s="418">
        <v>0</v>
      </c>
      <c r="AH251" s="418">
        <v>0</v>
      </c>
      <c r="AI251" s="418">
        <v>0</v>
      </c>
      <c r="AJ251" s="418">
        <v>0</v>
      </c>
      <c r="AK251" s="418">
        <v>0</v>
      </c>
      <c r="AL251" s="418">
        <f t="shared" si="580"/>
        <v>0</v>
      </c>
      <c r="AM251" s="418">
        <f t="shared" si="581"/>
        <v>0</v>
      </c>
      <c r="AN251" s="418">
        <f t="shared" si="582"/>
        <v>0</v>
      </c>
      <c r="AO251" s="418">
        <f t="shared" si="583"/>
        <v>0</v>
      </c>
      <c r="AP251" s="418">
        <f t="shared" si="583"/>
        <v>0</v>
      </c>
      <c r="AQ251" s="418">
        <f t="shared" si="584"/>
        <v>0</v>
      </c>
      <c r="AR251" s="68">
        <f t="shared" si="585"/>
        <v>0</v>
      </c>
      <c r="AS251" s="68">
        <f t="shared" si="586"/>
        <v>0</v>
      </c>
      <c r="AT251" s="418">
        <v>0</v>
      </c>
      <c r="AU251" s="415">
        <v>0</v>
      </c>
      <c r="AV251" s="418">
        <f t="shared" si="587"/>
        <v>0</v>
      </c>
      <c r="AW251" s="418">
        <f t="shared" si="588"/>
        <v>0</v>
      </c>
      <c r="AX251" s="419">
        <v>0</v>
      </c>
      <c r="AY251" s="419">
        <v>0</v>
      </c>
      <c r="AZ251" s="419">
        <v>0</v>
      </c>
      <c r="BA251" s="419">
        <v>0</v>
      </c>
      <c r="BB251" s="416">
        <v>0</v>
      </c>
      <c r="BC251" s="939">
        <v>0</v>
      </c>
      <c r="BD251" s="419">
        <v>0</v>
      </c>
      <c r="BE251" s="419">
        <v>0</v>
      </c>
      <c r="BF251" s="419">
        <f t="shared" si="589"/>
        <v>0</v>
      </c>
      <c r="BG251" s="419">
        <f t="shared" si="590"/>
        <v>0</v>
      </c>
      <c r="BH251" s="421">
        <f t="shared" si="591"/>
        <v>0</v>
      </c>
      <c r="BI251" s="780">
        <f t="shared" si="592"/>
        <v>2163215</v>
      </c>
      <c r="BJ251" s="418">
        <f t="shared" si="593"/>
        <v>1604759</v>
      </c>
      <c r="BK251" s="418">
        <f t="shared" si="594"/>
        <v>1604759</v>
      </c>
      <c r="BL251" s="418">
        <f t="shared" si="594"/>
        <v>0</v>
      </c>
      <c r="BM251" s="418">
        <f t="shared" si="595"/>
        <v>0</v>
      </c>
      <c r="BN251" s="418">
        <f t="shared" si="596"/>
        <v>0</v>
      </c>
      <c r="BO251" s="418">
        <f t="shared" si="596"/>
        <v>0</v>
      </c>
      <c r="BP251" s="418">
        <f t="shared" si="597"/>
        <v>542409</v>
      </c>
      <c r="BQ251" s="418">
        <f t="shared" si="597"/>
        <v>16047</v>
      </c>
      <c r="BR251" s="418">
        <f t="shared" si="598"/>
        <v>0</v>
      </c>
      <c r="BS251" s="419">
        <f t="shared" si="599"/>
        <v>4.42</v>
      </c>
      <c r="BT251" s="419">
        <f t="shared" si="600"/>
        <v>4.42</v>
      </c>
      <c r="BU251" s="421">
        <f t="shared" si="600"/>
        <v>0</v>
      </c>
      <c r="BV251" s="420"/>
      <c r="BW251" s="415"/>
      <c r="BX251" s="415"/>
      <c r="BY251" s="415"/>
      <c r="BZ251" s="415"/>
      <c r="CA251" s="510"/>
    </row>
    <row r="252" spans="1:79" s="221" customFormat="1" ht="12.75" customHeight="1" x14ac:dyDescent="0.2">
      <c r="A252" s="209">
        <v>46</v>
      </c>
      <c r="B252" s="210">
        <v>4461</v>
      </c>
      <c r="C252" s="210">
        <v>600074765</v>
      </c>
      <c r="D252" s="210">
        <v>46750088</v>
      </c>
      <c r="E252" s="204" t="s">
        <v>232</v>
      </c>
      <c r="F252" s="210">
        <v>3141</v>
      </c>
      <c r="G252" s="165" t="s">
        <v>294</v>
      </c>
      <c r="H252" s="626" t="s">
        <v>272</v>
      </c>
      <c r="I252" s="511">
        <v>2069704</v>
      </c>
      <c r="J252" s="415">
        <v>1489104</v>
      </c>
      <c r="K252" s="415">
        <v>0</v>
      </c>
      <c r="L252" s="415">
        <v>1489104</v>
      </c>
      <c r="M252" s="415">
        <v>36000</v>
      </c>
      <c r="N252" s="415">
        <v>0</v>
      </c>
      <c r="O252" s="415">
        <v>36000</v>
      </c>
      <c r="P252" s="68">
        <v>515485</v>
      </c>
      <c r="Q252" s="68">
        <v>14891</v>
      </c>
      <c r="R252" s="415">
        <v>14224</v>
      </c>
      <c r="S252" s="416">
        <v>4.4400000000000004</v>
      </c>
      <c r="T252" s="417">
        <v>0</v>
      </c>
      <c r="U252" s="423">
        <v>4.4400000000000004</v>
      </c>
      <c r="V252" s="424">
        <f t="shared" si="576"/>
        <v>0</v>
      </c>
      <c r="W252" s="418">
        <f t="shared" si="576"/>
        <v>0</v>
      </c>
      <c r="X252" s="418">
        <v>0</v>
      </c>
      <c r="Y252" s="418">
        <v>0</v>
      </c>
      <c r="Z252" s="418">
        <v>0</v>
      </c>
      <c r="AA252" s="415">
        <v>762907</v>
      </c>
      <c r="AB252" s="418">
        <v>0</v>
      </c>
      <c r="AC252" s="418">
        <v>0</v>
      </c>
      <c r="AD252" s="418">
        <f t="shared" si="577"/>
        <v>0</v>
      </c>
      <c r="AE252" s="418">
        <f t="shared" si="578"/>
        <v>762907</v>
      </c>
      <c r="AF252" s="418">
        <f t="shared" si="579"/>
        <v>762907</v>
      </c>
      <c r="AG252" s="418">
        <v>0</v>
      </c>
      <c r="AH252" s="418">
        <v>0</v>
      </c>
      <c r="AI252" s="418">
        <v>0</v>
      </c>
      <c r="AJ252" s="418">
        <v>0</v>
      </c>
      <c r="AK252" s="418">
        <v>0</v>
      </c>
      <c r="AL252" s="418">
        <f t="shared" si="580"/>
        <v>0</v>
      </c>
      <c r="AM252" s="418">
        <f t="shared" si="581"/>
        <v>0</v>
      </c>
      <c r="AN252" s="418">
        <f t="shared" si="582"/>
        <v>0</v>
      </c>
      <c r="AO252" s="418">
        <f t="shared" si="583"/>
        <v>0</v>
      </c>
      <c r="AP252" s="418">
        <f t="shared" si="583"/>
        <v>762907</v>
      </c>
      <c r="AQ252" s="418">
        <f t="shared" si="584"/>
        <v>762907</v>
      </c>
      <c r="AR252" s="68">
        <f t="shared" si="585"/>
        <v>257863</v>
      </c>
      <c r="AS252" s="68">
        <f t="shared" si="586"/>
        <v>7629</v>
      </c>
      <c r="AT252" s="418">
        <v>0</v>
      </c>
      <c r="AU252" s="415">
        <v>6868</v>
      </c>
      <c r="AV252" s="418">
        <f t="shared" si="587"/>
        <v>6868</v>
      </c>
      <c r="AW252" s="418">
        <f t="shared" si="588"/>
        <v>1035267</v>
      </c>
      <c r="AX252" s="419">
        <v>0</v>
      </c>
      <c r="AY252" s="419">
        <v>0</v>
      </c>
      <c r="AZ252" s="419">
        <v>0</v>
      </c>
      <c r="BA252" s="419">
        <v>0</v>
      </c>
      <c r="BB252" s="416">
        <v>2.29</v>
      </c>
      <c r="BC252" s="939">
        <v>0</v>
      </c>
      <c r="BD252" s="419">
        <v>0</v>
      </c>
      <c r="BE252" s="419">
        <v>0</v>
      </c>
      <c r="BF252" s="419">
        <f t="shared" si="589"/>
        <v>0</v>
      </c>
      <c r="BG252" s="419">
        <f t="shared" si="590"/>
        <v>2.29</v>
      </c>
      <c r="BH252" s="421">
        <f t="shared" si="591"/>
        <v>2.29</v>
      </c>
      <c r="BI252" s="780">
        <f t="shared" si="592"/>
        <v>3104971</v>
      </c>
      <c r="BJ252" s="418">
        <f t="shared" si="593"/>
        <v>2252011</v>
      </c>
      <c r="BK252" s="418">
        <f t="shared" si="594"/>
        <v>0</v>
      </c>
      <c r="BL252" s="418">
        <f t="shared" si="594"/>
        <v>2252011</v>
      </c>
      <c r="BM252" s="418">
        <f t="shared" si="595"/>
        <v>36000</v>
      </c>
      <c r="BN252" s="418">
        <f t="shared" si="596"/>
        <v>0</v>
      </c>
      <c r="BO252" s="418">
        <f t="shared" si="596"/>
        <v>36000</v>
      </c>
      <c r="BP252" s="418">
        <f t="shared" si="597"/>
        <v>773348</v>
      </c>
      <c r="BQ252" s="418">
        <f t="shared" si="597"/>
        <v>22520</v>
      </c>
      <c r="BR252" s="418">
        <f t="shared" si="598"/>
        <v>21092</v>
      </c>
      <c r="BS252" s="419">
        <f t="shared" si="599"/>
        <v>6.73</v>
      </c>
      <c r="BT252" s="419">
        <f t="shared" si="600"/>
        <v>0</v>
      </c>
      <c r="BU252" s="421">
        <f t="shared" si="600"/>
        <v>6.73</v>
      </c>
      <c r="BV252" s="420"/>
      <c r="BW252" s="415"/>
      <c r="BX252" s="415"/>
      <c r="BY252" s="415"/>
      <c r="BZ252" s="415"/>
      <c r="CA252" s="510"/>
    </row>
    <row r="253" spans="1:79" s="221" customFormat="1" ht="12.75" customHeight="1" x14ac:dyDescent="0.2">
      <c r="A253" s="209">
        <v>46</v>
      </c>
      <c r="B253" s="210">
        <v>4461</v>
      </c>
      <c r="C253" s="210">
        <v>600074765</v>
      </c>
      <c r="D253" s="210">
        <v>46750088</v>
      </c>
      <c r="E253" s="208" t="s">
        <v>232</v>
      </c>
      <c r="F253" s="210">
        <v>3143</v>
      </c>
      <c r="G253" s="165" t="s">
        <v>595</v>
      </c>
      <c r="H253" s="614" t="s">
        <v>271</v>
      </c>
      <c r="I253" s="511">
        <v>2319051</v>
      </c>
      <c r="J253" s="415">
        <v>1700513</v>
      </c>
      <c r="K253" s="415">
        <v>1700513</v>
      </c>
      <c r="L253" s="415">
        <v>0</v>
      </c>
      <c r="M253" s="415">
        <v>20000</v>
      </c>
      <c r="N253" s="415">
        <v>20000</v>
      </c>
      <c r="O253" s="415">
        <v>0</v>
      </c>
      <c r="P253" s="68">
        <v>581533</v>
      </c>
      <c r="Q253" s="68">
        <v>17005</v>
      </c>
      <c r="R253" s="415">
        <v>0</v>
      </c>
      <c r="S253" s="416">
        <v>3.2914000000000003</v>
      </c>
      <c r="T253" s="417">
        <v>3.2914000000000003</v>
      </c>
      <c r="U253" s="423">
        <v>0</v>
      </c>
      <c r="V253" s="424">
        <f t="shared" si="576"/>
        <v>0</v>
      </c>
      <c r="W253" s="418">
        <f t="shared" si="576"/>
        <v>0</v>
      </c>
      <c r="X253" s="418">
        <v>0</v>
      </c>
      <c r="Y253" s="418">
        <v>0</v>
      </c>
      <c r="Z253" s="418">
        <v>0</v>
      </c>
      <c r="AA253" s="415">
        <v>0</v>
      </c>
      <c r="AB253" s="418">
        <v>0</v>
      </c>
      <c r="AC253" s="418">
        <v>0</v>
      </c>
      <c r="AD253" s="418">
        <f t="shared" si="577"/>
        <v>0</v>
      </c>
      <c r="AE253" s="418">
        <f t="shared" si="578"/>
        <v>0</v>
      </c>
      <c r="AF253" s="418">
        <f t="shared" si="579"/>
        <v>0</v>
      </c>
      <c r="AG253" s="418">
        <v>0</v>
      </c>
      <c r="AH253" s="418">
        <v>0</v>
      </c>
      <c r="AI253" s="418">
        <v>0</v>
      </c>
      <c r="AJ253" s="418">
        <v>0</v>
      </c>
      <c r="AK253" s="418">
        <v>0</v>
      </c>
      <c r="AL253" s="418">
        <f t="shared" si="580"/>
        <v>0</v>
      </c>
      <c r="AM253" s="418">
        <f t="shared" si="581"/>
        <v>0</v>
      </c>
      <c r="AN253" s="418">
        <f t="shared" si="582"/>
        <v>0</v>
      </c>
      <c r="AO253" s="418">
        <f t="shared" si="583"/>
        <v>0</v>
      </c>
      <c r="AP253" s="418">
        <f t="shared" si="583"/>
        <v>0</v>
      </c>
      <c r="AQ253" s="418">
        <f t="shared" si="584"/>
        <v>0</v>
      </c>
      <c r="AR253" s="68">
        <f t="shared" si="585"/>
        <v>0</v>
      </c>
      <c r="AS253" s="68">
        <f t="shared" si="586"/>
        <v>0</v>
      </c>
      <c r="AT253" s="418">
        <v>0</v>
      </c>
      <c r="AU253" s="415">
        <v>0</v>
      </c>
      <c r="AV253" s="418">
        <f t="shared" si="587"/>
        <v>0</v>
      </c>
      <c r="AW253" s="418">
        <f t="shared" si="588"/>
        <v>0</v>
      </c>
      <c r="AX253" s="419">
        <v>0</v>
      </c>
      <c r="AY253" s="419">
        <v>0</v>
      </c>
      <c r="AZ253" s="419">
        <v>0</v>
      </c>
      <c r="BA253" s="419">
        <v>0</v>
      </c>
      <c r="BB253" s="416">
        <v>0</v>
      </c>
      <c r="BC253" s="939">
        <v>0</v>
      </c>
      <c r="BD253" s="419">
        <v>0</v>
      </c>
      <c r="BE253" s="419">
        <v>0</v>
      </c>
      <c r="BF253" s="419">
        <f t="shared" si="589"/>
        <v>0</v>
      </c>
      <c r="BG253" s="419">
        <f t="shared" si="590"/>
        <v>0</v>
      </c>
      <c r="BH253" s="421">
        <f t="shared" si="591"/>
        <v>0</v>
      </c>
      <c r="BI253" s="780">
        <f t="shared" si="592"/>
        <v>2319051</v>
      </c>
      <c r="BJ253" s="418">
        <f t="shared" si="593"/>
        <v>1700513</v>
      </c>
      <c r="BK253" s="418">
        <f t="shared" si="594"/>
        <v>1700513</v>
      </c>
      <c r="BL253" s="418">
        <f t="shared" si="594"/>
        <v>0</v>
      </c>
      <c r="BM253" s="418">
        <f t="shared" si="595"/>
        <v>20000</v>
      </c>
      <c r="BN253" s="418">
        <f t="shared" si="596"/>
        <v>20000</v>
      </c>
      <c r="BO253" s="418">
        <f t="shared" si="596"/>
        <v>0</v>
      </c>
      <c r="BP253" s="418">
        <f t="shared" si="597"/>
        <v>581533</v>
      </c>
      <c r="BQ253" s="418">
        <f t="shared" si="597"/>
        <v>17005</v>
      </c>
      <c r="BR253" s="418">
        <f t="shared" si="598"/>
        <v>0</v>
      </c>
      <c r="BS253" s="419">
        <f t="shared" si="599"/>
        <v>3.2914000000000003</v>
      </c>
      <c r="BT253" s="419">
        <f t="shared" si="600"/>
        <v>3.2914000000000003</v>
      </c>
      <c r="BU253" s="421">
        <f t="shared" si="600"/>
        <v>0</v>
      </c>
      <c r="BV253" s="420"/>
      <c r="BW253" s="415"/>
      <c r="BX253" s="415"/>
      <c r="BY253" s="415"/>
      <c r="BZ253" s="415"/>
      <c r="CA253" s="510"/>
    </row>
    <row r="254" spans="1:79" s="221" customFormat="1" ht="12.75" customHeight="1" x14ac:dyDescent="0.2">
      <c r="A254" s="209">
        <v>46</v>
      </c>
      <c r="B254" s="210">
        <v>4461</v>
      </c>
      <c r="C254" s="210">
        <v>600074765</v>
      </c>
      <c r="D254" s="210">
        <v>46750088</v>
      </c>
      <c r="E254" s="208" t="s">
        <v>232</v>
      </c>
      <c r="F254" s="210">
        <v>3143</v>
      </c>
      <c r="G254" s="165" t="s">
        <v>596</v>
      </c>
      <c r="H254" s="614" t="s">
        <v>272</v>
      </c>
      <c r="I254" s="511">
        <v>56874</v>
      </c>
      <c r="J254" s="415">
        <v>40709</v>
      </c>
      <c r="K254" s="415">
        <v>0</v>
      </c>
      <c r="L254" s="415">
        <v>40709</v>
      </c>
      <c r="M254" s="415">
        <v>0</v>
      </c>
      <c r="N254" s="415">
        <v>0</v>
      </c>
      <c r="O254" s="415">
        <v>0</v>
      </c>
      <c r="P254" s="68">
        <v>13760</v>
      </c>
      <c r="Q254" s="68">
        <v>407</v>
      </c>
      <c r="R254" s="415">
        <v>1998</v>
      </c>
      <c r="S254" s="416">
        <v>0.15</v>
      </c>
      <c r="T254" s="417">
        <v>0</v>
      </c>
      <c r="U254" s="423">
        <v>0.15</v>
      </c>
      <c r="V254" s="424">
        <f t="shared" si="576"/>
        <v>0</v>
      </c>
      <c r="W254" s="418">
        <f t="shared" si="576"/>
        <v>0</v>
      </c>
      <c r="X254" s="418">
        <v>0</v>
      </c>
      <c r="Y254" s="418">
        <v>0</v>
      </c>
      <c r="Z254" s="418">
        <v>0</v>
      </c>
      <c r="AA254" s="605">
        <v>20341</v>
      </c>
      <c r="AB254" s="418">
        <v>0</v>
      </c>
      <c r="AC254" s="418">
        <v>0</v>
      </c>
      <c r="AD254" s="418">
        <f t="shared" si="577"/>
        <v>0</v>
      </c>
      <c r="AE254" s="418">
        <f t="shared" si="578"/>
        <v>20341</v>
      </c>
      <c r="AF254" s="418">
        <f t="shared" si="579"/>
        <v>20341</v>
      </c>
      <c r="AG254" s="418">
        <v>0</v>
      </c>
      <c r="AH254" s="418">
        <v>0</v>
      </c>
      <c r="AI254" s="418">
        <v>0</v>
      </c>
      <c r="AJ254" s="418">
        <v>0</v>
      </c>
      <c r="AK254" s="418">
        <v>0</v>
      </c>
      <c r="AL254" s="418">
        <f t="shared" si="580"/>
        <v>0</v>
      </c>
      <c r="AM254" s="418">
        <f t="shared" si="581"/>
        <v>0</v>
      </c>
      <c r="AN254" s="418">
        <f t="shared" si="582"/>
        <v>0</v>
      </c>
      <c r="AO254" s="418">
        <f t="shared" si="583"/>
        <v>0</v>
      </c>
      <c r="AP254" s="418">
        <f t="shared" si="583"/>
        <v>20341</v>
      </c>
      <c r="AQ254" s="418">
        <f t="shared" si="584"/>
        <v>20341</v>
      </c>
      <c r="AR254" s="68">
        <f t="shared" si="585"/>
        <v>6875</v>
      </c>
      <c r="AS254" s="68">
        <f t="shared" si="586"/>
        <v>203</v>
      </c>
      <c r="AT254" s="418">
        <v>0</v>
      </c>
      <c r="AU254" s="606">
        <v>999</v>
      </c>
      <c r="AV254" s="418">
        <f t="shared" si="587"/>
        <v>999</v>
      </c>
      <c r="AW254" s="418">
        <f t="shared" si="588"/>
        <v>28418</v>
      </c>
      <c r="AX254" s="419">
        <v>0</v>
      </c>
      <c r="AY254" s="419">
        <v>0</v>
      </c>
      <c r="AZ254" s="419">
        <v>0</v>
      </c>
      <c r="BA254" s="419">
        <v>0</v>
      </c>
      <c r="BB254" s="607">
        <v>0.08</v>
      </c>
      <c r="BC254" s="939">
        <v>0</v>
      </c>
      <c r="BD254" s="419">
        <v>0</v>
      </c>
      <c r="BE254" s="419">
        <v>0</v>
      </c>
      <c r="BF254" s="419">
        <f t="shared" si="589"/>
        <v>0</v>
      </c>
      <c r="BG254" s="419">
        <f t="shared" si="590"/>
        <v>0.08</v>
      </c>
      <c r="BH254" s="421">
        <f t="shared" si="591"/>
        <v>0.08</v>
      </c>
      <c r="BI254" s="780">
        <f t="shared" si="592"/>
        <v>85292</v>
      </c>
      <c r="BJ254" s="418">
        <f t="shared" si="593"/>
        <v>61050</v>
      </c>
      <c r="BK254" s="418">
        <f t="shared" si="594"/>
        <v>0</v>
      </c>
      <c r="BL254" s="418">
        <f t="shared" si="594"/>
        <v>61050</v>
      </c>
      <c r="BM254" s="418">
        <f t="shared" si="595"/>
        <v>0</v>
      </c>
      <c r="BN254" s="418">
        <f t="shared" si="596"/>
        <v>0</v>
      </c>
      <c r="BO254" s="418">
        <f t="shared" si="596"/>
        <v>0</v>
      </c>
      <c r="BP254" s="418">
        <f t="shared" si="597"/>
        <v>20635</v>
      </c>
      <c r="BQ254" s="418">
        <f t="shared" si="597"/>
        <v>610</v>
      </c>
      <c r="BR254" s="418">
        <f t="shared" si="598"/>
        <v>2997</v>
      </c>
      <c r="BS254" s="419">
        <f t="shared" si="599"/>
        <v>0.22999999999999998</v>
      </c>
      <c r="BT254" s="419">
        <f t="shared" si="600"/>
        <v>0</v>
      </c>
      <c r="BU254" s="421">
        <f t="shared" si="600"/>
        <v>0.22999999999999998</v>
      </c>
      <c r="BV254" s="420"/>
      <c r="BW254" s="415"/>
      <c r="BX254" s="415"/>
      <c r="BY254" s="415"/>
      <c r="BZ254" s="415"/>
      <c r="CA254" s="510"/>
    </row>
    <row r="255" spans="1:79" s="221" customFormat="1" ht="12.75" customHeight="1" x14ac:dyDescent="0.2">
      <c r="A255" s="155">
        <v>46</v>
      </c>
      <c r="B255" s="18">
        <v>4461</v>
      </c>
      <c r="C255" s="18">
        <v>600074765</v>
      </c>
      <c r="D255" s="18">
        <v>46750088</v>
      </c>
      <c r="E255" s="164" t="s">
        <v>233</v>
      </c>
      <c r="F255" s="18"/>
      <c r="G255" s="154"/>
      <c r="H255" s="613"/>
      <c r="I255" s="452">
        <v>45429226</v>
      </c>
      <c r="J255" s="445">
        <v>32996369</v>
      </c>
      <c r="K255" s="445">
        <v>29554032</v>
      </c>
      <c r="L255" s="445">
        <v>3442337</v>
      </c>
      <c r="M255" s="445">
        <v>364000</v>
      </c>
      <c r="N255" s="445">
        <v>192000</v>
      </c>
      <c r="O255" s="445">
        <v>172000</v>
      </c>
      <c r="P255" s="445">
        <v>11275805</v>
      </c>
      <c r="Q255" s="445">
        <v>329963</v>
      </c>
      <c r="R255" s="445">
        <v>463089</v>
      </c>
      <c r="S255" s="446">
        <v>57.336799999999997</v>
      </c>
      <c r="T255" s="446">
        <v>46.683500000000002</v>
      </c>
      <c r="U255" s="450">
        <v>10.653300000000003</v>
      </c>
      <c r="V255" s="448">
        <f t="shared" ref="V255:CA255" si="601">SUM(V249:V254)</f>
        <v>0</v>
      </c>
      <c r="W255" s="445">
        <f t="shared" si="601"/>
        <v>0</v>
      </c>
      <c r="X255" s="445">
        <f t="shared" si="601"/>
        <v>0</v>
      </c>
      <c r="Y255" s="445">
        <f t="shared" si="601"/>
        <v>0</v>
      </c>
      <c r="Z255" s="445">
        <f t="shared" si="601"/>
        <v>0</v>
      </c>
      <c r="AA255" s="445">
        <f t="shared" si="601"/>
        <v>783248</v>
      </c>
      <c r="AB255" s="445">
        <f t="shared" si="601"/>
        <v>0</v>
      </c>
      <c r="AC255" s="445">
        <f t="shared" si="601"/>
        <v>0</v>
      </c>
      <c r="AD255" s="445">
        <f t="shared" si="601"/>
        <v>0</v>
      </c>
      <c r="AE255" s="445">
        <f t="shared" si="601"/>
        <v>783248</v>
      </c>
      <c r="AF255" s="445">
        <f t="shared" si="601"/>
        <v>783248</v>
      </c>
      <c r="AG255" s="445">
        <f t="shared" si="601"/>
        <v>0</v>
      </c>
      <c r="AH255" s="445">
        <f t="shared" si="601"/>
        <v>0</v>
      </c>
      <c r="AI255" s="445">
        <f t="shared" si="601"/>
        <v>0</v>
      </c>
      <c r="AJ255" s="445">
        <f t="shared" si="601"/>
        <v>0</v>
      </c>
      <c r="AK255" s="445">
        <f t="shared" si="601"/>
        <v>0</v>
      </c>
      <c r="AL255" s="445">
        <f t="shared" si="601"/>
        <v>0</v>
      </c>
      <c r="AM255" s="445">
        <f t="shared" si="601"/>
        <v>0</v>
      </c>
      <c r="AN255" s="445">
        <f t="shared" si="601"/>
        <v>0</v>
      </c>
      <c r="AO255" s="445">
        <f t="shared" si="601"/>
        <v>0</v>
      </c>
      <c r="AP255" s="445">
        <f t="shared" si="601"/>
        <v>783248</v>
      </c>
      <c r="AQ255" s="445">
        <f t="shared" si="601"/>
        <v>783248</v>
      </c>
      <c r="AR255" s="445">
        <f t="shared" si="601"/>
        <v>264738</v>
      </c>
      <c r="AS255" s="445">
        <f t="shared" si="601"/>
        <v>7832</v>
      </c>
      <c r="AT255" s="445">
        <f t="shared" si="601"/>
        <v>0</v>
      </c>
      <c r="AU255" s="445">
        <f t="shared" si="601"/>
        <v>7867</v>
      </c>
      <c r="AV255" s="445">
        <f t="shared" si="601"/>
        <v>7867</v>
      </c>
      <c r="AW255" s="445">
        <f t="shared" si="601"/>
        <v>1063685</v>
      </c>
      <c r="AX255" s="446">
        <f t="shared" si="601"/>
        <v>0</v>
      </c>
      <c r="AY255" s="446">
        <f t="shared" si="601"/>
        <v>0</v>
      </c>
      <c r="AZ255" s="446">
        <f t="shared" si="601"/>
        <v>0</v>
      </c>
      <c r="BA255" s="446">
        <f t="shared" si="601"/>
        <v>0</v>
      </c>
      <c r="BB255" s="446">
        <f t="shared" si="601"/>
        <v>2.37</v>
      </c>
      <c r="BC255" s="948">
        <f t="shared" si="601"/>
        <v>0</v>
      </c>
      <c r="BD255" s="446">
        <f t="shared" si="601"/>
        <v>0</v>
      </c>
      <c r="BE255" s="446">
        <f t="shared" si="601"/>
        <v>0</v>
      </c>
      <c r="BF255" s="446">
        <f t="shared" si="601"/>
        <v>0</v>
      </c>
      <c r="BG255" s="446">
        <f t="shared" si="601"/>
        <v>2.37</v>
      </c>
      <c r="BH255" s="39">
        <f t="shared" si="601"/>
        <v>2.37</v>
      </c>
      <c r="BI255" s="452">
        <f t="shared" si="601"/>
        <v>46492911</v>
      </c>
      <c r="BJ255" s="445">
        <f t="shared" si="601"/>
        <v>33779617</v>
      </c>
      <c r="BK255" s="445">
        <f t="shared" si="601"/>
        <v>29554032</v>
      </c>
      <c r="BL255" s="445">
        <f t="shared" si="601"/>
        <v>4225585</v>
      </c>
      <c r="BM255" s="445">
        <f t="shared" si="601"/>
        <v>364000</v>
      </c>
      <c r="BN255" s="445">
        <f t="shared" si="601"/>
        <v>192000</v>
      </c>
      <c r="BO255" s="445">
        <f t="shared" si="601"/>
        <v>172000</v>
      </c>
      <c r="BP255" s="445">
        <f t="shared" si="601"/>
        <v>11540543</v>
      </c>
      <c r="BQ255" s="445">
        <f t="shared" si="601"/>
        <v>337795</v>
      </c>
      <c r="BR255" s="445">
        <f t="shared" si="601"/>
        <v>470956</v>
      </c>
      <c r="BS255" s="446">
        <f t="shared" si="601"/>
        <v>59.706800000000001</v>
      </c>
      <c r="BT255" s="446">
        <f t="shared" si="601"/>
        <v>46.683500000000002</v>
      </c>
      <c r="BU255" s="39">
        <f t="shared" si="601"/>
        <v>13.023300000000003</v>
      </c>
      <c r="BV255" s="833">
        <f t="shared" si="601"/>
        <v>0</v>
      </c>
      <c r="BW255" s="715">
        <f t="shared" si="601"/>
        <v>0</v>
      </c>
      <c r="BX255" s="715">
        <f t="shared" si="601"/>
        <v>0</v>
      </c>
      <c r="BY255" s="715">
        <f t="shared" si="601"/>
        <v>0</v>
      </c>
      <c r="BZ255" s="715">
        <f t="shared" si="601"/>
        <v>0</v>
      </c>
      <c r="CA255" s="834">
        <f t="shared" si="601"/>
        <v>0</v>
      </c>
    </row>
    <row r="256" spans="1:79" s="221" customFormat="1" ht="12.75" customHeight="1" x14ac:dyDescent="0.2">
      <c r="A256" s="209">
        <v>47</v>
      </c>
      <c r="B256" s="210">
        <v>4427</v>
      </c>
      <c r="C256" s="210">
        <v>600074188</v>
      </c>
      <c r="D256" s="210">
        <v>70982678</v>
      </c>
      <c r="E256" s="208" t="s">
        <v>785</v>
      </c>
      <c r="F256" s="210">
        <v>3111</v>
      </c>
      <c r="G256" s="165" t="s">
        <v>290</v>
      </c>
      <c r="H256" s="626" t="s">
        <v>271</v>
      </c>
      <c r="I256" s="511">
        <v>3634346</v>
      </c>
      <c r="J256" s="415">
        <v>2678847</v>
      </c>
      <c r="K256" s="415">
        <v>2569039</v>
      </c>
      <c r="L256" s="415">
        <v>109808</v>
      </c>
      <c r="M256" s="415">
        <v>10000</v>
      </c>
      <c r="N256" s="415">
        <v>0</v>
      </c>
      <c r="O256" s="415">
        <v>10000</v>
      </c>
      <c r="P256" s="68">
        <v>908831</v>
      </c>
      <c r="Q256" s="68">
        <v>26789</v>
      </c>
      <c r="R256" s="415">
        <v>9879</v>
      </c>
      <c r="S256" s="416">
        <v>4.9639000000000006</v>
      </c>
      <c r="T256" s="417">
        <v>4.4839000000000002</v>
      </c>
      <c r="U256" s="423">
        <v>0.48</v>
      </c>
      <c r="V256" s="424">
        <f t="shared" ref="V256:W261" si="602">AG256*-1</f>
        <v>0</v>
      </c>
      <c r="W256" s="418">
        <f t="shared" si="602"/>
        <v>0</v>
      </c>
      <c r="X256" s="418">
        <v>0</v>
      </c>
      <c r="Y256" s="418">
        <v>0</v>
      </c>
      <c r="Z256" s="418">
        <v>0</v>
      </c>
      <c r="AA256" s="415">
        <v>0</v>
      </c>
      <c r="AB256" s="418">
        <v>0</v>
      </c>
      <c r="AC256" s="418">
        <v>0</v>
      </c>
      <c r="AD256" s="418">
        <f t="shared" ref="AD256:AD261" si="603">V256+X256+Y256+Z256+AB256</f>
        <v>0</v>
      </c>
      <c r="AE256" s="418">
        <f t="shared" ref="AE256:AE261" si="604">W256+AA256+AC256</f>
        <v>0</v>
      </c>
      <c r="AF256" s="418">
        <f t="shared" ref="AF256:AF261" si="605">SUM(AD256:AE256)</f>
        <v>0</v>
      </c>
      <c r="AG256" s="418">
        <v>0</v>
      </c>
      <c r="AH256" s="418">
        <v>0</v>
      </c>
      <c r="AI256" s="418">
        <v>0</v>
      </c>
      <c r="AJ256" s="418">
        <v>0</v>
      </c>
      <c r="AK256" s="418">
        <v>0</v>
      </c>
      <c r="AL256" s="418">
        <f t="shared" ref="AL256:AL261" si="606">AG256+AI256+AJ256</f>
        <v>0</v>
      </c>
      <c r="AM256" s="418">
        <f t="shared" ref="AM256:AM261" si="607">AH256+AK256</f>
        <v>0</v>
      </c>
      <c r="AN256" s="418">
        <f t="shared" ref="AN256:AN261" si="608">SUM(AL256:AM256)</f>
        <v>0</v>
      </c>
      <c r="AO256" s="418">
        <f t="shared" ref="AO256:AP261" si="609">AD256+AL256</f>
        <v>0</v>
      </c>
      <c r="AP256" s="418">
        <f t="shared" si="609"/>
        <v>0</v>
      </c>
      <c r="AQ256" s="418">
        <f t="shared" ref="AQ256:AQ261" si="610">SUM(AO256:AP256)</f>
        <v>0</v>
      </c>
      <c r="AR256" s="68">
        <f t="shared" ref="AR256:AR261" si="611">ROUND((AF256+AG256+AH256+AI256)*33.8%,0)</f>
        <v>0</v>
      </c>
      <c r="AS256" s="68">
        <f t="shared" ref="AS256:AS261" si="612">ROUND(AF256*1%,0)</f>
        <v>0</v>
      </c>
      <c r="AT256" s="418">
        <v>0</v>
      </c>
      <c r="AU256" s="415">
        <v>0</v>
      </c>
      <c r="AV256" s="418">
        <f t="shared" ref="AV256:AV261" si="613">AT256+AU256</f>
        <v>0</v>
      </c>
      <c r="AW256" s="418">
        <f t="shared" ref="AW256:AW261" si="614">AQ256+AR256+AS256+AV256</f>
        <v>0</v>
      </c>
      <c r="AX256" s="419">
        <v>0</v>
      </c>
      <c r="AY256" s="419">
        <v>0</v>
      </c>
      <c r="AZ256" s="419">
        <v>0</v>
      </c>
      <c r="BA256" s="419">
        <v>0</v>
      </c>
      <c r="BB256" s="416">
        <v>0</v>
      </c>
      <c r="BC256" s="939">
        <v>0</v>
      </c>
      <c r="BD256" s="419">
        <v>0</v>
      </c>
      <c r="BE256" s="419">
        <v>0</v>
      </c>
      <c r="BF256" s="419">
        <f t="shared" ref="BF256:BF261" si="615">AX256+AZ256+BA256+BC256+BD256</f>
        <v>0</v>
      </c>
      <c r="BG256" s="419">
        <f t="shared" ref="BG256:BG261" si="616">AY256+BB256+BE256</f>
        <v>0</v>
      </c>
      <c r="BH256" s="421">
        <f t="shared" ref="BH256:BH261" si="617">SUM(BF256:BG256)</f>
        <v>0</v>
      </c>
      <c r="BI256" s="780">
        <f t="shared" ref="BI256:BI261" si="618">I256+AW256</f>
        <v>3634346</v>
      </c>
      <c r="BJ256" s="418">
        <f t="shared" ref="BJ256:BJ261" si="619">J256+AF256</f>
        <v>2678847</v>
      </c>
      <c r="BK256" s="418">
        <f t="shared" ref="BK256:BL261" si="620">K256+AD256</f>
        <v>2569039</v>
      </c>
      <c r="BL256" s="418">
        <f t="shared" si="620"/>
        <v>109808</v>
      </c>
      <c r="BM256" s="418">
        <f t="shared" ref="BM256:BM261" si="621">M256+AN256</f>
        <v>10000</v>
      </c>
      <c r="BN256" s="418">
        <f t="shared" ref="BN256:BO261" si="622">N256+AL256</f>
        <v>0</v>
      </c>
      <c r="BO256" s="418">
        <f t="shared" si="622"/>
        <v>10000</v>
      </c>
      <c r="BP256" s="418">
        <f t="shared" ref="BP256:BQ261" si="623">P256+AR256</f>
        <v>908831</v>
      </c>
      <c r="BQ256" s="418">
        <f t="shared" si="623"/>
        <v>26789</v>
      </c>
      <c r="BR256" s="418">
        <f t="shared" ref="BR256:BR261" si="624">R256+AV256</f>
        <v>9879</v>
      </c>
      <c r="BS256" s="419">
        <f t="shared" ref="BS256:BS261" si="625">S256+BH256</f>
        <v>4.9639000000000006</v>
      </c>
      <c r="BT256" s="419">
        <f t="shared" ref="BT256:BU261" si="626">T256+BF256</f>
        <v>4.4839000000000002</v>
      </c>
      <c r="BU256" s="421">
        <f t="shared" si="626"/>
        <v>0.48</v>
      </c>
      <c r="BV256" s="420"/>
      <c r="BW256" s="415"/>
      <c r="BX256" s="415"/>
      <c r="BY256" s="415"/>
      <c r="BZ256" s="415"/>
      <c r="CA256" s="510"/>
    </row>
    <row r="257" spans="1:79" s="221" customFormat="1" ht="12.75" customHeight="1" x14ac:dyDescent="0.2">
      <c r="A257" s="209">
        <v>47</v>
      </c>
      <c r="B257" s="210">
        <v>4427</v>
      </c>
      <c r="C257" s="210">
        <v>600074188</v>
      </c>
      <c r="D257" s="210">
        <v>70982678</v>
      </c>
      <c r="E257" s="208" t="s">
        <v>782</v>
      </c>
      <c r="F257" s="210">
        <v>3117</v>
      </c>
      <c r="G257" s="165" t="s">
        <v>293</v>
      </c>
      <c r="H257" s="626" t="s">
        <v>271</v>
      </c>
      <c r="I257" s="511">
        <v>2031108</v>
      </c>
      <c r="J257" s="415">
        <v>1450803</v>
      </c>
      <c r="K257" s="415">
        <v>1164797</v>
      </c>
      <c r="L257" s="415">
        <v>286006</v>
      </c>
      <c r="M257" s="415">
        <v>40000</v>
      </c>
      <c r="N257" s="415">
        <v>0</v>
      </c>
      <c r="O257" s="415">
        <v>40000</v>
      </c>
      <c r="P257" s="68">
        <v>503891</v>
      </c>
      <c r="Q257" s="68">
        <v>14508</v>
      </c>
      <c r="R257" s="415">
        <v>21906</v>
      </c>
      <c r="S257" s="416">
        <v>2.7766000000000002</v>
      </c>
      <c r="T257" s="417">
        <v>2</v>
      </c>
      <c r="U257" s="423">
        <v>0.77660000000000007</v>
      </c>
      <c r="V257" s="424">
        <f t="shared" si="602"/>
        <v>0</v>
      </c>
      <c r="W257" s="418">
        <f t="shared" si="602"/>
        <v>0</v>
      </c>
      <c r="X257" s="418">
        <v>0</v>
      </c>
      <c r="Y257" s="418">
        <v>0</v>
      </c>
      <c r="Z257" s="418">
        <v>0</v>
      </c>
      <c r="AA257" s="415">
        <v>0</v>
      </c>
      <c r="AB257" s="418">
        <v>0</v>
      </c>
      <c r="AC257" s="418">
        <v>0</v>
      </c>
      <c r="AD257" s="418">
        <f t="shared" si="603"/>
        <v>0</v>
      </c>
      <c r="AE257" s="418">
        <f t="shared" si="604"/>
        <v>0</v>
      </c>
      <c r="AF257" s="418">
        <f t="shared" si="605"/>
        <v>0</v>
      </c>
      <c r="AG257" s="418">
        <v>0</v>
      </c>
      <c r="AH257" s="418">
        <v>0</v>
      </c>
      <c r="AI257" s="418">
        <v>0</v>
      </c>
      <c r="AJ257" s="418">
        <v>0</v>
      </c>
      <c r="AK257" s="418">
        <v>0</v>
      </c>
      <c r="AL257" s="418">
        <f t="shared" si="606"/>
        <v>0</v>
      </c>
      <c r="AM257" s="418">
        <f t="shared" si="607"/>
        <v>0</v>
      </c>
      <c r="AN257" s="418">
        <f t="shared" si="608"/>
        <v>0</v>
      </c>
      <c r="AO257" s="418">
        <f t="shared" si="609"/>
        <v>0</v>
      </c>
      <c r="AP257" s="418">
        <f t="shared" si="609"/>
        <v>0</v>
      </c>
      <c r="AQ257" s="418">
        <f t="shared" si="610"/>
        <v>0</v>
      </c>
      <c r="AR257" s="68">
        <f t="shared" si="611"/>
        <v>0</v>
      </c>
      <c r="AS257" s="68">
        <f t="shared" si="612"/>
        <v>0</v>
      </c>
      <c r="AT257" s="418">
        <v>0</v>
      </c>
      <c r="AU257" s="415">
        <v>0</v>
      </c>
      <c r="AV257" s="418">
        <f t="shared" si="613"/>
        <v>0</v>
      </c>
      <c r="AW257" s="418">
        <f t="shared" si="614"/>
        <v>0</v>
      </c>
      <c r="AX257" s="419">
        <v>0</v>
      </c>
      <c r="AY257" s="419">
        <v>0</v>
      </c>
      <c r="AZ257" s="419">
        <v>0</v>
      </c>
      <c r="BA257" s="419">
        <v>0</v>
      </c>
      <c r="BB257" s="416">
        <v>0</v>
      </c>
      <c r="BC257" s="939">
        <v>0</v>
      </c>
      <c r="BD257" s="419">
        <v>0</v>
      </c>
      <c r="BE257" s="419">
        <v>0</v>
      </c>
      <c r="BF257" s="419">
        <f t="shared" si="615"/>
        <v>0</v>
      </c>
      <c r="BG257" s="419">
        <f t="shared" si="616"/>
        <v>0</v>
      </c>
      <c r="BH257" s="421">
        <f t="shared" si="617"/>
        <v>0</v>
      </c>
      <c r="BI257" s="780">
        <f t="shared" si="618"/>
        <v>2031108</v>
      </c>
      <c r="BJ257" s="418">
        <f t="shared" si="619"/>
        <v>1450803</v>
      </c>
      <c r="BK257" s="418">
        <f t="shared" si="620"/>
        <v>1164797</v>
      </c>
      <c r="BL257" s="418">
        <f t="shared" si="620"/>
        <v>286006</v>
      </c>
      <c r="BM257" s="418">
        <f t="shared" si="621"/>
        <v>40000</v>
      </c>
      <c r="BN257" s="418">
        <f t="shared" si="622"/>
        <v>0</v>
      </c>
      <c r="BO257" s="418">
        <f t="shared" si="622"/>
        <v>40000</v>
      </c>
      <c r="BP257" s="418">
        <f t="shared" si="623"/>
        <v>503891</v>
      </c>
      <c r="BQ257" s="418">
        <f t="shared" si="623"/>
        <v>14508</v>
      </c>
      <c r="BR257" s="418">
        <f t="shared" si="624"/>
        <v>21906</v>
      </c>
      <c r="BS257" s="419">
        <f t="shared" si="625"/>
        <v>2.7766000000000002</v>
      </c>
      <c r="BT257" s="419">
        <f t="shared" si="626"/>
        <v>2</v>
      </c>
      <c r="BU257" s="421">
        <f t="shared" si="626"/>
        <v>0.77660000000000007</v>
      </c>
      <c r="BV257" s="420"/>
      <c r="BW257" s="415"/>
      <c r="BX257" s="415"/>
      <c r="BY257" s="415"/>
      <c r="BZ257" s="415"/>
      <c r="CA257" s="510"/>
    </row>
    <row r="258" spans="1:79" s="221" customFormat="1" ht="12.75" customHeight="1" x14ac:dyDescent="0.2">
      <c r="A258" s="209">
        <v>47</v>
      </c>
      <c r="B258" s="210">
        <v>4427</v>
      </c>
      <c r="C258" s="210">
        <v>600074188</v>
      </c>
      <c r="D258" s="210">
        <v>70982678</v>
      </c>
      <c r="E258" s="208" t="s">
        <v>782</v>
      </c>
      <c r="F258" s="210">
        <v>3117</v>
      </c>
      <c r="G258" s="165" t="s">
        <v>291</v>
      </c>
      <c r="H258" s="626" t="s">
        <v>272</v>
      </c>
      <c r="I258" s="511">
        <v>499840</v>
      </c>
      <c r="J258" s="415">
        <v>370801</v>
      </c>
      <c r="K258" s="415">
        <v>370801</v>
      </c>
      <c r="L258" s="415">
        <v>0</v>
      </c>
      <c r="M258" s="415">
        <v>0</v>
      </c>
      <c r="N258" s="415">
        <v>0</v>
      </c>
      <c r="O258" s="415">
        <v>0</v>
      </c>
      <c r="P258" s="68">
        <v>125331</v>
      </c>
      <c r="Q258" s="68">
        <v>3708</v>
      </c>
      <c r="R258" s="415">
        <v>0</v>
      </c>
      <c r="S258" s="416">
        <v>1</v>
      </c>
      <c r="T258" s="417">
        <v>1</v>
      </c>
      <c r="U258" s="423">
        <v>0</v>
      </c>
      <c r="V258" s="424">
        <f t="shared" si="602"/>
        <v>0</v>
      </c>
      <c r="W258" s="418">
        <f t="shared" si="602"/>
        <v>0</v>
      </c>
      <c r="X258" s="418">
        <v>0</v>
      </c>
      <c r="Y258" s="418">
        <v>0</v>
      </c>
      <c r="Z258" s="418">
        <v>0</v>
      </c>
      <c r="AA258" s="415">
        <v>0</v>
      </c>
      <c r="AB258" s="418">
        <v>0</v>
      </c>
      <c r="AC258" s="418">
        <v>0</v>
      </c>
      <c r="AD258" s="418">
        <f t="shared" si="603"/>
        <v>0</v>
      </c>
      <c r="AE258" s="418">
        <f t="shared" si="604"/>
        <v>0</v>
      </c>
      <c r="AF258" s="418">
        <f t="shared" si="605"/>
        <v>0</v>
      </c>
      <c r="AG258" s="418">
        <v>0</v>
      </c>
      <c r="AH258" s="418">
        <v>0</v>
      </c>
      <c r="AI258" s="418">
        <v>0</v>
      </c>
      <c r="AJ258" s="418">
        <v>0</v>
      </c>
      <c r="AK258" s="418">
        <v>0</v>
      </c>
      <c r="AL258" s="418">
        <f t="shared" si="606"/>
        <v>0</v>
      </c>
      <c r="AM258" s="418">
        <f t="shared" si="607"/>
        <v>0</v>
      </c>
      <c r="AN258" s="418">
        <f t="shared" si="608"/>
        <v>0</v>
      </c>
      <c r="AO258" s="418">
        <f t="shared" si="609"/>
        <v>0</v>
      </c>
      <c r="AP258" s="418">
        <f t="shared" si="609"/>
        <v>0</v>
      </c>
      <c r="AQ258" s="418">
        <f t="shared" si="610"/>
        <v>0</v>
      </c>
      <c r="AR258" s="68">
        <f t="shared" si="611"/>
        <v>0</v>
      </c>
      <c r="AS258" s="68">
        <f t="shared" si="612"/>
        <v>0</v>
      </c>
      <c r="AT258" s="418">
        <v>3750</v>
      </c>
      <c r="AU258" s="415">
        <v>0</v>
      </c>
      <c r="AV258" s="418">
        <f t="shared" si="613"/>
        <v>3750</v>
      </c>
      <c r="AW258" s="418">
        <f t="shared" si="614"/>
        <v>3750</v>
      </c>
      <c r="AX258" s="419">
        <v>0</v>
      </c>
      <c r="AY258" s="419">
        <v>0</v>
      </c>
      <c r="AZ258" s="419">
        <v>0</v>
      </c>
      <c r="BA258" s="419">
        <v>0</v>
      </c>
      <c r="BB258" s="416">
        <v>0</v>
      </c>
      <c r="BC258" s="939">
        <v>0</v>
      </c>
      <c r="BD258" s="419">
        <v>0</v>
      </c>
      <c r="BE258" s="419">
        <v>0</v>
      </c>
      <c r="BF258" s="419">
        <f t="shared" si="615"/>
        <v>0</v>
      </c>
      <c r="BG258" s="419">
        <f t="shared" si="616"/>
        <v>0</v>
      </c>
      <c r="BH258" s="421">
        <f t="shared" si="617"/>
        <v>0</v>
      </c>
      <c r="BI258" s="780">
        <f t="shared" si="618"/>
        <v>503590</v>
      </c>
      <c r="BJ258" s="418">
        <f t="shared" si="619"/>
        <v>370801</v>
      </c>
      <c r="BK258" s="418">
        <f t="shared" si="620"/>
        <v>370801</v>
      </c>
      <c r="BL258" s="418">
        <f t="shared" si="620"/>
        <v>0</v>
      </c>
      <c r="BM258" s="418">
        <f t="shared" si="621"/>
        <v>0</v>
      </c>
      <c r="BN258" s="418">
        <f t="shared" si="622"/>
        <v>0</v>
      </c>
      <c r="BO258" s="418">
        <f t="shared" si="622"/>
        <v>0</v>
      </c>
      <c r="BP258" s="418">
        <f t="shared" si="623"/>
        <v>125331</v>
      </c>
      <c r="BQ258" s="418">
        <f t="shared" si="623"/>
        <v>3708</v>
      </c>
      <c r="BR258" s="418">
        <f t="shared" si="624"/>
        <v>3750</v>
      </c>
      <c r="BS258" s="419">
        <f t="shared" si="625"/>
        <v>1</v>
      </c>
      <c r="BT258" s="419">
        <f t="shared" si="626"/>
        <v>1</v>
      </c>
      <c r="BU258" s="421">
        <f t="shared" si="626"/>
        <v>0</v>
      </c>
      <c r="BV258" s="420"/>
      <c r="BW258" s="415"/>
      <c r="BX258" s="415"/>
      <c r="BY258" s="415"/>
      <c r="BZ258" s="415"/>
      <c r="CA258" s="510"/>
    </row>
    <row r="259" spans="1:79" s="221" customFormat="1" ht="12.75" customHeight="1" x14ac:dyDescent="0.2">
      <c r="A259" s="209">
        <v>47</v>
      </c>
      <c r="B259" s="210">
        <v>4427</v>
      </c>
      <c r="C259" s="210">
        <v>600074188</v>
      </c>
      <c r="D259" s="210">
        <v>70982678</v>
      </c>
      <c r="E259" s="208" t="s">
        <v>782</v>
      </c>
      <c r="F259" s="210">
        <v>3141</v>
      </c>
      <c r="G259" s="165" t="s">
        <v>294</v>
      </c>
      <c r="H259" s="626" t="s">
        <v>272</v>
      </c>
      <c r="I259" s="511">
        <v>514544</v>
      </c>
      <c r="J259" s="415">
        <v>380168</v>
      </c>
      <c r="K259" s="415">
        <v>0</v>
      </c>
      <c r="L259" s="415">
        <v>380168</v>
      </c>
      <c r="M259" s="415">
        <v>0</v>
      </c>
      <c r="N259" s="415">
        <v>0</v>
      </c>
      <c r="O259" s="415">
        <v>0</v>
      </c>
      <c r="P259" s="68">
        <v>128497</v>
      </c>
      <c r="Q259" s="68">
        <v>3802</v>
      </c>
      <c r="R259" s="415">
        <v>2077</v>
      </c>
      <c r="S259" s="416">
        <v>1.1399999999999999</v>
      </c>
      <c r="T259" s="417">
        <v>0</v>
      </c>
      <c r="U259" s="423">
        <v>1.1399999999999999</v>
      </c>
      <c r="V259" s="424">
        <f t="shared" si="602"/>
        <v>0</v>
      </c>
      <c r="W259" s="418">
        <f t="shared" si="602"/>
        <v>0</v>
      </c>
      <c r="X259" s="418">
        <v>0</v>
      </c>
      <c r="Y259" s="418">
        <v>0</v>
      </c>
      <c r="Z259" s="418">
        <v>0</v>
      </c>
      <c r="AA259" s="605">
        <v>190693</v>
      </c>
      <c r="AB259" s="418">
        <v>0</v>
      </c>
      <c r="AC259" s="418">
        <v>0</v>
      </c>
      <c r="AD259" s="418">
        <f t="shared" si="603"/>
        <v>0</v>
      </c>
      <c r="AE259" s="418">
        <f t="shared" si="604"/>
        <v>190693</v>
      </c>
      <c r="AF259" s="418">
        <f t="shared" si="605"/>
        <v>190693</v>
      </c>
      <c r="AG259" s="418">
        <v>0</v>
      </c>
      <c r="AH259" s="418">
        <v>0</v>
      </c>
      <c r="AI259" s="418">
        <v>0</v>
      </c>
      <c r="AJ259" s="418">
        <v>0</v>
      </c>
      <c r="AK259" s="418">
        <v>0</v>
      </c>
      <c r="AL259" s="418">
        <f t="shared" si="606"/>
        <v>0</v>
      </c>
      <c r="AM259" s="418">
        <f t="shared" si="607"/>
        <v>0</v>
      </c>
      <c r="AN259" s="418">
        <f t="shared" si="608"/>
        <v>0</v>
      </c>
      <c r="AO259" s="418">
        <f t="shared" si="609"/>
        <v>0</v>
      </c>
      <c r="AP259" s="418">
        <f t="shared" si="609"/>
        <v>190693</v>
      </c>
      <c r="AQ259" s="418">
        <f t="shared" si="610"/>
        <v>190693</v>
      </c>
      <c r="AR259" s="68">
        <f t="shared" si="611"/>
        <v>64454</v>
      </c>
      <c r="AS259" s="68">
        <f t="shared" si="612"/>
        <v>1907</v>
      </c>
      <c r="AT259" s="418">
        <v>0</v>
      </c>
      <c r="AU259" s="605">
        <v>1003</v>
      </c>
      <c r="AV259" s="418">
        <f t="shared" si="613"/>
        <v>1003</v>
      </c>
      <c r="AW259" s="418">
        <f t="shared" si="614"/>
        <v>258057</v>
      </c>
      <c r="AX259" s="419">
        <v>0</v>
      </c>
      <c r="AY259" s="419">
        <v>0</v>
      </c>
      <c r="AZ259" s="419">
        <v>0</v>
      </c>
      <c r="BA259" s="419">
        <v>0</v>
      </c>
      <c r="BB259" s="607">
        <v>0.56999999999999995</v>
      </c>
      <c r="BC259" s="939">
        <v>0</v>
      </c>
      <c r="BD259" s="419">
        <v>0</v>
      </c>
      <c r="BE259" s="419">
        <v>0</v>
      </c>
      <c r="BF259" s="419">
        <f t="shared" si="615"/>
        <v>0</v>
      </c>
      <c r="BG259" s="419">
        <f t="shared" si="616"/>
        <v>0.56999999999999995</v>
      </c>
      <c r="BH259" s="421">
        <f t="shared" si="617"/>
        <v>0.56999999999999995</v>
      </c>
      <c r="BI259" s="780">
        <f t="shared" si="618"/>
        <v>772601</v>
      </c>
      <c r="BJ259" s="418">
        <f t="shared" si="619"/>
        <v>570861</v>
      </c>
      <c r="BK259" s="418">
        <f t="shared" si="620"/>
        <v>0</v>
      </c>
      <c r="BL259" s="418">
        <f t="shared" si="620"/>
        <v>570861</v>
      </c>
      <c r="BM259" s="418">
        <f t="shared" si="621"/>
        <v>0</v>
      </c>
      <c r="BN259" s="418">
        <f t="shared" si="622"/>
        <v>0</v>
      </c>
      <c r="BO259" s="418">
        <f t="shared" si="622"/>
        <v>0</v>
      </c>
      <c r="BP259" s="418">
        <f t="shared" si="623"/>
        <v>192951</v>
      </c>
      <c r="BQ259" s="418">
        <f t="shared" si="623"/>
        <v>5709</v>
      </c>
      <c r="BR259" s="418">
        <f t="shared" si="624"/>
        <v>3080</v>
      </c>
      <c r="BS259" s="419">
        <f t="shared" si="625"/>
        <v>1.71</v>
      </c>
      <c r="BT259" s="419">
        <f t="shared" si="626"/>
        <v>0</v>
      </c>
      <c r="BU259" s="421">
        <f t="shared" si="626"/>
        <v>1.71</v>
      </c>
      <c r="BV259" s="420"/>
      <c r="BW259" s="415"/>
      <c r="BX259" s="415"/>
      <c r="BY259" s="415"/>
      <c r="BZ259" s="415"/>
      <c r="CA259" s="510"/>
    </row>
    <row r="260" spans="1:79" s="221" customFormat="1" ht="12.75" customHeight="1" x14ac:dyDescent="0.2">
      <c r="A260" s="209">
        <v>47</v>
      </c>
      <c r="B260" s="210">
        <v>4427</v>
      </c>
      <c r="C260" s="210">
        <v>600074188</v>
      </c>
      <c r="D260" s="210">
        <v>70982678</v>
      </c>
      <c r="E260" s="208" t="s">
        <v>782</v>
      </c>
      <c r="F260" s="210">
        <v>3143</v>
      </c>
      <c r="G260" s="165" t="s">
        <v>595</v>
      </c>
      <c r="H260" s="614" t="s">
        <v>271</v>
      </c>
      <c r="I260" s="511">
        <v>593524</v>
      </c>
      <c r="J260" s="415">
        <v>440300</v>
      </c>
      <c r="K260" s="415">
        <v>440300</v>
      </c>
      <c r="L260" s="415">
        <v>0</v>
      </c>
      <c r="M260" s="415">
        <v>0</v>
      </c>
      <c r="N260" s="415">
        <v>0</v>
      </c>
      <c r="O260" s="415">
        <v>0</v>
      </c>
      <c r="P260" s="68">
        <v>148821</v>
      </c>
      <c r="Q260" s="68">
        <v>4403</v>
      </c>
      <c r="R260" s="415">
        <v>0</v>
      </c>
      <c r="S260" s="416">
        <v>0.97409999999999997</v>
      </c>
      <c r="T260" s="417">
        <v>0.97409999999999997</v>
      </c>
      <c r="U260" s="423">
        <v>0</v>
      </c>
      <c r="V260" s="424">
        <f t="shared" si="602"/>
        <v>0</v>
      </c>
      <c r="W260" s="418">
        <f t="shared" si="602"/>
        <v>0</v>
      </c>
      <c r="X260" s="418">
        <v>0</v>
      </c>
      <c r="Y260" s="418">
        <v>0</v>
      </c>
      <c r="Z260" s="418">
        <v>0</v>
      </c>
      <c r="AA260" s="415">
        <v>0</v>
      </c>
      <c r="AB260" s="418">
        <v>0</v>
      </c>
      <c r="AC260" s="418">
        <v>0</v>
      </c>
      <c r="AD260" s="418">
        <f t="shared" si="603"/>
        <v>0</v>
      </c>
      <c r="AE260" s="418">
        <f t="shared" si="604"/>
        <v>0</v>
      </c>
      <c r="AF260" s="418">
        <f t="shared" si="605"/>
        <v>0</v>
      </c>
      <c r="AG260" s="418">
        <v>0</v>
      </c>
      <c r="AH260" s="418">
        <v>0</v>
      </c>
      <c r="AI260" s="418">
        <v>0</v>
      </c>
      <c r="AJ260" s="418">
        <v>0</v>
      </c>
      <c r="AK260" s="418">
        <v>0</v>
      </c>
      <c r="AL260" s="418">
        <f t="shared" si="606"/>
        <v>0</v>
      </c>
      <c r="AM260" s="418">
        <f t="shared" si="607"/>
        <v>0</v>
      </c>
      <c r="AN260" s="418">
        <f t="shared" si="608"/>
        <v>0</v>
      </c>
      <c r="AO260" s="418">
        <f t="shared" si="609"/>
        <v>0</v>
      </c>
      <c r="AP260" s="418">
        <f t="shared" si="609"/>
        <v>0</v>
      </c>
      <c r="AQ260" s="418">
        <f t="shared" si="610"/>
        <v>0</v>
      </c>
      <c r="AR260" s="68">
        <f t="shared" si="611"/>
        <v>0</v>
      </c>
      <c r="AS260" s="68">
        <f t="shared" si="612"/>
        <v>0</v>
      </c>
      <c r="AT260" s="418">
        <v>0</v>
      </c>
      <c r="AU260" s="415">
        <v>0</v>
      </c>
      <c r="AV260" s="418">
        <f t="shared" si="613"/>
        <v>0</v>
      </c>
      <c r="AW260" s="418">
        <f t="shared" si="614"/>
        <v>0</v>
      </c>
      <c r="AX260" s="419">
        <v>0</v>
      </c>
      <c r="AY260" s="419">
        <v>0</v>
      </c>
      <c r="AZ260" s="419">
        <v>0</v>
      </c>
      <c r="BA260" s="419">
        <v>0</v>
      </c>
      <c r="BB260" s="416">
        <v>0</v>
      </c>
      <c r="BC260" s="939">
        <v>0</v>
      </c>
      <c r="BD260" s="419">
        <v>0</v>
      </c>
      <c r="BE260" s="419">
        <v>0</v>
      </c>
      <c r="BF260" s="419">
        <f t="shared" si="615"/>
        <v>0</v>
      </c>
      <c r="BG260" s="419">
        <f t="shared" si="616"/>
        <v>0</v>
      </c>
      <c r="BH260" s="421">
        <f t="shared" si="617"/>
        <v>0</v>
      </c>
      <c r="BI260" s="780">
        <f t="shared" si="618"/>
        <v>593524</v>
      </c>
      <c r="BJ260" s="418">
        <f t="shared" si="619"/>
        <v>440300</v>
      </c>
      <c r="BK260" s="418">
        <f t="shared" si="620"/>
        <v>440300</v>
      </c>
      <c r="BL260" s="418">
        <f t="shared" si="620"/>
        <v>0</v>
      </c>
      <c r="BM260" s="418">
        <f t="shared" si="621"/>
        <v>0</v>
      </c>
      <c r="BN260" s="418">
        <f t="shared" si="622"/>
        <v>0</v>
      </c>
      <c r="BO260" s="418">
        <f t="shared" si="622"/>
        <v>0</v>
      </c>
      <c r="BP260" s="418">
        <f t="shared" si="623"/>
        <v>148821</v>
      </c>
      <c r="BQ260" s="418">
        <f t="shared" si="623"/>
        <v>4403</v>
      </c>
      <c r="BR260" s="418">
        <f t="shared" si="624"/>
        <v>0</v>
      </c>
      <c r="BS260" s="419">
        <f t="shared" si="625"/>
        <v>0.97409999999999997</v>
      </c>
      <c r="BT260" s="419">
        <f t="shared" si="626"/>
        <v>0.97409999999999997</v>
      </c>
      <c r="BU260" s="421">
        <f t="shared" si="626"/>
        <v>0</v>
      </c>
      <c r="BV260" s="420"/>
      <c r="BW260" s="415"/>
      <c r="BX260" s="415"/>
      <c r="BY260" s="415"/>
      <c r="BZ260" s="415"/>
      <c r="CA260" s="510"/>
    </row>
    <row r="261" spans="1:79" s="221" customFormat="1" ht="12.75" customHeight="1" x14ac:dyDescent="0.2">
      <c r="A261" s="209">
        <v>47</v>
      </c>
      <c r="B261" s="210">
        <v>4427</v>
      </c>
      <c r="C261" s="210">
        <v>600074188</v>
      </c>
      <c r="D261" s="210">
        <v>70982678</v>
      </c>
      <c r="E261" s="208" t="s">
        <v>782</v>
      </c>
      <c r="F261" s="210">
        <v>3143</v>
      </c>
      <c r="G261" s="165" t="s">
        <v>596</v>
      </c>
      <c r="H261" s="614" t="s">
        <v>272</v>
      </c>
      <c r="I261" s="511">
        <v>8704</v>
      </c>
      <c r="J261" s="415">
        <v>6230</v>
      </c>
      <c r="K261" s="415">
        <v>0</v>
      </c>
      <c r="L261" s="415">
        <v>6230</v>
      </c>
      <c r="M261" s="415">
        <v>0</v>
      </c>
      <c r="N261" s="415">
        <v>0</v>
      </c>
      <c r="O261" s="415">
        <v>0</v>
      </c>
      <c r="P261" s="68">
        <v>2106</v>
      </c>
      <c r="Q261" s="68">
        <v>62</v>
      </c>
      <c r="R261" s="415">
        <v>306</v>
      </c>
      <c r="S261" s="416">
        <v>0.02</v>
      </c>
      <c r="T261" s="417">
        <v>0</v>
      </c>
      <c r="U261" s="423">
        <v>0.02</v>
      </c>
      <c r="V261" s="424">
        <f t="shared" si="602"/>
        <v>0</v>
      </c>
      <c r="W261" s="418">
        <f t="shared" si="602"/>
        <v>0</v>
      </c>
      <c r="X261" s="418">
        <v>0</v>
      </c>
      <c r="Y261" s="418">
        <v>0</v>
      </c>
      <c r="Z261" s="418">
        <v>0</v>
      </c>
      <c r="AA261" s="605">
        <v>3120</v>
      </c>
      <c r="AB261" s="418">
        <v>0</v>
      </c>
      <c r="AC261" s="418">
        <v>0</v>
      </c>
      <c r="AD261" s="418">
        <f t="shared" si="603"/>
        <v>0</v>
      </c>
      <c r="AE261" s="418">
        <f t="shared" si="604"/>
        <v>3120</v>
      </c>
      <c r="AF261" s="418">
        <f t="shared" si="605"/>
        <v>3120</v>
      </c>
      <c r="AG261" s="418">
        <v>0</v>
      </c>
      <c r="AH261" s="418">
        <v>0</v>
      </c>
      <c r="AI261" s="418">
        <v>0</v>
      </c>
      <c r="AJ261" s="418">
        <v>0</v>
      </c>
      <c r="AK261" s="418">
        <v>0</v>
      </c>
      <c r="AL261" s="418">
        <f t="shared" si="606"/>
        <v>0</v>
      </c>
      <c r="AM261" s="418">
        <f t="shared" si="607"/>
        <v>0</v>
      </c>
      <c r="AN261" s="418">
        <f t="shared" si="608"/>
        <v>0</v>
      </c>
      <c r="AO261" s="418">
        <f t="shared" si="609"/>
        <v>0</v>
      </c>
      <c r="AP261" s="418">
        <f t="shared" si="609"/>
        <v>3120</v>
      </c>
      <c r="AQ261" s="418">
        <f t="shared" si="610"/>
        <v>3120</v>
      </c>
      <c r="AR261" s="68">
        <f t="shared" si="611"/>
        <v>1055</v>
      </c>
      <c r="AS261" s="68">
        <f t="shared" si="612"/>
        <v>31</v>
      </c>
      <c r="AT261" s="418">
        <v>0</v>
      </c>
      <c r="AU261" s="606">
        <v>153</v>
      </c>
      <c r="AV261" s="418">
        <f t="shared" si="613"/>
        <v>153</v>
      </c>
      <c r="AW261" s="418">
        <f t="shared" si="614"/>
        <v>4359</v>
      </c>
      <c r="AX261" s="419">
        <v>0</v>
      </c>
      <c r="AY261" s="419">
        <v>0</v>
      </c>
      <c r="AZ261" s="419">
        <v>0</v>
      </c>
      <c r="BA261" s="419">
        <v>0</v>
      </c>
      <c r="BB261" s="607">
        <v>0.01</v>
      </c>
      <c r="BC261" s="939">
        <v>0</v>
      </c>
      <c r="BD261" s="419">
        <v>0</v>
      </c>
      <c r="BE261" s="419">
        <v>0</v>
      </c>
      <c r="BF261" s="419">
        <f t="shared" si="615"/>
        <v>0</v>
      </c>
      <c r="BG261" s="419">
        <f t="shared" si="616"/>
        <v>0.01</v>
      </c>
      <c r="BH261" s="421">
        <f t="shared" si="617"/>
        <v>0.01</v>
      </c>
      <c r="BI261" s="780">
        <f t="shared" si="618"/>
        <v>13063</v>
      </c>
      <c r="BJ261" s="418">
        <f t="shared" si="619"/>
        <v>9350</v>
      </c>
      <c r="BK261" s="418">
        <f t="shared" si="620"/>
        <v>0</v>
      </c>
      <c r="BL261" s="418">
        <f t="shared" si="620"/>
        <v>9350</v>
      </c>
      <c r="BM261" s="418">
        <f t="shared" si="621"/>
        <v>0</v>
      </c>
      <c r="BN261" s="418">
        <f t="shared" si="622"/>
        <v>0</v>
      </c>
      <c r="BO261" s="418">
        <f t="shared" si="622"/>
        <v>0</v>
      </c>
      <c r="BP261" s="418">
        <f t="shared" si="623"/>
        <v>3161</v>
      </c>
      <c r="BQ261" s="418">
        <f t="shared" si="623"/>
        <v>93</v>
      </c>
      <c r="BR261" s="418">
        <f t="shared" si="624"/>
        <v>459</v>
      </c>
      <c r="BS261" s="419">
        <f t="shared" si="625"/>
        <v>0.03</v>
      </c>
      <c r="BT261" s="419">
        <f t="shared" si="626"/>
        <v>0</v>
      </c>
      <c r="BU261" s="421">
        <f t="shared" si="626"/>
        <v>0.03</v>
      </c>
      <c r="BV261" s="420"/>
      <c r="BW261" s="415"/>
      <c r="BX261" s="415"/>
      <c r="BY261" s="415"/>
      <c r="BZ261" s="415"/>
      <c r="CA261" s="510"/>
    </row>
    <row r="262" spans="1:79" s="221" customFormat="1" ht="12.75" customHeight="1" x14ac:dyDescent="0.2">
      <c r="A262" s="155">
        <v>47</v>
      </c>
      <c r="B262" s="18">
        <v>4427</v>
      </c>
      <c r="C262" s="18">
        <v>600074188</v>
      </c>
      <c r="D262" s="18">
        <v>70982678</v>
      </c>
      <c r="E262" s="164" t="s">
        <v>783</v>
      </c>
      <c r="F262" s="18"/>
      <c r="G262" s="154"/>
      <c r="H262" s="613"/>
      <c r="I262" s="452">
        <v>7282066</v>
      </c>
      <c r="J262" s="445">
        <v>5327149</v>
      </c>
      <c r="K262" s="445">
        <v>4544937</v>
      </c>
      <c r="L262" s="445">
        <v>782212</v>
      </c>
      <c r="M262" s="445">
        <v>50000</v>
      </c>
      <c r="N262" s="445">
        <v>0</v>
      </c>
      <c r="O262" s="445">
        <v>50000</v>
      </c>
      <c r="P262" s="445">
        <v>1817477</v>
      </c>
      <c r="Q262" s="445">
        <v>53272</v>
      </c>
      <c r="R262" s="445">
        <v>34168</v>
      </c>
      <c r="S262" s="446">
        <v>10.874600000000001</v>
      </c>
      <c r="T262" s="446">
        <v>8.4580000000000002</v>
      </c>
      <c r="U262" s="450">
        <v>2.4166000000000003</v>
      </c>
      <c r="V262" s="448">
        <f t="shared" ref="V262:CA262" si="627">SUM(V256:V261)</f>
        <v>0</v>
      </c>
      <c r="W262" s="445">
        <f t="shared" si="627"/>
        <v>0</v>
      </c>
      <c r="X262" s="445">
        <f t="shared" si="627"/>
        <v>0</v>
      </c>
      <c r="Y262" s="445">
        <f t="shared" si="627"/>
        <v>0</v>
      </c>
      <c r="Z262" s="445">
        <f t="shared" si="627"/>
        <v>0</v>
      </c>
      <c r="AA262" s="445">
        <f t="shared" si="627"/>
        <v>193813</v>
      </c>
      <c r="AB262" s="445">
        <f t="shared" si="627"/>
        <v>0</v>
      </c>
      <c r="AC262" s="445">
        <f t="shared" si="627"/>
        <v>0</v>
      </c>
      <c r="AD262" s="445">
        <f t="shared" si="627"/>
        <v>0</v>
      </c>
      <c r="AE262" s="445">
        <f t="shared" si="627"/>
        <v>193813</v>
      </c>
      <c r="AF262" s="445">
        <f t="shared" si="627"/>
        <v>193813</v>
      </c>
      <c r="AG262" s="445">
        <f t="shared" si="627"/>
        <v>0</v>
      </c>
      <c r="AH262" s="445">
        <f t="shared" si="627"/>
        <v>0</v>
      </c>
      <c r="AI262" s="445">
        <f t="shared" si="627"/>
        <v>0</v>
      </c>
      <c r="AJ262" s="445">
        <f t="shared" si="627"/>
        <v>0</v>
      </c>
      <c r="AK262" s="445">
        <f t="shared" si="627"/>
        <v>0</v>
      </c>
      <c r="AL262" s="445">
        <f t="shared" si="627"/>
        <v>0</v>
      </c>
      <c r="AM262" s="445">
        <f t="shared" si="627"/>
        <v>0</v>
      </c>
      <c r="AN262" s="445">
        <f t="shared" si="627"/>
        <v>0</v>
      </c>
      <c r="AO262" s="445">
        <f t="shared" si="627"/>
        <v>0</v>
      </c>
      <c r="AP262" s="445">
        <f t="shared" si="627"/>
        <v>193813</v>
      </c>
      <c r="AQ262" s="445">
        <f t="shared" si="627"/>
        <v>193813</v>
      </c>
      <c r="AR262" s="445">
        <f t="shared" si="627"/>
        <v>65509</v>
      </c>
      <c r="AS262" s="445">
        <f t="shared" si="627"/>
        <v>1938</v>
      </c>
      <c r="AT262" s="445">
        <f t="shared" si="627"/>
        <v>3750</v>
      </c>
      <c r="AU262" s="445">
        <f t="shared" si="627"/>
        <v>1156</v>
      </c>
      <c r="AV262" s="445">
        <f t="shared" si="627"/>
        <v>4906</v>
      </c>
      <c r="AW262" s="445">
        <f t="shared" si="627"/>
        <v>266166</v>
      </c>
      <c r="AX262" s="446">
        <f t="shared" si="627"/>
        <v>0</v>
      </c>
      <c r="AY262" s="446">
        <f t="shared" si="627"/>
        <v>0</v>
      </c>
      <c r="AZ262" s="446">
        <f t="shared" si="627"/>
        <v>0</v>
      </c>
      <c r="BA262" s="446">
        <f t="shared" si="627"/>
        <v>0</v>
      </c>
      <c r="BB262" s="446">
        <f t="shared" si="627"/>
        <v>0.57999999999999996</v>
      </c>
      <c r="BC262" s="948">
        <f t="shared" si="627"/>
        <v>0</v>
      </c>
      <c r="BD262" s="446">
        <f t="shared" si="627"/>
        <v>0</v>
      </c>
      <c r="BE262" s="446">
        <f t="shared" si="627"/>
        <v>0</v>
      </c>
      <c r="BF262" s="446">
        <f t="shared" si="627"/>
        <v>0</v>
      </c>
      <c r="BG262" s="446">
        <f t="shared" si="627"/>
        <v>0.57999999999999996</v>
      </c>
      <c r="BH262" s="39">
        <f t="shared" si="627"/>
        <v>0.57999999999999996</v>
      </c>
      <c r="BI262" s="452">
        <f t="shared" si="627"/>
        <v>7548232</v>
      </c>
      <c r="BJ262" s="445">
        <f t="shared" si="627"/>
        <v>5520962</v>
      </c>
      <c r="BK262" s="445">
        <f t="shared" si="627"/>
        <v>4544937</v>
      </c>
      <c r="BL262" s="445">
        <f t="shared" si="627"/>
        <v>976025</v>
      </c>
      <c r="BM262" s="445">
        <f t="shared" si="627"/>
        <v>50000</v>
      </c>
      <c r="BN262" s="445">
        <f t="shared" si="627"/>
        <v>0</v>
      </c>
      <c r="BO262" s="445">
        <f t="shared" si="627"/>
        <v>50000</v>
      </c>
      <c r="BP262" s="445">
        <f t="shared" si="627"/>
        <v>1882986</v>
      </c>
      <c r="BQ262" s="445">
        <f t="shared" si="627"/>
        <v>55210</v>
      </c>
      <c r="BR262" s="445">
        <f t="shared" si="627"/>
        <v>39074</v>
      </c>
      <c r="BS262" s="446">
        <f t="shared" si="627"/>
        <v>11.454600000000001</v>
      </c>
      <c r="BT262" s="446">
        <f t="shared" si="627"/>
        <v>8.4580000000000002</v>
      </c>
      <c r="BU262" s="39">
        <f t="shared" si="627"/>
        <v>2.9965999999999999</v>
      </c>
      <c r="BV262" s="833">
        <f t="shared" si="627"/>
        <v>0</v>
      </c>
      <c r="BW262" s="715">
        <f t="shared" si="627"/>
        <v>0</v>
      </c>
      <c r="BX262" s="715">
        <f t="shared" si="627"/>
        <v>0</v>
      </c>
      <c r="BY262" s="715">
        <f t="shared" si="627"/>
        <v>0</v>
      </c>
      <c r="BZ262" s="715">
        <f t="shared" si="627"/>
        <v>0</v>
      </c>
      <c r="CA262" s="834">
        <f t="shared" si="627"/>
        <v>0</v>
      </c>
    </row>
    <row r="263" spans="1:79" s="221" customFormat="1" ht="12.75" customHeight="1" x14ac:dyDescent="0.2">
      <c r="A263" s="209">
        <v>49</v>
      </c>
      <c r="B263" s="210">
        <v>4490</v>
      </c>
      <c r="C263" s="210">
        <v>600074692</v>
      </c>
      <c r="D263" s="210">
        <v>72745088</v>
      </c>
      <c r="E263" s="208" t="s">
        <v>234</v>
      </c>
      <c r="F263" s="210">
        <v>3111</v>
      </c>
      <c r="G263" s="165" t="s">
        <v>290</v>
      </c>
      <c r="H263" s="626" t="s">
        <v>271</v>
      </c>
      <c r="I263" s="511">
        <v>1373137</v>
      </c>
      <c r="J263" s="415">
        <v>1013295</v>
      </c>
      <c r="K263" s="415">
        <v>953391</v>
      </c>
      <c r="L263" s="415">
        <v>59904</v>
      </c>
      <c r="M263" s="415">
        <v>2000</v>
      </c>
      <c r="N263" s="415">
        <v>2000</v>
      </c>
      <c r="O263" s="415">
        <v>0</v>
      </c>
      <c r="P263" s="68">
        <v>343170</v>
      </c>
      <c r="Q263" s="68">
        <v>10133</v>
      </c>
      <c r="R263" s="415">
        <v>4539</v>
      </c>
      <c r="S263" s="416">
        <v>2.1755</v>
      </c>
      <c r="T263" s="417">
        <v>1.9355</v>
      </c>
      <c r="U263" s="423">
        <v>0.24</v>
      </c>
      <c r="V263" s="424">
        <f t="shared" ref="V263:W268" si="628">AG263*-1</f>
        <v>0</v>
      </c>
      <c r="W263" s="418">
        <f t="shared" si="628"/>
        <v>0</v>
      </c>
      <c r="X263" s="418">
        <v>0</v>
      </c>
      <c r="Y263" s="418">
        <v>0</v>
      </c>
      <c r="Z263" s="418">
        <v>0</v>
      </c>
      <c r="AA263" s="415">
        <v>0</v>
      </c>
      <c r="AB263" s="418">
        <v>0</v>
      </c>
      <c r="AC263" s="418">
        <v>0</v>
      </c>
      <c r="AD263" s="418">
        <f t="shared" ref="AD263:AD268" si="629">V263+X263+Y263+Z263+AB263</f>
        <v>0</v>
      </c>
      <c r="AE263" s="418">
        <f t="shared" ref="AE263:AE268" si="630">W263+AA263+AC263</f>
        <v>0</v>
      </c>
      <c r="AF263" s="418">
        <f t="shared" ref="AF263:AF268" si="631">SUM(AD263:AE263)</f>
        <v>0</v>
      </c>
      <c r="AG263" s="418">
        <v>0</v>
      </c>
      <c r="AH263" s="418">
        <v>0</v>
      </c>
      <c r="AI263" s="418">
        <v>0</v>
      </c>
      <c r="AJ263" s="418">
        <v>0</v>
      </c>
      <c r="AK263" s="418">
        <v>0</v>
      </c>
      <c r="AL263" s="418">
        <f t="shared" ref="AL263:AL268" si="632">AG263+AI263+AJ263</f>
        <v>0</v>
      </c>
      <c r="AM263" s="418">
        <f t="shared" ref="AM263:AM268" si="633">AH263+AK263</f>
        <v>0</v>
      </c>
      <c r="AN263" s="418">
        <f t="shared" ref="AN263:AN268" si="634">SUM(AL263:AM263)</f>
        <v>0</v>
      </c>
      <c r="AO263" s="418">
        <f t="shared" ref="AO263:AP268" si="635">AD263+AL263</f>
        <v>0</v>
      </c>
      <c r="AP263" s="418">
        <f t="shared" si="635"/>
        <v>0</v>
      </c>
      <c r="AQ263" s="418">
        <f t="shared" ref="AQ263:AQ268" si="636">SUM(AO263:AP263)</f>
        <v>0</v>
      </c>
      <c r="AR263" s="68">
        <f t="shared" ref="AR263:AR268" si="637">ROUND((AF263+AG263+AH263+AI263)*33.8%,0)</f>
        <v>0</v>
      </c>
      <c r="AS263" s="68">
        <f t="shared" ref="AS263:AS268" si="638">ROUND(AF263*1%,0)</f>
        <v>0</v>
      </c>
      <c r="AT263" s="418">
        <v>0</v>
      </c>
      <c r="AU263" s="415">
        <v>0</v>
      </c>
      <c r="AV263" s="418">
        <f t="shared" ref="AV263:AV268" si="639">AT263+AU263</f>
        <v>0</v>
      </c>
      <c r="AW263" s="418">
        <f t="shared" ref="AW263:AW268" si="640">AQ263+AR263+AS263+AV263</f>
        <v>0</v>
      </c>
      <c r="AX263" s="419">
        <v>0</v>
      </c>
      <c r="AY263" s="419">
        <v>0</v>
      </c>
      <c r="AZ263" s="419">
        <v>0</v>
      </c>
      <c r="BA263" s="419">
        <v>0</v>
      </c>
      <c r="BB263" s="416">
        <v>0</v>
      </c>
      <c r="BC263" s="939">
        <v>0</v>
      </c>
      <c r="BD263" s="419">
        <v>0</v>
      </c>
      <c r="BE263" s="419">
        <v>0</v>
      </c>
      <c r="BF263" s="419">
        <f t="shared" ref="BF263:BF268" si="641">AX263+AZ263+BA263+BC263+BD263</f>
        <v>0</v>
      </c>
      <c r="BG263" s="419">
        <f t="shared" ref="BG263:BG268" si="642">AY263+BB263+BE263</f>
        <v>0</v>
      </c>
      <c r="BH263" s="421">
        <f t="shared" ref="BH263:BH268" si="643">SUM(BF263:BG263)</f>
        <v>0</v>
      </c>
      <c r="BI263" s="780">
        <f t="shared" ref="BI263:BI268" si="644">I263+AW263</f>
        <v>1373137</v>
      </c>
      <c r="BJ263" s="418">
        <f t="shared" ref="BJ263:BJ268" si="645">J263+AF263</f>
        <v>1013295</v>
      </c>
      <c r="BK263" s="418">
        <f t="shared" ref="BK263:BL268" si="646">K263+AD263</f>
        <v>953391</v>
      </c>
      <c r="BL263" s="418">
        <f t="shared" si="646"/>
        <v>59904</v>
      </c>
      <c r="BM263" s="418">
        <f t="shared" ref="BM263:BM268" si="647">M263+AN263</f>
        <v>2000</v>
      </c>
      <c r="BN263" s="418">
        <f t="shared" ref="BN263:BO268" si="648">N263+AL263</f>
        <v>2000</v>
      </c>
      <c r="BO263" s="418">
        <f t="shared" si="648"/>
        <v>0</v>
      </c>
      <c r="BP263" s="418">
        <f t="shared" ref="BP263:BQ268" si="649">P263+AR263</f>
        <v>343170</v>
      </c>
      <c r="BQ263" s="418">
        <f t="shared" si="649"/>
        <v>10133</v>
      </c>
      <c r="BR263" s="418">
        <f t="shared" ref="BR263:BR268" si="650">R263+AV263</f>
        <v>4539</v>
      </c>
      <c r="BS263" s="419">
        <f t="shared" ref="BS263:BS268" si="651">S263+BH263</f>
        <v>2.1755</v>
      </c>
      <c r="BT263" s="419">
        <f t="shared" ref="BT263:BU268" si="652">T263+BF263</f>
        <v>1.9355</v>
      </c>
      <c r="BU263" s="421">
        <f t="shared" si="652"/>
        <v>0.24</v>
      </c>
      <c r="BV263" s="420"/>
      <c r="BW263" s="415"/>
      <c r="BX263" s="415"/>
      <c r="BY263" s="415"/>
      <c r="BZ263" s="415"/>
      <c r="CA263" s="510"/>
    </row>
    <row r="264" spans="1:79" s="221" customFormat="1" ht="12.75" customHeight="1" x14ac:dyDescent="0.2">
      <c r="A264" s="209">
        <v>49</v>
      </c>
      <c r="B264" s="210">
        <v>4490</v>
      </c>
      <c r="C264" s="210">
        <v>600074692</v>
      </c>
      <c r="D264" s="210">
        <v>72745088</v>
      </c>
      <c r="E264" s="208" t="s">
        <v>234</v>
      </c>
      <c r="F264" s="210">
        <v>3117</v>
      </c>
      <c r="G264" s="165" t="s">
        <v>293</v>
      </c>
      <c r="H264" s="626" t="s">
        <v>271</v>
      </c>
      <c r="I264" s="511">
        <v>2088853</v>
      </c>
      <c r="J264" s="415">
        <v>1532261</v>
      </c>
      <c r="K264" s="415">
        <v>1332819</v>
      </c>
      <c r="L264" s="415">
        <v>199442</v>
      </c>
      <c r="M264" s="415">
        <v>2000</v>
      </c>
      <c r="N264" s="415">
        <v>2000</v>
      </c>
      <c r="O264" s="415">
        <v>0</v>
      </c>
      <c r="P264" s="68">
        <v>518580</v>
      </c>
      <c r="Q264" s="68">
        <v>15323</v>
      </c>
      <c r="R264" s="415">
        <v>20689</v>
      </c>
      <c r="S264" s="416">
        <v>2.9628000000000001</v>
      </c>
      <c r="T264" s="417">
        <v>2.4518</v>
      </c>
      <c r="U264" s="423">
        <v>0.51100000000000001</v>
      </c>
      <c r="V264" s="424">
        <f t="shared" si="628"/>
        <v>0</v>
      </c>
      <c r="W264" s="418">
        <f t="shared" si="628"/>
        <v>0</v>
      </c>
      <c r="X264" s="418">
        <v>0</v>
      </c>
      <c r="Y264" s="418">
        <v>0</v>
      </c>
      <c r="Z264" s="418">
        <v>0</v>
      </c>
      <c r="AA264" s="415">
        <v>0</v>
      </c>
      <c r="AB264" s="418">
        <v>0</v>
      </c>
      <c r="AC264" s="418">
        <v>0</v>
      </c>
      <c r="AD264" s="418">
        <f t="shared" si="629"/>
        <v>0</v>
      </c>
      <c r="AE264" s="418">
        <f t="shared" si="630"/>
        <v>0</v>
      </c>
      <c r="AF264" s="418">
        <f t="shared" si="631"/>
        <v>0</v>
      </c>
      <c r="AG264" s="418">
        <v>0</v>
      </c>
      <c r="AH264" s="418">
        <v>0</v>
      </c>
      <c r="AI264" s="418">
        <v>0</v>
      </c>
      <c r="AJ264" s="418">
        <v>0</v>
      </c>
      <c r="AK264" s="418">
        <v>0</v>
      </c>
      <c r="AL264" s="418">
        <f t="shared" si="632"/>
        <v>0</v>
      </c>
      <c r="AM264" s="418">
        <f t="shared" si="633"/>
        <v>0</v>
      </c>
      <c r="AN264" s="418">
        <f t="shared" si="634"/>
        <v>0</v>
      </c>
      <c r="AO264" s="418">
        <f t="shared" si="635"/>
        <v>0</v>
      </c>
      <c r="AP264" s="418">
        <f t="shared" si="635"/>
        <v>0</v>
      </c>
      <c r="AQ264" s="418">
        <f t="shared" si="636"/>
        <v>0</v>
      </c>
      <c r="AR264" s="68">
        <f t="shared" si="637"/>
        <v>0</v>
      </c>
      <c r="AS264" s="68">
        <f t="shared" si="638"/>
        <v>0</v>
      </c>
      <c r="AT264" s="418">
        <v>0</v>
      </c>
      <c r="AU264" s="415">
        <v>0</v>
      </c>
      <c r="AV264" s="418">
        <f t="shared" si="639"/>
        <v>0</v>
      </c>
      <c r="AW264" s="418">
        <f t="shared" si="640"/>
        <v>0</v>
      </c>
      <c r="AX264" s="419">
        <v>0</v>
      </c>
      <c r="AY264" s="419">
        <v>0</v>
      </c>
      <c r="AZ264" s="419">
        <v>0</v>
      </c>
      <c r="BA264" s="419">
        <v>0</v>
      </c>
      <c r="BB264" s="416">
        <v>0</v>
      </c>
      <c r="BC264" s="939">
        <v>0</v>
      </c>
      <c r="BD264" s="419">
        <v>0</v>
      </c>
      <c r="BE264" s="419">
        <v>0</v>
      </c>
      <c r="BF264" s="419">
        <f t="shared" si="641"/>
        <v>0</v>
      </c>
      <c r="BG264" s="419">
        <f t="shared" si="642"/>
        <v>0</v>
      </c>
      <c r="BH264" s="421">
        <f t="shared" si="643"/>
        <v>0</v>
      </c>
      <c r="BI264" s="780">
        <f t="shared" si="644"/>
        <v>2088853</v>
      </c>
      <c r="BJ264" s="418">
        <f t="shared" si="645"/>
        <v>1532261</v>
      </c>
      <c r="BK264" s="418">
        <f t="shared" si="646"/>
        <v>1332819</v>
      </c>
      <c r="BL264" s="418">
        <f t="shared" si="646"/>
        <v>199442</v>
      </c>
      <c r="BM264" s="418">
        <f t="shared" si="647"/>
        <v>2000</v>
      </c>
      <c r="BN264" s="418">
        <f t="shared" si="648"/>
        <v>2000</v>
      </c>
      <c r="BO264" s="418">
        <f t="shared" si="648"/>
        <v>0</v>
      </c>
      <c r="BP264" s="418">
        <f t="shared" si="649"/>
        <v>518580</v>
      </c>
      <c r="BQ264" s="418">
        <f t="shared" si="649"/>
        <v>15323</v>
      </c>
      <c r="BR264" s="418">
        <f t="shared" si="650"/>
        <v>20689</v>
      </c>
      <c r="BS264" s="419">
        <f t="shared" si="651"/>
        <v>2.9628000000000001</v>
      </c>
      <c r="BT264" s="419">
        <f t="shared" si="652"/>
        <v>2.4518</v>
      </c>
      <c r="BU264" s="421">
        <f t="shared" si="652"/>
        <v>0.51100000000000001</v>
      </c>
      <c r="BV264" s="420"/>
      <c r="BW264" s="415"/>
      <c r="BX264" s="415"/>
      <c r="BY264" s="415"/>
      <c r="BZ264" s="415"/>
      <c r="CA264" s="510"/>
    </row>
    <row r="265" spans="1:79" s="221" customFormat="1" ht="12.75" customHeight="1" x14ac:dyDescent="0.2">
      <c r="A265" s="209">
        <v>49</v>
      </c>
      <c r="B265" s="210">
        <v>4490</v>
      </c>
      <c r="C265" s="210">
        <v>600074692</v>
      </c>
      <c r="D265" s="210">
        <v>72745088</v>
      </c>
      <c r="E265" s="208" t="s">
        <v>234</v>
      </c>
      <c r="F265" s="210">
        <v>3117</v>
      </c>
      <c r="G265" s="165" t="s">
        <v>291</v>
      </c>
      <c r="H265" s="626" t="s">
        <v>272</v>
      </c>
      <c r="I265" s="511">
        <v>0</v>
      </c>
      <c r="J265" s="415">
        <v>0</v>
      </c>
      <c r="K265" s="415">
        <v>0</v>
      </c>
      <c r="L265" s="415">
        <v>0</v>
      </c>
      <c r="M265" s="415">
        <v>0</v>
      </c>
      <c r="N265" s="415">
        <v>0</v>
      </c>
      <c r="O265" s="415">
        <v>0</v>
      </c>
      <c r="P265" s="68">
        <v>0</v>
      </c>
      <c r="Q265" s="68">
        <v>0</v>
      </c>
      <c r="R265" s="415">
        <v>0</v>
      </c>
      <c r="S265" s="416">
        <v>0</v>
      </c>
      <c r="T265" s="417">
        <v>0</v>
      </c>
      <c r="U265" s="423">
        <v>0</v>
      </c>
      <c r="V265" s="424">
        <f t="shared" si="628"/>
        <v>0</v>
      </c>
      <c r="W265" s="418">
        <f t="shared" si="628"/>
        <v>0</v>
      </c>
      <c r="X265" s="418">
        <v>0</v>
      </c>
      <c r="Y265" s="418">
        <v>0</v>
      </c>
      <c r="Z265" s="418">
        <v>0</v>
      </c>
      <c r="AA265" s="415">
        <v>0</v>
      </c>
      <c r="AB265" s="418">
        <v>0</v>
      </c>
      <c r="AC265" s="418">
        <v>0</v>
      </c>
      <c r="AD265" s="418">
        <f t="shared" si="629"/>
        <v>0</v>
      </c>
      <c r="AE265" s="418">
        <f t="shared" si="630"/>
        <v>0</v>
      </c>
      <c r="AF265" s="418">
        <f t="shared" si="631"/>
        <v>0</v>
      </c>
      <c r="AG265" s="418">
        <v>0</v>
      </c>
      <c r="AH265" s="418">
        <v>0</v>
      </c>
      <c r="AI265" s="418">
        <v>0</v>
      </c>
      <c r="AJ265" s="418">
        <v>0</v>
      </c>
      <c r="AK265" s="418">
        <v>0</v>
      </c>
      <c r="AL265" s="418">
        <f t="shared" si="632"/>
        <v>0</v>
      </c>
      <c r="AM265" s="418">
        <f t="shared" si="633"/>
        <v>0</v>
      </c>
      <c r="AN265" s="418">
        <f t="shared" si="634"/>
        <v>0</v>
      </c>
      <c r="AO265" s="418">
        <f t="shared" si="635"/>
        <v>0</v>
      </c>
      <c r="AP265" s="418">
        <f t="shared" si="635"/>
        <v>0</v>
      </c>
      <c r="AQ265" s="418">
        <f t="shared" si="636"/>
        <v>0</v>
      </c>
      <c r="AR265" s="68">
        <f t="shared" si="637"/>
        <v>0</v>
      </c>
      <c r="AS265" s="68">
        <f t="shared" si="638"/>
        <v>0</v>
      </c>
      <c r="AT265" s="418">
        <v>0</v>
      </c>
      <c r="AU265" s="415">
        <v>0</v>
      </c>
      <c r="AV265" s="418">
        <f t="shared" si="639"/>
        <v>0</v>
      </c>
      <c r="AW265" s="418">
        <f t="shared" si="640"/>
        <v>0</v>
      </c>
      <c r="AX265" s="419">
        <v>0</v>
      </c>
      <c r="AY265" s="419">
        <v>0</v>
      </c>
      <c r="AZ265" s="419">
        <v>0</v>
      </c>
      <c r="BA265" s="419">
        <v>0</v>
      </c>
      <c r="BB265" s="416">
        <v>0</v>
      </c>
      <c r="BC265" s="939">
        <v>0</v>
      </c>
      <c r="BD265" s="419">
        <v>0</v>
      </c>
      <c r="BE265" s="419">
        <v>0</v>
      </c>
      <c r="BF265" s="419">
        <f t="shared" si="641"/>
        <v>0</v>
      </c>
      <c r="BG265" s="419">
        <f t="shared" si="642"/>
        <v>0</v>
      </c>
      <c r="BH265" s="421">
        <f t="shared" si="643"/>
        <v>0</v>
      </c>
      <c r="BI265" s="780">
        <f t="shared" si="644"/>
        <v>0</v>
      </c>
      <c r="BJ265" s="418">
        <f t="shared" si="645"/>
        <v>0</v>
      </c>
      <c r="BK265" s="418">
        <f t="shared" si="646"/>
        <v>0</v>
      </c>
      <c r="BL265" s="418">
        <f t="shared" si="646"/>
        <v>0</v>
      </c>
      <c r="BM265" s="418">
        <f t="shared" si="647"/>
        <v>0</v>
      </c>
      <c r="BN265" s="418">
        <f t="shared" si="648"/>
        <v>0</v>
      </c>
      <c r="BO265" s="418">
        <f t="shared" si="648"/>
        <v>0</v>
      </c>
      <c r="BP265" s="418">
        <f t="shared" si="649"/>
        <v>0</v>
      </c>
      <c r="BQ265" s="418">
        <f t="shared" si="649"/>
        <v>0</v>
      </c>
      <c r="BR265" s="418">
        <f t="shared" si="650"/>
        <v>0</v>
      </c>
      <c r="BS265" s="419">
        <f t="shared" si="651"/>
        <v>0</v>
      </c>
      <c r="BT265" s="419">
        <f t="shared" si="652"/>
        <v>0</v>
      </c>
      <c r="BU265" s="421">
        <f t="shared" si="652"/>
        <v>0</v>
      </c>
      <c r="BV265" s="420"/>
      <c r="BW265" s="415"/>
      <c r="BX265" s="415"/>
      <c r="BY265" s="415"/>
      <c r="BZ265" s="415"/>
      <c r="CA265" s="510"/>
    </row>
    <row r="266" spans="1:79" s="221" customFormat="1" ht="12.75" customHeight="1" x14ac:dyDescent="0.2">
      <c r="A266" s="209">
        <v>49</v>
      </c>
      <c r="B266" s="210">
        <v>4490</v>
      </c>
      <c r="C266" s="210">
        <v>600074692</v>
      </c>
      <c r="D266" s="210">
        <v>72745088</v>
      </c>
      <c r="E266" s="208" t="s">
        <v>234</v>
      </c>
      <c r="F266" s="210">
        <v>3141</v>
      </c>
      <c r="G266" s="165" t="s">
        <v>294</v>
      </c>
      <c r="H266" s="626" t="s">
        <v>272</v>
      </c>
      <c r="I266" s="511">
        <v>330721</v>
      </c>
      <c r="J266" s="415">
        <v>240541</v>
      </c>
      <c r="K266" s="415">
        <v>0</v>
      </c>
      <c r="L266" s="415">
        <v>240541</v>
      </c>
      <c r="M266" s="415">
        <v>4000</v>
      </c>
      <c r="N266" s="415">
        <v>0</v>
      </c>
      <c r="O266" s="415">
        <v>4000</v>
      </c>
      <c r="P266" s="68">
        <v>82655</v>
      </c>
      <c r="Q266" s="68">
        <v>2405</v>
      </c>
      <c r="R266" s="415">
        <v>1120</v>
      </c>
      <c r="S266" s="416">
        <v>0.73</v>
      </c>
      <c r="T266" s="417">
        <v>0</v>
      </c>
      <c r="U266" s="423">
        <v>0.73</v>
      </c>
      <c r="V266" s="424">
        <f t="shared" si="628"/>
        <v>0</v>
      </c>
      <c r="W266" s="418">
        <f t="shared" si="628"/>
        <v>0</v>
      </c>
      <c r="X266" s="418">
        <v>0</v>
      </c>
      <c r="Y266" s="418">
        <v>0</v>
      </c>
      <c r="Z266" s="418">
        <v>0</v>
      </c>
      <c r="AA266" s="605">
        <v>121711</v>
      </c>
      <c r="AB266" s="418">
        <v>0</v>
      </c>
      <c r="AC266" s="418">
        <v>0</v>
      </c>
      <c r="AD266" s="418">
        <f t="shared" si="629"/>
        <v>0</v>
      </c>
      <c r="AE266" s="418">
        <f t="shared" si="630"/>
        <v>121711</v>
      </c>
      <c r="AF266" s="418">
        <f t="shared" si="631"/>
        <v>121711</v>
      </c>
      <c r="AG266" s="418">
        <v>0</v>
      </c>
      <c r="AH266" s="418">
        <v>0</v>
      </c>
      <c r="AI266" s="418">
        <v>0</v>
      </c>
      <c r="AJ266" s="418">
        <v>0</v>
      </c>
      <c r="AK266" s="418">
        <v>0</v>
      </c>
      <c r="AL266" s="418">
        <f t="shared" si="632"/>
        <v>0</v>
      </c>
      <c r="AM266" s="418">
        <f t="shared" si="633"/>
        <v>0</v>
      </c>
      <c r="AN266" s="418">
        <f t="shared" si="634"/>
        <v>0</v>
      </c>
      <c r="AO266" s="418">
        <f t="shared" si="635"/>
        <v>0</v>
      </c>
      <c r="AP266" s="418">
        <f t="shared" si="635"/>
        <v>121711</v>
      </c>
      <c r="AQ266" s="418">
        <f t="shared" si="636"/>
        <v>121711</v>
      </c>
      <c r="AR266" s="68">
        <f t="shared" si="637"/>
        <v>41138</v>
      </c>
      <c r="AS266" s="68">
        <f t="shared" si="638"/>
        <v>1217</v>
      </c>
      <c r="AT266" s="418">
        <v>0</v>
      </c>
      <c r="AU266" s="605">
        <v>544</v>
      </c>
      <c r="AV266" s="418">
        <f t="shared" si="639"/>
        <v>544</v>
      </c>
      <c r="AW266" s="418">
        <f t="shared" si="640"/>
        <v>164610</v>
      </c>
      <c r="AX266" s="419">
        <v>0</v>
      </c>
      <c r="AY266" s="419">
        <v>0</v>
      </c>
      <c r="AZ266" s="419">
        <v>0</v>
      </c>
      <c r="BA266" s="419">
        <v>0</v>
      </c>
      <c r="BB266" s="607">
        <v>0.37</v>
      </c>
      <c r="BC266" s="939">
        <v>0</v>
      </c>
      <c r="BD266" s="419">
        <v>0</v>
      </c>
      <c r="BE266" s="419">
        <v>0</v>
      </c>
      <c r="BF266" s="419">
        <f t="shared" si="641"/>
        <v>0</v>
      </c>
      <c r="BG266" s="419">
        <f t="shared" si="642"/>
        <v>0.37</v>
      </c>
      <c r="BH266" s="421">
        <f t="shared" si="643"/>
        <v>0.37</v>
      </c>
      <c r="BI266" s="780">
        <f t="shared" si="644"/>
        <v>495331</v>
      </c>
      <c r="BJ266" s="418">
        <f t="shared" si="645"/>
        <v>362252</v>
      </c>
      <c r="BK266" s="418">
        <f t="shared" si="646"/>
        <v>0</v>
      </c>
      <c r="BL266" s="418">
        <f t="shared" si="646"/>
        <v>362252</v>
      </c>
      <c r="BM266" s="418">
        <f t="shared" si="647"/>
        <v>4000</v>
      </c>
      <c r="BN266" s="418">
        <f t="shared" si="648"/>
        <v>0</v>
      </c>
      <c r="BO266" s="418">
        <f t="shared" si="648"/>
        <v>4000</v>
      </c>
      <c r="BP266" s="418">
        <f t="shared" si="649"/>
        <v>123793</v>
      </c>
      <c r="BQ266" s="418">
        <f t="shared" si="649"/>
        <v>3622</v>
      </c>
      <c r="BR266" s="418">
        <f t="shared" si="650"/>
        <v>1664</v>
      </c>
      <c r="BS266" s="419">
        <f t="shared" si="651"/>
        <v>1.1000000000000001</v>
      </c>
      <c r="BT266" s="419">
        <f t="shared" si="652"/>
        <v>0</v>
      </c>
      <c r="BU266" s="421">
        <f t="shared" si="652"/>
        <v>1.1000000000000001</v>
      </c>
      <c r="BV266" s="420"/>
      <c r="BW266" s="415"/>
      <c r="BX266" s="415"/>
      <c r="BY266" s="415"/>
      <c r="BZ266" s="415"/>
      <c r="CA266" s="510"/>
    </row>
    <row r="267" spans="1:79" s="221" customFormat="1" ht="12.75" customHeight="1" x14ac:dyDescent="0.2">
      <c r="A267" s="209">
        <v>49</v>
      </c>
      <c r="B267" s="210">
        <v>4490</v>
      </c>
      <c r="C267" s="210">
        <v>600074692</v>
      </c>
      <c r="D267" s="210">
        <v>72745088</v>
      </c>
      <c r="E267" s="208" t="s">
        <v>234</v>
      </c>
      <c r="F267" s="210">
        <v>3143</v>
      </c>
      <c r="G267" s="165" t="s">
        <v>595</v>
      </c>
      <c r="H267" s="614" t="s">
        <v>271</v>
      </c>
      <c r="I267" s="511">
        <v>695570</v>
      </c>
      <c r="J267" s="415">
        <v>515009</v>
      </c>
      <c r="K267" s="415">
        <v>515009</v>
      </c>
      <c r="L267" s="415">
        <v>0</v>
      </c>
      <c r="M267" s="415">
        <v>1000</v>
      </c>
      <c r="N267" s="415">
        <v>1000</v>
      </c>
      <c r="O267" s="415">
        <v>0</v>
      </c>
      <c r="P267" s="68">
        <v>174411</v>
      </c>
      <c r="Q267" s="68">
        <v>5150</v>
      </c>
      <c r="R267" s="415">
        <v>0</v>
      </c>
      <c r="S267" s="416">
        <v>1.0476000000000001</v>
      </c>
      <c r="T267" s="417">
        <v>1.0476000000000001</v>
      </c>
      <c r="U267" s="423">
        <v>0</v>
      </c>
      <c r="V267" s="424">
        <f t="shared" si="628"/>
        <v>0</v>
      </c>
      <c r="W267" s="418">
        <f t="shared" si="628"/>
        <v>0</v>
      </c>
      <c r="X267" s="418">
        <v>0</v>
      </c>
      <c r="Y267" s="418">
        <v>0</v>
      </c>
      <c r="Z267" s="418">
        <v>0</v>
      </c>
      <c r="AA267" s="415">
        <v>0</v>
      </c>
      <c r="AB267" s="418">
        <v>0</v>
      </c>
      <c r="AC267" s="418">
        <v>0</v>
      </c>
      <c r="AD267" s="418">
        <f t="shared" si="629"/>
        <v>0</v>
      </c>
      <c r="AE267" s="418">
        <f t="shared" si="630"/>
        <v>0</v>
      </c>
      <c r="AF267" s="418">
        <f t="shared" si="631"/>
        <v>0</v>
      </c>
      <c r="AG267" s="418">
        <v>0</v>
      </c>
      <c r="AH267" s="418">
        <v>0</v>
      </c>
      <c r="AI267" s="418">
        <v>0</v>
      </c>
      <c r="AJ267" s="418">
        <v>0</v>
      </c>
      <c r="AK267" s="418">
        <v>0</v>
      </c>
      <c r="AL267" s="418">
        <f t="shared" si="632"/>
        <v>0</v>
      </c>
      <c r="AM267" s="418">
        <f t="shared" si="633"/>
        <v>0</v>
      </c>
      <c r="AN267" s="418">
        <f t="shared" si="634"/>
        <v>0</v>
      </c>
      <c r="AO267" s="418">
        <f t="shared" si="635"/>
        <v>0</v>
      </c>
      <c r="AP267" s="418">
        <f t="shared" si="635"/>
        <v>0</v>
      </c>
      <c r="AQ267" s="418">
        <f t="shared" si="636"/>
        <v>0</v>
      </c>
      <c r="AR267" s="68">
        <f t="shared" si="637"/>
        <v>0</v>
      </c>
      <c r="AS267" s="68">
        <f t="shared" si="638"/>
        <v>0</v>
      </c>
      <c r="AT267" s="418">
        <v>0</v>
      </c>
      <c r="AU267" s="415">
        <v>0</v>
      </c>
      <c r="AV267" s="418">
        <f t="shared" si="639"/>
        <v>0</v>
      </c>
      <c r="AW267" s="418">
        <f t="shared" si="640"/>
        <v>0</v>
      </c>
      <c r="AX267" s="419">
        <v>0</v>
      </c>
      <c r="AY267" s="419">
        <v>0</v>
      </c>
      <c r="AZ267" s="419">
        <v>0</v>
      </c>
      <c r="BA267" s="419">
        <v>0</v>
      </c>
      <c r="BB267" s="416">
        <v>0</v>
      </c>
      <c r="BC267" s="939">
        <v>0</v>
      </c>
      <c r="BD267" s="419">
        <v>0</v>
      </c>
      <c r="BE267" s="419">
        <v>0</v>
      </c>
      <c r="BF267" s="419">
        <f t="shared" si="641"/>
        <v>0</v>
      </c>
      <c r="BG267" s="419">
        <f t="shared" si="642"/>
        <v>0</v>
      </c>
      <c r="BH267" s="421">
        <f t="shared" si="643"/>
        <v>0</v>
      </c>
      <c r="BI267" s="780">
        <f t="shared" si="644"/>
        <v>695570</v>
      </c>
      <c r="BJ267" s="418">
        <f t="shared" si="645"/>
        <v>515009</v>
      </c>
      <c r="BK267" s="418">
        <f t="shared" si="646"/>
        <v>515009</v>
      </c>
      <c r="BL267" s="418">
        <f t="shared" si="646"/>
        <v>0</v>
      </c>
      <c r="BM267" s="418">
        <f t="shared" si="647"/>
        <v>1000</v>
      </c>
      <c r="BN267" s="418">
        <f t="shared" si="648"/>
        <v>1000</v>
      </c>
      <c r="BO267" s="418">
        <f t="shared" si="648"/>
        <v>0</v>
      </c>
      <c r="BP267" s="418">
        <f t="shared" si="649"/>
        <v>174411</v>
      </c>
      <c r="BQ267" s="418">
        <f t="shared" si="649"/>
        <v>5150</v>
      </c>
      <c r="BR267" s="418">
        <f t="shared" si="650"/>
        <v>0</v>
      </c>
      <c r="BS267" s="419">
        <f t="shared" si="651"/>
        <v>1.0476000000000001</v>
      </c>
      <c r="BT267" s="419">
        <f t="shared" si="652"/>
        <v>1.0476000000000001</v>
      </c>
      <c r="BU267" s="421">
        <f t="shared" si="652"/>
        <v>0</v>
      </c>
      <c r="BV267" s="420"/>
      <c r="BW267" s="415"/>
      <c r="BX267" s="415"/>
      <c r="BY267" s="415"/>
      <c r="BZ267" s="415"/>
      <c r="CA267" s="510"/>
    </row>
    <row r="268" spans="1:79" s="221" customFormat="1" ht="12.75" customHeight="1" x14ac:dyDescent="0.2">
      <c r="A268" s="209">
        <v>49</v>
      </c>
      <c r="B268" s="210">
        <v>4490</v>
      </c>
      <c r="C268" s="210">
        <v>600074692</v>
      </c>
      <c r="D268" s="210">
        <v>72745088</v>
      </c>
      <c r="E268" s="208" t="s">
        <v>234</v>
      </c>
      <c r="F268" s="210">
        <v>3143</v>
      </c>
      <c r="G268" s="165" t="s">
        <v>596</v>
      </c>
      <c r="H268" s="614" t="s">
        <v>272</v>
      </c>
      <c r="I268" s="511">
        <v>8189</v>
      </c>
      <c r="J268" s="415">
        <v>5861</v>
      </c>
      <c r="K268" s="415">
        <v>0</v>
      </c>
      <c r="L268" s="415">
        <v>5861</v>
      </c>
      <c r="M268" s="415">
        <v>0</v>
      </c>
      <c r="N268" s="415">
        <v>0</v>
      </c>
      <c r="O268" s="415">
        <v>0</v>
      </c>
      <c r="P268" s="68">
        <v>1981</v>
      </c>
      <c r="Q268" s="68">
        <v>59</v>
      </c>
      <c r="R268" s="415">
        <v>288</v>
      </c>
      <c r="S268" s="416">
        <v>0.02</v>
      </c>
      <c r="T268" s="417">
        <v>0</v>
      </c>
      <c r="U268" s="423">
        <v>0.02</v>
      </c>
      <c r="V268" s="424">
        <f t="shared" si="628"/>
        <v>0</v>
      </c>
      <c r="W268" s="418">
        <f t="shared" si="628"/>
        <v>0</v>
      </c>
      <c r="X268" s="418">
        <v>0</v>
      </c>
      <c r="Y268" s="418">
        <v>0</v>
      </c>
      <c r="Z268" s="418">
        <v>0</v>
      </c>
      <c r="AA268" s="605">
        <v>2939</v>
      </c>
      <c r="AB268" s="418">
        <v>0</v>
      </c>
      <c r="AC268" s="418">
        <v>0</v>
      </c>
      <c r="AD268" s="418">
        <f t="shared" si="629"/>
        <v>0</v>
      </c>
      <c r="AE268" s="418">
        <f t="shared" si="630"/>
        <v>2939</v>
      </c>
      <c r="AF268" s="418">
        <f t="shared" si="631"/>
        <v>2939</v>
      </c>
      <c r="AG268" s="418">
        <v>0</v>
      </c>
      <c r="AH268" s="418">
        <v>0</v>
      </c>
      <c r="AI268" s="418">
        <v>0</v>
      </c>
      <c r="AJ268" s="418">
        <v>0</v>
      </c>
      <c r="AK268" s="418">
        <v>0</v>
      </c>
      <c r="AL268" s="418">
        <f t="shared" si="632"/>
        <v>0</v>
      </c>
      <c r="AM268" s="418">
        <f t="shared" si="633"/>
        <v>0</v>
      </c>
      <c r="AN268" s="418">
        <f t="shared" si="634"/>
        <v>0</v>
      </c>
      <c r="AO268" s="418">
        <f t="shared" si="635"/>
        <v>0</v>
      </c>
      <c r="AP268" s="418">
        <f t="shared" si="635"/>
        <v>2939</v>
      </c>
      <c r="AQ268" s="418">
        <f t="shared" si="636"/>
        <v>2939</v>
      </c>
      <c r="AR268" s="68">
        <f t="shared" si="637"/>
        <v>993</v>
      </c>
      <c r="AS268" s="68">
        <f t="shared" si="638"/>
        <v>29</v>
      </c>
      <c r="AT268" s="418">
        <v>0</v>
      </c>
      <c r="AU268" s="606">
        <v>144</v>
      </c>
      <c r="AV268" s="418">
        <f t="shared" si="639"/>
        <v>144</v>
      </c>
      <c r="AW268" s="418">
        <f t="shared" si="640"/>
        <v>4105</v>
      </c>
      <c r="AX268" s="419">
        <v>0</v>
      </c>
      <c r="AY268" s="419">
        <v>0</v>
      </c>
      <c r="AZ268" s="419">
        <v>0</v>
      </c>
      <c r="BA268" s="419">
        <v>0</v>
      </c>
      <c r="BB268" s="607">
        <v>0.01</v>
      </c>
      <c r="BC268" s="939">
        <v>0</v>
      </c>
      <c r="BD268" s="419">
        <v>0</v>
      </c>
      <c r="BE268" s="419">
        <v>0</v>
      </c>
      <c r="BF268" s="419">
        <f t="shared" si="641"/>
        <v>0</v>
      </c>
      <c r="BG268" s="419">
        <f t="shared" si="642"/>
        <v>0.01</v>
      </c>
      <c r="BH268" s="421">
        <f t="shared" si="643"/>
        <v>0.01</v>
      </c>
      <c r="BI268" s="780">
        <f t="shared" si="644"/>
        <v>12294</v>
      </c>
      <c r="BJ268" s="418">
        <f t="shared" si="645"/>
        <v>8800</v>
      </c>
      <c r="BK268" s="418">
        <f t="shared" si="646"/>
        <v>0</v>
      </c>
      <c r="BL268" s="418">
        <f t="shared" si="646"/>
        <v>8800</v>
      </c>
      <c r="BM268" s="418">
        <f t="shared" si="647"/>
        <v>0</v>
      </c>
      <c r="BN268" s="418">
        <f t="shared" si="648"/>
        <v>0</v>
      </c>
      <c r="BO268" s="418">
        <f t="shared" si="648"/>
        <v>0</v>
      </c>
      <c r="BP268" s="418">
        <f t="shared" si="649"/>
        <v>2974</v>
      </c>
      <c r="BQ268" s="418">
        <f t="shared" si="649"/>
        <v>88</v>
      </c>
      <c r="BR268" s="418">
        <f t="shared" si="650"/>
        <v>432</v>
      </c>
      <c r="BS268" s="419">
        <f t="shared" si="651"/>
        <v>0.03</v>
      </c>
      <c r="BT268" s="419">
        <f t="shared" si="652"/>
        <v>0</v>
      </c>
      <c r="BU268" s="421">
        <f t="shared" si="652"/>
        <v>0.03</v>
      </c>
      <c r="BV268" s="420"/>
      <c r="BW268" s="415"/>
      <c r="BX268" s="415"/>
      <c r="BY268" s="415"/>
      <c r="BZ268" s="415"/>
      <c r="CA268" s="510"/>
    </row>
    <row r="269" spans="1:79" s="221" customFormat="1" ht="12.75" customHeight="1" x14ac:dyDescent="0.2">
      <c r="A269" s="155">
        <v>49</v>
      </c>
      <c r="B269" s="18">
        <v>4490</v>
      </c>
      <c r="C269" s="18">
        <v>600074692</v>
      </c>
      <c r="D269" s="18">
        <v>72745088</v>
      </c>
      <c r="E269" s="164" t="s">
        <v>235</v>
      </c>
      <c r="F269" s="18"/>
      <c r="G269" s="154"/>
      <c r="H269" s="613"/>
      <c r="I269" s="451">
        <v>4496470</v>
      </c>
      <c r="J269" s="443">
        <v>3306967</v>
      </c>
      <c r="K269" s="443">
        <v>2801219</v>
      </c>
      <c r="L269" s="443">
        <v>505748</v>
      </c>
      <c r="M269" s="443">
        <v>9000</v>
      </c>
      <c r="N269" s="443">
        <v>5000</v>
      </c>
      <c r="O269" s="443">
        <v>4000</v>
      </c>
      <c r="P269" s="443">
        <v>1120797</v>
      </c>
      <c r="Q269" s="443">
        <v>33070</v>
      </c>
      <c r="R269" s="443">
        <v>26636</v>
      </c>
      <c r="S269" s="444">
        <v>6.9358999999999993</v>
      </c>
      <c r="T269" s="444">
        <v>5.4348999999999998</v>
      </c>
      <c r="U269" s="449">
        <v>1.5009999999999999</v>
      </c>
      <c r="V269" s="447">
        <f t="shared" ref="V269:CA269" si="653">SUM(V263:V268)</f>
        <v>0</v>
      </c>
      <c r="W269" s="443">
        <f t="shared" si="653"/>
        <v>0</v>
      </c>
      <c r="X269" s="443">
        <f t="shared" si="653"/>
        <v>0</v>
      </c>
      <c r="Y269" s="443">
        <f t="shared" si="653"/>
        <v>0</v>
      </c>
      <c r="Z269" s="443">
        <f t="shared" si="653"/>
        <v>0</v>
      </c>
      <c r="AA269" s="443">
        <f t="shared" si="653"/>
        <v>124650</v>
      </c>
      <c r="AB269" s="443">
        <f t="shared" si="653"/>
        <v>0</v>
      </c>
      <c r="AC269" s="443">
        <f t="shared" si="653"/>
        <v>0</v>
      </c>
      <c r="AD269" s="443">
        <f t="shared" si="653"/>
        <v>0</v>
      </c>
      <c r="AE269" s="443">
        <f t="shared" si="653"/>
        <v>124650</v>
      </c>
      <c r="AF269" s="443">
        <f t="shared" si="653"/>
        <v>124650</v>
      </c>
      <c r="AG269" s="443">
        <f t="shared" si="653"/>
        <v>0</v>
      </c>
      <c r="AH269" s="443">
        <f t="shared" si="653"/>
        <v>0</v>
      </c>
      <c r="AI269" s="443">
        <f t="shared" si="653"/>
        <v>0</v>
      </c>
      <c r="AJ269" s="443">
        <f t="shared" si="653"/>
        <v>0</v>
      </c>
      <c r="AK269" s="443">
        <f t="shared" si="653"/>
        <v>0</v>
      </c>
      <c r="AL269" s="443">
        <f t="shared" si="653"/>
        <v>0</v>
      </c>
      <c r="AM269" s="443">
        <f t="shared" si="653"/>
        <v>0</v>
      </c>
      <c r="AN269" s="443">
        <f t="shared" si="653"/>
        <v>0</v>
      </c>
      <c r="AO269" s="443">
        <f t="shared" si="653"/>
        <v>0</v>
      </c>
      <c r="AP269" s="443">
        <f t="shared" si="653"/>
        <v>124650</v>
      </c>
      <c r="AQ269" s="443">
        <f t="shared" si="653"/>
        <v>124650</v>
      </c>
      <c r="AR269" s="443">
        <f t="shared" si="653"/>
        <v>42131</v>
      </c>
      <c r="AS269" s="443">
        <f t="shared" si="653"/>
        <v>1246</v>
      </c>
      <c r="AT269" s="443">
        <f t="shared" si="653"/>
        <v>0</v>
      </c>
      <c r="AU269" s="443">
        <f t="shared" si="653"/>
        <v>688</v>
      </c>
      <c r="AV269" s="443">
        <f t="shared" si="653"/>
        <v>688</v>
      </c>
      <c r="AW269" s="443">
        <f t="shared" si="653"/>
        <v>168715</v>
      </c>
      <c r="AX269" s="444">
        <f t="shared" si="653"/>
        <v>0</v>
      </c>
      <c r="AY269" s="444">
        <f t="shared" si="653"/>
        <v>0</v>
      </c>
      <c r="AZ269" s="444">
        <f t="shared" si="653"/>
        <v>0</v>
      </c>
      <c r="BA269" s="444">
        <f t="shared" si="653"/>
        <v>0</v>
      </c>
      <c r="BB269" s="444">
        <f t="shared" si="653"/>
        <v>0.38</v>
      </c>
      <c r="BC269" s="947">
        <f t="shared" si="653"/>
        <v>0</v>
      </c>
      <c r="BD269" s="444">
        <f t="shared" si="653"/>
        <v>0</v>
      </c>
      <c r="BE269" s="444">
        <f t="shared" si="653"/>
        <v>0</v>
      </c>
      <c r="BF269" s="444">
        <f t="shared" si="653"/>
        <v>0</v>
      </c>
      <c r="BG269" s="444">
        <f t="shared" si="653"/>
        <v>0.38</v>
      </c>
      <c r="BH269" s="40">
        <f t="shared" si="653"/>
        <v>0.38</v>
      </c>
      <c r="BI269" s="451">
        <f t="shared" si="653"/>
        <v>4665185</v>
      </c>
      <c r="BJ269" s="443">
        <f t="shared" si="653"/>
        <v>3431617</v>
      </c>
      <c r="BK269" s="443">
        <f t="shared" si="653"/>
        <v>2801219</v>
      </c>
      <c r="BL269" s="443">
        <f t="shared" si="653"/>
        <v>630398</v>
      </c>
      <c r="BM269" s="443">
        <f t="shared" si="653"/>
        <v>9000</v>
      </c>
      <c r="BN269" s="443">
        <f t="shared" si="653"/>
        <v>5000</v>
      </c>
      <c r="BO269" s="443">
        <f t="shared" si="653"/>
        <v>4000</v>
      </c>
      <c r="BP269" s="443">
        <f t="shared" si="653"/>
        <v>1162928</v>
      </c>
      <c r="BQ269" s="443">
        <f t="shared" si="653"/>
        <v>34316</v>
      </c>
      <c r="BR269" s="443">
        <f t="shared" si="653"/>
        <v>27324</v>
      </c>
      <c r="BS269" s="444">
        <f t="shared" si="653"/>
        <v>7.315900000000001</v>
      </c>
      <c r="BT269" s="444">
        <f t="shared" si="653"/>
        <v>5.4348999999999998</v>
      </c>
      <c r="BU269" s="40">
        <f t="shared" si="653"/>
        <v>1.881</v>
      </c>
      <c r="BV269" s="831">
        <f t="shared" si="653"/>
        <v>0</v>
      </c>
      <c r="BW269" s="714">
        <f t="shared" si="653"/>
        <v>0</v>
      </c>
      <c r="BX269" s="714">
        <f t="shared" si="653"/>
        <v>0</v>
      </c>
      <c r="BY269" s="714">
        <f t="shared" si="653"/>
        <v>0</v>
      </c>
      <c r="BZ269" s="714">
        <f t="shared" si="653"/>
        <v>0</v>
      </c>
      <c r="CA269" s="832">
        <f t="shared" si="653"/>
        <v>0</v>
      </c>
    </row>
    <row r="270" spans="1:79" s="221" customFormat="1" ht="12.75" customHeight="1" x14ac:dyDescent="0.2">
      <c r="A270" s="209">
        <v>50</v>
      </c>
      <c r="B270" s="210">
        <v>4491</v>
      </c>
      <c r="C270" s="210">
        <v>650050517</v>
      </c>
      <c r="D270" s="210">
        <v>72742437</v>
      </c>
      <c r="E270" s="208" t="s">
        <v>236</v>
      </c>
      <c r="F270" s="210">
        <v>3111</v>
      </c>
      <c r="G270" s="165" t="s">
        <v>290</v>
      </c>
      <c r="H270" s="626" t="s">
        <v>271</v>
      </c>
      <c r="I270" s="511">
        <v>1713498</v>
      </c>
      <c r="J270" s="415">
        <v>1264104</v>
      </c>
      <c r="K270" s="415">
        <v>1197536</v>
      </c>
      <c r="L270" s="415">
        <v>66568</v>
      </c>
      <c r="M270" s="415">
        <v>2500</v>
      </c>
      <c r="N270" s="415">
        <v>2500</v>
      </c>
      <c r="O270" s="415">
        <v>0</v>
      </c>
      <c r="P270" s="68">
        <v>428112</v>
      </c>
      <c r="Q270" s="68">
        <v>12641</v>
      </c>
      <c r="R270" s="415">
        <v>6141</v>
      </c>
      <c r="S270" s="416">
        <v>2.2667000000000002</v>
      </c>
      <c r="T270" s="417">
        <v>2</v>
      </c>
      <c r="U270" s="423">
        <v>0.26669999999999999</v>
      </c>
      <c r="V270" s="424">
        <f t="shared" ref="V270:W275" si="654">AG270*-1</f>
        <v>0</v>
      </c>
      <c r="W270" s="418">
        <f t="shared" si="654"/>
        <v>0</v>
      </c>
      <c r="X270" s="418">
        <v>0</v>
      </c>
      <c r="Y270" s="418">
        <v>0</v>
      </c>
      <c r="Z270" s="418">
        <v>0</v>
      </c>
      <c r="AA270" s="415">
        <v>0</v>
      </c>
      <c r="AB270" s="418">
        <v>0</v>
      </c>
      <c r="AC270" s="418">
        <v>0</v>
      </c>
      <c r="AD270" s="418">
        <f t="shared" ref="AD270:AD275" si="655">V270+X270+Y270+Z270+AB270</f>
        <v>0</v>
      </c>
      <c r="AE270" s="418">
        <f t="shared" ref="AE270:AE275" si="656">W270+AA270+AC270</f>
        <v>0</v>
      </c>
      <c r="AF270" s="418">
        <f t="shared" ref="AF270:AF275" si="657">SUM(AD270:AE270)</f>
        <v>0</v>
      </c>
      <c r="AG270" s="418">
        <v>0</v>
      </c>
      <c r="AH270" s="418">
        <v>0</v>
      </c>
      <c r="AI270" s="418">
        <v>0</v>
      </c>
      <c r="AJ270" s="418">
        <v>0</v>
      </c>
      <c r="AK270" s="418">
        <v>0</v>
      </c>
      <c r="AL270" s="418">
        <f t="shared" ref="AL270:AL275" si="658">AG270+AI270+AJ270</f>
        <v>0</v>
      </c>
      <c r="AM270" s="418">
        <f t="shared" ref="AM270:AM275" si="659">AH270+AK270</f>
        <v>0</v>
      </c>
      <c r="AN270" s="418">
        <f t="shared" ref="AN270:AN275" si="660">SUM(AL270:AM270)</f>
        <v>0</v>
      </c>
      <c r="AO270" s="418">
        <f t="shared" ref="AO270:AP275" si="661">AD270+AL270</f>
        <v>0</v>
      </c>
      <c r="AP270" s="418">
        <f t="shared" si="661"/>
        <v>0</v>
      </c>
      <c r="AQ270" s="418">
        <f t="shared" ref="AQ270:AQ275" si="662">SUM(AO270:AP270)</f>
        <v>0</v>
      </c>
      <c r="AR270" s="68">
        <f t="shared" ref="AR270:AR275" si="663">ROUND((AF270+AG270+AH270+AI270)*33.8%,0)</f>
        <v>0</v>
      </c>
      <c r="AS270" s="68">
        <f t="shared" ref="AS270:AS275" si="664">ROUND(AF270*1%,0)</f>
        <v>0</v>
      </c>
      <c r="AT270" s="418">
        <v>0</v>
      </c>
      <c r="AU270" s="415">
        <v>0</v>
      </c>
      <c r="AV270" s="418">
        <f t="shared" ref="AV270:AV275" si="665">AT270+AU270</f>
        <v>0</v>
      </c>
      <c r="AW270" s="418">
        <f t="shared" ref="AW270:AW275" si="666">AQ270+AR270+AS270+AV270</f>
        <v>0</v>
      </c>
      <c r="AX270" s="419">
        <v>0</v>
      </c>
      <c r="AY270" s="419">
        <v>0</v>
      </c>
      <c r="AZ270" s="419">
        <v>0</v>
      </c>
      <c r="BA270" s="419">
        <v>0</v>
      </c>
      <c r="BB270" s="416">
        <v>0</v>
      </c>
      <c r="BC270" s="939">
        <v>0</v>
      </c>
      <c r="BD270" s="419">
        <v>0</v>
      </c>
      <c r="BE270" s="419">
        <v>0</v>
      </c>
      <c r="BF270" s="419">
        <f t="shared" ref="BF270:BF275" si="667">AX270+AZ270+BA270+BC270+BD270</f>
        <v>0</v>
      </c>
      <c r="BG270" s="419">
        <f t="shared" ref="BG270:BG275" si="668">AY270+BB270+BE270</f>
        <v>0</v>
      </c>
      <c r="BH270" s="421">
        <f t="shared" ref="BH270:BH275" si="669">SUM(BF270:BG270)</f>
        <v>0</v>
      </c>
      <c r="BI270" s="780">
        <f t="shared" ref="BI270:BI275" si="670">I270+AW270</f>
        <v>1713498</v>
      </c>
      <c r="BJ270" s="418">
        <f t="shared" ref="BJ270:BJ275" si="671">J270+AF270</f>
        <v>1264104</v>
      </c>
      <c r="BK270" s="418">
        <f t="shared" ref="BK270:BL275" si="672">K270+AD270</f>
        <v>1197536</v>
      </c>
      <c r="BL270" s="418">
        <f t="shared" si="672"/>
        <v>66568</v>
      </c>
      <c r="BM270" s="418">
        <f t="shared" ref="BM270:BM275" si="673">M270+AN270</f>
        <v>2500</v>
      </c>
      <c r="BN270" s="418">
        <f t="shared" ref="BN270:BO275" si="674">N270+AL270</f>
        <v>2500</v>
      </c>
      <c r="BO270" s="418">
        <f t="shared" si="674"/>
        <v>0</v>
      </c>
      <c r="BP270" s="418">
        <f t="shared" ref="BP270:BQ275" si="675">P270+AR270</f>
        <v>428112</v>
      </c>
      <c r="BQ270" s="418">
        <f t="shared" si="675"/>
        <v>12641</v>
      </c>
      <c r="BR270" s="418">
        <f t="shared" ref="BR270:BR275" si="676">R270+AV270</f>
        <v>6141</v>
      </c>
      <c r="BS270" s="419">
        <f t="shared" ref="BS270:BS275" si="677">S270+BH270</f>
        <v>2.2667000000000002</v>
      </c>
      <c r="BT270" s="419">
        <f t="shared" ref="BT270:BU275" si="678">T270+BF270</f>
        <v>2</v>
      </c>
      <c r="BU270" s="421">
        <f t="shared" si="678"/>
        <v>0.26669999999999999</v>
      </c>
      <c r="BV270" s="420"/>
      <c r="BW270" s="415"/>
      <c r="BX270" s="415"/>
      <c r="BY270" s="415"/>
      <c r="BZ270" s="415"/>
      <c r="CA270" s="510"/>
    </row>
    <row r="271" spans="1:79" s="221" customFormat="1" ht="12.75" customHeight="1" x14ac:dyDescent="0.2">
      <c r="A271" s="209">
        <v>50</v>
      </c>
      <c r="B271" s="210">
        <v>4491</v>
      </c>
      <c r="C271" s="210">
        <v>650050517</v>
      </c>
      <c r="D271" s="210">
        <v>72742437</v>
      </c>
      <c r="E271" s="208" t="s">
        <v>236</v>
      </c>
      <c r="F271" s="210">
        <v>3117</v>
      </c>
      <c r="G271" s="165" t="s">
        <v>293</v>
      </c>
      <c r="H271" s="626" t="s">
        <v>271</v>
      </c>
      <c r="I271" s="511">
        <v>3422957</v>
      </c>
      <c r="J271" s="415">
        <v>2503853</v>
      </c>
      <c r="K271" s="415">
        <v>2228275</v>
      </c>
      <c r="L271" s="415">
        <v>275578</v>
      </c>
      <c r="M271" s="415">
        <v>7500</v>
      </c>
      <c r="N271" s="415">
        <v>7500</v>
      </c>
      <c r="O271" s="415">
        <v>0</v>
      </c>
      <c r="P271" s="68">
        <v>848838</v>
      </c>
      <c r="Q271" s="68">
        <v>25039</v>
      </c>
      <c r="R271" s="415">
        <v>37727</v>
      </c>
      <c r="S271" s="416">
        <v>3.8334999999999999</v>
      </c>
      <c r="T271" s="417">
        <v>3.1265000000000001</v>
      </c>
      <c r="U271" s="423">
        <v>0.70699999999999996</v>
      </c>
      <c r="V271" s="424">
        <f t="shared" si="654"/>
        <v>0</v>
      </c>
      <c r="W271" s="418">
        <f t="shared" si="654"/>
        <v>0</v>
      </c>
      <c r="X271" s="418">
        <v>0</v>
      </c>
      <c r="Y271" s="418">
        <v>0</v>
      </c>
      <c r="Z271" s="418">
        <v>0</v>
      </c>
      <c r="AA271" s="415">
        <v>0</v>
      </c>
      <c r="AB271" s="418">
        <v>0</v>
      </c>
      <c r="AC271" s="418">
        <v>0</v>
      </c>
      <c r="AD271" s="418">
        <f t="shared" si="655"/>
        <v>0</v>
      </c>
      <c r="AE271" s="418">
        <f t="shared" si="656"/>
        <v>0</v>
      </c>
      <c r="AF271" s="418">
        <f t="shared" si="657"/>
        <v>0</v>
      </c>
      <c r="AG271" s="418">
        <v>0</v>
      </c>
      <c r="AH271" s="418">
        <v>0</v>
      </c>
      <c r="AI271" s="418">
        <v>0</v>
      </c>
      <c r="AJ271" s="418">
        <v>0</v>
      </c>
      <c r="AK271" s="418">
        <v>0</v>
      </c>
      <c r="AL271" s="418">
        <f t="shared" si="658"/>
        <v>0</v>
      </c>
      <c r="AM271" s="418">
        <f t="shared" si="659"/>
        <v>0</v>
      </c>
      <c r="AN271" s="418">
        <f t="shared" si="660"/>
        <v>0</v>
      </c>
      <c r="AO271" s="418">
        <f t="shared" si="661"/>
        <v>0</v>
      </c>
      <c r="AP271" s="418">
        <f t="shared" si="661"/>
        <v>0</v>
      </c>
      <c r="AQ271" s="418">
        <f t="shared" si="662"/>
        <v>0</v>
      </c>
      <c r="AR271" s="68">
        <f t="shared" si="663"/>
        <v>0</v>
      </c>
      <c r="AS271" s="68">
        <f t="shared" si="664"/>
        <v>0</v>
      </c>
      <c r="AT271" s="418">
        <v>0</v>
      </c>
      <c r="AU271" s="415">
        <v>0</v>
      </c>
      <c r="AV271" s="418">
        <f t="shared" si="665"/>
        <v>0</v>
      </c>
      <c r="AW271" s="418">
        <f t="shared" si="666"/>
        <v>0</v>
      </c>
      <c r="AX271" s="419">
        <v>0</v>
      </c>
      <c r="AY271" s="419">
        <v>0</v>
      </c>
      <c r="AZ271" s="419">
        <v>0</v>
      </c>
      <c r="BA271" s="419">
        <v>0</v>
      </c>
      <c r="BB271" s="416">
        <v>0</v>
      </c>
      <c r="BC271" s="939">
        <v>0</v>
      </c>
      <c r="BD271" s="419">
        <v>0</v>
      </c>
      <c r="BE271" s="419">
        <v>0</v>
      </c>
      <c r="BF271" s="419">
        <f t="shared" si="667"/>
        <v>0</v>
      </c>
      <c r="BG271" s="419">
        <f t="shared" si="668"/>
        <v>0</v>
      </c>
      <c r="BH271" s="421">
        <f t="shared" si="669"/>
        <v>0</v>
      </c>
      <c r="BI271" s="780">
        <f t="shared" si="670"/>
        <v>3422957</v>
      </c>
      <c r="BJ271" s="418">
        <f t="shared" si="671"/>
        <v>2503853</v>
      </c>
      <c r="BK271" s="418">
        <f t="shared" si="672"/>
        <v>2228275</v>
      </c>
      <c r="BL271" s="418">
        <f t="shared" si="672"/>
        <v>275578</v>
      </c>
      <c r="BM271" s="418">
        <f t="shared" si="673"/>
        <v>7500</v>
      </c>
      <c r="BN271" s="418">
        <f t="shared" si="674"/>
        <v>7500</v>
      </c>
      <c r="BO271" s="418">
        <f t="shared" si="674"/>
        <v>0</v>
      </c>
      <c r="BP271" s="418">
        <f t="shared" si="675"/>
        <v>848838</v>
      </c>
      <c r="BQ271" s="418">
        <f t="shared" si="675"/>
        <v>25039</v>
      </c>
      <c r="BR271" s="418">
        <f t="shared" si="676"/>
        <v>37727</v>
      </c>
      <c r="BS271" s="419">
        <f t="shared" si="677"/>
        <v>3.8334999999999999</v>
      </c>
      <c r="BT271" s="419">
        <f t="shared" si="678"/>
        <v>3.1265000000000001</v>
      </c>
      <c r="BU271" s="421">
        <f t="shared" si="678"/>
        <v>0.70699999999999996</v>
      </c>
      <c r="BV271" s="420"/>
      <c r="BW271" s="415"/>
      <c r="BX271" s="415"/>
      <c r="BY271" s="415"/>
      <c r="BZ271" s="415"/>
      <c r="CA271" s="510"/>
    </row>
    <row r="272" spans="1:79" s="221" customFormat="1" ht="12.75" customHeight="1" x14ac:dyDescent="0.2">
      <c r="A272" s="209">
        <v>50</v>
      </c>
      <c r="B272" s="210">
        <v>4491</v>
      </c>
      <c r="C272" s="210">
        <v>650050517</v>
      </c>
      <c r="D272" s="210">
        <v>72742437</v>
      </c>
      <c r="E272" s="208" t="s">
        <v>236</v>
      </c>
      <c r="F272" s="210">
        <v>3117</v>
      </c>
      <c r="G272" s="165" t="s">
        <v>291</v>
      </c>
      <c r="H272" s="626" t="s">
        <v>272</v>
      </c>
      <c r="I272" s="511">
        <v>0</v>
      </c>
      <c r="J272" s="415">
        <v>0</v>
      </c>
      <c r="K272" s="415">
        <v>0</v>
      </c>
      <c r="L272" s="415">
        <v>0</v>
      </c>
      <c r="M272" s="415">
        <v>0</v>
      </c>
      <c r="N272" s="415">
        <v>0</v>
      </c>
      <c r="O272" s="415">
        <v>0</v>
      </c>
      <c r="P272" s="68">
        <v>0</v>
      </c>
      <c r="Q272" s="68">
        <v>0</v>
      </c>
      <c r="R272" s="415">
        <v>0</v>
      </c>
      <c r="S272" s="416">
        <v>0</v>
      </c>
      <c r="T272" s="417">
        <v>0</v>
      </c>
      <c r="U272" s="423">
        <v>0</v>
      </c>
      <c r="V272" s="424">
        <f t="shared" si="654"/>
        <v>0</v>
      </c>
      <c r="W272" s="418">
        <f t="shared" si="654"/>
        <v>0</v>
      </c>
      <c r="X272" s="418">
        <v>0</v>
      </c>
      <c r="Y272" s="418">
        <v>0</v>
      </c>
      <c r="Z272" s="418">
        <v>0</v>
      </c>
      <c r="AA272" s="415">
        <v>0</v>
      </c>
      <c r="AB272" s="418">
        <v>0</v>
      </c>
      <c r="AC272" s="418">
        <v>0</v>
      </c>
      <c r="AD272" s="418">
        <f t="shared" si="655"/>
        <v>0</v>
      </c>
      <c r="AE272" s="418">
        <f t="shared" si="656"/>
        <v>0</v>
      </c>
      <c r="AF272" s="418">
        <f t="shared" si="657"/>
        <v>0</v>
      </c>
      <c r="AG272" s="418">
        <v>0</v>
      </c>
      <c r="AH272" s="418">
        <v>0</v>
      </c>
      <c r="AI272" s="418">
        <v>0</v>
      </c>
      <c r="AJ272" s="418">
        <v>0</v>
      </c>
      <c r="AK272" s="418">
        <v>0</v>
      </c>
      <c r="AL272" s="418">
        <f t="shared" si="658"/>
        <v>0</v>
      </c>
      <c r="AM272" s="418">
        <f t="shared" si="659"/>
        <v>0</v>
      </c>
      <c r="AN272" s="418">
        <f t="shared" si="660"/>
        <v>0</v>
      </c>
      <c r="AO272" s="418">
        <f t="shared" si="661"/>
        <v>0</v>
      </c>
      <c r="AP272" s="418">
        <f t="shared" si="661"/>
        <v>0</v>
      </c>
      <c r="AQ272" s="418">
        <f t="shared" si="662"/>
        <v>0</v>
      </c>
      <c r="AR272" s="68">
        <f t="shared" si="663"/>
        <v>0</v>
      </c>
      <c r="AS272" s="68">
        <f t="shared" si="664"/>
        <v>0</v>
      </c>
      <c r="AT272" s="418">
        <v>0</v>
      </c>
      <c r="AU272" s="415">
        <v>0</v>
      </c>
      <c r="AV272" s="418">
        <f t="shared" si="665"/>
        <v>0</v>
      </c>
      <c r="AW272" s="418">
        <f t="shared" si="666"/>
        <v>0</v>
      </c>
      <c r="AX272" s="419">
        <v>0</v>
      </c>
      <c r="AY272" s="419">
        <v>0</v>
      </c>
      <c r="AZ272" s="419">
        <v>0</v>
      </c>
      <c r="BA272" s="419">
        <v>0</v>
      </c>
      <c r="BB272" s="416">
        <v>0</v>
      </c>
      <c r="BC272" s="939">
        <v>0</v>
      </c>
      <c r="BD272" s="419">
        <v>0</v>
      </c>
      <c r="BE272" s="419">
        <v>0</v>
      </c>
      <c r="BF272" s="419">
        <f t="shared" si="667"/>
        <v>0</v>
      </c>
      <c r="BG272" s="419">
        <f t="shared" si="668"/>
        <v>0</v>
      </c>
      <c r="BH272" s="421">
        <f t="shared" si="669"/>
        <v>0</v>
      </c>
      <c r="BI272" s="780">
        <f t="shared" si="670"/>
        <v>0</v>
      </c>
      <c r="BJ272" s="418">
        <f t="shared" si="671"/>
        <v>0</v>
      </c>
      <c r="BK272" s="418">
        <f t="shared" si="672"/>
        <v>0</v>
      </c>
      <c r="BL272" s="418">
        <f t="shared" si="672"/>
        <v>0</v>
      </c>
      <c r="BM272" s="418">
        <f t="shared" si="673"/>
        <v>0</v>
      </c>
      <c r="BN272" s="418">
        <f t="shared" si="674"/>
        <v>0</v>
      </c>
      <c r="BO272" s="418">
        <f t="shared" si="674"/>
        <v>0</v>
      </c>
      <c r="BP272" s="418">
        <f t="shared" si="675"/>
        <v>0</v>
      </c>
      <c r="BQ272" s="418">
        <f t="shared" si="675"/>
        <v>0</v>
      </c>
      <c r="BR272" s="418">
        <f t="shared" si="676"/>
        <v>0</v>
      </c>
      <c r="BS272" s="419">
        <f t="shared" si="677"/>
        <v>0</v>
      </c>
      <c r="BT272" s="419">
        <f t="shared" si="678"/>
        <v>0</v>
      </c>
      <c r="BU272" s="421">
        <f t="shared" si="678"/>
        <v>0</v>
      </c>
      <c r="BV272" s="420"/>
      <c r="BW272" s="415"/>
      <c r="BX272" s="415"/>
      <c r="BY272" s="415"/>
      <c r="BZ272" s="415"/>
      <c r="CA272" s="510"/>
    </row>
    <row r="273" spans="1:79" s="221" customFormat="1" ht="12.75" customHeight="1" x14ac:dyDescent="0.2">
      <c r="A273" s="209">
        <v>50</v>
      </c>
      <c r="B273" s="210">
        <v>4491</v>
      </c>
      <c r="C273" s="210">
        <v>650050517</v>
      </c>
      <c r="D273" s="210">
        <v>72742437</v>
      </c>
      <c r="E273" s="208" t="s">
        <v>236</v>
      </c>
      <c r="F273" s="210">
        <v>3141</v>
      </c>
      <c r="G273" s="165" t="s">
        <v>294</v>
      </c>
      <c r="H273" s="626" t="s">
        <v>272</v>
      </c>
      <c r="I273" s="511">
        <v>517962</v>
      </c>
      <c r="J273" s="415">
        <v>382402</v>
      </c>
      <c r="K273" s="415">
        <v>0</v>
      </c>
      <c r="L273" s="415">
        <v>382402</v>
      </c>
      <c r="M273" s="415">
        <v>0</v>
      </c>
      <c r="N273" s="415">
        <v>0</v>
      </c>
      <c r="O273" s="415">
        <v>0</v>
      </c>
      <c r="P273" s="68">
        <v>129252</v>
      </c>
      <c r="Q273" s="68">
        <v>3824</v>
      </c>
      <c r="R273" s="415">
        <v>2484</v>
      </c>
      <c r="S273" s="416">
        <v>1.1499999999999999</v>
      </c>
      <c r="T273" s="417">
        <v>0</v>
      </c>
      <c r="U273" s="423">
        <v>1.1499999999999999</v>
      </c>
      <c r="V273" s="424">
        <f t="shared" si="654"/>
        <v>0</v>
      </c>
      <c r="W273" s="418">
        <f t="shared" si="654"/>
        <v>0</v>
      </c>
      <c r="X273" s="418">
        <v>0</v>
      </c>
      <c r="Y273" s="418">
        <v>0</v>
      </c>
      <c r="Z273" s="418">
        <v>0</v>
      </c>
      <c r="AA273" s="415">
        <v>191178</v>
      </c>
      <c r="AB273" s="418">
        <v>0</v>
      </c>
      <c r="AC273" s="418">
        <v>0</v>
      </c>
      <c r="AD273" s="418">
        <f t="shared" si="655"/>
        <v>0</v>
      </c>
      <c r="AE273" s="418">
        <f t="shared" si="656"/>
        <v>191178</v>
      </c>
      <c r="AF273" s="418">
        <f t="shared" si="657"/>
        <v>191178</v>
      </c>
      <c r="AG273" s="418">
        <v>0</v>
      </c>
      <c r="AH273" s="418">
        <v>0</v>
      </c>
      <c r="AI273" s="418">
        <v>0</v>
      </c>
      <c r="AJ273" s="418">
        <v>0</v>
      </c>
      <c r="AK273" s="418">
        <v>0</v>
      </c>
      <c r="AL273" s="418">
        <f t="shared" si="658"/>
        <v>0</v>
      </c>
      <c r="AM273" s="418">
        <f t="shared" si="659"/>
        <v>0</v>
      </c>
      <c r="AN273" s="418">
        <f t="shared" si="660"/>
        <v>0</v>
      </c>
      <c r="AO273" s="418">
        <f t="shared" si="661"/>
        <v>0</v>
      </c>
      <c r="AP273" s="418">
        <f t="shared" si="661"/>
        <v>191178</v>
      </c>
      <c r="AQ273" s="418">
        <f t="shared" si="662"/>
        <v>191178</v>
      </c>
      <c r="AR273" s="68">
        <f t="shared" si="663"/>
        <v>64618</v>
      </c>
      <c r="AS273" s="68">
        <f t="shared" si="664"/>
        <v>1912</v>
      </c>
      <c r="AT273" s="418">
        <v>0</v>
      </c>
      <c r="AU273" s="415">
        <v>1188</v>
      </c>
      <c r="AV273" s="418">
        <f t="shared" si="665"/>
        <v>1188</v>
      </c>
      <c r="AW273" s="418">
        <f t="shared" si="666"/>
        <v>258896</v>
      </c>
      <c r="AX273" s="419">
        <v>0</v>
      </c>
      <c r="AY273" s="419">
        <v>0</v>
      </c>
      <c r="AZ273" s="419">
        <v>0</v>
      </c>
      <c r="BA273" s="419">
        <v>0</v>
      </c>
      <c r="BB273" s="416">
        <v>0.56999999999999995</v>
      </c>
      <c r="BC273" s="939">
        <v>0</v>
      </c>
      <c r="BD273" s="419">
        <v>0</v>
      </c>
      <c r="BE273" s="419">
        <v>0</v>
      </c>
      <c r="BF273" s="419">
        <f t="shared" si="667"/>
        <v>0</v>
      </c>
      <c r="BG273" s="419">
        <f t="shared" si="668"/>
        <v>0.56999999999999995</v>
      </c>
      <c r="BH273" s="421">
        <f t="shared" si="669"/>
        <v>0.56999999999999995</v>
      </c>
      <c r="BI273" s="780">
        <f t="shared" si="670"/>
        <v>776858</v>
      </c>
      <c r="BJ273" s="418">
        <f t="shared" si="671"/>
        <v>573580</v>
      </c>
      <c r="BK273" s="418">
        <f t="shared" si="672"/>
        <v>0</v>
      </c>
      <c r="BL273" s="418">
        <f t="shared" si="672"/>
        <v>573580</v>
      </c>
      <c r="BM273" s="418">
        <f t="shared" si="673"/>
        <v>0</v>
      </c>
      <c r="BN273" s="418">
        <f t="shared" si="674"/>
        <v>0</v>
      </c>
      <c r="BO273" s="418">
        <f t="shared" si="674"/>
        <v>0</v>
      </c>
      <c r="BP273" s="418">
        <f t="shared" si="675"/>
        <v>193870</v>
      </c>
      <c r="BQ273" s="418">
        <f t="shared" si="675"/>
        <v>5736</v>
      </c>
      <c r="BR273" s="418">
        <f t="shared" si="676"/>
        <v>3672</v>
      </c>
      <c r="BS273" s="419">
        <f t="shared" si="677"/>
        <v>1.7199999999999998</v>
      </c>
      <c r="BT273" s="419">
        <f t="shared" si="678"/>
        <v>0</v>
      </c>
      <c r="BU273" s="421">
        <f t="shared" si="678"/>
        <v>1.7199999999999998</v>
      </c>
      <c r="BV273" s="420"/>
      <c r="BW273" s="415"/>
      <c r="BX273" s="415"/>
      <c r="BY273" s="415"/>
      <c r="BZ273" s="415"/>
      <c r="CA273" s="510"/>
    </row>
    <row r="274" spans="1:79" s="221" customFormat="1" ht="12.75" customHeight="1" x14ac:dyDescent="0.2">
      <c r="A274" s="209">
        <v>50</v>
      </c>
      <c r="B274" s="210">
        <v>4491</v>
      </c>
      <c r="C274" s="210">
        <v>650050517</v>
      </c>
      <c r="D274" s="210">
        <v>72742437</v>
      </c>
      <c r="E274" s="208" t="s">
        <v>236</v>
      </c>
      <c r="F274" s="210">
        <v>3143</v>
      </c>
      <c r="G274" s="165" t="s">
        <v>595</v>
      </c>
      <c r="H274" s="614" t="s">
        <v>271</v>
      </c>
      <c r="I274" s="511">
        <v>653573</v>
      </c>
      <c r="J274" s="415">
        <v>484847</v>
      </c>
      <c r="K274" s="415">
        <v>484847</v>
      </c>
      <c r="L274" s="415">
        <v>0</v>
      </c>
      <c r="M274" s="415">
        <v>0</v>
      </c>
      <c r="N274" s="415">
        <v>0</v>
      </c>
      <c r="O274" s="415">
        <v>0</v>
      </c>
      <c r="P274" s="68">
        <v>163878</v>
      </c>
      <c r="Q274" s="68">
        <v>4848</v>
      </c>
      <c r="R274" s="415">
        <v>0</v>
      </c>
      <c r="S274" s="416">
        <v>0.92859999999999998</v>
      </c>
      <c r="T274" s="417">
        <v>0.92859999999999998</v>
      </c>
      <c r="U274" s="423">
        <v>0</v>
      </c>
      <c r="V274" s="424">
        <f t="shared" si="654"/>
        <v>0</v>
      </c>
      <c r="W274" s="418">
        <f t="shared" si="654"/>
        <v>0</v>
      </c>
      <c r="X274" s="418">
        <v>0</v>
      </c>
      <c r="Y274" s="418">
        <v>0</v>
      </c>
      <c r="Z274" s="418">
        <v>0</v>
      </c>
      <c r="AA274" s="415">
        <v>0</v>
      </c>
      <c r="AB274" s="418">
        <v>0</v>
      </c>
      <c r="AC274" s="418">
        <v>0</v>
      </c>
      <c r="AD274" s="418">
        <f t="shared" si="655"/>
        <v>0</v>
      </c>
      <c r="AE274" s="418">
        <f t="shared" si="656"/>
        <v>0</v>
      </c>
      <c r="AF274" s="418">
        <f t="shared" si="657"/>
        <v>0</v>
      </c>
      <c r="AG274" s="418">
        <v>0</v>
      </c>
      <c r="AH274" s="418">
        <v>0</v>
      </c>
      <c r="AI274" s="418">
        <v>0</v>
      </c>
      <c r="AJ274" s="418">
        <v>0</v>
      </c>
      <c r="AK274" s="418">
        <v>0</v>
      </c>
      <c r="AL274" s="418">
        <f t="shared" si="658"/>
        <v>0</v>
      </c>
      <c r="AM274" s="418">
        <f t="shared" si="659"/>
        <v>0</v>
      </c>
      <c r="AN274" s="418">
        <f t="shared" si="660"/>
        <v>0</v>
      </c>
      <c r="AO274" s="418">
        <f t="shared" si="661"/>
        <v>0</v>
      </c>
      <c r="AP274" s="418">
        <f t="shared" si="661"/>
        <v>0</v>
      </c>
      <c r="AQ274" s="418">
        <f t="shared" si="662"/>
        <v>0</v>
      </c>
      <c r="AR274" s="68">
        <f t="shared" si="663"/>
        <v>0</v>
      </c>
      <c r="AS274" s="68">
        <f t="shared" si="664"/>
        <v>0</v>
      </c>
      <c r="AT274" s="418">
        <v>0</v>
      </c>
      <c r="AU274" s="415">
        <v>0</v>
      </c>
      <c r="AV274" s="418">
        <f t="shared" si="665"/>
        <v>0</v>
      </c>
      <c r="AW274" s="418">
        <f t="shared" si="666"/>
        <v>0</v>
      </c>
      <c r="AX274" s="419">
        <v>0</v>
      </c>
      <c r="AY274" s="419">
        <v>0</v>
      </c>
      <c r="AZ274" s="419">
        <v>0</v>
      </c>
      <c r="BA274" s="419">
        <v>0</v>
      </c>
      <c r="BB274" s="416">
        <v>0</v>
      </c>
      <c r="BC274" s="939">
        <v>0</v>
      </c>
      <c r="BD274" s="419">
        <v>0</v>
      </c>
      <c r="BE274" s="419">
        <v>0</v>
      </c>
      <c r="BF274" s="419">
        <f t="shared" si="667"/>
        <v>0</v>
      </c>
      <c r="BG274" s="419">
        <f t="shared" si="668"/>
        <v>0</v>
      </c>
      <c r="BH274" s="421">
        <f t="shared" si="669"/>
        <v>0</v>
      </c>
      <c r="BI274" s="780">
        <f t="shared" si="670"/>
        <v>653573</v>
      </c>
      <c r="BJ274" s="418">
        <f t="shared" si="671"/>
        <v>484847</v>
      </c>
      <c r="BK274" s="418">
        <f t="shared" si="672"/>
        <v>484847</v>
      </c>
      <c r="BL274" s="418">
        <f t="shared" si="672"/>
        <v>0</v>
      </c>
      <c r="BM274" s="418">
        <f t="shared" si="673"/>
        <v>0</v>
      </c>
      <c r="BN274" s="418">
        <f t="shared" si="674"/>
        <v>0</v>
      </c>
      <c r="BO274" s="418">
        <f t="shared" si="674"/>
        <v>0</v>
      </c>
      <c r="BP274" s="418">
        <f t="shared" si="675"/>
        <v>163878</v>
      </c>
      <c r="BQ274" s="418">
        <f t="shared" si="675"/>
        <v>4848</v>
      </c>
      <c r="BR274" s="418">
        <f t="shared" si="676"/>
        <v>0</v>
      </c>
      <c r="BS274" s="419">
        <f t="shared" si="677"/>
        <v>0.92859999999999998</v>
      </c>
      <c r="BT274" s="419">
        <f t="shared" si="678"/>
        <v>0.92859999999999998</v>
      </c>
      <c r="BU274" s="421">
        <f t="shared" si="678"/>
        <v>0</v>
      </c>
      <c r="BV274" s="420"/>
      <c r="BW274" s="415"/>
      <c r="BX274" s="415"/>
      <c r="BY274" s="415"/>
      <c r="BZ274" s="415"/>
      <c r="CA274" s="510"/>
    </row>
    <row r="275" spans="1:79" s="221" customFormat="1" ht="12.75" customHeight="1" x14ac:dyDescent="0.2">
      <c r="A275" s="209">
        <v>50</v>
      </c>
      <c r="B275" s="210">
        <v>4491</v>
      </c>
      <c r="C275" s="210">
        <v>650050517</v>
      </c>
      <c r="D275" s="210">
        <v>72742437</v>
      </c>
      <c r="E275" s="208" t="s">
        <v>236</v>
      </c>
      <c r="F275" s="210">
        <v>3143</v>
      </c>
      <c r="G275" s="165" t="s">
        <v>596</v>
      </c>
      <c r="H275" s="614" t="s">
        <v>272</v>
      </c>
      <c r="I275" s="511">
        <v>15380</v>
      </c>
      <c r="J275" s="415">
        <v>11009</v>
      </c>
      <c r="K275" s="415">
        <v>0</v>
      </c>
      <c r="L275" s="415">
        <v>11009</v>
      </c>
      <c r="M275" s="415">
        <v>0</v>
      </c>
      <c r="N275" s="415">
        <v>0</v>
      </c>
      <c r="O275" s="415">
        <v>0</v>
      </c>
      <c r="P275" s="68">
        <v>3721</v>
      </c>
      <c r="Q275" s="68">
        <v>110</v>
      </c>
      <c r="R275" s="415">
        <v>540</v>
      </c>
      <c r="S275" s="416">
        <v>0.04</v>
      </c>
      <c r="T275" s="417">
        <v>0</v>
      </c>
      <c r="U275" s="423">
        <v>0.04</v>
      </c>
      <c r="V275" s="424">
        <f t="shared" si="654"/>
        <v>0</v>
      </c>
      <c r="W275" s="418">
        <f t="shared" si="654"/>
        <v>0</v>
      </c>
      <c r="X275" s="418">
        <v>0</v>
      </c>
      <c r="Y275" s="418">
        <v>0</v>
      </c>
      <c r="Z275" s="418">
        <v>0</v>
      </c>
      <c r="AA275" s="605">
        <v>5491</v>
      </c>
      <c r="AB275" s="418">
        <v>0</v>
      </c>
      <c r="AC275" s="418">
        <v>0</v>
      </c>
      <c r="AD275" s="418">
        <f t="shared" si="655"/>
        <v>0</v>
      </c>
      <c r="AE275" s="418">
        <f t="shared" si="656"/>
        <v>5491</v>
      </c>
      <c r="AF275" s="418">
        <f t="shared" si="657"/>
        <v>5491</v>
      </c>
      <c r="AG275" s="418">
        <v>0</v>
      </c>
      <c r="AH275" s="418">
        <v>0</v>
      </c>
      <c r="AI275" s="418">
        <v>0</v>
      </c>
      <c r="AJ275" s="418">
        <v>0</v>
      </c>
      <c r="AK275" s="418">
        <v>0</v>
      </c>
      <c r="AL275" s="418">
        <f t="shared" si="658"/>
        <v>0</v>
      </c>
      <c r="AM275" s="418">
        <f t="shared" si="659"/>
        <v>0</v>
      </c>
      <c r="AN275" s="418">
        <f t="shared" si="660"/>
        <v>0</v>
      </c>
      <c r="AO275" s="418">
        <f t="shared" si="661"/>
        <v>0</v>
      </c>
      <c r="AP275" s="418">
        <f t="shared" si="661"/>
        <v>5491</v>
      </c>
      <c r="AQ275" s="418">
        <f t="shared" si="662"/>
        <v>5491</v>
      </c>
      <c r="AR275" s="68">
        <f t="shared" si="663"/>
        <v>1856</v>
      </c>
      <c r="AS275" s="68">
        <f t="shared" si="664"/>
        <v>55</v>
      </c>
      <c r="AT275" s="418">
        <v>0</v>
      </c>
      <c r="AU275" s="606">
        <v>270</v>
      </c>
      <c r="AV275" s="418">
        <f t="shared" si="665"/>
        <v>270</v>
      </c>
      <c r="AW275" s="418">
        <f t="shared" si="666"/>
        <v>7672</v>
      </c>
      <c r="AX275" s="419">
        <v>0</v>
      </c>
      <c r="AY275" s="419">
        <v>0</v>
      </c>
      <c r="AZ275" s="419">
        <v>0</v>
      </c>
      <c r="BA275" s="419">
        <v>0</v>
      </c>
      <c r="BB275" s="607">
        <v>0.02</v>
      </c>
      <c r="BC275" s="939">
        <v>0</v>
      </c>
      <c r="BD275" s="419">
        <v>0</v>
      </c>
      <c r="BE275" s="419">
        <v>0</v>
      </c>
      <c r="BF275" s="419">
        <f t="shared" si="667"/>
        <v>0</v>
      </c>
      <c r="BG275" s="419">
        <f t="shared" si="668"/>
        <v>0.02</v>
      </c>
      <c r="BH275" s="421">
        <f t="shared" si="669"/>
        <v>0.02</v>
      </c>
      <c r="BI275" s="780">
        <f t="shared" si="670"/>
        <v>23052</v>
      </c>
      <c r="BJ275" s="418">
        <f t="shared" si="671"/>
        <v>16500</v>
      </c>
      <c r="BK275" s="418">
        <f t="shared" si="672"/>
        <v>0</v>
      </c>
      <c r="BL275" s="418">
        <f t="shared" si="672"/>
        <v>16500</v>
      </c>
      <c r="BM275" s="418">
        <f t="shared" si="673"/>
        <v>0</v>
      </c>
      <c r="BN275" s="418">
        <f t="shared" si="674"/>
        <v>0</v>
      </c>
      <c r="BO275" s="418">
        <f t="shared" si="674"/>
        <v>0</v>
      </c>
      <c r="BP275" s="418">
        <f t="shared" si="675"/>
        <v>5577</v>
      </c>
      <c r="BQ275" s="418">
        <f t="shared" si="675"/>
        <v>165</v>
      </c>
      <c r="BR275" s="418">
        <f t="shared" si="676"/>
        <v>810</v>
      </c>
      <c r="BS275" s="419">
        <f t="shared" si="677"/>
        <v>0.06</v>
      </c>
      <c r="BT275" s="419">
        <f t="shared" si="678"/>
        <v>0</v>
      </c>
      <c r="BU275" s="421">
        <f t="shared" si="678"/>
        <v>0.06</v>
      </c>
      <c r="BV275" s="420"/>
      <c r="BW275" s="415"/>
      <c r="BX275" s="415"/>
      <c r="BY275" s="415"/>
      <c r="BZ275" s="415"/>
      <c r="CA275" s="510"/>
    </row>
    <row r="276" spans="1:79" s="221" customFormat="1" ht="12.75" customHeight="1" x14ac:dyDescent="0.2">
      <c r="A276" s="155">
        <v>50</v>
      </c>
      <c r="B276" s="18">
        <v>4491</v>
      </c>
      <c r="C276" s="18">
        <v>650050517</v>
      </c>
      <c r="D276" s="18">
        <v>72742437</v>
      </c>
      <c r="E276" s="164" t="s">
        <v>237</v>
      </c>
      <c r="F276" s="18"/>
      <c r="G276" s="154"/>
      <c r="H276" s="613"/>
      <c r="I276" s="452">
        <v>6323370</v>
      </c>
      <c r="J276" s="445">
        <v>4646215</v>
      </c>
      <c r="K276" s="445">
        <v>3910658</v>
      </c>
      <c r="L276" s="445">
        <v>735557</v>
      </c>
      <c r="M276" s="445">
        <v>10000</v>
      </c>
      <c r="N276" s="445">
        <v>10000</v>
      </c>
      <c r="O276" s="445">
        <v>0</v>
      </c>
      <c r="P276" s="445">
        <v>1573801</v>
      </c>
      <c r="Q276" s="445">
        <v>46462</v>
      </c>
      <c r="R276" s="445">
        <v>46892</v>
      </c>
      <c r="S276" s="446">
        <v>8.2187999999999981</v>
      </c>
      <c r="T276" s="446">
        <v>6.0551000000000004</v>
      </c>
      <c r="U276" s="450">
        <v>2.1637</v>
      </c>
      <c r="V276" s="448">
        <f t="shared" ref="V276:CA276" si="679">SUM(V270:V275)</f>
        <v>0</v>
      </c>
      <c r="W276" s="445">
        <f t="shared" si="679"/>
        <v>0</v>
      </c>
      <c r="X276" s="445">
        <f t="shared" si="679"/>
        <v>0</v>
      </c>
      <c r="Y276" s="445">
        <f t="shared" si="679"/>
        <v>0</v>
      </c>
      <c r="Z276" s="445">
        <f t="shared" si="679"/>
        <v>0</v>
      </c>
      <c r="AA276" s="445">
        <f t="shared" si="679"/>
        <v>196669</v>
      </c>
      <c r="AB276" s="445">
        <f t="shared" si="679"/>
        <v>0</v>
      </c>
      <c r="AC276" s="445">
        <f t="shared" si="679"/>
        <v>0</v>
      </c>
      <c r="AD276" s="445">
        <f t="shared" si="679"/>
        <v>0</v>
      </c>
      <c r="AE276" s="445">
        <f t="shared" si="679"/>
        <v>196669</v>
      </c>
      <c r="AF276" s="445">
        <f t="shared" si="679"/>
        <v>196669</v>
      </c>
      <c r="AG276" s="445">
        <f t="shared" si="679"/>
        <v>0</v>
      </c>
      <c r="AH276" s="445">
        <f t="shared" si="679"/>
        <v>0</v>
      </c>
      <c r="AI276" s="445">
        <f t="shared" si="679"/>
        <v>0</v>
      </c>
      <c r="AJ276" s="445">
        <f t="shared" si="679"/>
        <v>0</v>
      </c>
      <c r="AK276" s="445">
        <f t="shared" si="679"/>
        <v>0</v>
      </c>
      <c r="AL276" s="445">
        <f t="shared" si="679"/>
        <v>0</v>
      </c>
      <c r="AM276" s="445">
        <f t="shared" si="679"/>
        <v>0</v>
      </c>
      <c r="AN276" s="445">
        <f t="shared" si="679"/>
        <v>0</v>
      </c>
      <c r="AO276" s="445">
        <f t="shared" si="679"/>
        <v>0</v>
      </c>
      <c r="AP276" s="445">
        <f t="shared" si="679"/>
        <v>196669</v>
      </c>
      <c r="AQ276" s="445">
        <f t="shared" si="679"/>
        <v>196669</v>
      </c>
      <c r="AR276" s="445">
        <f t="shared" si="679"/>
        <v>66474</v>
      </c>
      <c r="AS276" s="445">
        <f t="shared" si="679"/>
        <v>1967</v>
      </c>
      <c r="AT276" s="445">
        <f t="shared" si="679"/>
        <v>0</v>
      </c>
      <c r="AU276" s="445">
        <f t="shared" si="679"/>
        <v>1458</v>
      </c>
      <c r="AV276" s="445">
        <f t="shared" si="679"/>
        <v>1458</v>
      </c>
      <c r="AW276" s="445">
        <f t="shared" si="679"/>
        <v>266568</v>
      </c>
      <c r="AX276" s="446">
        <f t="shared" si="679"/>
        <v>0</v>
      </c>
      <c r="AY276" s="446">
        <f t="shared" si="679"/>
        <v>0</v>
      </c>
      <c r="AZ276" s="446">
        <f t="shared" si="679"/>
        <v>0</v>
      </c>
      <c r="BA276" s="446">
        <f t="shared" si="679"/>
        <v>0</v>
      </c>
      <c r="BB276" s="446">
        <f t="shared" si="679"/>
        <v>0.59</v>
      </c>
      <c r="BC276" s="948">
        <f t="shared" si="679"/>
        <v>0</v>
      </c>
      <c r="BD276" s="446">
        <f t="shared" si="679"/>
        <v>0</v>
      </c>
      <c r="BE276" s="446">
        <f t="shared" si="679"/>
        <v>0</v>
      </c>
      <c r="BF276" s="446">
        <f t="shared" si="679"/>
        <v>0</v>
      </c>
      <c r="BG276" s="446">
        <f t="shared" si="679"/>
        <v>0.59</v>
      </c>
      <c r="BH276" s="39">
        <f t="shared" si="679"/>
        <v>0.59</v>
      </c>
      <c r="BI276" s="452">
        <f t="shared" si="679"/>
        <v>6589938</v>
      </c>
      <c r="BJ276" s="445">
        <f t="shared" si="679"/>
        <v>4842884</v>
      </c>
      <c r="BK276" s="445">
        <f t="shared" si="679"/>
        <v>3910658</v>
      </c>
      <c r="BL276" s="445">
        <f t="shared" si="679"/>
        <v>932226</v>
      </c>
      <c r="BM276" s="445">
        <f t="shared" si="679"/>
        <v>10000</v>
      </c>
      <c r="BN276" s="445">
        <f t="shared" si="679"/>
        <v>10000</v>
      </c>
      <c r="BO276" s="445">
        <f t="shared" si="679"/>
        <v>0</v>
      </c>
      <c r="BP276" s="445">
        <f t="shared" si="679"/>
        <v>1640275</v>
      </c>
      <c r="BQ276" s="445">
        <f t="shared" si="679"/>
        <v>48429</v>
      </c>
      <c r="BR276" s="445">
        <f t="shared" si="679"/>
        <v>48350</v>
      </c>
      <c r="BS276" s="446">
        <f t="shared" si="679"/>
        <v>8.8087999999999997</v>
      </c>
      <c r="BT276" s="446">
        <f t="shared" si="679"/>
        <v>6.0551000000000004</v>
      </c>
      <c r="BU276" s="39">
        <f t="shared" si="679"/>
        <v>2.7536999999999998</v>
      </c>
      <c r="BV276" s="833">
        <f t="shared" si="679"/>
        <v>0</v>
      </c>
      <c r="BW276" s="715">
        <f t="shared" si="679"/>
        <v>0</v>
      </c>
      <c r="BX276" s="715">
        <f t="shared" si="679"/>
        <v>0</v>
      </c>
      <c r="BY276" s="715">
        <f t="shared" si="679"/>
        <v>0</v>
      </c>
      <c r="BZ276" s="715">
        <f t="shared" si="679"/>
        <v>0</v>
      </c>
      <c r="CA276" s="834">
        <f t="shared" si="679"/>
        <v>0</v>
      </c>
    </row>
    <row r="277" spans="1:79" s="221" customFormat="1" ht="12.75" customHeight="1" x14ac:dyDescent="0.2">
      <c r="A277" s="209">
        <v>51</v>
      </c>
      <c r="B277" s="210">
        <v>4465</v>
      </c>
      <c r="C277" s="210">
        <v>600074757</v>
      </c>
      <c r="D277" s="210">
        <v>46750428</v>
      </c>
      <c r="E277" s="208" t="s">
        <v>238</v>
      </c>
      <c r="F277" s="210">
        <v>3111</v>
      </c>
      <c r="G277" s="165" t="s">
        <v>290</v>
      </c>
      <c r="H277" s="626" t="s">
        <v>271</v>
      </c>
      <c r="I277" s="511">
        <v>8210006</v>
      </c>
      <c r="J277" s="415">
        <v>6067486</v>
      </c>
      <c r="K277" s="415">
        <v>5734646</v>
      </c>
      <c r="L277" s="415">
        <v>332840</v>
      </c>
      <c r="M277" s="415">
        <v>0</v>
      </c>
      <c r="N277" s="415">
        <v>0</v>
      </c>
      <c r="O277" s="415">
        <v>0</v>
      </c>
      <c r="P277" s="68">
        <v>2050810</v>
      </c>
      <c r="Q277" s="68">
        <v>60675</v>
      </c>
      <c r="R277" s="415">
        <v>31035</v>
      </c>
      <c r="S277" s="416">
        <v>11.2851</v>
      </c>
      <c r="T277" s="417">
        <v>9.9515999999999991</v>
      </c>
      <c r="U277" s="423">
        <v>1.3334999999999999</v>
      </c>
      <c r="V277" s="424">
        <f t="shared" ref="V277:W282" si="680">AG277*-1</f>
        <v>0</v>
      </c>
      <c r="W277" s="418">
        <f t="shared" si="680"/>
        <v>0</v>
      </c>
      <c r="X277" s="418">
        <v>0</v>
      </c>
      <c r="Y277" s="418">
        <v>0</v>
      </c>
      <c r="Z277" s="418">
        <v>0</v>
      </c>
      <c r="AA277" s="415">
        <v>0</v>
      </c>
      <c r="AB277" s="418">
        <v>0</v>
      </c>
      <c r="AC277" s="418">
        <v>0</v>
      </c>
      <c r="AD277" s="418">
        <f t="shared" ref="AD277:AD282" si="681">V277+X277+Y277+Z277+AB277</f>
        <v>0</v>
      </c>
      <c r="AE277" s="418">
        <f t="shared" ref="AE277:AE282" si="682">W277+AA277+AC277</f>
        <v>0</v>
      </c>
      <c r="AF277" s="418">
        <f t="shared" ref="AF277:AF282" si="683">SUM(AD277:AE277)</f>
        <v>0</v>
      </c>
      <c r="AG277" s="418">
        <v>0</v>
      </c>
      <c r="AH277" s="418">
        <v>0</v>
      </c>
      <c r="AI277" s="418">
        <v>0</v>
      </c>
      <c r="AJ277" s="418">
        <v>0</v>
      </c>
      <c r="AK277" s="418">
        <v>0</v>
      </c>
      <c r="AL277" s="418">
        <f t="shared" ref="AL277:AL282" si="684">AG277+AI277+AJ277</f>
        <v>0</v>
      </c>
      <c r="AM277" s="418">
        <f t="shared" ref="AM277:AM282" si="685">AH277+AK277</f>
        <v>0</v>
      </c>
      <c r="AN277" s="418">
        <f t="shared" ref="AN277:AN282" si="686">SUM(AL277:AM277)</f>
        <v>0</v>
      </c>
      <c r="AO277" s="418">
        <f t="shared" ref="AO277:AP282" si="687">AD277+AL277</f>
        <v>0</v>
      </c>
      <c r="AP277" s="418">
        <f t="shared" si="687"/>
        <v>0</v>
      </c>
      <c r="AQ277" s="418">
        <f t="shared" ref="AQ277:AQ282" si="688">SUM(AO277:AP277)</f>
        <v>0</v>
      </c>
      <c r="AR277" s="68">
        <f t="shared" ref="AR277:AR282" si="689">ROUND((AF277+AG277+AH277+AI277)*33.8%,0)</f>
        <v>0</v>
      </c>
      <c r="AS277" s="68">
        <f t="shared" ref="AS277:AS282" si="690">ROUND(AF277*1%,0)</f>
        <v>0</v>
      </c>
      <c r="AT277" s="418">
        <v>0</v>
      </c>
      <c r="AU277" s="415">
        <v>0</v>
      </c>
      <c r="AV277" s="418">
        <f t="shared" ref="AV277:AV282" si="691">AT277+AU277</f>
        <v>0</v>
      </c>
      <c r="AW277" s="418">
        <f t="shared" ref="AW277:AW282" si="692">AQ277+AR277+AS277+AV277</f>
        <v>0</v>
      </c>
      <c r="AX277" s="419">
        <v>0</v>
      </c>
      <c r="AY277" s="419">
        <v>0</v>
      </c>
      <c r="AZ277" s="419">
        <v>0</v>
      </c>
      <c r="BA277" s="419">
        <v>0</v>
      </c>
      <c r="BB277" s="416">
        <v>0</v>
      </c>
      <c r="BC277" s="939">
        <v>0</v>
      </c>
      <c r="BD277" s="419">
        <v>0</v>
      </c>
      <c r="BE277" s="419">
        <v>0</v>
      </c>
      <c r="BF277" s="419">
        <f t="shared" ref="BF277:BF282" si="693">AX277+AZ277+BA277+BC277+BD277</f>
        <v>0</v>
      </c>
      <c r="BG277" s="419">
        <f t="shared" ref="BG277:BG282" si="694">AY277+BB277+BE277</f>
        <v>0</v>
      </c>
      <c r="BH277" s="421">
        <f t="shared" ref="BH277:BH282" si="695">SUM(BF277:BG277)</f>
        <v>0</v>
      </c>
      <c r="BI277" s="780">
        <f t="shared" ref="BI277:BI282" si="696">I277+AW277</f>
        <v>8210006</v>
      </c>
      <c r="BJ277" s="418">
        <f t="shared" ref="BJ277:BJ282" si="697">J277+AF277</f>
        <v>6067486</v>
      </c>
      <c r="BK277" s="418">
        <f t="shared" ref="BK277:BL282" si="698">K277+AD277</f>
        <v>5734646</v>
      </c>
      <c r="BL277" s="418">
        <f t="shared" si="698"/>
        <v>332840</v>
      </c>
      <c r="BM277" s="418">
        <f t="shared" ref="BM277:BM282" si="699">M277+AN277</f>
        <v>0</v>
      </c>
      <c r="BN277" s="418">
        <f t="shared" ref="BN277:BO282" si="700">N277+AL277</f>
        <v>0</v>
      </c>
      <c r="BO277" s="418">
        <f t="shared" si="700"/>
        <v>0</v>
      </c>
      <c r="BP277" s="418">
        <f t="shared" ref="BP277:BQ282" si="701">P277+AR277</f>
        <v>2050810</v>
      </c>
      <c r="BQ277" s="418">
        <f t="shared" si="701"/>
        <v>60675</v>
      </c>
      <c r="BR277" s="418">
        <f t="shared" ref="BR277:BR282" si="702">R277+AV277</f>
        <v>31035</v>
      </c>
      <c r="BS277" s="419">
        <f t="shared" ref="BS277:BS282" si="703">S277+BH277</f>
        <v>11.2851</v>
      </c>
      <c r="BT277" s="419">
        <f t="shared" ref="BT277:BU282" si="704">T277+BF277</f>
        <v>9.9515999999999991</v>
      </c>
      <c r="BU277" s="421">
        <f t="shared" si="704"/>
        <v>1.3334999999999999</v>
      </c>
      <c r="BV277" s="420"/>
      <c r="BW277" s="415"/>
      <c r="BX277" s="415"/>
      <c r="BY277" s="415"/>
      <c r="BZ277" s="415"/>
      <c r="CA277" s="510"/>
    </row>
    <row r="278" spans="1:79" s="221" customFormat="1" ht="12.75" customHeight="1" x14ac:dyDescent="0.2">
      <c r="A278" s="209">
        <v>51</v>
      </c>
      <c r="B278" s="210">
        <v>4465</v>
      </c>
      <c r="C278" s="210">
        <v>600074757</v>
      </c>
      <c r="D278" s="210">
        <v>46750428</v>
      </c>
      <c r="E278" s="208" t="s">
        <v>238</v>
      </c>
      <c r="F278" s="210">
        <v>3113</v>
      </c>
      <c r="G278" s="165" t="s">
        <v>293</v>
      </c>
      <c r="H278" s="626" t="s">
        <v>271</v>
      </c>
      <c r="I278" s="511">
        <v>25866875</v>
      </c>
      <c r="J278" s="415">
        <v>18828403</v>
      </c>
      <c r="K278" s="415">
        <v>17273653</v>
      </c>
      <c r="L278" s="415">
        <v>1554750</v>
      </c>
      <c r="M278" s="415">
        <v>100000</v>
      </c>
      <c r="N278" s="415">
        <v>100000</v>
      </c>
      <c r="O278" s="415">
        <v>0</v>
      </c>
      <c r="P278" s="68">
        <v>6397801</v>
      </c>
      <c r="Q278" s="68">
        <v>188284</v>
      </c>
      <c r="R278" s="415">
        <v>352387</v>
      </c>
      <c r="S278" s="416">
        <v>29.215400000000002</v>
      </c>
      <c r="T278" s="417">
        <v>24.602700000000002</v>
      </c>
      <c r="U278" s="423">
        <v>4.6127000000000002</v>
      </c>
      <c r="V278" s="424">
        <f t="shared" si="680"/>
        <v>0</v>
      </c>
      <c r="W278" s="418">
        <f t="shared" si="680"/>
        <v>0</v>
      </c>
      <c r="X278" s="418">
        <v>0</v>
      </c>
      <c r="Y278" s="418">
        <v>0</v>
      </c>
      <c r="Z278" s="418">
        <v>0</v>
      </c>
      <c r="AA278" s="415">
        <v>0</v>
      </c>
      <c r="AB278" s="418">
        <v>0</v>
      </c>
      <c r="AC278" s="418">
        <v>0</v>
      </c>
      <c r="AD278" s="418">
        <f t="shared" si="681"/>
        <v>0</v>
      </c>
      <c r="AE278" s="418">
        <f t="shared" si="682"/>
        <v>0</v>
      </c>
      <c r="AF278" s="418">
        <f t="shared" si="683"/>
        <v>0</v>
      </c>
      <c r="AG278" s="418">
        <v>0</v>
      </c>
      <c r="AH278" s="418">
        <v>0</v>
      </c>
      <c r="AI278" s="418">
        <v>0</v>
      </c>
      <c r="AJ278" s="418">
        <v>0</v>
      </c>
      <c r="AK278" s="418">
        <v>0</v>
      </c>
      <c r="AL278" s="418">
        <f t="shared" si="684"/>
        <v>0</v>
      </c>
      <c r="AM278" s="418">
        <f t="shared" si="685"/>
        <v>0</v>
      </c>
      <c r="AN278" s="418">
        <f t="shared" si="686"/>
        <v>0</v>
      </c>
      <c r="AO278" s="418">
        <f t="shared" si="687"/>
        <v>0</v>
      </c>
      <c r="AP278" s="418">
        <f t="shared" si="687"/>
        <v>0</v>
      </c>
      <c r="AQ278" s="418">
        <f t="shared" si="688"/>
        <v>0</v>
      </c>
      <c r="AR278" s="68">
        <f t="shared" si="689"/>
        <v>0</v>
      </c>
      <c r="AS278" s="68">
        <f t="shared" si="690"/>
        <v>0</v>
      </c>
      <c r="AT278" s="418">
        <v>0</v>
      </c>
      <c r="AU278" s="415">
        <v>0</v>
      </c>
      <c r="AV278" s="418">
        <f t="shared" si="691"/>
        <v>0</v>
      </c>
      <c r="AW278" s="418">
        <f t="shared" si="692"/>
        <v>0</v>
      </c>
      <c r="AX278" s="419">
        <v>0</v>
      </c>
      <c r="AY278" s="419">
        <v>0</v>
      </c>
      <c r="AZ278" s="419">
        <v>0</v>
      </c>
      <c r="BA278" s="419">
        <v>0</v>
      </c>
      <c r="BB278" s="416">
        <v>0</v>
      </c>
      <c r="BC278" s="939">
        <v>0</v>
      </c>
      <c r="BD278" s="419">
        <v>0</v>
      </c>
      <c r="BE278" s="419">
        <v>0</v>
      </c>
      <c r="BF278" s="419">
        <f t="shared" si="693"/>
        <v>0</v>
      </c>
      <c r="BG278" s="419">
        <f t="shared" si="694"/>
        <v>0</v>
      </c>
      <c r="BH278" s="421">
        <f t="shared" si="695"/>
        <v>0</v>
      </c>
      <c r="BI278" s="780">
        <f t="shared" si="696"/>
        <v>25866875</v>
      </c>
      <c r="BJ278" s="418">
        <f t="shared" si="697"/>
        <v>18828403</v>
      </c>
      <c r="BK278" s="418">
        <f t="shared" si="698"/>
        <v>17273653</v>
      </c>
      <c r="BL278" s="418">
        <f t="shared" si="698"/>
        <v>1554750</v>
      </c>
      <c r="BM278" s="418">
        <f t="shared" si="699"/>
        <v>100000</v>
      </c>
      <c r="BN278" s="418">
        <f t="shared" si="700"/>
        <v>100000</v>
      </c>
      <c r="BO278" s="418">
        <f t="shared" si="700"/>
        <v>0</v>
      </c>
      <c r="BP278" s="418">
        <f t="shared" si="701"/>
        <v>6397801</v>
      </c>
      <c r="BQ278" s="418">
        <f t="shared" si="701"/>
        <v>188284</v>
      </c>
      <c r="BR278" s="418">
        <f t="shared" si="702"/>
        <v>352387</v>
      </c>
      <c r="BS278" s="419">
        <f t="shared" si="703"/>
        <v>29.215400000000002</v>
      </c>
      <c r="BT278" s="419">
        <f t="shared" si="704"/>
        <v>24.602700000000002</v>
      </c>
      <c r="BU278" s="421">
        <f t="shared" si="704"/>
        <v>4.6127000000000002</v>
      </c>
      <c r="BV278" s="420"/>
      <c r="BW278" s="415"/>
      <c r="BX278" s="415"/>
      <c r="BY278" s="415"/>
      <c r="BZ278" s="415"/>
      <c r="CA278" s="510"/>
    </row>
    <row r="279" spans="1:79" s="221" customFormat="1" ht="12.75" customHeight="1" x14ac:dyDescent="0.2">
      <c r="A279" s="209">
        <v>51</v>
      </c>
      <c r="B279" s="210">
        <v>4465</v>
      </c>
      <c r="C279" s="210">
        <v>600074757</v>
      </c>
      <c r="D279" s="210">
        <v>46750428</v>
      </c>
      <c r="E279" s="208" t="s">
        <v>238</v>
      </c>
      <c r="F279" s="210">
        <v>3113</v>
      </c>
      <c r="G279" s="165" t="s">
        <v>291</v>
      </c>
      <c r="H279" s="626" t="s">
        <v>272</v>
      </c>
      <c r="I279" s="511">
        <v>2083935</v>
      </c>
      <c r="J279" s="415">
        <v>1545019</v>
      </c>
      <c r="K279" s="415">
        <v>1545019</v>
      </c>
      <c r="L279" s="415">
        <v>0</v>
      </c>
      <c r="M279" s="415">
        <v>0</v>
      </c>
      <c r="N279" s="415">
        <v>0</v>
      </c>
      <c r="O279" s="415">
        <v>0</v>
      </c>
      <c r="P279" s="68">
        <v>522216</v>
      </c>
      <c r="Q279" s="68">
        <v>15450</v>
      </c>
      <c r="R279" s="415">
        <v>1250</v>
      </c>
      <c r="S279" s="416">
        <v>4.17</v>
      </c>
      <c r="T279" s="417">
        <v>4.17</v>
      </c>
      <c r="U279" s="423">
        <v>0</v>
      </c>
      <c r="V279" s="424">
        <f t="shared" si="680"/>
        <v>0</v>
      </c>
      <c r="W279" s="418">
        <f t="shared" si="680"/>
        <v>0</v>
      </c>
      <c r="X279" s="418">
        <v>0</v>
      </c>
      <c r="Y279" s="418">
        <v>0</v>
      </c>
      <c r="Z279" s="418">
        <v>0</v>
      </c>
      <c r="AA279" s="415">
        <v>0</v>
      </c>
      <c r="AB279" s="418">
        <v>0</v>
      </c>
      <c r="AC279" s="418">
        <v>0</v>
      </c>
      <c r="AD279" s="418">
        <f t="shared" si="681"/>
        <v>0</v>
      </c>
      <c r="AE279" s="418">
        <f t="shared" si="682"/>
        <v>0</v>
      </c>
      <c r="AF279" s="418">
        <f t="shared" si="683"/>
        <v>0</v>
      </c>
      <c r="AG279" s="418">
        <v>0</v>
      </c>
      <c r="AH279" s="418">
        <v>0</v>
      </c>
      <c r="AI279" s="418">
        <v>0</v>
      </c>
      <c r="AJ279" s="418">
        <v>0</v>
      </c>
      <c r="AK279" s="418">
        <v>0</v>
      </c>
      <c r="AL279" s="418">
        <f t="shared" si="684"/>
        <v>0</v>
      </c>
      <c r="AM279" s="418">
        <f t="shared" si="685"/>
        <v>0</v>
      </c>
      <c r="AN279" s="418">
        <f t="shared" si="686"/>
        <v>0</v>
      </c>
      <c r="AO279" s="418">
        <f t="shared" si="687"/>
        <v>0</v>
      </c>
      <c r="AP279" s="418">
        <f t="shared" si="687"/>
        <v>0</v>
      </c>
      <c r="AQ279" s="418">
        <f t="shared" si="688"/>
        <v>0</v>
      </c>
      <c r="AR279" s="68">
        <f t="shared" si="689"/>
        <v>0</v>
      </c>
      <c r="AS279" s="68">
        <f t="shared" si="690"/>
        <v>0</v>
      </c>
      <c r="AT279" s="418">
        <v>0</v>
      </c>
      <c r="AU279" s="415">
        <v>0</v>
      </c>
      <c r="AV279" s="418">
        <f t="shared" si="691"/>
        <v>0</v>
      </c>
      <c r="AW279" s="418">
        <f t="shared" si="692"/>
        <v>0</v>
      </c>
      <c r="AX279" s="419">
        <v>0</v>
      </c>
      <c r="AY279" s="419">
        <v>0</v>
      </c>
      <c r="AZ279" s="419">
        <v>0</v>
      </c>
      <c r="BA279" s="419">
        <v>0</v>
      </c>
      <c r="BB279" s="416">
        <v>0</v>
      </c>
      <c r="BC279" s="939">
        <v>0</v>
      </c>
      <c r="BD279" s="419">
        <v>0</v>
      </c>
      <c r="BE279" s="419">
        <v>0</v>
      </c>
      <c r="BF279" s="419">
        <f t="shared" si="693"/>
        <v>0</v>
      </c>
      <c r="BG279" s="419">
        <f t="shared" si="694"/>
        <v>0</v>
      </c>
      <c r="BH279" s="421">
        <f t="shared" si="695"/>
        <v>0</v>
      </c>
      <c r="BI279" s="780">
        <f t="shared" si="696"/>
        <v>2083935</v>
      </c>
      <c r="BJ279" s="418">
        <f t="shared" si="697"/>
        <v>1545019</v>
      </c>
      <c r="BK279" s="418">
        <f t="shared" si="698"/>
        <v>1545019</v>
      </c>
      <c r="BL279" s="418">
        <f t="shared" si="698"/>
        <v>0</v>
      </c>
      <c r="BM279" s="418">
        <f t="shared" si="699"/>
        <v>0</v>
      </c>
      <c r="BN279" s="418">
        <f t="shared" si="700"/>
        <v>0</v>
      </c>
      <c r="BO279" s="418">
        <f t="shared" si="700"/>
        <v>0</v>
      </c>
      <c r="BP279" s="418">
        <f t="shared" si="701"/>
        <v>522216</v>
      </c>
      <c r="BQ279" s="418">
        <f t="shared" si="701"/>
        <v>15450</v>
      </c>
      <c r="BR279" s="418">
        <f t="shared" si="702"/>
        <v>1250</v>
      </c>
      <c r="BS279" s="419">
        <f t="shared" si="703"/>
        <v>4.17</v>
      </c>
      <c r="BT279" s="419">
        <f t="shared" si="704"/>
        <v>4.17</v>
      </c>
      <c r="BU279" s="421">
        <f t="shared" si="704"/>
        <v>0</v>
      </c>
      <c r="BV279" s="420"/>
      <c r="BW279" s="415"/>
      <c r="BX279" s="415"/>
      <c r="BY279" s="415"/>
      <c r="BZ279" s="415"/>
      <c r="CA279" s="510"/>
    </row>
    <row r="280" spans="1:79" s="221" customFormat="1" ht="12.75" customHeight="1" x14ac:dyDescent="0.2">
      <c r="A280" s="209">
        <v>51</v>
      </c>
      <c r="B280" s="210">
        <v>4465</v>
      </c>
      <c r="C280" s="210">
        <v>600074757</v>
      </c>
      <c r="D280" s="210">
        <v>46750428</v>
      </c>
      <c r="E280" s="208" t="s">
        <v>238</v>
      </c>
      <c r="F280" s="210">
        <v>3141</v>
      </c>
      <c r="G280" s="165" t="s">
        <v>294</v>
      </c>
      <c r="H280" s="626" t="s">
        <v>272</v>
      </c>
      <c r="I280" s="511">
        <v>2306722</v>
      </c>
      <c r="J280" s="415">
        <v>1700748</v>
      </c>
      <c r="K280" s="415">
        <v>0</v>
      </c>
      <c r="L280" s="415">
        <v>1700748</v>
      </c>
      <c r="M280" s="415">
        <v>0</v>
      </c>
      <c r="N280" s="415">
        <v>0</v>
      </c>
      <c r="O280" s="415">
        <v>0</v>
      </c>
      <c r="P280" s="68">
        <v>574853</v>
      </c>
      <c r="Q280" s="68">
        <v>17007</v>
      </c>
      <c r="R280" s="415">
        <v>14114</v>
      </c>
      <c r="S280" s="416">
        <v>5.0999999999999996</v>
      </c>
      <c r="T280" s="417">
        <v>0</v>
      </c>
      <c r="U280" s="423">
        <v>5.0999999999999996</v>
      </c>
      <c r="V280" s="424">
        <f t="shared" si="680"/>
        <v>0</v>
      </c>
      <c r="W280" s="418">
        <f t="shared" si="680"/>
        <v>0</v>
      </c>
      <c r="X280" s="418">
        <v>0</v>
      </c>
      <c r="Y280" s="418">
        <v>0</v>
      </c>
      <c r="Z280" s="418">
        <v>0</v>
      </c>
      <c r="AA280" s="415">
        <v>851082</v>
      </c>
      <c r="AB280" s="418">
        <v>0</v>
      </c>
      <c r="AC280" s="418">
        <v>0</v>
      </c>
      <c r="AD280" s="418">
        <f t="shared" si="681"/>
        <v>0</v>
      </c>
      <c r="AE280" s="418">
        <f t="shared" si="682"/>
        <v>851082</v>
      </c>
      <c r="AF280" s="418">
        <f t="shared" si="683"/>
        <v>851082</v>
      </c>
      <c r="AG280" s="418">
        <v>0</v>
      </c>
      <c r="AH280" s="418">
        <v>0</v>
      </c>
      <c r="AI280" s="418">
        <v>0</v>
      </c>
      <c r="AJ280" s="418">
        <v>0</v>
      </c>
      <c r="AK280" s="418">
        <v>0</v>
      </c>
      <c r="AL280" s="418">
        <f t="shared" si="684"/>
        <v>0</v>
      </c>
      <c r="AM280" s="418">
        <f t="shared" si="685"/>
        <v>0</v>
      </c>
      <c r="AN280" s="418">
        <f t="shared" si="686"/>
        <v>0</v>
      </c>
      <c r="AO280" s="418">
        <f t="shared" si="687"/>
        <v>0</v>
      </c>
      <c r="AP280" s="418">
        <f t="shared" si="687"/>
        <v>851082</v>
      </c>
      <c r="AQ280" s="418">
        <f t="shared" si="688"/>
        <v>851082</v>
      </c>
      <c r="AR280" s="68">
        <f t="shared" si="689"/>
        <v>287666</v>
      </c>
      <c r="AS280" s="68">
        <f t="shared" si="690"/>
        <v>8511</v>
      </c>
      <c r="AT280" s="418">
        <v>0</v>
      </c>
      <c r="AU280" s="415">
        <v>6842</v>
      </c>
      <c r="AV280" s="418">
        <f t="shared" si="691"/>
        <v>6842</v>
      </c>
      <c r="AW280" s="418">
        <f t="shared" si="692"/>
        <v>1154101</v>
      </c>
      <c r="AX280" s="419">
        <v>0</v>
      </c>
      <c r="AY280" s="419">
        <v>0</v>
      </c>
      <c r="AZ280" s="419">
        <v>0</v>
      </c>
      <c r="BA280" s="419">
        <v>0</v>
      </c>
      <c r="BB280" s="416">
        <v>2.5499999999999998</v>
      </c>
      <c r="BC280" s="939">
        <v>0</v>
      </c>
      <c r="BD280" s="419">
        <v>0</v>
      </c>
      <c r="BE280" s="419">
        <v>0</v>
      </c>
      <c r="BF280" s="419">
        <f t="shared" si="693"/>
        <v>0</v>
      </c>
      <c r="BG280" s="419">
        <f t="shared" si="694"/>
        <v>2.5499999999999998</v>
      </c>
      <c r="BH280" s="421">
        <f t="shared" si="695"/>
        <v>2.5499999999999998</v>
      </c>
      <c r="BI280" s="780">
        <f t="shared" si="696"/>
        <v>3460823</v>
      </c>
      <c r="BJ280" s="418">
        <f t="shared" si="697"/>
        <v>2551830</v>
      </c>
      <c r="BK280" s="418">
        <f t="shared" si="698"/>
        <v>0</v>
      </c>
      <c r="BL280" s="418">
        <f t="shared" si="698"/>
        <v>2551830</v>
      </c>
      <c r="BM280" s="418">
        <f t="shared" si="699"/>
        <v>0</v>
      </c>
      <c r="BN280" s="418">
        <f t="shared" si="700"/>
        <v>0</v>
      </c>
      <c r="BO280" s="418">
        <f t="shared" si="700"/>
        <v>0</v>
      </c>
      <c r="BP280" s="418">
        <f t="shared" si="701"/>
        <v>862519</v>
      </c>
      <c r="BQ280" s="418">
        <f t="shared" si="701"/>
        <v>25518</v>
      </c>
      <c r="BR280" s="418">
        <f t="shared" si="702"/>
        <v>20956</v>
      </c>
      <c r="BS280" s="419">
        <f t="shared" si="703"/>
        <v>7.6499999999999995</v>
      </c>
      <c r="BT280" s="419">
        <f t="shared" si="704"/>
        <v>0</v>
      </c>
      <c r="BU280" s="421">
        <f t="shared" si="704"/>
        <v>7.6499999999999995</v>
      </c>
      <c r="BV280" s="420"/>
      <c r="BW280" s="415"/>
      <c r="BX280" s="415"/>
      <c r="BY280" s="415"/>
      <c r="BZ280" s="415"/>
      <c r="CA280" s="510"/>
    </row>
    <row r="281" spans="1:79" s="221" customFormat="1" ht="12.75" customHeight="1" x14ac:dyDescent="0.2">
      <c r="A281" s="209">
        <v>51</v>
      </c>
      <c r="B281" s="210">
        <v>4465</v>
      </c>
      <c r="C281" s="210">
        <v>600074757</v>
      </c>
      <c r="D281" s="210">
        <v>46750428</v>
      </c>
      <c r="E281" s="208" t="s">
        <v>238</v>
      </c>
      <c r="F281" s="210">
        <v>3143</v>
      </c>
      <c r="G281" s="165" t="s">
        <v>595</v>
      </c>
      <c r="H281" s="614" t="s">
        <v>271</v>
      </c>
      <c r="I281" s="511">
        <v>2429479</v>
      </c>
      <c r="J281" s="415">
        <v>1782433</v>
      </c>
      <c r="K281" s="415">
        <v>1782433</v>
      </c>
      <c r="L281" s="415">
        <v>0</v>
      </c>
      <c r="M281" s="415">
        <v>20000</v>
      </c>
      <c r="N281" s="415">
        <v>20000</v>
      </c>
      <c r="O281" s="415">
        <v>0</v>
      </c>
      <c r="P281" s="68">
        <v>609222</v>
      </c>
      <c r="Q281" s="68">
        <v>17824</v>
      </c>
      <c r="R281" s="415">
        <v>0</v>
      </c>
      <c r="S281" s="416">
        <v>3.5691000000000002</v>
      </c>
      <c r="T281" s="417">
        <v>3.5691000000000002</v>
      </c>
      <c r="U281" s="423">
        <v>0</v>
      </c>
      <c r="V281" s="424">
        <f t="shared" si="680"/>
        <v>0</v>
      </c>
      <c r="W281" s="418">
        <f t="shared" si="680"/>
        <v>0</v>
      </c>
      <c r="X281" s="418">
        <v>0</v>
      </c>
      <c r="Y281" s="418">
        <v>0</v>
      </c>
      <c r="Z281" s="418">
        <v>0</v>
      </c>
      <c r="AA281" s="415">
        <v>0</v>
      </c>
      <c r="AB281" s="418">
        <v>0</v>
      </c>
      <c r="AC281" s="418">
        <v>0</v>
      </c>
      <c r="AD281" s="418">
        <f t="shared" si="681"/>
        <v>0</v>
      </c>
      <c r="AE281" s="418">
        <f t="shared" si="682"/>
        <v>0</v>
      </c>
      <c r="AF281" s="418">
        <f t="shared" si="683"/>
        <v>0</v>
      </c>
      <c r="AG281" s="418">
        <v>0</v>
      </c>
      <c r="AH281" s="418">
        <v>0</v>
      </c>
      <c r="AI281" s="418">
        <v>0</v>
      </c>
      <c r="AJ281" s="418">
        <v>0</v>
      </c>
      <c r="AK281" s="418">
        <v>0</v>
      </c>
      <c r="AL281" s="418">
        <f t="shared" si="684"/>
        <v>0</v>
      </c>
      <c r="AM281" s="418">
        <f t="shared" si="685"/>
        <v>0</v>
      </c>
      <c r="AN281" s="418">
        <f t="shared" si="686"/>
        <v>0</v>
      </c>
      <c r="AO281" s="418">
        <f t="shared" si="687"/>
        <v>0</v>
      </c>
      <c r="AP281" s="418">
        <f t="shared" si="687"/>
        <v>0</v>
      </c>
      <c r="AQ281" s="418">
        <f t="shared" si="688"/>
        <v>0</v>
      </c>
      <c r="AR281" s="68">
        <f t="shared" si="689"/>
        <v>0</v>
      </c>
      <c r="AS281" s="68">
        <f t="shared" si="690"/>
        <v>0</v>
      </c>
      <c r="AT281" s="418">
        <v>0</v>
      </c>
      <c r="AU281" s="415">
        <v>0</v>
      </c>
      <c r="AV281" s="418">
        <f t="shared" si="691"/>
        <v>0</v>
      </c>
      <c r="AW281" s="418">
        <f t="shared" si="692"/>
        <v>0</v>
      </c>
      <c r="AX281" s="419">
        <v>0</v>
      </c>
      <c r="AY281" s="419">
        <v>0</v>
      </c>
      <c r="AZ281" s="419">
        <v>0</v>
      </c>
      <c r="BA281" s="419">
        <v>0</v>
      </c>
      <c r="BB281" s="416">
        <v>0</v>
      </c>
      <c r="BC281" s="939">
        <v>0</v>
      </c>
      <c r="BD281" s="419">
        <v>0</v>
      </c>
      <c r="BE281" s="419">
        <v>0</v>
      </c>
      <c r="BF281" s="419">
        <f t="shared" si="693"/>
        <v>0</v>
      </c>
      <c r="BG281" s="419">
        <f t="shared" si="694"/>
        <v>0</v>
      </c>
      <c r="BH281" s="421">
        <f t="shared" si="695"/>
        <v>0</v>
      </c>
      <c r="BI281" s="780">
        <f t="shared" si="696"/>
        <v>2429479</v>
      </c>
      <c r="BJ281" s="418">
        <f t="shared" si="697"/>
        <v>1782433</v>
      </c>
      <c r="BK281" s="418">
        <f t="shared" si="698"/>
        <v>1782433</v>
      </c>
      <c r="BL281" s="418">
        <f t="shared" si="698"/>
        <v>0</v>
      </c>
      <c r="BM281" s="418">
        <f t="shared" si="699"/>
        <v>20000</v>
      </c>
      <c r="BN281" s="418">
        <f t="shared" si="700"/>
        <v>20000</v>
      </c>
      <c r="BO281" s="418">
        <f t="shared" si="700"/>
        <v>0</v>
      </c>
      <c r="BP281" s="418">
        <f t="shared" si="701"/>
        <v>609222</v>
      </c>
      <c r="BQ281" s="418">
        <f t="shared" si="701"/>
        <v>17824</v>
      </c>
      <c r="BR281" s="418">
        <f t="shared" si="702"/>
        <v>0</v>
      </c>
      <c r="BS281" s="419">
        <f t="shared" si="703"/>
        <v>3.5691000000000002</v>
      </c>
      <c r="BT281" s="419">
        <f t="shared" si="704"/>
        <v>3.5691000000000002</v>
      </c>
      <c r="BU281" s="421">
        <f t="shared" si="704"/>
        <v>0</v>
      </c>
      <c r="BV281" s="420"/>
      <c r="BW281" s="415"/>
      <c r="BX281" s="415"/>
      <c r="BY281" s="415"/>
      <c r="BZ281" s="415"/>
      <c r="CA281" s="510"/>
    </row>
    <row r="282" spans="1:79" s="221" customFormat="1" ht="12.75" customHeight="1" x14ac:dyDescent="0.2">
      <c r="A282" s="209">
        <v>51</v>
      </c>
      <c r="B282" s="210">
        <v>4465</v>
      </c>
      <c r="C282" s="210">
        <v>600074757</v>
      </c>
      <c r="D282" s="210">
        <v>46750428</v>
      </c>
      <c r="E282" s="208" t="s">
        <v>238</v>
      </c>
      <c r="F282" s="210">
        <v>3143</v>
      </c>
      <c r="G282" s="165" t="s">
        <v>596</v>
      </c>
      <c r="H282" s="614" t="s">
        <v>272</v>
      </c>
      <c r="I282" s="511">
        <v>57389</v>
      </c>
      <c r="J282" s="415">
        <v>41078</v>
      </c>
      <c r="K282" s="415">
        <v>0</v>
      </c>
      <c r="L282" s="415">
        <v>41078</v>
      </c>
      <c r="M282" s="415">
        <v>0</v>
      </c>
      <c r="N282" s="415">
        <v>0</v>
      </c>
      <c r="O282" s="415">
        <v>0</v>
      </c>
      <c r="P282" s="68">
        <v>13884</v>
      </c>
      <c r="Q282" s="68">
        <v>411</v>
      </c>
      <c r="R282" s="415">
        <v>2016</v>
      </c>
      <c r="S282" s="416">
        <v>0.16</v>
      </c>
      <c r="T282" s="417">
        <v>0</v>
      </c>
      <c r="U282" s="423">
        <v>0.16</v>
      </c>
      <c r="V282" s="424">
        <f t="shared" si="680"/>
        <v>0</v>
      </c>
      <c r="W282" s="418">
        <f t="shared" si="680"/>
        <v>0</v>
      </c>
      <c r="X282" s="418">
        <v>0</v>
      </c>
      <c r="Y282" s="418">
        <v>0</v>
      </c>
      <c r="Z282" s="418">
        <v>0</v>
      </c>
      <c r="AA282" s="605">
        <v>20522</v>
      </c>
      <c r="AB282" s="418">
        <v>0</v>
      </c>
      <c r="AC282" s="418">
        <v>0</v>
      </c>
      <c r="AD282" s="418">
        <f t="shared" si="681"/>
        <v>0</v>
      </c>
      <c r="AE282" s="418">
        <f t="shared" si="682"/>
        <v>20522</v>
      </c>
      <c r="AF282" s="418">
        <f t="shared" si="683"/>
        <v>20522</v>
      </c>
      <c r="AG282" s="418">
        <v>0</v>
      </c>
      <c r="AH282" s="418">
        <v>0</v>
      </c>
      <c r="AI282" s="418">
        <v>0</v>
      </c>
      <c r="AJ282" s="418">
        <v>0</v>
      </c>
      <c r="AK282" s="418">
        <v>0</v>
      </c>
      <c r="AL282" s="418">
        <f t="shared" si="684"/>
        <v>0</v>
      </c>
      <c r="AM282" s="418">
        <f t="shared" si="685"/>
        <v>0</v>
      </c>
      <c r="AN282" s="418">
        <f t="shared" si="686"/>
        <v>0</v>
      </c>
      <c r="AO282" s="418">
        <f t="shared" si="687"/>
        <v>0</v>
      </c>
      <c r="AP282" s="418">
        <f t="shared" si="687"/>
        <v>20522</v>
      </c>
      <c r="AQ282" s="418">
        <f t="shared" si="688"/>
        <v>20522</v>
      </c>
      <c r="AR282" s="68">
        <f t="shared" si="689"/>
        <v>6936</v>
      </c>
      <c r="AS282" s="68">
        <f t="shared" si="690"/>
        <v>205</v>
      </c>
      <c r="AT282" s="418">
        <v>0</v>
      </c>
      <c r="AU282" s="606">
        <v>1008</v>
      </c>
      <c r="AV282" s="418">
        <f t="shared" si="691"/>
        <v>1008</v>
      </c>
      <c r="AW282" s="418">
        <f t="shared" si="692"/>
        <v>28671</v>
      </c>
      <c r="AX282" s="419">
        <v>0</v>
      </c>
      <c r="AY282" s="419">
        <v>0</v>
      </c>
      <c r="AZ282" s="419">
        <v>0</v>
      </c>
      <c r="BA282" s="419">
        <v>0</v>
      </c>
      <c r="BB282" s="607">
        <v>0.08</v>
      </c>
      <c r="BC282" s="939">
        <v>0</v>
      </c>
      <c r="BD282" s="419">
        <v>0</v>
      </c>
      <c r="BE282" s="419">
        <v>0</v>
      </c>
      <c r="BF282" s="419">
        <f t="shared" si="693"/>
        <v>0</v>
      </c>
      <c r="BG282" s="419">
        <f t="shared" si="694"/>
        <v>0.08</v>
      </c>
      <c r="BH282" s="421">
        <f t="shared" si="695"/>
        <v>0.08</v>
      </c>
      <c r="BI282" s="780">
        <f t="shared" si="696"/>
        <v>86060</v>
      </c>
      <c r="BJ282" s="418">
        <f t="shared" si="697"/>
        <v>61600</v>
      </c>
      <c r="BK282" s="418">
        <f t="shared" si="698"/>
        <v>0</v>
      </c>
      <c r="BL282" s="418">
        <f t="shared" si="698"/>
        <v>61600</v>
      </c>
      <c r="BM282" s="418">
        <f t="shared" si="699"/>
        <v>0</v>
      </c>
      <c r="BN282" s="418">
        <f t="shared" si="700"/>
        <v>0</v>
      </c>
      <c r="BO282" s="418">
        <f t="shared" si="700"/>
        <v>0</v>
      </c>
      <c r="BP282" s="418">
        <f t="shared" si="701"/>
        <v>20820</v>
      </c>
      <c r="BQ282" s="418">
        <f t="shared" si="701"/>
        <v>616</v>
      </c>
      <c r="BR282" s="418">
        <f t="shared" si="702"/>
        <v>3024</v>
      </c>
      <c r="BS282" s="419">
        <f t="shared" si="703"/>
        <v>0.24</v>
      </c>
      <c r="BT282" s="419">
        <f t="shared" si="704"/>
        <v>0</v>
      </c>
      <c r="BU282" s="421">
        <f t="shared" si="704"/>
        <v>0.24</v>
      </c>
      <c r="BV282" s="420"/>
      <c r="BW282" s="415"/>
      <c r="BX282" s="415"/>
      <c r="BY282" s="415"/>
      <c r="BZ282" s="415"/>
      <c r="CA282" s="510"/>
    </row>
    <row r="283" spans="1:79" s="221" customFormat="1" ht="12.75" customHeight="1" x14ac:dyDescent="0.2">
      <c r="A283" s="155">
        <v>51</v>
      </c>
      <c r="B283" s="18">
        <v>4465</v>
      </c>
      <c r="C283" s="18">
        <v>600074757</v>
      </c>
      <c r="D283" s="18">
        <v>46750428</v>
      </c>
      <c r="E283" s="164" t="s">
        <v>239</v>
      </c>
      <c r="F283" s="18"/>
      <c r="G283" s="154"/>
      <c r="H283" s="613"/>
      <c r="I283" s="452">
        <v>40954406</v>
      </c>
      <c r="J283" s="445">
        <v>29965167</v>
      </c>
      <c r="K283" s="445">
        <v>26335751</v>
      </c>
      <c r="L283" s="445">
        <v>3629416</v>
      </c>
      <c r="M283" s="445">
        <v>120000</v>
      </c>
      <c r="N283" s="445">
        <v>120000</v>
      </c>
      <c r="O283" s="445">
        <v>0</v>
      </c>
      <c r="P283" s="445">
        <v>10168786</v>
      </c>
      <c r="Q283" s="445">
        <v>299651</v>
      </c>
      <c r="R283" s="445">
        <v>400802</v>
      </c>
      <c r="S283" s="446">
        <v>53.499600000000001</v>
      </c>
      <c r="T283" s="446">
        <v>42.293399999999998</v>
      </c>
      <c r="U283" s="450">
        <v>11.206199999999999</v>
      </c>
      <c r="V283" s="448">
        <f t="shared" ref="V283:CA283" si="705">SUM(V277:V282)</f>
        <v>0</v>
      </c>
      <c r="W283" s="445">
        <f t="shared" si="705"/>
        <v>0</v>
      </c>
      <c r="X283" s="445">
        <f t="shared" si="705"/>
        <v>0</v>
      </c>
      <c r="Y283" s="445">
        <f t="shared" si="705"/>
        <v>0</v>
      </c>
      <c r="Z283" s="445">
        <f t="shared" si="705"/>
        <v>0</v>
      </c>
      <c r="AA283" s="445">
        <f t="shared" si="705"/>
        <v>871604</v>
      </c>
      <c r="AB283" s="445">
        <f t="shared" si="705"/>
        <v>0</v>
      </c>
      <c r="AC283" s="445">
        <f t="shared" si="705"/>
        <v>0</v>
      </c>
      <c r="AD283" s="445">
        <f t="shared" si="705"/>
        <v>0</v>
      </c>
      <c r="AE283" s="445">
        <f t="shared" si="705"/>
        <v>871604</v>
      </c>
      <c r="AF283" s="445">
        <f t="shared" si="705"/>
        <v>871604</v>
      </c>
      <c r="AG283" s="445">
        <f t="shared" si="705"/>
        <v>0</v>
      </c>
      <c r="AH283" s="445">
        <f t="shared" si="705"/>
        <v>0</v>
      </c>
      <c r="AI283" s="445">
        <f t="shared" si="705"/>
        <v>0</v>
      </c>
      <c r="AJ283" s="445">
        <f t="shared" si="705"/>
        <v>0</v>
      </c>
      <c r="AK283" s="445">
        <f t="shared" si="705"/>
        <v>0</v>
      </c>
      <c r="AL283" s="445">
        <f t="shared" si="705"/>
        <v>0</v>
      </c>
      <c r="AM283" s="445">
        <f t="shared" si="705"/>
        <v>0</v>
      </c>
      <c r="AN283" s="445">
        <f t="shared" si="705"/>
        <v>0</v>
      </c>
      <c r="AO283" s="445">
        <f t="shared" si="705"/>
        <v>0</v>
      </c>
      <c r="AP283" s="445">
        <f t="shared" si="705"/>
        <v>871604</v>
      </c>
      <c r="AQ283" s="445">
        <f t="shared" si="705"/>
        <v>871604</v>
      </c>
      <c r="AR283" s="445">
        <f t="shared" si="705"/>
        <v>294602</v>
      </c>
      <c r="AS283" s="445">
        <f t="shared" si="705"/>
        <v>8716</v>
      </c>
      <c r="AT283" s="445">
        <f t="shared" si="705"/>
        <v>0</v>
      </c>
      <c r="AU283" s="445">
        <f t="shared" si="705"/>
        <v>7850</v>
      </c>
      <c r="AV283" s="445">
        <f t="shared" si="705"/>
        <v>7850</v>
      </c>
      <c r="AW283" s="445">
        <f t="shared" si="705"/>
        <v>1182772</v>
      </c>
      <c r="AX283" s="446">
        <f t="shared" si="705"/>
        <v>0</v>
      </c>
      <c r="AY283" s="446">
        <f t="shared" si="705"/>
        <v>0</v>
      </c>
      <c r="AZ283" s="446">
        <f t="shared" si="705"/>
        <v>0</v>
      </c>
      <c r="BA283" s="446">
        <f t="shared" si="705"/>
        <v>0</v>
      </c>
      <c r="BB283" s="446">
        <f t="shared" si="705"/>
        <v>2.63</v>
      </c>
      <c r="BC283" s="948">
        <f t="shared" si="705"/>
        <v>0</v>
      </c>
      <c r="BD283" s="446">
        <f t="shared" si="705"/>
        <v>0</v>
      </c>
      <c r="BE283" s="446">
        <f t="shared" si="705"/>
        <v>0</v>
      </c>
      <c r="BF283" s="446">
        <f t="shared" si="705"/>
        <v>0</v>
      </c>
      <c r="BG283" s="446">
        <f t="shared" si="705"/>
        <v>2.63</v>
      </c>
      <c r="BH283" s="39">
        <f t="shared" si="705"/>
        <v>2.63</v>
      </c>
      <c r="BI283" s="452">
        <f t="shared" si="705"/>
        <v>42137178</v>
      </c>
      <c r="BJ283" s="445">
        <f t="shared" si="705"/>
        <v>30836771</v>
      </c>
      <c r="BK283" s="445">
        <f t="shared" si="705"/>
        <v>26335751</v>
      </c>
      <c r="BL283" s="445">
        <f t="shared" si="705"/>
        <v>4501020</v>
      </c>
      <c r="BM283" s="445">
        <f t="shared" si="705"/>
        <v>120000</v>
      </c>
      <c r="BN283" s="445">
        <f t="shared" si="705"/>
        <v>120000</v>
      </c>
      <c r="BO283" s="445">
        <f t="shared" si="705"/>
        <v>0</v>
      </c>
      <c r="BP283" s="445">
        <f t="shared" si="705"/>
        <v>10463388</v>
      </c>
      <c r="BQ283" s="445">
        <f t="shared" si="705"/>
        <v>308367</v>
      </c>
      <c r="BR283" s="445">
        <f t="shared" si="705"/>
        <v>408652</v>
      </c>
      <c r="BS283" s="446">
        <f t="shared" si="705"/>
        <v>56.129600000000003</v>
      </c>
      <c r="BT283" s="446">
        <f t="shared" si="705"/>
        <v>42.293399999999998</v>
      </c>
      <c r="BU283" s="39">
        <f t="shared" si="705"/>
        <v>13.8362</v>
      </c>
      <c r="BV283" s="833">
        <f t="shared" si="705"/>
        <v>0</v>
      </c>
      <c r="BW283" s="715">
        <f t="shared" si="705"/>
        <v>0</v>
      </c>
      <c r="BX283" s="715">
        <f t="shared" si="705"/>
        <v>0</v>
      </c>
      <c r="BY283" s="715">
        <f t="shared" si="705"/>
        <v>0</v>
      </c>
      <c r="BZ283" s="715">
        <f t="shared" si="705"/>
        <v>0</v>
      </c>
      <c r="CA283" s="834">
        <f t="shared" si="705"/>
        <v>0</v>
      </c>
    </row>
    <row r="284" spans="1:79" s="221" customFormat="1" ht="12.75" customHeight="1" x14ac:dyDescent="0.2">
      <c r="A284" s="209">
        <v>52</v>
      </c>
      <c r="B284" s="210">
        <v>4466</v>
      </c>
      <c r="C284" s="210">
        <v>650039017</v>
      </c>
      <c r="D284" s="210">
        <v>70982074</v>
      </c>
      <c r="E284" s="208" t="s">
        <v>240</v>
      </c>
      <c r="F284" s="210">
        <v>3111</v>
      </c>
      <c r="G284" s="165" t="s">
        <v>290</v>
      </c>
      <c r="H284" s="626" t="s">
        <v>271</v>
      </c>
      <c r="I284" s="511">
        <v>5908242</v>
      </c>
      <c r="J284" s="415">
        <v>4369896</v>
      </c>
      <c r="K284" s="415">
        <v>4130280</v>
      </c>
      <c r="L284" s="415">
        <v>239616</v>
      </c>
      <c r="M284" s="415">
        <v>0</v>
      </c>
      <c r="N284" s="415">
        <v>0</v>
      </c>
      <c r="O284" s="415">
        <v>0</v>
      </c>
      <c r="P284" s="68">
        <v>1477025</v>
      </c>
      <c r="Q284" s="68">
        <v>43699</v>
      </c>
      <c r="R284" s="415">
        <v>17622</v>
      </c>
      <c r="S284" s="416">
        <v>8.8925000000000001</v>
      </c>
      <c r="T284" s="417">
        <v>7.9325000000000001</v>
      </c>
      <c r="U284" s="423">
        <v>0.96</v>
      </c>
      <c r="V284" s="424">
        <f t="shared" ref="V284:W289" si="706">AG284*-1</f>
        <v>0</v>
      </c>
      <c r="W284" s="418">
        <f t="shared" si="706"/>
        <v>0</v>
      </c>
      <c r="X284" s="418">
        <v>0</v>
      </c>
      <c r="Y284" s="418">
        <v>0</v>
      </c>
      <c r="Z284" s="418">
        <v>0</v>
      </c>
      <c r="AA284" s="415">
        <v>0</v>
      </c>
      <c r="AB284" s="418">
        <v>0</v>
      </c>
      <c r="AC284" s="418">
        <v>0</v>
      </c>
      <c r="AD284" s="418">
        <f t="shared" ref="AD284:AD289" si="707">V284+X284+Y284+Z284+AB284</f>
        <v>0</v>
      </c>
      <c r="AE284" s="418">
        <f t="shared" ref="AE284:AE289" si="708">W284+AA284+AC284</f>
        <v>0</v>
      </c>
      <c r="AF284" s="418">
        <f t="shared" ref="AF284:AF289" si="709">SUM(AD284:AE284)</f>
        <v>0</v>
      </c>
      <c r="AG284" s="418">
        <v>0</v>
      </c>
      <c r="AH284" s="418">
        <v>0</v>
      </c>
      <c r="AI284" s="418">
        <v>0</v>
      </c>
      <c r="AJ284" s="418">
        <v>0</v>
      </c>
      <c r="AK284" s="418">
        <v>0</v>
      </c>
      <c r="AL284" s="418">
        <f t="shared" ref="AL284:AL289" si="710">AG284+AI284+AJ284</f>
        <v>0</v>
      </c>
      <c r="AM284" s="418">
        <f t="shared" ref="AM284:AM289" si="711">AH284+AK284</f>
        <v>0</v>
      </c>
      <c r="AN284" s="418">
        <f t="shared" ref="AN284:AN289" si="712">SUM(AL284:AM284)</f>
        <v>0</v>
      </c>
      <c r="AO284" s="418">
        <f t="shared" ref="AO284:AP289" si="713">AD284+AL284</f>
        <v>0</v>
      </c>
      <c r="AP284" s="418">
        <f t="shared" si="713"/>
        <v>0</v>
      </c>
      <c r="AQ284" s="418">
        <f t="shared" ref="AQ284:AQ289" si="714">SUM(AO284:AP284)</f>
        <v>0</v>
      </c>
      <c r="AR284" s="68">
        <f t="shared" ref="AR284:AR289" si="715">ROUND((AF284+AG284+AH284+AI284)*33.8%,0)</f>
        <v>0</v>
      </c>
      <c r="AS284" s="68">
        <f t="shared" ref="AS284:AS289" si="716">ROUND(AF284*1%,0)</f>
        <v>0</v>
      </c>
      <c r="AT284" s="418">
        <v>0</v>
      </c>
      <c r="AU284" s="415">
        <v>0</v>
      </c>
      <c r="AV284" s="418">
        <f t="shared" ref="AV284:AV289" si="717">AT284+AU284</f>
        <v>0</v>
      </c>
      <c r="AW284" s="418">
        <f t="shared" ref="AW284:AW289" si="718">AQ284+AR284+AS284+AV284</f>
        <v>0</v>
      </c>
      <c r="AX284" s="419">
        <v>0</v>
      </c>
      <c r="AY284" s="419">
        <v>0</v>
      </c>
      <c r="AZ284" s="419">
        <v>0</v>
      </c>
      <c r="BA284" s="419">
        <v>0</v>
      </c>
      <c r="BB284" s="416">
        <v>0</v>
      </c>
      <c r="BC284" s="939">
        <v>0</v>
      </c>
      <c r="BD284" s="419">
        <v>0</v>
      </c>
      <c r="BE284" s="419">
        <v>0</v>
      </c>
      <c r="BF284" s="419">
        <f t="shared" ref="BF284:BF289" si="719">AX284+AZ284+BA284+BC284+BD284</f>
        <v>0</v>
      </c>
      <c r="BG284" s="419">
        <f t="shared" ref="BG284:BG289" si="720">AY284+BB284+BE284</f>
        <v>0</v>
      </c>
      <c r="BH284" s="421">
        <f t="shared" ref="BH284:BH289" si="721">SUM(BF284:BG284)</f>
        <v>0</v>
      </c>
      <c r="BI284" s="780">
        <f t="shared" ref="BI284:BI289" si="722">I284+AW284</f>
        <v>5908242</v>
      </c>
      <c r="BJ284" s="418">
        <f t="shared" ref="BJ284:BJ289" si="723">J284+AF284</f>
        <v>4369896</v>
      </c>
      <c r="BK284" s="418">
        <f t="shared" ref="BK284:BL289" si="724">K284+AD284</f>
        <v>4130280</v>
      </c>
      <c r="BL284" s="418">
        <f t="shared" si="724"/>
        <v>239616</v>
      </c>
      <c r="BM284" s="418">
        <f t="shared" ref="BM284:BM289" si="725">M284+AN284</f>
        <v>0</v>
      </c>
      <c r="BN284" s="418">
        <f t="shared" ref="BN284:BO289" si="726">N284+AL284</f>
        <v>0</v>
      </c>
      <c r="BO284" s="418">
        <f t="shared" si="726"/>
        <v>0</v>
      </c>
      <c r="BP284" s="418">
        <f t="shared" ref="BP284:BQ289" si="727">P284+AR284</f>
        <v>1477025</v>
      </c>
      <c r="BQ284" s="418">
        <f t="shared" si="727"/>
        <v>43699</v>
      </c>
      <c r="BR284" s="418">
        <f t="shared" ref="BR284:BR289" si="728">R284+AV284</f>
        <v>17622</v>
      </c>
      <c r="BS284" s="419">
        <f t="shared" ref="BS284:BS289" si="729">S284+BH284</f>
        <v>8.8925000000000001</v>
      </c>
      <c r="BT284" s="419">
        <f t="shared" ref="BT284:BU289" si="730">T284+BF284</f>
        <v>7.9325000000000001</v>
      </c>
      <c r="BU284" s="421">
        <f t="shared" si="730"/>
        <v>0.96</v>
      </c>
      <c r="BV284" s="420"/>
      <c r="BW284" s="415"/>
      <c r="BX284" s="415"/>
      <c r="BY284" s="415"/>
      <c r="BZ284" s="415"/>
      <c r="CA284" s="510"/>
    </row>
    <row r="285" spans="1:79" s="221" customFormat="1" ht="12.75" customHeight="1" x14ac:dyDescent="0.2">
      <c r="A285" s="209">
        <v>52</v>
      </c>
      <c r="B285" s="210">
        <v>4466</v>
      </c>
      <c r="C285" s="210">
        <v>650039017</v>
      </c>
      <c r="D285" s="210">
        <v>70982074</v>
      </c>
      <c r="E285" s="204" t="s">
        <v>240</v>
      </c>
      <c r="F285" s="210">
        <v>3117</v>
      </c>
      <c r="G285" s="165" t="s">
        <v>293</v>
      </c>
      <c r="H285" s="626" t="s">
        <v>271</v>
      </c>
      <c r="I285" s="511">
        <v>6992552</v>
      </c>
      <c r="J285" s="415">
        <v>5106099</v>
      </c>
      <c r="K285" s="415">
        <v>4423406</v>
      </c>
      <c r="L285" s="415">
        <v>682693</v>
      </c>
      <c r="M285" s="415">
        <v>0</v>
      </c>
      <c r="N285" s="415">
        <v>0</v>
      </c>
      <c r="O285" s="415">
        <v>0</v>
      </c>
      <c r="P285" s="68">
        <v>1725862</v>
      </c>
      <c r="Q285" s="68">
        <v>51061</v>
      </c>
      <c r="R285" s="415">
        <v>109530</v>
      </c>
      <c r="S285" s="416">
        <v>8.5185999999999993</v>
      </c>
      <c r="T285" s="417">
        <v>6.5453999999999999</v>
      </c>
      <c r="U285" s="423">
        <v>1.9731999999999998</v>
      </c>
      <c r="V285" s="424">
        <f t="shared" si="706"/>
        <v>0</v>
      </c>
      <c r="W285" s="418">
        <f t="shared" si="706"/>
        <v>0</v>
      </c>
      <c r="X285" s="418">
        <v>0</v>
      </c>
      <c r="Y285" s="418">
        <v>0</v>
      </c>
      <c r="Z285" s="418">
        <v>0</v>
      </c>
      <c r="AA285" s="415">
        <v>0</v>
      </c>
      <c r="AB285" s="418">
        <v>0</v>
      </c>
      <c r="AC285" s="418">
        <v>0</v>
      </c>
      <c r="AD285" s="418">
        <f t="shared" si="707"/>
        <v>0</v>
      </c>
      <c r="AE285" s="418">
        <f t="shared" si="708"/>
        <v>0</v>
      </c>
      <c r="AF285" s="418">
        <f t="shared" si="709"/>
        <v>0</v>
      </c>
      <c r="AG285" s="418">
        <v>0</v>
      </c>
      <c r="AH285" s="418">
        <v>0</v>
      </c>
      <c r="AI285" s="418">
        <v>0</v>
      </c>
      <c r="AJ285" s="418">
        <v>0</v>
      </c>
      <c r="AK285" s="418">
        <v>0</v>
      </c>
      <c r="AL285" s="418">
        <f t="shared" si="710"/>
        <v>0</v>
      </c>
      <c r="AM285" s="418">
        <f t="shared" si="711"/>
        <v>0</v>
      </c>
      <c r="AN285" s="418">
        <f t="shared" si="712"/>
        <v>0</v>
      </c>
      <c r="AO285" s="418">
        <f t="shared" si="713"/>
        <v>0</v>
      </c>
      <c r="AP285" s="418">
        <f t="shared" si="713"/>
        <v>0</v>
      </c>
      <c r="AQ285" s="418">
        <f t="shared" si="714"/>
        <v>0</v>
      </c>
      <c r="AR285" s="68">
        <f t="shared" si="715"/>
        <v>0</v>
      </c>
      <c r="AS285" s="68">
        <f t="shared" si="716"/>
        <v>0</v>
      </c>
      <c r="AT285" s="418">
        <v>0</v>
      </c>
      <c r="AU285" s="415">
        <v>0</v>
      </c>
      <c r="AV285" s="418">
        <f t="shared" si="717"/>
        <v>0</v>
      </c>
      <c r="AW285" s="418">
        <f t="shared" si="718"/>
        <v>0</v>
      </c>
      <c r="AX285" s="419">
        <v>0</v>
      </c>
      <c r="AY285" s="419">
        <v>0</v>
      </c>
      <c r="AZ285" s="419">
        <v>0</v>
      </c>
      <c r="BA285" s="419">
        <v>0</v>
      </c>
      <c r="BB285" s="416">
        <v>0</v>
      </c>
      <c r="BC285" s="939">
        <v>0</v>
      </c>
      <c r="BD285" s="419">
        <v>0</v>
      </c>
      <c r="BE285" s="419">
        <v>0</v>
      </c>
      <c r="BF285" s="419">
        <f t="shared" si="719"/>
        <v>0</v>
      </c>
      <c r="BG285" s="419">
        <f t="shared" si="720"/>
        <v>0</v>
      </c>
      <c r="BH285" s="421">
        <f t="shared" si="721"/>
        <v>0</v>
      </c>
      <c r="BI285" s="780">
        <f t="shared" si="722"/>
        <v>6992552</v>
      </c>
      <c r="BJ285" s="418">
        <f t="shared" si="723"/>
        <v>5106099</v>
      </c>
      <c r="BK285" s="418">
        <f t="shared" si="724"/>
        <v>4423406</v>
      </c>
      <c r="BL285" s="418">
        <f t="shared" si="724"/>
        <v>682693</v>
      </c>
      <c r="BM285" s="418">
        <f t="shared" si="725"/>
        <v>0</v>
      </c>
      <c r="BN285" s="418">
        <f t="shared" si="726"/>
        <v>0</v>
      </c>
      <c r="BO285" s="418">
        <f t="shared" si="726"/>
        <v>0</v>
      </c>
      <c r="BP285" s="418">
        <f t="shared" si="727"/>
        <v>1725862</v>
      </c>
      <c r="BQ285" s="418">
        <f t="shared" si="727"/>
        <v>51061</v>
      </c>
      <c r="BR285" s="418">
        <f t="shared" si="728"/>
        <v>109530</v>
      </c>
      <c r="BS285" s="419">
        <f t="shared" si="729"/>
        <v>8.5185999999999993</v>
      </c>
      <c r="BT285" s="419">
        <f t="shared" si="730"/>
        <v>6.5453999999999999</v>
      </c>
      <c r="BU285" s="421">
        <f t="shared" si="730"/>
        <v>1.9731999999999998</v>
      </c>
      <c r="BV285" s="420"/>
      <c r="BW285" s="415"/>
      <c r="BX285" s="415"/>
      <c r="BY285" s="415"/>
      <c r="BZ285" s="415"/>
      <c r="CA285" s="510"/>
    </row>
    <row r="286" spans="1:79" s="221" customFormat="1" ht="12.75" customHeight="1" x14ac:dyDescent="0.2">
      <c r="A286" s="209">
        <v>52</v>
      </c>
      <c r="B286" s="210">
        <v>4466</v>
      </c>
      <c r="C286" s="210">
        <v>650039017</v>
      </c>
      <c r="D286" s="210">
        <v>70982074</v>
      </c>
      <c r="E286" s="204" t="s">
        <v>240</v>
      </c>
      <c r="F286" s="210">
        <v>3117</v>
      </c>
      <c r="G286" s="165" t="s">
        <v>291</v>
      </c>
      <c r="H286" s="626" t="s">
        <v>272</v>
      </c>
      <c r="I286" s="511">
        <v>2790775</v>
      </c>
      <c r="J286" s="415">
        <v>2070308</v>
      </c>
      <c r="K286" s="415">
        <v>2070308</v>
      </c>
      <c r="L286" s="415">
        <v>0</v>
      </c>
      <c r="M286" s="415">
        <v>0</v>
      </c>
      <c r="N286" s="415">
        <v>0</v>
      </c>
      <c r="O286" s="415">
        <v>0</v>
      </c>
      <c r="P286" s="68">
        <v>699764</v>
      </c>
      <c r="Q286" s="68">
        <v>20703</v>
      </c>
      <c r="R286" s="415">
        <v>0</v>
      </c>
      <c r="S286" s="416">
        <v>5.58</v>
      </c>
      <c r="T286" s="417">
        <v>5.58</v>
      </c>
      <c r="U286" s="423">
        <v>0</v>
      </c>
      <c r="V286" s="424">
        <f t="shared" si="706"/>
        <v>0</v>
      </c>
      <c r="W286" s="418">
        <f t="shared" si="706"/>
        <v>0</v>
      </c>
      <c r="X286" s="418">
        <v>0</v>
      </c>
      <c r="Y286" s="418">
        <v>0</v>
      </c>
      <c r="Z286" s="418">
        <v>0</v>
      </c>
      <c r="AA286" s="415">
        <v>0</v>
      </c>
      <c r="AB286" s="418">
        <v>0</v>
      </c>
      <c r="AC286" s="418">
        <v>0</v>
      </c>
      <c r="AD286" s="418">
        <f t="shared" si="707"/>
        <v>0</v>
      </c>
      <c r="AE286" s="418">
        <f t="shared" si="708"/>
        <v>0</v>
      </c>
      <c r="AF286" s="418">
        <f t="shared" si="709"/>
        <v>0</v>
      </c>
      <c r="AG286" s="418">
        <v>0</v>
      </c>
      <c r="AH286" s="418">
        <v>0</v>
      </c>
      <c r="AI286" s="418">
        <v>0</v>
      </c>
      <c r="AJ286" s="418">
        <v>0</v>
      </c>
      <c r="AK286" s="418">
        <v>0</v>
      </c>
      <c r="AL286" s="418">
        <f t="shared" si="710"/>
        <v>0</v>
      </c>
      <c r="AM286" s="418">
        <f t="shared" si="711"/>
        <v>0</v>
      </c>
      <c r="AN286" s="418">
        <f t="shared" si="712"/>
        <v>0</v>
      </c>
      <c r="AO286" s="418">
        <f t="shared" si="713"/>
        <v>0</v>
      </c>
      <c r="AP286" s="418">
        <f t="shared" si="713"/>
        <v>0</v>
      </c>
      <c r="AQ286" s="418">
        <f t="shared" si="714"/>
        <v>0</v>
      </c>
      <c r="AR286" s="68">
        <f t="shared" si="715"/>
        <v>0</v>
      </c>
      <c r="AS286" s="68">
        <f t="shared" si="716"/>
        <v>0</v>
      </c>
      <c r="AT286" s="418">
        <v>0</v>
      </c>
      <c r="AU286" s="415">
        <v>0</v>
      </c>
      <c r="AV286" s="418">
        <f t="shared" si="717"/>
        <v>0</v>
      </c>
      <c r="AW286" s="418">
        <f t="shared" si="718"/>
        <v>0</v>
      </c>
      <c r="AX286" s="419">
        <v>0</v>
      </c>
      <c r="AY286" s="419">
        <v>0</v>
      </c>
      <c r="AZ286" s="419">
        <v>0</v>
      </c>
      <c r="BA286" s="419">
        <v>0</v>
      </c>
      <c r="BB286" s="416">
        <v>0</v>
      </c>
      <c r="BC286" s="939">
        <v>0</v>
      </c>
      <c r="BD286" s="419">
        <v>0</v>
      </c>
      <c r="BE286" s="419">
        <v>0</v>
      </c>
      <c r="BF286" s="419">
        <f t="shared" si="719"/>
        <v>0</v>
      </c>
      <c r="BG286" s="419">
        <f t="shared" si="720"/>
        <v>0</v>
      </c>
      <c r="BH286" s="421">
        <f t="shared" si="721"/>
        <v>0</v>
      </c>
      <c r="BI286" s="780">
        <f t="shared" si="722"/>
        <v>2790775</v>
      </c>
      <c r="BJ286" s="418">
        <f t="shared" si="723"/>
        <v>2070308</v>
      </c>
      <c r="BK286" s="418">
        <f t="shared" si="724"/>
        <v>2070308</v>
      </c>
      <c r="BL286" s="418">
        <f t="shared" si="724"/>
        <v>0</v>
      </c>
      <c r="BM286" s="418">
        <f t="shared" si="725"/>
        <v>0</v>
      </c>
      <c r="BN286" s="418">
        <f t="shared" si="726"/>
        <v>0</v>
      </c>
      <c r="BO286" s="418">
        <f t="shared" si="726"/>
        <v>0</v>
      </c>
      <c r="BP286" s="418">
        <f t="shared" si="727"/>
        <v>699764</v>
      </c>
      <c r="BQ286" s="418">
        <f t="shared" si="727"/>
        <v>20703</v>
      </c>
      <c r="BR286" s="418">
        <f t="shared" si="728"/>
        <v>0</v>
      </c>
      <c r="BS286" s="419">
        <f t="shared" si="729"/>
        <v>5.58</v>
      </c>
      <c r="BT286" s="419">
        <f t="shared" si="730"/>
        <v>5.58</v>
      </c>
      <c r="BU286" s="421">
        <f t="shared" si="730"/>
        <v>0</v>
      </c>
      <c r="BV286" s="420"/>
      <c r="BW286" s="415"/>
      <c r="BX286" s="415"/>
      <c r="BY286" s="415"/>
      <c r="BZ286" s="415"/>
      <c r="CA286" s="510"/>
    </row>
    <row r="287" spans="1:79" s="221" customFormat="1" ht="12.75" customHeight="1" x14ac:dyDescent="0.2">
      <c r="A287" s="209">
        <v>52</v>
      </c>
      <c r="B287" s="210">
        <v>4466</v>
      </c>
      <c r="C287" s="210">
        <v>650039017</v>
      </c>
      <c r="D287" s="210">
        <v>70982074</v>
      </c>
      <c r="E287" s="208" t="s">
        <v>240</v>
      </c>
      <c r="F287" s="210">
        <v>3141</v>
      </c>
      <c r="G287" s="165" t="s">
        <v>294</v>
      </c>
      <c r="H287" s="626" t="s">
        <v>272</v>
      </c>
      <c r="I287" s="511">
        <v>1071701</v>
      </c>
      <c r="J287" s="415">
        <v>756448</v>
      </c>
      <c r="K287" s="415">
        <v>0</v>
      </c>
      <c r="L287" s="415">
        <v>756448</v>
      </c>
      <c r="M287" s="415">
        <v>35000</v>
      </c>
      <c r="N287" s="415">
        <v>0</v>
      </c>
      <c r="O287" s="415">
        <v>35000</v>
      </c>
      <c r="P287" s="68">
        <v>267509</v>
      </c>
      <c r="Q287" s="68">
        <v>7564</v>
      </c>
      <c r="R287" s="415">
        <v>5180</v>
      </c>
      <c r="S287" s="416">
        <v>2.2900000000000005</v>
      </c>
      <c r="T287" s="417">
        <v>0</v>
      </c>
      <c r="U287" s="423">
        <v>2.2900000000000005</v>
      </c>
      <c r="V287" s="424">
        <f t="shared" si="706"/>
        <v>0</v>
      </c>
      <c r="W287" s="418">
        <f t="shared" si="706"/>
        <v>0</v>
      </c>
      <c r="X287" s="418">
        <v>0</v>
      </c>
      <c r="Y287" s="418">
        <v>0</v>
      </c>
      <c r="Z287" s="418">
        <v>0</v>
      </c>
      <c r="AA287" s="605">
        <v>395401</v>
      </c>
      <c r="AB287" s="418">
        <v>0</v>
      </c>
      <c r="AC287" s="418">
        <v>0</v>
      </c>
      <c r="AD287" s="418">
        <f t="shared" si="707"/>
        <v>0</v>
      </c>
      <c r="AE287" s="418">
        <f t="shared" si="708"/>
        <v>395401</v>
      </c>
      <c r="AF287" s="418">
        <f t="shared" si="709"/>
        <v>395401</v>
      </c>
      <c r="AG287" s="418">
        <v>0</v>
      </c>
      <c r="AH287" s="418">
        <v>0</v>
      </c>
      <c r="AI287" s="418">
        <v>0</v>
      </c>
      <c r="AJ287" s="418">
        <v>0</v>
      </c>
      <c r="AK287" s="418">
        <v>0</v>
      </c>
      <c r="AL287" s="418">
        <f t="shared" si="710"/>
        <v>0</v>
      </c>
      <c r="AM287" s="418">
        <f t="shared" si="711"/>
        <v>0</v>
      </c>
      <c r="AN287" s="418">
        <f t="shared" si="712"/>
        <v>0</v>
      </c>
      <c r="AO287" s="418">
        <f t="shared" si="713"/>
        <v>0</v>
      </c>
      <c r="AP287" s="418">
        <f t="shared" si="713"/>
        <v>395401</v>
      </c>
      <c r="AQ287" s="418">
        <f t="shared" si="714"/>
        <v>395401</v>
      </c>
      <c r="AR287" s="68">
        <f t="shared" si="715"/>
        <v>133646</v>
      </c>
      <c r="AS287" s="68">
        <f t="shared" si="716"/>
        <v>3954</v>
      </c>
      <c r="AT287" s="418">
        <v>0</v>
      </c>
      <c r="AU287" s="605">
        <v>2516</v>
      </c>
      <c r="AV287" s="418">
        <f t="shared" si="717"/>
        <v>2516</v>
      </c>
      <c r="AW287" s="418">
        <f t="shared" si="718"/>
        <v>535517</v>
      </c>
      <c r="AX287" s="419">
        <v>0</v>
      </c>
      <c r="AY287" s="419">
        <v>0</v>
      </c>
      <c r="AZ287" s="419">
        <v>0</v>
      </c>
      <c r="BA287" s="419">
        <v>0</v>
      </c>
      <c r="BB287" s="607">
        <v>1.19</v>
      </c>
      <c r="BC287" s="939">
        <v>0</v>
      </c>
      <c r="BD287" s="419">
        <v>0</v>
      </c>
      <c r="BE287" s="419">
        <v>0</v>
      </c>
      <c r="BF287" s="419">
        <f t="shared" si="719"/>
        <v>0</v>
      </c>
      <c r="BG287" s="419">
        <f t="shared" si="720"/>
        <v>1.19</v>
      </c>
      <c r="BH287" s="421">
        <f t="shared" si="721"/>
        <v>1.19</v>
      </c>
      <c r="BI287" s="780">
        <f t="shared" si="722"/>
        <v>1607218</v>
      </c>
      <c r="BJ287" s="418">
        <f t="shared" si="723"/>
        <v>1151849</v>
      </c>
      <c r="BK287" s="418">
        <f t="shared" si="724"/>
        <v>0</v>
      </c>
      <c r="BL287" s="418">
        <f t="shared" si="724"/>
        <v>1151849</v>
      </c>
      <c r="BM287" s="418">
        <f t="shared" si="725"/>
        <v>35000</v>
      </c>
      <c r="BN287" s="418">
        <f t="shared" si="726"/>
        <v>0</v>
      </c>
      <c r="BO287" s="418">
        <f t="shared" si="726"/>
        <v>35000</v>
      </c>
      <c r="BP287" s="418">
        <f t="shared" si="727"/>
        <v>401155</v>
      </c>
      <c r="BQ287" s="418">
        <f t="shared" si="727"/>
        <v>11518</v>
      </c>
      <c r="BR287" s="418">
        <f t="shared" si="728"/>
        <v>7696</v>
      </c>
      <c r="BS287" s="419">
        <f t="shared" si="729"/>
        <v>3.4800000000000004</v>
      </c>
      <c r="BT287" s="419">
        <f t="shared" si="730"/>
        <v>0</v>
      </c>
      <c r="BU287" s="421">
        <f t="shared" si="730"/>
        <v>3.4800000000000004</v>
      </c>
      <c r="BV287" s="420"/>
      <c r="BW287" s="415"/>
      <c r="BX287" s="415"/>
      <c r="BY287" s="415"/>
      <c r="BZ287" s="415"/>
      <c r="CA287" s="510"/>
    </row>
    <row r="288" spans="1:79" s="221" customFormat="1" ht="12.75" customHeight="1" x14ac:dyDescent="0.2">
      <c r="A288" s="209">
        <v>52</v>
      </c>
      <c r="B288" s="210">
        <v>4466</v>
      </c>
      <c r="C288" s="210">
        <v>650039017</v>
      </c>
      <c r="D288" s="210">
        <v>70982074</v>
      </c>
      <c r="E288" s="208" t="s">
        <v>240</v>
      </c>
      <c r="F288" s="210">
        <v>3143</v>
      </c>
      <c r="G288" s="165" t="s">
        <v>595</v>
      </c>
      <c r="H288" s="614" t="s">
        <v>271</v>
      </c>
      <c r="I288" s="511">
        <v>916387</v>
      </c>
      <c r="J288" s="415">
        <v>654998</v>
      </c>
      <c r="K288" s="415">
        <v>654998</v>
      </c>
      <c r="L288" s="415">
        <v>0</v>
      </c>
      <c r="M288" s="415">
        <v>25000</v>
      </c>
      <c r="N288" s="415">
        <v>25000</v>
      </c>
      <c r="O288" s="415">
        <v>0</v>
      </c>
      <c r="P288" s="68">
        <v>229839</v>
      </c>
      <c r="Q288" s="68">
        <v>6550</v>
      </c>
      <c r="R288" s="415">
        <v>0</v>
      </c>
      <c r="S288" s="416">
        <v>1.4</v>
      </c>
      <c r="T288" s="417">
        <v>1.4</v>
      </c>
      <c r="U288" s="423">
        <v>0</v>
      </c>
      <c r="V288" s="424">
        <f t="shared" si="706"/>
        <v>0</v>
      </c>
      <c r="W288" s="418">
        <f t="shared" si="706"/>
        <v>0</v>
      </c>
      <c r="X288" s="418">
        <v>0</v>
      </c>
      <c r="Y288" s="418">
        <v>0</v>
      </c>
      <c r="Z288" s="418">
        <v>0</v>
      </c>
      <c r="AA288" s="415">
        <v>0</v>
      </c>
      <c r="AB288" s="418">
        <v>0</v>
      </c>
      <c r="AC288" s="418">
        <v>0</v>
      </c>
      <c r="AD288" s="418">
        <f t="shared" si="707"/>
        <v>0</v>
      </c>
      <c r="AE288" s="418">
        <f t="shared" si="708"/>
        <v>0</v>
      </c>
      <c r="AF288" s="418">
        <f t="shared" si="709"/>
        <v>0</v>
      </c>
      <c r="AG288" s="418">
        <v>0</v>
      </c>
      <c r="AH288" s="418">
        <v>0</v>
      </c>
      <c r="AI288" s="418">
        <v>0</v>
      </c>
      <c r="AJ288" s="418">
        <v>0</v>
      </c>
      <c r="AK288" s="418">
        <v>0</v>
      </c>
      <c r="AL288" s="418">
        <f t="shared" si="710"/>
        <v>0</v>
      </c>
      <c r="AM288" s="418">
        <f t="shared" si="711"/>
        <v>0</v>
      </c>
      <c r="AN288" s="418">
        <f t="shared" si="712"/>
        <v>0</v>
      </c>
      <c r="AO288" s="418">
        <f t="shared" si="713"/>
        <v>0</v>
      </c>
      <c r="AP288" s="418">
        <f t="shared" si="713"/>
        <v>0</v>
      </c>
      <c r="AQ288" s="418">
        <f t="shared" si="714"/>
        <v>0</v>
      </c>
      <c r="AR288" s="68">
        <f t="shared" si="715"/>
        <v>0</v>
      </c>
      <c r="AS288" s="68">
        <f t="shared" si="716"/>
        <v>0</v>
      </c>
      <c r="AT288" s="418">
        <v>0</v>
      </c>
      <c r="AU288" s="415">
        <v>0</v>
      </c>
      <c r="AV288" s="418">
        <f t="shared" si="717"/>
        <v>0</v>
      </c>
      <c r="AW288" s="418">
        <f t="shared" si="718"/>
        <v>0</v>
      </c>
      <c r="AX288" s="419">
        <v>0</v>
      </c>
      <c r="AY288" s="419">
        <v>0</v>
      </c>
      <c r="AZ288" s="419">
        <v>0</v>
      </c>
      <c r="BA288" s="419">
        <v>0</v>
      </c>
      <c r="BB288" s="416">
        <v>0</v>
      </c>
      <c r="BC288" s="939">
        <v>0</v>
      </c>
      <c r="BD288" s="419">
        <v>0</v>
      </c>
      <c r="BE288" s="419">
        <v>0</v>
      </c>
      <c r="BF288" s="419">
        <f t="shared" si="719"/>
        <v>0</v>
      </c>
      <c r="BG288" s="419">
        <f t="shared" si="720"/>
        <v>0</v>
      </c>
      <c r="BH288" s="421">
        <f t="shared" si="721"/>
        <v>0</v>
      </c>
      <c r="BI288" s="780">
        <f t="shared" si="722"/>
        <v>916387</v>
      </c>
      <c r="BJ288" s="418">
        <f t="shared" si="723"/>
        <v>654998</v>
      </c>
      <c r="BK288" s="418">
        <f t="shared" si="724"/>
        <v>654998</v>
      </c>
      <c r="BL288" s="418">
        <f t="shared" si="724"/>
        <v>0</v>
      </c>
      <c r="BM288" s="418">
        <f t="shared" si="725"/>
        <v>25000</v>
      </c>
      <c r="BN288" s="418">
        <f t="shared" si="726"/>
        <v>25000</v>
      </c>
      <c r="BO288" s="418">
        <f t="shared" si="726"/>
        <v>0</v>
      </c>
      <c r="BP288" s="418">
        <f t="shared" si="727"/>
        <v>229839</v>
      </c>
      <c r="BQ288" s="418">
        <f t="shared" si="727"/>
        <v>6550</v>
      </c>
      <c r="BR288" s="418">
        <f t="shared" si="728"/>
        <v>0</v>
      </c>
      <c r="BS288" s="419">
        <f t="shared" si="729"/>
        <v>1.4</v>
      </c>
      <c r="BT288" s="419">
        <f t="shared" si="730"/>
        <v>1.4</v>
      </c>
      <c r="BU288" s="421">
        <f t="shared" si="730"/>
        <v>0</v>
      </c>
      <c r="BV288" s="420"/>
      <c r="BW288" s="415"/>
      <c r="BX288" s="415"/>
      <c r="BY288" s="415"/>
      <c r="BZ288" s="415"/>
      <c r="CA288" s="510"/>
    </row>
    <row r="289" spans="1:79" s="221" customFormat="1" ht="12.75" customHeight="1" x14ac:dyDescent="0.2">
      <c r="A289" s="209">
        <v>52</v>
      </c>
      <c r="B289" s="210">
        <v>4466</v>
      </c>
      <c r="C289" s="210">
        <v>650039017</v>
      </c>
      <c r="D289" s="210">
        <v>70982074</v>
      </c>
      <c r="E289" s="208" t="s">
        <v>240</v>
      </c>
      <c r="F289" s="210">
        <v>3143</v>
      </c>
      <c r="G289" s="165" t="s">
        <v>596</v>
      </c>
      <c r="H289" s="614" t="s">
        <v>272</v>
      </c>
      <c r="I289" s="511">
        <v>25598</v>
      </c>
      <c r="J289" s="415">
        <v>18322</v>
      </c>
      <c r="K289" s="415">
        <v>0</v>
      </c>
      <c r="L289" s="415">
        <v>18322</v>
      </c>
      <c r="M289" s="415">
        <v>0</v>
      </c>
      <c r="N289" s="415">
        <v>0</v>
      </c>
      <c r="O289" s="415">
        <v>0</v>
      </c>
      <c r="P289" s="68">
        <v>6193</v>
      </c>
      <c r="Q289" s="68">
        <v>183</v>
      </c>
      <c r="R289" s="415">
        <v>900</v>
      </c>
      <c r="S289" s="416">
        <v>7.0000000000000007E-2</v>
      </c>
      <c r="T289" s="417">
        <v>0</v>
      </c>
      <c r="U289" s="423">
        <v>7.0000000000000007E-2</v>
      </c>
      <c r="V289" s="424">
        <f t="shared" si="706"/>
        <v>0</v>
      </c>
      <c r="W289" s="418">
        <f t="shared" si="706"/>
        <v>0</v>
      </c>
      <c r="X289" s="418">
        <v>0</v>
      </c>
      <c r="Y289" s="418">
        <v>0</v>
      </c>
      <c r="Z289" s="418">
        <v>0</v>
      </c>
      <c r="AA289" s="605">
        <v>9178</v>
      </c>
      <c r="AB289" s="418">
        <v>0</v>
      </c>
      <c r="AC289" s="418">
        <v>0</v>
      </c>
      <c r="AD289" s="418">
        <f t="shared" si="707"/>
        <v>0</v>
      </c>
      <c r="AE289" s="418">
        <f t="shared" si="708"/>
        <v>9178</v>
      </c>
      <c r="AF289" s="418">
        <f t="shared" si="709"/>
        <v>9178</v>
      </c>
      <c r="AG289" s="418">
        <v>0</v>
      </c>
      <c r="AH289" s="418">
        <v>0</v>
      </c>
      <c r="AI289" s="418">
        <v>0</v>
      </c>
      <c r="AJ289" s="418">
        <v>0</v>
      </c>
      <c r="AK289" s="418">
        <v>0</v>
      </c>
      <c r="AL289" s="418">
        <f t="shared" si="710"/>
        <v>0</v>
      </c>
      <c r="AM289" s="418">
        <f t="shared" si="711"/>
        <v>0</v>
      </c>
      <c r="AN289" s="418">
        <f t="shared" si="712"/>
        <v>0</v>
      </c>
      <c r="AO289" s="418">
        <f t="shared" si="713"/>
        <v>0</v>
      </c>
      <c r="AP289" s="418">
        <f t="shared" si="713"/>
        <v>9178</v>
      </c>
      <c r="AQ289" s="418">
        <f t="shared" si="714"/>
        <v>9178</v>
      </c>
      <c r="AR289" s="68">
        <f t="shared" si="715"/>
        <v>3102</v>
      </c>
      <c r="AS289" s="68">
        <f t="shared" si="716"/>
        <v>92</v>
      </c>
      <c r="AT289" s="418">
        <v>0</v>
      </c>
      <c r="AU289" s="606">
        <v>450</v>
      </c>
      <c r="AV289" s="418">
        <f t="shared" si="717"/>
        <v>450</v>
      </c>
      <c r="AW289" s="418">
        <f t="shared" si="718"/>
        <v>12822</v>
      </c>
      <c r="AX289" s="419">
        <v>0</v>
      </c>
      <c r="AY289" s="419">
        <v>0</v>
      </c>
      <c r="AZ289" s="419">
        <v>0</v>
      </c>
      <c r="BA289" s="419">
        <v>0</v>
      </c>
      <c r="BB289" s="607">
        <v>0.03</v>
      </c>
      <c r="BC289" s="939">
        <v>0</v>
      </c>
      <c r="BD289" s="419">
        <v>0</v>
      </c>
      <c r="BE289" s="419">
        <v>0</v>
      </c>
      <c r="BF289" s="419">
        <f t="shared" si="719"/>
        <v>0</v>
      </c>
      <c r="BG289" s="419">
        <f t="shared" si="720"/>
        <v>0.03</v>
      </c>
      <c r="BH289" s="421">
        <f t="shared" si="721"/>
        <v>0.03</v>
      </c>
      <c r="BI289" s="780">
        <f t="shared" si="722"/>
        <v>38420</v>
      </c>
      <c r="BJ289" s="418">
        <f t="shared" si="723"/>
        <v>27500</v>
      </c>
      <c r="BK289" s="418">
        <f t="shared" si="724"/>
        <v>0</v>
      </c>
      <c r="BL289" s="418">
        <f t="shared" si="724"/>
        <v>27500</v>
      </c>
      <c r="BM289" s="418">
        <f t="shared" si="725"/>
        <v>0</v>
      </c>
      <c r="BN289" s="418">
        <f t="shared" si="726"/>
        <v>0</v>
      </c>
      <c r="BO289" s="418">
        <f t="shared" si="726"/>
        <v>0</v>
      </c>
      <c r="BP289" s="418">
        <f t="shared" si="727"/>
        <v>9295</v>
      </c>
      <c r="BQ289" s="418">
        <f t="shared" si="727"/>
        <v>275</v>
      </c>
      <c r="BR289" s="418">
        <f t="shared" si="728"/>
        <v>1350</v>
      </c>
      <c r="BS289" s="419">
        <f t="shared" si="729"/>
        <v>0.1</v>
      </c>
      <c r="BT289" s="419">
        <f t="shared" si="730"/>
        <v>0</v>
      </c>
      <c r="BU289" s="421">
        <f t="shared" si="730"/>
        <v>0.1</v>
      </c>
      <c r="BV289" s="420"/>
      <c r="BW289" s="415"/>
      <c r="BX289" s="415"/>
      <c r="BY289" s="415"/>
      <c r="BZ289" s="415"/>
      <c r="CA289" s="510"/>
    </row>
    <row r="290" spans="1:79" s="221" customFormat="1" x14ac:dyDescent="0.2">
      <c r="A290" s="155">
        <v>52</v>
      </c>
      <c r="B290" s="18">
        <v>4466</v>
      </c>
      <c r="C290" s="18">
        <v>650039017</v>
      </c>
      <c r="D290" s="18">
        <v>70982074</v>
      </c>
      <c r="E290" s="164" t="s">
        <v>241</v>
      </c>
      <c r="F290" s="18"/>
      <c r="G290" s="154"/>
      <c r="H290" s="613"/>
      <c r="I290" s="452">
        <v>17705255</v>
      </c>
      <c r="J290" s="445">
        <v>12976071</v>
      </c>
      <c r="K290" s="445">
        <v>11278992</v>
      </c>
      <c r="L290" s="445">
        <v>1697079</v>
      </c>
      <c r="M290" s="445">
        <v>60000</v>
      </c>
      <c r="N290" s="445">
        <v>25000</v>
      </c>
      <c r="O290" s="445">
        <v>35000</v>
      </c>
      <c r="P290" s="445">
        <v>4406192</v>
      </c>
      <c r="Q290" s="445">
        <v>129760</v>
      </c>
      <c r="R290" s="445">
        <v>133232</v>
      </c>
      <c r="S290" s="446">
        <v>26.751099999999994</v>
      </c>
      <c r="T290" s="446">
        <v>21.457899999999999</v>
      </c>
      <c r="U290" s="450">
        <v>5.2932000000000006</v>
      </c>
      <c r="V290" s="448">
        <f t="shared" ref="V290:CA290" si="731">SUM(V284:V289)</f>
        <v>0</v>
      </c>
      <c r="W290" s="445">
        <f t="shared" si="731"/>
        <v>0</v>
      </c>
      <c r="X290" s="445">
        <f t="shared" si="731"/>
        <v>0</v>
      </c>
      <c r="Y290" s="445">
        <f t="shared" si="731"/>
        <v>0</v>
      </c>
      <c r="Z290" s="445">
        <f t="shared" si="731"/>
        <v>0</v>
      </c>
      <c r="AA290" s="445">
        <f t="shared" si="731"/>
        <v>404579</v>
      </c>
      <c r="AB290" s="445">
        <f t="shared" si="731"/>
        <v>0</v>
      </c>
      <c r="AC290" s="445">
        <f t="shared" si="731"/>
        <v>0</v>
      </c>
      <c r="AD290" s="445">
        <f t="shared" si="731"/>
        <v>0</v>
      </c>
      <c r="AE290" s="445">
        <f t="shared" si="731"/>
        <v>404579</v>
      </c>
      <c r="AF290" s="445">
        <f t="shared" si="731"/>
        <v>404579</v>
      </c>
      <c r="AG290" s="445">
        <f t="shared" si="731"/>
        <v>0</v>
      </c>
      <c r="AH290" s="445">
        <f t="shared" si="731"/>
        <v>0</v>
      </c>
      <c r="AI290" s="445">
        <f t="shared" si="731"/>
        <v>0</v>
      </c>
      <c r="AJ290" s="445">
        <f t="shared" si="731"/>
        <v>0</v>
      </c>
      <c r="AK290" s="445">
        <f t="shared" si="731"/>
        <v>0</v>
      </c>
      <c r="AL290" s="445">
        <f t="shared" si="731"/>
        <v>0</v>
      </c>
      <c r="AM290" s="445">
        <f t="shared" si="731"/>
        <v>0</v>
      </c>
      <c r="AN290" s="445">
        <f t="shared" si="731"/>
        <v>0</v>
      </c>
      <c r="AO290" s="445">
        <f t="shared" si="731"/>
        <v>0</v>
      </c>
      <c r="AP290" s="445">
        <f t="shared" si="731"/>
        <v>404579</v>
      </c>
      <c r="AQ290" s="445">
        <f t="shared" si="731"/>
        <v>404579</v>
      </c>
      <c r="AR290" s="445">
        <f t="shared" si="731"/>
        <v>136748</v>
      </c>
      <c r="AS290" s="445">
        <f t="shared" si="731"/>
        <v>4046</v>
      </c>
      <c r="AT290" s="445">
        <f t="shared" si="731"/>
        <v>0</v>
      </c>
      <c r="AU290" s="445">
        <f t="shared" si="731"/>
        <v>2966</v>
      </c>
      <c r="AV290" s="445">
        <f t="shared" si="731"/>
        <v>2966</v>
      </c>
      <c r="AW290" s="445">
        <f t="shared" si="731"/>
        <v>548339</v>
      </c>
      <c r="AX290" s="446">
        <f t="shared" si="731"/>
        <v>0</v>
      </c>
      <c r="AY290" s="446">
        <f t="shared" si="731"/>
        <v>0</v>
      </c>
      <c r="AZ290" s="446">
        <f t="shared" si="731"/>
        <v>0</v>
      </c>
      <c r="BA290" s="446">
        <f t="shared" si="731"/>
        <v>0</v>
      </c>
      <c r="BB290" s="446">
        <f t="shared" si="731"/>
        <v>1.22</v>
      </c>
      <c r="BC290" s="948">
        <f t="shared" si="731"/>
        <v>0</v>
      </c>
      <c r="BD290" s="446">
        <f t="shared" si="731"/>
        <v>0</v>
      </c>
      <c r="BE290" s="446">
        <f t="shared" si="731"/>
        <v>0</v>
      </c>
      <c r="BF290" s="446">
        <f t="shared" si="731"/>
        <v>0</v>
      </c>
      <c r="BG290" s="446">
        <f t="shared" si="731"/>
        <v>1.22</v>
      </c>
      <c r="BH290" s="39">
        <f t="shared" si="731"/>
        <v>1.22</v>
      </c>
      <c r="BI290" s="452">
        <f t="shared" si="731"/>
        <v>18253594</v>
      </c>
      <c r="BJ290" s="445">
        <f t="shared" si="731"/>
        <v>13380650</v>
      </c>
      <c r="BK290" s="445">
        <f t="shared" si="731"/>
        <v>11278992</v>
      </c>
      <c r="BL290" s="445">
        <f t="shared" si="731"/>
        <v>2101658</v>
      </c>
      <c r="BM290" s="445">
        <f t="shared" si="731"/>
        <v>60000</v>
      </c>
      <c r="BN290" s="445">
        <f t="shared" si="731"/>
        <v>25000</v>
      </c>
      <c r="BO290" s="445">
        <f t="shared" si="731"/>
        <v>35000</v>
      </c>
      <c r="BP290" s="445">
        <f t="shared" si="731"/>
        <v>4542940</v>
      </c>
      <c r="BQ290" s="445">
        <f t="shared" si="731"/>
        <v>133806</v>
      </c>
      <c r="BR290" s="445">
        <f t="shared" si="731"/>
        <v>136198</v>
      </c>
      <c r="BS290" s="446">
        <f t="shared" si="731"/>
        <v>27.971099999999996</v>
      </c>
      <c r="BT290" s="446">
        <f t="shared" si="731"/>
        <v>21.457899999999999</v>
      </c>
      <c r="BU290" s="39">
        <f t="shared" si="731"/>
        <v>6.5131999999999994</v>
      </c>
      <c r="BV290" s="833">
        <f t="shared" si="731"/>
        <v>0</v>
      </c>
      <c r="BW290" s="715">
        <f t="shared" si="731"/>
        <v>0</v>
      </c>
      <c r="BX290" s="715">
        <f t="shared" si="731"/>
        <v>0</v>
      </c>
      <c r="BY290" s="715">
        <f t="shared" si="731"/>
        <v>0</v>
      </c>
      <c r="BZ290" s="715">
        <f t="shared" si="731"/>
        <v>0</v>
      </c>
      <c r="CA290" s="834">
        <f t="shared" si="731"/>
        <v>0</v>
      </c>
    </row>
    <row r="291" spans="1:79" s="221" customFormat="1" x14ac:dyDescent="0.2">
      <c r="A291" s="209">
        <v>53</v>
      </c>
      <c r="B291" s="210">
        <v>4470</v>
      </c>
      <c r="C291" s="210">
        <v>600075109</v>
      </c>
      <c r="D291" s="210">
        <v>70982112</v>
      </c>
      <c r="E291" s="208" t="s">
        <v>242</v>
      </c>
      <c r="F291" s="210">
        <v>3231</v>
      </c>
      <c r="G291" s="165" t="s">
        <v>295</v>
      </c>
      <c r="H291" s="626" t="s">
        <v>271</v>
      </c>
      <c r="I291" s="511">
        <v>9847417</v>
      </c>
      <c r="J291" s="415">
        <v>7296561</v>
      </c>
      <c r="K291" s="415">
        <v>7024499</v>
      </c>
      <c r="L291" s="415">
        <v>272062</v>
      </c>
      <c r="M291" s="415">
        <v>0</v>
      </c>
      <c r="N291" s="415">
        <v>0</v>
      </c>
      <c r="O291" s="415">
        <v>0</v>
      </c>
      <c r="P291" s="68">
        <v>2466238</v>
      </c>
      <c r="Q291" s="68">
        <v>72966</v>
      </c>
      <c r="R291" s="415">
        <v>11652</v>
      </c>
      <c r="S291" s="416">
        <v>11.859</v>
      </c>
      <c r="T291" s="417">
        <v>11.095599999999999</v>
      </c>
      <c r="U291" s="423">
        <v>0.76339999999999997</v>
      </c>
      <c r="V291" s="424">
        <f>AG291*-1</f>
        <v>0</v>
      </c>
      <c r="W291" s="418">
        <f>AH291*-1</f>
        <v>0</v>
      </c>
      <c r="X291" s="418">
        <v>0</v>
      </c>
      <c r="Y291" s="418">
        <v>0</v>
      </c>
      <c r="Z291" s="418">
        <v>0</v>
      </c>
      <c r="AA291" s="415">
        <v>0</v>
      </c>
      <c r="AB291" s="418">
        <v>0</v>
      </c>
      <c r="AC291" s="418">
        <v>0</v>
      </c>
      <c r="AD291" s="418">
        <f>V291+X291+Y291+Z291+AB291</f>
        <v>0</v>
      </c>
      <c r="AE291" s="418">
        <f>W291+AA291+AC291</f>
        <v>0</v>
      </c>
      <c r="AF291" s="418">
        <f>SUM(AD291:AE291)</f>
        <v>0</v>
      </c>
      <c r="AG291" s="418">
        <v>0</v>
      </c>
      <c r="AH291" s="418">
        <v>0</v>
      </c>
      <c r="AI291" s="418">
        <v>0</v>
      </c>
      <c r="AJ291" s="418">
        <v>0</v>
      </c>
      <c r="AK291" s="418">
        <v>0</v>
      </c>
      <c r="AL291" s="418">
        <f>AG291+AI291+AJ291</f>
        <v>0</v>
      </c>
      <c r="AM291" s="418">
        <f>AH291+AK291</f>
        <v>0</v>
      </c>
      <c r="AN291" s="418">
        <f>SUM(AL291:AM291)</f>
        <v>0</v>
      </c>
      <c r="AO291" s="418">
        <f>AD291+AL291</f>
        <v>0</v>
      </c>
      <c r="AP291" s="418">
        <f>AE291+AM291</f>
        <v>0</v>
      </c>
      <c r="AQ291" s="418">
        <f>SUM(AO291:AP291)</f>
        <v>0</v>
      </c>
      <c r="AR291" s="68">
        <f>ROUND((AF291+AG291+AH291+AI291)*33.8%,0)</f>
        <v>0</v>
      </c>
      <c r="AS291" s="68">
        <f>ROUND(AF291*1%,0)</f>
        <v>0</v>
      </c>
      <c r="AT291" s="418">
        <v>0</v>
      </c>
      <c r="AU291" s="415">
        <v>0</v>
      </c>
      <c r="AV291" s="418">
        <f>AT291+AU291</f>
        <v>0</v>
      </c>
      <c r="AW291" s="418">
        <f>AQ291+AR291+AS291+AV291</f>
        <v>0</v>
      </c>
      <c r="AX291" s="419">
        <v>0</v>
      </c>
      <c r="AY291" s="419">
        <v>0</v>
      </c>
      <c r="AZ291" s="419">
        <v>0</v>
      </c>
      <c r="BA291" s="419">
        <v>0</v>
      </c>
      <c r="BB291" s="416">
        <v>0</v>
      </c>
      <c r="BC291" s="939">
        <v>0</v>
      </c>
      <c r="BD291" s="419">
        <v>0</v>
      </c>
      <c r="BE291" s="419">
        <v>0</v>
      </c>
      <c r="BF291" s="419">
        <f>AX291+AZ291+BA291+BC291+BD291</f>
        <v>0</v>
      </c>
      <c r="BG291" s="419">
        <f>AY291+BB291+BE291</f>
        <v>0</v>
      </c>
      <c r="BH291" s="421">
        <f>SUM(BF291:BG291)</f>
        <v>0</v>
      </c>
      <c r="BI291" s="780">
        <f>I291+AW291</f>
        <v>9847417</v>
      </c>
      <c r="BJ291" s="418">
        <f>J291+AF291</f>
        <v>7296561</v>
      </c>
      <c r="BK291" s="418">
        <f>K291+AD291</f>
        <v>7024499</v>
      </c>
      <c r="BL291" s="418">
        <f>L291+AE291</f>
        <v>272062</v>
      </c>
      <c r="BM291" s="418">
        <f>M291+AN291</f>
        <v>0</v>
      </c>
      <c r="BN291" s="418">
        <f>N291+AL291</f>
        <v>0</v>
      </c>
      <c r="BO291" s="418">
        <f>O291+AM291</f>
        <v>0</v>
      </c>
      <c r="BP291" s="418">
        <f>P291+AR291</f>
        <v>2466238</v>
      </c>
      <c r="BQ291" s="418">
        <f>Q291+AS291</f>
        <v>72966</v>
      </c>
      <c r="BR291" s="418">
        <f>R291+AV291</f>
        <v>11652</v>
      </c>
      <c r="BS291" s="419">
        <f>S291+BH291</f>
        <v>11.859</v>
      </c>
      <c r="BT291" s="419">
        <f>T291+BF291</f>
        <v>11.095599999999999</v>
      </c>
      <c r="BU291" s="421">
        <f>U291+BG291</f>
        <v>0.76339999999999997</v>
      </c>
      <c r="BV291" s="420"/>
      <c r="BW291" s="415"/>
      <c r="BX291" s="415"/>
      <c r="BY291" s="415"/>
      <c r="BZ291" s="415"/>
      <c r="CA291" s="510"/>
    </row>
    <row r="292" spans="1:79" s="221" customFormat="1" ht="12.75" customHeight="1" thickBot="1" x14ac:dyDescent="0.25">
      <c r="A292" s="159">
        <v>53</v>
      </c>
      <c r="B292" s="33">
        <v>4470</v>
      </c>
      <c r="C292" s="33">
        <v>600075109</v>
      </c>
      <c r="D292" s="33">
        <v>70982112</v>
      </c>
      <c r="E292" s="234" t="s">
        <v>243</v>
      </c>
      <c r="F292" s="33"/>
      <c r="G292" s="160"/>
      <c r="H292" s="615"/>
      <c r="I292" s="954">
        <v>9847417</v>
      </c>
      <c r="J292" s="955">
        <v>7296561</v>
      </c>
      <c r="K292" s="955">
        <v>7024499</v>
      </c>
      <c r="L292" s="955">
        <v>272062</v>
      </c>
      <c r="M292" s="955">
        <v>0</v>
      </c>
      <c r="N292" s="955">
        <v>0</v>
      </c>
      <c r="O292" s="955">
        <v>0</v>
      </c>
      <c r="P292" s="955">
        <v>2466238</v>
      </c>
      <c r="Q292" s="955">
        <v>72966</v>
      </c>
      <c r="R292" s="955">
        <v>11652</v>
      </c>
      <c r="S292" s="956">
        <v>11.859</v>
      </c>
      <c r="T292" s="956">
        <v>11.095599999999999</v>
      </c>
      <c r="U292" s="957">
        <v>0.76339999999999997</v>
      </c>
      <c r="V292" s="958">
        <f t="shared" ref="V292:CA292" si="732">SUM(V291)</f>
        <v>0</v>
      </c>
      <c r="W292" s="955">
        <f t="shared" si="732"/>
        <v>0</v>
      </c>
      <c r="X292" s="955">
        <f t="shared" si="732"/>
        <v>0</v>
      </c>
      <c r="Y292" s="955">
        <f t="shared" si="732"/>
        <v>0</v>
      </c>
      <c r="Z292" s="955">
        <f t="shared" si="732"/>
        <v>0</v>
      </c>
      <c r="AA292" s="955">
        <f t="shared" si="732"/>
        <v>0</v>
      </c>
      <c r="AB292" s="955">
        <f t="shared" si="732"/>
        <v>0</v>
      </c>
      <c r="AC292" s="955">
        <f t="shared" si="732"/>
        <v>0</v>
      </c>
      <c r="AD292" s="955">
        <f t="shared" si="732"/>
        <v>0</v>
      </c>
      <c r="AE292" s="955">
        <f t="shared" si="732"/>
        <v>0</v>
      </c>
      <c r="AF292" s="955">
        <f t="shared" si="732"/>
        <v>0</v>
      </c>
      <c r="AG292" s="955">
        <f t="shared" si="732"/>
        <v>0</v>
      </c>
      <c r="AH292" s="955">
        <f t="shared" si="732"/>
        <v>0</v>
      </c>
      <c r="AI292" s="955">
        <f t="shared" si="732"/>
        <v>0</v>
      </c>
      <c r="AJ292" s="955">
        <f t="shared" si="732"/>
        <v>0</v>
      </c>
      <c r="AK292" s="955">
        <f t="shared" si="732"/>
        <v>0</v>
      </c>
      <c r="AL292" s="955">
        <f t="shared" si="732"/>
        <v>0</v>
      </c>
      <c r="AM292" s="955">
        <f t="shared" si="732"/>
        <v>0</v>
      </c>
      <c r="AN292" s="955">
        <f t="shared" si="732"/>
        <v>0</v>
      </c>
      <c r="AO292" s="955">
        <f t="shared" si="732"/>
        <v>0</v>
      </c>
      <c r="AP292" s="955">
        <f t="shared" si="732"/>
        <v>0</v>
      </c>
      <c r="AQ292" s="955">
        <f t="shared" si="732"/>
        <v>0</v>
      </c>
      <c r="AR292" s="955">
        <f t="shared" si="732"/>
        <v>0</v>
      </c>
      <c r="AS292" s="955">
        <f t="shared" si="732"/>
        <v>0</v>
      </c>
      <c r="AT292" s="955">
        <f t="shared" si="732"/>
        <v>0</v>
      </c>
      <c r="AU292" s="955">
        <f t="shared" si="732"/>
        <v>0</v>
      </c>
      <c r="AV292" s="955">
        <f t="shared" si="732"/>
        <v>0</v>
      </c>
      <c r="AW292" s="955">
        <f t="shared" si="732"/>
        <v>0</v>
      </c>
      <c r="AX292" s="956">
        <f t="shared" si="732"/>
        <v>0</v>
      </c>
      <c r="AY292" s="956">
        <f t="shared" si="732"/>
        <v>0</v>
      </c>
      <c r="AZ292" s="956">
        <f t="shared" si="732"/>
        <v>0</v>
      </c>
      <c r="BA292" s="956">
        <f t="shared" si="732"/>
        <v>0</v>
      </c>
      <c r="BB292" s="956">
        <f t="shared" si="732"/>
        <v>0</v>
      </c>
      <c r="BC292" s="959">
        <f t="shared" si="732"/>
        <v>0</v>
      </c>
      <c r="BD292" s="956">
        <f t="shared" si="732"/>
        <v>0</v>
      </c>
      <c r="BE292" s="956">
        <f t="shared" si="732"/>
        <v>0</v>
      </c>
      <c r="BF292" s="956">
        <f t="shared" si="732"/>
        <v>0</v>
      </c>
      <c r="BG292" s="956">
        <f t="shared" si="732"/>
        <v>0</v>
      </c>
      <c r="BH292" s="960">
        <f t="shared" si="732"/>
        <v>0</v>
      </c>
      <c r="BI292" s="954">
        <f t="shared" si="732"/>
        <v>9847417</v>
      </c>
      <c r="BJ292" s="955">
        <f t="shared" si="732"/>
        <v>7296561</v>
      </c>
      <c r="BK292" s="955">
        <f t="shared" si="732"/>
        <v>7024499</v>
      </c>
      <c r="BL292" s="955">
        <f t="shared" si="732"/>
        <v>272062</v>
      </c>
      <c r="BM292" s="955">
        <f t="shared" si="732"/>
        <v>0</v>
      </c>
      <c r="BN292" s="955">
        <f t="shared" si="732"/>
        <v>0</v>
      </c>
      <c r="BO292" s="955">
        <f t="shared" si="732"/>
        <v>0</v>
      </c>
      <c r="BP292" s="955">
        <f t="shared" si="732"/>
        <v>2466238</v>
      </c>
      <c r="BQ292" s="955">
        <f t="shared" si="732"/>
        <v>72966</v>
      </c>
      <c r="BR292" s="955">
        <f t="shared" si="732"/>
        <v>11652</v>
      </c>
      <c r="BS292" s="956">
        <f t="shared" si="732"/>
        <v>11.859</v>
      </c>
      <c r="BT292" s="956">
        <f t="shared" si="732"/>
        <v>11.095599999999999</v>
      </c>
      <c r="BU292" s="960">
        <f t="shared" si="732"/>
        <v>0.76339999999999997</v>
      </c>
      <c r="BV292" s="841">
        <f t="shared" si="732"/>
        <v>0</v>
      </c>
      <c r="BW292" s="842">
        <f t="shared" si="732"/>
        <v>0</v>
      </c>
      <c r="BX292" s="842">
        <f t="shared" si="732"/>
        <v>0</v>
      </c>
      <c r="BY292" s="842">
        <f t="shared" si="732"/>
        <v>0</v>
      </c>
      <c r="BZ292" s="842">
        <f t="shared" si="732"/>
        <v>0</v>
      </c>
      <c r="CA292" s="843">
        <f t="shared" si="732"/>
        <v>0</v>
      </c>
    </row>
    <row r="293" spans="1:79" s="221" customFormat="1" ht="12.75" customHeight="1" thickBot="1" x14ac:dyDescent="0.25">
      <c r="A293" s="161"/>
      <c r="B293" s="30"/>
      <c r="C293" s="30"/>
      <c r="D293" s="30"/>
      <c r="E293" s="85" t="s">
        <v>754</v>
      </c>
      <c r="F293" s="30"/>
      <c r="G293" s="162"/>
      <c r="H293" s="616"/>
      <c r="I293" s="963">
        <f t="shared" ref="I293:AW293" si="733">I13+I17+I22+I27+I31+I35+I39+I43+I45+I52+I58+I65+I71+I77+I84+I90+I96+I107+I109+I113+I120+I124+I130+I137+I144+I146+I150+I157+I164+I171+I178+I182+I188+I195+I199+I205+I214+I216+I220+I227+I234+I238+I245+I248+I255+I262+I269+I276+I283+I290+I292</f>
        <v>1042126482</v>
      </c>
      <c r="J293" s="964">
        <f t="shared" si="733"/>
        <v>762665433</v>
      </c>
      <c r="K293" s="964">
        <f t="shared" si="733"/>
        <v>680513216</v>
      </c>
      <c r="L293" s="964">
        <f t="shared" si="733"/>
        <v>82152217</v>
      </c>
      <c r="M293" s="964">
        <f t="shared" si="733"/>
        <v>4079440</v>
      </c>
      <c r="N293" s="964">
        <f t="shared" si="733"/>
        <v>2858740</v>
      </c>
      <c r="O293" s="964">
        <f t="shared" si="733"/>
        <v>1220700</v>
      </c>
      <c r="P293" s="964">
        <f t="shared" si="733"/>
        <v>259159768</v>
      </c>
      <c r="Q293" s="964">
        <f t="shared" si="733"/>
        <v>7626650</v>
      </c>
      <c r="R293" s="964">
        <f t="shared" si="733"/>
        <v>8595191</v>
      </c>
      <c r="S293" s="965">
        <f t="shared" si="733"/>
        <v>1389.0372999999995</v>
      </c>
      <c r="T293" s="965">
        <f t="shared" si="733"/>
        <v>1136.5829000000001</v>
      </c>
      <c r="U293" s="965">
        <f t="shared" si="733"/>
        <v>252.45439999999996</v>
      </c>
      <c r="V293" s="964">
        <f t="shared" si="733"/>
        <v>0</v>
      </c>
      <c r="W293" s="964">
        <f t="shared" si="733"/>
        <v>0</v>
      </c>
      <c r="X293" s="964">
        <f t="shared" si="733"/>
        <v>-166881</v>
      </c>
      <c r="Y293" s="964">
        <f t="shared" si="733"/>
        <v>0</v>
      </c>
      <c r="Z293" s="964">
        <f t="shared" si="733"/>
        <v>0</v>
      </c>
      <c r="AA293" s="964">
        <f t="shared" si="733"/>
        <v>19119739</v>
      </c>
      <c r="AB293" s="964">
        <f t="shared" si="733"/>
        <v>0</v>
      </c>
      <c r="AC293" s="964">
        <f t="shared" si="733"/>
        <v>115606</v>
      </c>
      <c r="AD293" s="964">
        <f t="shared" si="733"/>
        <v>-166881</v>
      </c>
      <c r="AE293" s="964">
        <f t="shared" si="733"/>
        <v>19235345</v>
      </c>
      <c r="AF293" s="964">
        <f t="shared" si="733"/>
        <v>19068464</v>
      </c>
      <c r="AG293" s="964">
        <f t="shared" si="733"/>
        <v>0</v>
      </c>
      <c r="AH293" s="964">
        <f t="shared" si="733"/>
        <v>0</v>
      </c>
      <c r="AI293" s="964">
        <f t="shared" si="733"/>
        <v>0</v>
      </c>
      <c r="AJ293" s="964">
        <f t="shared" si="733"/>
        <v>0</v>
      </c>
      <c r="AK293" s="964">
        <f t="shared" si="733"/>
        <v>0</v>
      </c>
      <c r="AL293" s="964">
        <f t="shared" si="733"/>
        <v>0</v>
      </c>
      <c r="AM293" s="964">
        <f t="shared" si="733"/>
        <v>0</v>
      </c>
      <c r="AN293" s="964">
        <f t="shared" si="733"/>
        <v>0</v>
      </c>
      <c r="AO293" s="964">
        <f t="shared" si="733"/>
        <v>-166881</v>
      </c>
      <c r="AP293" s="964">
        <f t="shared" si="733"/>
        <v>19235345</v>
      </c>
      <c r="AQ293" s="964">
        <f t="shared" si="733"/>
        <v>19068464</v>
      </c>
      <c r="AR293" s="964">
        <f t="shared" si="733"/>
        <v>6445143</v>
      </c>
      <c r="AS293" s="964">
        <f t="shared" si="733"/>
        <v>190684</v>
      </c>
      <c r="AT293" s="964">
        <f t="shared" si="733"/>
        <v>14000</v>
      </c>
      <c r="AU293" s="964">
        <f t="shared" si="733"/>
        <v>166001</v>
      </c>
      <c r="AV293" s="964">
        <f t="shared" si="733"/>
        <v>180001</v>
      </c>
      <c r="AW293" s="964">
        <f t="shared" si="733"/>
        <v>25884292</v>
      </c>
      <c r="AX293" s="965">
        <f t="shared" ref="AX293:BR293" si="734">AX13+AX17+AX22+AX27+AX31+AX35+AX39+AX43+AX45+AX52+AX58+AX65+AX71+AX77+AX84+AX90+AX96+AX107+AX109+AX113+AX120+AX124+AX130+AX137+AX144+AX146+AX150+AX157+AX164+AX171+AX178+AX182+AX188+AX195+AX199+AX205+AX214++AX216+AX220+AX227+AX234+AX238+AX245+AX248+AX255+AX262+AX269+AX276+AX283+AX290+AX292</f>
        <v>0</v>
      </c>
      <c r="AY293" s="965">
        <f t="shared" si="734"/>
        <v>0</v>
      </c>
      <c r="AZ293" s="965">
        <f t="shared" si="734"/>
        <v>-0.44999999999999996</v>
      </c>
      <c r="BA293" s="965">
        <f t="shared" si="734"/>
        <v>0</v>
      </c>
      <c r="BB293" s="965">
        <f t="shared" si="734"/>
        <v>57.839999999999996</v>
      </c>
      <c r="BC293" s="965">
        <f t="shared" si="734"/>
        <v>0</v>
      </c>
      <c r="BD293" s="965">
        <f t="shared" si="734"/>
        <v>0</v>
      </c>
      <c r="BE293" s="965">
        <f t="shared" si="734"/>
        <v>0.35</v>
      </c>
      <c r="BF293" s="965">
        <f t="shared" si="734"/>
        <v>-0.44999999999999996</v>
      </c>
      <c r="BG293" s="965">
        <f t="shared" si="734"/>
        <v>58.190000000000005</v>
      </c>
      <c r="BH293" s="966">
        <f t="shared" si="734"/>
        <v>57.74</v>
      </c>
      <c r="BI293" s="963">
        <f t="shared" si="734"/>
        <v>1068010774</v>
      </c>
      <c r="BJ293" s="964">
        <f t="shared" si="734"/>
        <v>781733897</v>
      </c>
      <c r="BK293" s="964">
        <f t="shared" si="734"/>
        <v>680346335</v>
      </c>
      <c r="BL293" s="964">
        <f t="shared" si="734"/>
        <v>101387562</v>
      </c>
      <c r="BM293" s="964">
        <f t="shared" si="734"/>
        <v>4079440</v>
      </c>
      <c r="BN293" s="964">
        <f t="shared" si="734"/>
        <v>2858740</v>
      </c>
      <c r="BO293" s="964">
        <f t="shared" si="734"/>
        <v>1220700</v>
      </c>
      <c r="BP293" s="964">
        <f t="shared" si="734"/>
        <v>265604911</v>
      </c>
      <c r="BQ293" s="964">
        <f t="shared" si="734"/>
        <v>7817334</v>
      </c>
      <c r="BR293" s="964">
        <f t="shared" si="734"/>
        <v>8775192</v>
      </c>
      <c r="BS293" s="965">
        <f>BS13+BS17+BS22+BS27+BS31+BS35+BS39+BS43+BS45+BS52+BS58+BS65+BS71+BS77+BS84+BS90+BS96+BS107+BS109+BS113+BS120+BS124+BS130+BS137+BS144+BS146+BS150+BS157+BS164+BS171+BS178+BS182+BS188+BS195+BS199+BS205+BS214+BS216+BS220+BS227+BS234+BS238+BS245+BS248+BS255+BS262+BS269+BS276+BS283+BS290+BS292</f>
        <v>1446.7772999999997</v>
      </c>
      <c r="BT293" s="965">
        <f>BT13+BT17+BT22+BT27+BT31+BT35+BT39+BT43+BT45+BT52+BT58+BT65+BT71+BT77+BT84+BT90+BT96+BT107+BT109+BT113+BT120+BT124+BT130+BT137+BT144+BT146+BT150+BT157+BT164+BT171+BT178+BT182+BT188+BT195+BT199+BT205+BT214+BT216+BT220+BT227+BT234+BT238+BT245+BT248+BT255+BT262+BT269+BT276+BT283+BT290+BT292</f>
        <v>1136.1329000000001</v>
      </c>
      <c r="BU293" s="967">
        <f>BU13+BU17+BU22+BU27+BU31+BU35+BU39+BU43+BU45+BU52+BU58+BU65+BU71+BU77+BU84+BU90+BU96+BU107+BU109+BU113+BU120+BU124+BU130+BU137+BU144+BU146+BU150+BU157+BU164+BU171+BU178+BU182+BU188+BU195+BU199+BU205+BU214+BU216+BU220+BU227+BU234+BU238+BU245+BU248+BU255+BU262+BU269+BU276+BU283+BU290+BU292</f>
        <v>310.64439999999991</v>
      </c>
      <c r="BV293" s="720">
        <f t="shared" ref="BV293:CA293" si="735">BV13+BV17+BV22+BV27+BV31+BV35+BV39+BV43+BV45+BV52+BV58+BV65+BV71+BV77+BV84+BV90+BV96+BV107+BV109+BV113+BV120+BV124+BV130+BV137+BV144+BV146+BV150+BV157+BV164+BV171+BV178+BV182+BV188+BV195+BV199+BV205+BV214+BV216+BV220+BV227+BV234+BV238+BV245+BV248+BV255+BV262+BV269+BV276+BV283+BV290+BV292</f>
        <v>2051606</v>
      </c>
      <c r="BW293" s="721">
        <f t="shared" si="735"/>
        <v>1410000</v>
      </c>
      <c r="BX293" s="721">
        <f t="shared" si="735"/>
        <v>112800</v>
      </c>
      <c r="BY293" s="721">
        <f t="shared" si="735"/>
        <v>514706</v>
      </c>
      <c r="BZ293" s="721">
        <f t="shared" si="735"/>
        <v>14100</v>
      </c>
      <c r="CA293" s="840">
        <f t="shared" si="735"/>
        <v>2.5</v>
      </c>
    </row>
    <row r="294" spans="1:79" s="221" customFormat="1" x14ac:dyDescent="0.2">
      <c r="D294" s="9"/>
      <c r="E294" s="5"/>
      <c r="F294" s="9"/>
      <c r="G294" s="20"/>
      <c r="H294" s="5"/>
      <c r="I294" s="428">
        <f>J293+M293+P293+Q293+R293</f>
        <v>1042126482</v>
      </c>
      <c r="J294" s="428">
        <f>SUM(K293:L293)</f>
        <v>762665433</v>
      </c>
      <c r="K294" s="428"/>
      <c r="L294" s="428"/>
      <c r="M294" s="428">
        <f>SUM(N293:O293)</f>
        <v>4079440</v>
      </c>
      <c r="N294" s="428"/>
      <c r="O294" s="428"/>
      <c r="P294" s="428"/>
      <c r="Q294" s="428"/>
      <c r="R294" s="428"/>
      <c r="S294" s="429">
        <f>SUM(T293:U293)</f>
        <v>1389.0373</v>
      </c>
      <c r="T294" s="429"/>
      <c r="U294" s="429"/>
      <c r="V294" s="428">
        <f>AG293</f>
        <v>0</v>
      </c>
      <c r="W294" s="428">
        <f>AH293</f>
        <v>0</v>
      </c>
      <c r="X294" s="429"/>
      <c r="Y294" s="429"/>
      <c r="Z294" s="429"/>
      <c r="AA294" s="429"/>
      <c r="AB294" s="429"/>
      <c r="AC294" s="429"/>
      <c r="AD294" s="430"/>
      <c r="AE294" s="430"/>
      <c r="AF294" s="430">
        <f>SUM(AD293:AE293)</f>
        <v>19068464</v>
      </c>
      <c r="AG294" s="430">
        <f>V293</f>
        <v>0</v>
      </c>
      <c r="AH294" s="430">
        <f>W293</f>
        <v>0</v>
      </c>
      <c r="AI294" s="431"/>
      <c r="AJ294" s="431"/>
      <c r="AK294" s="431"/>
      <c r="AL294" s="430"/>
      <c r="AM294" s="430"/>
      <c r="AN294" s="430">
        <f>SUM(AL293:AM293)</f>
        <v>0</v>
      </c>
      <c r="AO294" s="430"/>
      <c r="AP294" s="430"/>
      <c r="AQ294" s="430">
        <f>SUM(AO293:AP293)</f>
        <v>19068464</v>
      </c>
      <c r="AR294" s="432"/>
      <c r="AS294" s="432"/>
      <c r="AT294" s="431"/>
      <c r="AU294" s="431"/>
      <c r="AV294" s="430">
        <f>SUM(AT293:AU293)</f>
        <v>180001</v>
      </c>
      <c r="AW294" s="430">
        <f>AF293+AN293+AR293+AS293+AV293</f>
        <v>25884292</v>
      </c>
      <c r="AX294" s="433"/>
      <c r="AY294" s="433"/>
      <c r="AZ294" s="433"/>
      <c r="BA294" s="433"/>
      <c r="BB294" s="433"/>
      <c r="BC294" s="433"/>
      <c r="BD294" s="433"/>
      <c r="BE294" s="433"/>
      <c r="BF294" s="508">
        <f>AX293+AZ293+BA293+BC293+BD293</f>
        <v>-0.44999999999999996</v>
      </c>
      <c r="BG294" s="508">
        <f>AY293+BB293+BE293</f>
        <v>58.19</v>
      </c>
      <c r="BH294" s="508">
        <f>SUM(BF293:BG293)</f>
        <v>57.74</v>
      </c>
      <c r="BI294" s="428">
        <f>BJ293+BM293+BP293+BQ293+BR293</f>
        <v>1068010774</v>
      </c>
      <c r="BJ294" s="428">
        <f>SUM(BK293:BL293)</f>
        <v>781733897</v>
      </c>
      <c r="BK294" s="430">
        <f>K293+AD293</f>
        <v>680346335</v>
      </c>
      <c r="BL294" s="430">
        <f>L293+AE293</f>
        <v>101387562</v>
      </c>
      <c r="BM294" s="86">
        <f>SUM(BN293:BO293)</f>
        <v>4079440</v>
      </c>
      <c r="BN294" s="430">
        <f>N293+AL293</f>
        <v>2858740</v>
      </c>
      <c r="BO294" s="430">
        <f>O293+AM293</f>
        <v>1220700</v>
      </c>
      <c r="BP294" s="430">
        <f>P293+AR293</f>
        <v>265604911</v>
      </c>
      <c r="BQ294" s="430">
        <f>Q293+AS293</f>
        <v>7817334</v>
      </c>
      <c r="BR294" s="430">
        <f>R293+AV293</f>
        <v>8775192</v>
      </c>
      <c r="BS294" s="429">
        <f>SUM(BT293:BU293)</f>
        <v>1446.7773</v>
      </c>
      <c r="BT294" s="508">
        <f>T293+BF293</f>
        <v>1136.1329000000001</v>
      </c>
      <c r="BU294" s="508">
        <f>U293+BG293</f>
        <v>310.64439999999996</v>
      </c>
      <c r="BV294" s="235">
        <f>SUM(BW293:BZ293)</f>
        <v>2051606</v>
      </c>
      <c r="BW294" s="8"/>
      <c r="BX294" s="8"/>
      <c r="BY294" s="8"/>
      <c r="BZ294" s="8"/>
      <c r="CA294" s="7"/>
    </row>
    <row r="295" spans="1:79" ht="12.75" customHeight="1" thickBot="1" x14ac:dyDescent="0.25">
      <c r="D295" s="9"/>
      <c r="E295" s="5"/>
      <c r="F295" s="235"/>
      <c r="G295" s="20"/>
      <c r="H295" s="5"/>
      <c r="I295" s="428">
        <f>J296+M296+P296+Q296+R296</f>
        <v>1042126482</v>
      </c>
      <c r="J295" s="428">
        <f>SUM(K296:L296)</f>
        <v>762665433</v>
      </c>
      <c r="K295" s="428"/>
      <c r="L295" s="428"/>
      <c r="M295" s="428">
        <f>SUM(N296:O296)</f>
        <v>4079440</v>
      </c>
      <c r="N295" s="428"/>
      <c r="O295" s="428"/>
      <c r="P295" s="428"/>
      <c r="Q295" s="428"/>
      <c r="R295" s="428"/>
      <c r="S295" s="429">
        <f>SUM(T296:U296)</f>
        <v>1389.0373000000002</v>
      </c>
      <c r="T295" s="429"/>
      <c r="U295" s="429"/>
      <c r="V295" s="428">
        <f>AG296</f>
        <v>0</v>
      </c>
      <c r="W295" s="428">
        <f>AH296</f>
        <v>0</v>
      </c>
      <c r="X295" s="429"/>
      <c r="Y295" s="429"/>
      <c r="Z295" s="429"/>
      <c r="AA295" s="429"/>
      <c r="AB295" s="429"/>
      <c r="AC295" s="429"/>
      <c r="AD295" s="430"/>
      <c r="AE295" s="430"/>
      <c r="AF295" s="430">
        <f>SUM(AD296:AE296)</f>
        <v>19068464</v>
      </c>
      <c r="AG295" s="430"/>
      <c r="AH295" s="430"/>
      <c r="AI295" s="431"/>
      <c r="AJ295" s="431"/>
      <c r="AK295" s="431"/>
      <c r="AL295" s="430"/>
      <c r="AM295" s="430"/>
      <c r="AN295" s="430">
        <f>SUM(AL296:AM296)</f>
        <v>0</v>
      </c>
      <c r="AO295" s="430"/>
      <c r="AP295" s="430"/>
      <c r="AQ295" s="430">
        <f>SUM(AO296:AP296)</f>
        <v>19068464</v>
      </c>
      <c r="AR295" s="432"/>
      <c r="AS295" s="432"/>
      <c r="AT295" s="431"/>
      <c r="AU295" s="431"/>
      <c r="AV295" s="430">
        <f>SUM(AT296:AU296)</f>
        <v>180001</v>
      </c>
      <c r="AW295" s="430">
        <f>AF296+AN296+AR296+AS296+AV296</f>
        <v>25884292</v>
      </c>
      <c r="AX295" s="433"/>
      <c r="AY295" s="433"/>
      <c r="AZ295" s="433"/>
      <c r="BA295" s="433"/>
      <c r="BB295" s="433"/>
      <c r="BC295" s="433"/>
      <c r="BD295" s="433"/>
      <c r="BE295" s="433"/>
      <c r="BF295" s="508">
        <f>AX296+AZ296+BA296+BC296+BD296</f>
        <v>-0.44999999999999996</v>
      </c>
      <c r="BG295" s="508">
        <f>AY296+BB296+BE296</f>
        <v>58.19</v>
      </c>
      <c r="BH295" s="508">
        <f>SUM(BF296:BG296)</f>
        <v>57.74</v>
      </c>
      <c r="BI295" s="428">
        <f>BJ296+BM296+BP296+BQ296+BR296</f>
        <v>1068010774</v>
      </c>
      <c r="BJ295" s="428">
        <f>SUM(BK296:BL296)</f>
        <v>781733897</v>
      </c>
      <c r="BK295" s="53"/>
      <c r="BL295" s="53"/>
      <c r="BM295" s="86">
        <f>SUM(BN296:BO296)</f>
        <v>4079440</v>
      </c>
      <c r="BN295" s="53"/>
      <c r="BO295" s="53"/>
      <c r="BP295" s="53"/>
      <c r="BQ295" s="53"/>
      <c r="BR295" s="53"/>
      <c r="BS295" s="429">
        <f>SUM(BT296:BU296)</f>
        <v>1446.7773000000002</v>
      </c>
      <c r="BT295" s="87"/>
      <c r="BU295" s="87"/>
      <c r="BV295" s="235">
        <f>SUM(BW296:BZ296)</f>
        <v>2051606</v>
      </c>
    </row>
    <row r="296" spans="1:79" ht="12.75" customHeight="1" thickBot="1" x14ac:dyDescent="0.25">
      <c r="D296" s="9"/>
      <c r="E296" s="5"/>
      <c r="F296" s="9"/>
      <c r="G296" s="20"/>
      <c r="H296" s="440" t="s">
        <v>0</v>
      </c>
      <c r="I296" s="139">
        <f t="shared" ref="I296:BT296" si="736">SUM(I297:I306)</f>
        <v>1042126482</v>
      </c>
      <c r="J296" s="34">
        <f t="shared" si="736"/>
        <v>762665433</v>
      </c>
      <c r="K296" s="34">
        <f t="shared" si="736"/>
        <v>680513216</v>
      </c>
      <c r="L296" s="34">
        <f t="shared" si="736"/>
        <v>82152217</v>
      </c>
      <c r="M296" s="34">
        <f t="shared" si="736"/>
        <v>4079440</v>
      </c>
      <c r="N296" s="34">
        <f t="shared" si="736"/>
        <v>2858740</v>
      </c>
      <c r="O296" s="34">
        <f t="shared" si="736"/>
        <v>1220700</v>
      </c>
      <c r="P296" s="34">
        <f t="shared" si="736"/>
        <v>259159768</v>
      </c>
      <c r="Q296" s="34">
        <f t="shared" si="736"/>
        <v>7626650</v>
      </c>
      <c r="R296" s="34">
        <f t="shared" si="736"/>
        <v>8595191</v>
      </c>
      <c r="S296" s="35">
        <f t="shared" si="736"/>
        <v>1389.0372999999997</v>
      </c>
      <c r="T296" s="35">
        <f t="shared" si="736"/>
        <v>1136.5829000000001</v>
      </c>
      <c r="U296" s="36">
        <f t="shared" si="736"/>
        <v>252.45440000000005</v>
      </c>
      <c r="V296" s="149">
        <f t="shared" si="736"/>
        <v>0</v>
      </c>
      <c r="W296" s="34">
        <f t="shared" si="736"/>
        <v>0</v>
      </c>
      <c r="X296" s="34">
        <f t="shared" si="736"/>
        <v>-166881</v>
      </c>
      <c r="Y296" s="34">
        <f t="shared" si="736"/>
        <v>0</v>
      </c>
      <c r="Z296" s="34">
        <f t="shared" si="736"/>
        <v>0</v>
      </c>
      <c r="AA296" s="34">
        <f t="shared" si="736"/>
        <v>19119739</v>
      </c>
      <c r="AB296" s="34">
        <f t="shared" si="736"/>
        <v>0</v>
      </c>
      <c r="AC296" s="34">
        <f t="shared" si="736"/>
        <v>115606</v>
      </c>
      <c r="AD296" s="34">
        <f t="shared" si="736"/>
        <v>-166881</v>
      </c>
      <c r="AE296" s="34">
        <f t="shared" si="736"/>
        <v>19235345</v>
      </c>
      <c r="AF296" s="34">
        <f t="shared" si="736"/>
        <v>19068464</v>
      </c>
      <c r="AG296" s="34">
        <f t="shared" si="736"/>
        <v>0</v>
      </c>
      <c r="AH296" s="34">
        <f t="shared" si="736"/>
        <v>0</v>
      </c>
      <c r="AI296" s="34">
        <f t="shared" si="736"/>
        <v>0</v>
      </c>
      <c r="AJ296" s="34">
        <f t="shared" si="736"/>
        <v>0</v>
      </c>
      <c r="AK296" s="34">
        <f t="shared" si="736"/>
        <v>0</v>
      </c>
      <c r="AL296" s="34">
        <f t="shared" si="736"/>
        <v>0</v>
      </c>
      <c r="AM296" s="34">
        <f t="shared" si="736"/>
        <v>0</v>
      </c>
      <c r="AN296" s="34">
        <f t="shared" si="736"/>
        <v>0</v>
      </c>
      <c r="AO296" s="34">
        <f t="shared" si="736"/>
        <v>-166881</v>
      </c>
      <c r="AP296" s="34">
        <f t="shared" si="736"/>
        <v>19235345</v>
      </c>
      <c r="AQ296" s="34">
        <f t="shared" si="736"/>
        <v>19068464</v>
      </c>
      <c r="AR296" s="34">
        <f t="shared" si="736"/>
        <v>6445143</v>
      </c>
      <c r="AS296" s="34">
        <f t="shared" si="736"/>
        <v>190684</v>
      </c>
      <c r="AT296" s="34">
        <f t="shared" si="736"/>
        <v>14000</v>
      </c>
      <c r="AU296" s="34">
        <f t="shared" si="736"/>
        <v>166001</v>
      </c>
      <c r="AV296" s="34">
        <f t="shared" si="736"/>
        <v>180001</v>
      </c>
      <c r="AW296" s="34">
        <f t="shared" si="736"/>
        <v>25884292</v>
      </c>
      <c r="AX296" s="35">
        <f t="shared" si="736"/>
        <v>0</v>
      </c>
      <c r="AY296" s="35">
        <f t="shared" si="736"/>
        <v>0</v>
      </c>
      <c r="AZ296" s="35">
        <f t="shared" si="736"/>
        <v>-0.44999999999999996</v>
      </c>
      <c r="BA296" s="35">
        <f t="shared" si="736"/>
        <v>0</v>
      </c>
      <c r="BB296" s="35">
        <f t="shared" si="736"/>
        <v>57.839999999999996</v>
      </c>
      <c r="BC296" s="35">
        <f t="shared" si="736"/>
        <v>0</v>
      </c>
      <c r="BD296" s="35">
        <f t="shared" si="736"/>
        <v>0</v>
      </c>
      <c r="BE296" s="35">
        <f t="shared" si="736"/>
        <v>0.35</v>
      </c>
      <c r="BF296" s="35">
        <f t="shared" si="736"/>
        <v>-0.44999999999999996</v>
      </c>
      <c r="BG296" s="35">
        <f t="shared" si="736"/>
        <v>58.190000000000005</v>
      </c>
      <c r="BH296" s="148">
        <f t="shared" si="736"/>
        <v>57.74</v>
      </c>
      <c r="BI296" s="139">
        <f t="shared" si="736"/>
        <v>1068010774</v>
      </c>
      <c r="BJ296" s="34">
        <f t="shared" si="736"/>
        <v>781733897</v>
      </c>
      <c r="BK296" s="34">
        <f t="shared" si="736"/>
        <v>680346335</v>
      </c>
      <c r="BL296" s="34">
        <f t="shared" si="736"/>
        <v>101387562</v>
      </c>
      <c r="BM296" s="34">
        <f t="shared" si="736"/>
        <v>4079440</v>
      </c>
      <c r="BN296" s="34">
        <f t="shared" si="736"/>
        <v>2858740</v>
      </c>
      <c r="BO296" s="34">
        <f t="shared" si="736"/>
        <v>1220700</v>
      </c>
      <c r="BP296" s="34">
        <f t="shared" si="736"/>
        <v>265604911</v>
      </c>
      <c r="BQ296" s="34">
        <f t="shared" si="736"/>
        <v>7817334</v>
      </c>
      <c r="BR296" s="34">
        <f t="shared" si="736"/>
        <v>8775192</v>
      </c>
      <c r="BS296" s="35">
        <f t="shared" si="736"/>
        <v>1446.7773000000002</v>
      </c>
      <c r="BT296" s="35">
        <f t="shared" si="736"/>
        <v>1136.1329000000001</v>
      </c>
      <c r="BU296" s="148">
        <f t="shared" ref="BU296:CA296" si="737">SUM(BU297:BU306)</f>
        <v>310.64440000000002</v>
      </c>
      <c r="BV296" s="676">
        <f t="shared" si="737"/>
        <v>2051606</v>
      </c>
      <c r="BW296" s="672">
        <f t="shared" si="737"/>
        <v>1410000</v>
      </c>
      <c r="BX296" s="672">
        <f t="shared" si="737"/>
        <v>112800</v>
      </c>
      <c r="BY296" s="672">
        <f t="shared" si="737"/>
        <v>514706</v>
      </c>
      <c r="BZ296" s="672">
        <f t="shared" si="737"/>
        <v>14100</v>
      </c>
      <c r="CA296" s="677">
        <f t="shared" si="737"/>
        <v>2.5</v>
      </c>
    </row>
    <row r="297" spans="1:79" x14ac:dyDescent="0.2">
      <c r="D297" s="9"/>
      <c r="E297" s="5"/>
      <c r="F297" s="9"/>
      <c r="G297" s="20"/>
      <c r="H297" s="441">
        <v>3111</v>
      </c>
      <c r="I297" s="489">
        <f t="shared" ref="I297:BT297" si="738">SUMIF($F$12:$F$451,"=3111",I$12:I$451)</f>
        <v>216041129</v>
      </c>
      <c r="J297" s="490">
        <f t="shared" si="738"/>
        <v>159213911</v>
      </c>
      <c r="K297" s="490">
        <f t="shared" si="738"/>
        <v>148522763</v>
      </c>
      <c r="L297" s="490">
        <f t="shared" si="738"/>
        <v>10691148</v>
      </c>
      <c r="M297" s="490">
        <f t="shared" si="738"/>
        <v>550600</v>
      </c>
      <c r="N297" s="490">
        <f t="shared" si="738"/>
        <v>217600</v>
      </c>
      <c r="O297" s="490">
        <f t="shared" si="738"/>
        <v>333000</v>
      </c>
      <c r="P297" s="490">
        <f t="shared" si="738"/>
        <v>54000406</v>
      </c>
      <c r="Q297" s="490">
        <f t="shared" si="738"/>
        <v>1592138</v>
      </c>
      <c r="R297" s="490">
        <f t="shared" si="738"/>
        <v>684074</v>
      </c>
      <c r="S297" s="493">
        <f t="shared" si="738"/>
        <v>307.16999999999996</v>
      </c>
      <c r="T297" s="493">
        <f t="shared" si="738"/>
        <v>268.71759999999995</v>
      </c>
      <c r="U297" s="496">
        <f t="shared" si="738"/>
        <v>38.45239999999999</v>
      </c>
      <c r="V297" s="491">
        <f t="shared" si="738"/>
        <v>0</v>
      </c>
      <c r="W297" s="490">
        <f t="shared" si="738"/>
        <v>0</v>
      </c>
      <c r="X297" s="490">
        <f t="shared" si="738"/>
        <v>-92701</v>
      </c>
      <c r="Y297" s="490">
        <f t="shared" si="738"/>
        <v>0</v>
      </c>
      <c r="Z297" s="490">
        <f t="shared" si="738"/>
        <v>0</v>
      </c>
      <c r="AA297" s="490">
        <f t="shared" si="738"/>
        <v>0</v>
      </c>
      <c r="AB297" s="490">
        <f t="shared" si="738"/>
        <v>0</v>
      </c>
      <c r="AC297" s="490">
        <f t="shared" si="738"/>
        <v>0</v>
      </c>
      <c r="AD297" s="490">
        <f t="shared" si="738"/>
        <v>-92701</v>
      </c>
      <c r="AE297" s="490">
        <f t="shared" si="738"/>
        <v>0</v>
      </c>
      <c r="AF297" s="490">
        <f t="shared" si="738"/>
        <v>-92701</v>
      </c>
      <c r="AG297" s="490">
        <f t="shared" si="738"/>
        <v>0</v>
      </c>
      <c r="AH297" s="490">
        <f t="shared" si="738"/>
        <v>0</v>
      </c>
      <c r="AI297" s="490">
        <f t="shared" si="738"/>
        <v>0</v>
      </c>
      <c r="AJ297" s="490">
        <f t="shared" si="738"/>
        <v>0</v>
      </c>
      <c r="AK297" s="490">
        <f t="shared" si="738"/>
        <v>0</v>
      </c>
      <c r="AL297" s="490">
        <f t="shared" si="738"/>
        <v>0</v>
      </c>
      <c r="AM297" s="490">
        <f t="shared" si="738"/>
        <v>0</v>
      </c>
      <c r="AN297" s="490">
        <f t="shared" si="738"/>
        <v>0</v>
      </c>
      <c r="AO297" s="490">
        <f t="shared" si="738"/>
        <v>-92701</v>
      </c>
      <c r="AP297" s="490">
        <f t="shared" si="738"/>
        <v>0</v>
      </c>
      <c r="AQ297" s="490">
        <f t="shared" si="738"/>
        <v>-92701</v>
      </c>
      <c r="AR297" s="490">
        <f t="shared" si="738"/>
        <v>-31333</v>
      </c>
      <c r="AS297" s="490">
        <f t="shared" si="738"/>
        <v>-927</v>
      </c>
      <c r="AT297" s="490">
        <f t="shared" si="738"/>
        <v>0</v>
      </c>
      <c r="AU297" s="490">
        <f t="shared" si="738"/>
        <v>0</v>
      </c>
      <c r="AV297" s="490">
        <f t="shared" si="738"/>
        <v>0</v>
      </c>
      <c r="AW297" s="490">
        <f t="shared" si="738"/>
        <v>-124961</v>
      </c>
      <c r="AX297" s="493">
        <f t="shared" si="738"/>
        <v>0</v>
      </c>
      <c r="AY297" s="493">
        <f t="shared" si="738"/>
        <v>0</v>
      </c>
      <c r="AZ297" s="493">
        <f t="shared" si="738"/>
        <v>-0.25</v>
      </c>
      <c r="BA297" s="493">
        <f t="shared" si="738"/>
        <v>0</v>
      </c>
      <c r="BB297" s="493">
        <f t="shared" si="738"/>
        <v>0</v>
      </c>
      <c r="BC297" s="493">
        <f t="shared" si="738"/>
        <v>0</v>
      </c>
      <c r="BD297" s="493">
        <f t="shared" si="738"/>
        <v>0</v>
      </c>
      <c r="BE297" s="493">
        <f t="shared" si="738"/>
        <v>0</v>
      </c>
      <c r="BF297" s="493">
        <f t="shared" si="738"/>
        <v>-0.25</v>
      </c>
      <c r="BG297" s="493">
        <f t="shared" si="738"/>
        <v>0</v>
      </c>
      <c r="BH297" s="494">
        <f t="shared" si="738"/>
        <v>-0.25</v>
      </c>
      <c r="BI297" s="489">
        <f t="shared" si="738"/>
        <v>215916168</v>
      </c>
      <c r="BJ297" s="490">
        <f t="shared" si="738"/>
        <v>159121210</v>
      </c>
      <c r="BK297" s="490">
        <f t="shared" si="738"/>
        <v>148430062</v>
      </c>
      <c r="BL297" s="490">
        <f t="shared" si="738"/>
        <v>10691148</v>
      </c>
      <c r="BM297" s="490">
        <f t="shared" si="738"/>
        <v>550600</v>
      </c>
      <c r="BN297" s="490">
        <f t="shared" si="738"/>
        <v>217600</v>
      </c>
      <c r="BO297" s="490">
        <f t="shared" si="738"/>
        <v>333000</v>
      </c>
      <c r="BP297" s="490">
        <f t="shared" si="738"/>
        <v>53969073</v>
      </c>
      <c r="BQ297" s="490">
        <f t="shared" si="738"/>
        <v>1591211</v>
      </c>
      <c r="BR297" s="490">
        <f t="shared" si="738"/>
        <v>684074</v>
      </c>
      <c r="BS297" s="493">
        <f t="shared" si="738"/>
        <v>306.91999999999996</v>
      </c>
      <c r="BT297" s="493">
        <f t="shared" si="738"/>
        <v>268.46759999999995</v>
      </c>
      <c r="BU297" s="494">
        <f t="shared" ref="BU297:CA297" si="739">SUMIF($F$12:$F$451,"=3111",BU$12:BU$451)</f>
        <v>38.45239999999999</v>
      </c>
      <c r="BV297" s="489">
        <f t="shared" si="739"/>
        <v>0</v>
      </c>
      <c r="BW297" s="490">
        <f t="shared" si="739"/>
        <v>0</v>
      </c>
      <c r="BX297" s="490">
        <f t="shared" si="739"/>
        <v>0</v>
      </c>
      <c r="BY297" s="490">
        <f t="shared" si="739"/>
        <v>0</v>
      </c>
      <c r="BZ297" s="490">
        <f t="shared" si="739"/>
        <v>0</v>
      </c>
      <c r="CA297" s="496">
        <f t="shared" si="739"/>
        <v>0</v>
      </c>
    </row>
    <row r="298" spans="1:79" x14ac:dyDescent="0.2">
      <c r="D298" s="9"/>
      <c r="E298" s="5"/>
      <c r="F298" s="9"/>
      <c r="G298" s="20"/>
      <c r="H298" s="2">
        <v>3113</v>
      </c>
      <c r="I298" s="167">
        <f t="shared" ref="I298:BT298" si="740">SUMIF($F$12:$F$451,"=3113",I$12:I$451)</f>
        <v>539598623</v>
      </c>
      <c r="J298" s="16">
        <f t="shared" si="740"/>
        <v>393744817</v>
      </c>
      <c r="K298" s="16">
        <f t="shared" si="740"/>
        <v>368355862</v>
      </c>
      <c r="L298" s="16">
        <f t="shared" si="740"/>
        <v>25388955</v>
      </c>
      <c r="M298" s="16">
        <f t="shared" si="740"/>
        <v>1661800</v>
      </c>
      <c r="N298" s="16">
        <f t="shared" si="740"/>
        <v>1230800</v>
      </c>
      <c r="O298" s="16">
        <f t="shared" si="740"/>
        <v>431000</v>
      </c>
      <c r="P298" s="16">
        <f t="shared" si="740"/>
        <v>133647437</v>
      </c>
      <c r="Q298" s="16">
        <f t="shared" si="740"/>
        <v>3937446</v>
      </c>
      <c r="R298" s="16">
        <f t="shared" si="740"/>
        <v>6607123</v>
      </c>
      <c r="S298" s="13">
        <f t="shared" si="740"/>
        <v>655.21709999999985</v>
      </c>
      <c r="T298" s="13">
        <f t="shared" si="740"/>
        <v>579.16959999999995</v>
      </c>
      <c r="U298" s="17">
        <f t="shared" si="740"/>
        <v>76.047499999999999</v>
      </c>
      <c r="V298" s="168">
        <f t="shared" si="740"/>
        <v>0</v>
      </c>
      <c r="W298" s="16">
        <f t="shared" si="740"/>
        <v>0</v>
      </c>
      <c r="X298" s="16">
        <f t="shared" si="740"/>
        <v>-74180</v>
      </c>
      <c r="Y298" s="16">
        <f t="shared" si="740"/>
        <v>0</v>
      </c>
      <c r="Z298" s="16">
        <f t="shared" si="740"/>
        <v>0</v>
      </c>
      <c r="AA298" s="16">
        <f t="shared" si="740"/>
        <v>0</v>
      </c>
      <c r="AB298" s="16">
        <f t="shared" si="740"/>
        <v>0</v>
      </c>
      <c r="AC298" s="16">
        <f t="shared" si="740"/>
        <v>0</v>
      </c>
      <c r="AD298" s="16">
        <f t="shared" si="740"/>
        <v>-74180</v>
      </c>
      <c r="AE298" s="16">
        <f t="shared" si="740"/>
        <v>0</v>
      </c>
      <c r="AF298" s="16">
        <f t="shared" si="740"/>
        <v>-74180</v>
      </c>
      <c r="AG298" s="16">
        <f t="shared" si="740"/>
        <v>0</v>
      </c>
      <c r="AH298" s="16">
        <f t="shared" si="740"/>
        <v>0</v>
      </c>
      <c r="AI298" s="16">
        <f t="shared" si="740"/>
        <v>0</v>
      </c>
      <c r="AJ298" s="16">
        <f t="shared" si="740"/>
        <v>0</v>
      </c>
      <c r="AK298" s="16">
        <f t="shared" si="740"/>
        <v>0</v>
      </c>
      <c r="AL298" s="16">
        <f t="shared" si="740"/>
        <v>0</v>
      </c>
      <c r="AM298" s="16">
        <f t="shared" si="740"/>
        <v>0</v>
      </c>
      <c r="AN298" s="16">
        <f t="shared" si="740"/>
        <v>0</v>
      </c>
      <c r="AO298" s="16">
        <f t="shared" si="740"/>
        <v>-74180</v>
      </c>
      <c r="AP298" s="16">
        <f t="shared" si="740"/>
        <v>0</v>
      </c>
      <c r="AQ298" s="16">
        <f t="shared" si="740"/>
        <v>-74180</v>
      </c>
      <c r="AR298" s="16">
        <f t="shared" si="740"/>
        <v>-25072</v>
      </c>
      <c r="AS298" s="16">
        <f t="shared" si="740"/>
        <v>-742</v>
      </c>
      <c r="AT298" s="16">
        <f t="shared" si="740"/>
        <v>10250</v>
      </c>
      <c r="AU298" s="16">
        <f t="shared" si="740"/>
        <v>0</v>
      </c>
      <c r="AV298" s="16">
        <f t="shared" si="740"/>
        <v>10250</v>
      </c>
      <c r="AW298" s="16">
        <f t="shared" si="740"/>
        <v>-89744</v>
      </c>
      <c r="AX298" s="13">
        <f t="shared" si="740"/>
        <v>0</v>
      </c>
      <c r="AY298" s="13">
        <f t="shared" si="740"/>
        <v>0</v>
      </c>
      <c r="AZ298" s="13">
        <f t="shared" si="740"/>
        <v>-0.19999999999999996</v>
      </c>
      <c r="BA298" s="13">
        <f t="shared" si="740"/>
        <v>0</v>
      </c>
      <c r="BB298" s="13">
        <f t="shared" si="740"/>
        <v>0</v>
      </c>
      <c r="BC298" s="13">
        <f t="shared" si="740"/>
        <v>0</v>
      </c>
      <c r="BD298" s="13">
        <f t="shared" si="740"/>
        <v>0</v>
      </c>
      <c r="BE298" s="13">
        <f t="shared" si="740"/>
        <v>0</v>
      </c>
      <c r="BF298" s="13">
        <f t="shared" si="740"/>
        <v>-0.19999999999999996</v>
      </c>
      <c r="BG298" s="13">
        <f t="shared" si="740"/>
        <v>0</v>
      </c>
      <c r="BH298" s="169">
        <f t="shared" si="740"/>
        <v>-0.19999999999999996</v>
      </c>
      <c r="BI298" s="167">
        <f t="shared" si="740"/>
        <v>539508879</v>
      </c>
      <c r="BJ298" s="16">
        <f t="shared" si="740"/>
        <v>393670637</v>
      </c>
      <c r="BK298" s="16">
        <f t="shared" si="740"/>
        <v>368281682</v>
      </c>
      <c r="BL298" s="16">
        <f t="shared" si="740"/>
        <v>25388955</v>
      </c>
      <c r="BM298" s="16">
        <f t="shared" si="740"/>
        <v>1661800</v>
      </c>
      <c r="BN298" s="16">
        <f t="shared" si="740"/>
        <v>1230800</v>
      </c>
      <c r="BO298" s="16">
        <f t="shared" si="740"/>
        <v>431000</v>
      </c>
      <c r="BP298" s="16">
        <f t="shared" si="740"/>
        <v>133622365</v>
      </c>
      <c r="BQ298" s="16">
        <f t="shared" si="740"/>
        <v>3936704</v>
      </c>
      <c r="BR298" s="16">
        <f t="shared" si="740"/>
        <v>6617373</v>
      </c>
      <c r="BS298" s="13">
        <f t="shared" si="740"/>
        <v>655.0170999999998</v>
      </c>
      <c r="BT298" s="13">
        <f t="shared" si="740"/>
        <v>578.96960000000001</v>
      </c>
      <c r="BU298" s="169">
        <f t="shared" ref="BU298:CA298" si="741">SUMIF($F$12:$F$451,"=3113",BU$12:BU$451)</f>
        <v>76.047499999999999</v>
      </c>
      <c r="BV298" s="167">
        <f t="shared" si="741"/>
        <v>2051606</v>
      </c>
      <c r="BW298" s="16">
        <f t="shared" si="741"/>
        <v>1410000</v>
      </c>
      <c r="BX298" s="16">
        <f t="shared" si="741"/>
        <v>112800</v>
      </c>
      <c r="BY298" s="16">
        <f t="shared" si="741"/>
        <v>514706</v>
      </c>
      <c r="BZ298" s="16">
        <f t="shared" si="741"/>
        <v>14100</v>
      </c>
      <c r="CA298" s="17">
        <f t="shared" si="741"/>
        <v>2.5</v>
      </c>
    </row>
    <row r="299" spans="1:79" x14ac:dyDescent="0.2">
      <c r="D299" s="9"/>
      <c r="E299" s="5"/>
      <c r="F299" s="9"/>
      <c r="G299" s="20"/>
      <c r="H299" s="2">
        <v>3114</v>
      </c>
      <c r="I299" s="167">
        <f t="shared" ref="I299:BT299" si="742">SUMIF($F$12:$F$451,"=3114",I$12:I$451)</f>
        <v>50093875</v>
      </c>
      <c r="J299" s="16">
        <f t="shared" si="742"/>
        <v>36931452</v>
      </c>
      <c r="K299" s="16">
        <f t="shared" si="742"/>
        <v>34705364</v>
      </c>
      <c r="L299" s="16">
        <f t="shared" si="742"/>
        <v>2226088</v>
      </c>
      <c r="M299" s="16">
        <f t="shared" si="742"/>
        <v>0</v>
      </c>
      <c r="N299" s="16">
        <f t="shared" si="742"/>
        <v>0</v>
      </c>
      <c r="O299" s="16">
        <f t="shared" si="742"/>
        <v>0</v>
      </c>
      <c r="P299" s="16">
        <f t="shared" si="742"/>
        <v>12482830</v>
      </c>
      <c r="Q299" s="16">
        <f t="shared" si="742"/>
        <v>369315</v>
      </c>
      <c r="R299" s="16">
        <f t="shared" si="742"/>
        <v>310278</v>
      </c>
      <c r="S299" s="13">
        <f t="shared" si="742"/>
        <v>62.539999999999992</v>
      </c>
      <c r="T299" s="13">
        <f t="shared" si="742"/>
        <v>55.719899999999996</v>
      </c>
      <c r="U299" s="17">
        <f t="shared" si="742"/>
        <v>6.8201000000000001</v>
      </c>
      <c r="V299" s="168">
        <f t="shared" si="742"/>
        <v>0</v>
      </c>
      <c r="W299" s="16">
        <f t="shared" si="742"/>
        <v>0</v>
      </c>
      <c r="X299" s="16">
        <f t="shared" si="742"/>
        <v>0</v>
      </c>
      <c r="Y299" s="16">
        <f t="shared" si="742"/>
        <v>0</v>
      </c>
      <c r="Z299" s="16">
        <f t="shared" si="742"/>
        <v>0</v>
      </c>
      <c r="AA299" s="16">
        <f t="shared" si="742"/>
        <v>0</v>
      </c>
      <c r="AB299" s="16">
        <f t="shared" si="742"/>
        <v>0</v>
      </c>
      <c r="AC299" s="16">
        <f t="shared" si="742"/>
        <v>0</v>
      </c>
      <c r="AD299" s="16">
        <f t="shared" si="742"/>
        <v>0</v>
      </c>
      <c r="AE299" s="16">
        <f t="shared" si="742"/>
        <v>0</v>
      </c>
      <c r="AF299" s="16">
        <f t="shared" si="742"/>
        <v>0</v>
      </c>
      <c r="AG299" s="16">
        <f t="shared" si="742"/>
        <v>0</v>
      </c>
      <c r="AH299" s="16">
        <f t="shared" si="742"/>
        <v>0</v>
      </c>
      <c r="AI299" s="16">
        <f t="shared" si="742"/>
        <v>0</v>
      </c>
      <c r="AJ299" s="16">
        <f t="shared" si="742"/>
        <v>0</v>
      </c>
      <c r="AK299" s="16">
        <f t="shared" si="742"/>
        <v>0</v>
      </c>
      <c r="AL299" s="16">
        <f t="shared" si="742"/>
        <v>0</v>
      </c>
      <c r="AM299" s="16">
        <f t="shared" si="742"/>
        <v>0</v>
      </c>
      <c r="AN299" s="16">
        <f t="shared" si="742"/>
        <v>0</v>
      </c>
      <c r="AO299" s="16">
        <f t="shared" si="742"/>
        <v>0</v>
      </c>
      <c r="AP299" s="16">
        <f t="shared" si="742"/>
        <v>0</v>
      </c>
      <c r="AQ299" s="16">
        <f t="shared" si="742"/>
        <v>0</v>
      </c>
      <c r="AR299" s="16">
        <f t="shared" si="742"/>
        <v>0</v>
      </c>
      <c r="AS299" s="16">
        <f t="shared" si="742"/>
        <v>0</v>
      </c>
      <c r="AT299" s="16">
        <f t="shared" si="742"/>
        <v>0</v>
      </c>
      <c r="AU299" s="16">
        <f t="shared" si="742"/>
        <v>0</v>
      </c>
      <c r="AV299" s="16">
        <f t="shared" si="742"/>
        <v>0</v>
      </c>
      <c r="AW299" s="16">
        <f t="shared" si="742"/>
        <v>0</v>
      </c>
      <c r="AX299" s="13">
        <f t="shared" si="742"/>
        <v>0</v>
      </c>
      <c r="AY299" s="13">
        <f t="shared" si="742"/>
        <v>0</v>
      </c>
      <c r="AZ299" s="13">
        <f t="shared" si="742"/>
        <v>0</v>
      </c>
      <c r="BA299" s="13">
        <f t="shared" si="742"/>
        <v>0</v>
      </c>
      <c r="BB299" s="13">
        <f t="shared" si="742"/>
        <v>0</v>
      </c>
      <c r="BC299" s="13">
        <f t="shared" si="742"/>
        <v>0</v>
      </c>
      <c r="BD299" s="13">
        <f t="shared" si="742"/>
        <v>0</v>
      </c>
      <c r="BE299" s="13">
        <f t="shared" si="742"/>
        <v>0</v>
      </c>
      <c r="BF299" s="13">
        <f t="shared" si="742"/>
        <v>0</v>
      </c>
      <c r="BG299" s="13">
        <f t="shared" si="742"/>
        <v>0</v>
      </c>
      <c r="BH299" s="169">
        <f t="shared" si="742"/>
        <v>0</v>
      </c>
      <c r="BI299" s="167">
        <f t="shared" si="742"/>
        <v>50093875</v>
      </c>
      <c r="BJ299" s="16">
        <f t="shared" si="742"/>
        <v>36931452</v>
      </c>
      <c r="BK299" s="16">
        <f t="shared" si="742"/>
        <v>34705364</v>
      </c>
      <c r="BL299" s="16">
        <f t="shared" si="742"/>
        <v>2226088</v>
      </c>
      <c r="BM299" s="16">
        <f t="shared" si="742"/>
        <v>0</v>
      </c>
      <c r="BN299" s="16">
        <f t="shared" si="742"/>
        <v>0</v>
      </c>
      <c r="BO299" s="16">
        <f t="shared" si="742"/>
        <v>0</v>
      </c>
      <c r="BP299" s="16">
        <f t="shared" si="742"/>
        <v>12482830</v>
      </c>
      <c r="BQ299" s="16">
        <f t="shared" si="742"/>
        <v>369315</v>
      </c>
      <c r="BR299" s="16">
        <f t="shared" si="742"/>
        <v>310278</v>
      </c>
      <c r="BS299" s="13">
        <f t="shared" si="742"/>
        <v>62.539999999999992</v>
      </c>
      <c r="BT299" s="13">
        <f t="shared" si="742"/>
        <v>55.719899999999996</v>
      </c>
      <c r="BU299" s="169">
        <f t="shared" ref="BU299:CA299" si="743">SUMIF($F$12:$F$451,"=3114",BU$12:BU$451)</f>
        <v>6.8201000000000001</v>
      </c>
      <c r="BV299" s="167">
        <f t="shared" si="743"/>
        <v>0</v>
      </c>
      <c r="BW299" s="16">
        <f t="shared" si="743"/>
        <v>0</v>
      </c>
      <c r="BX299" s="16">
        <f t="shared" si="743"/>
        <v>0</v>
      </c>
      <c r="BY299" s="16">
        <f t="shared" si="743"/>
        <v>0</v>
      </c>
      <c r="BZ299" s="16">
        <f t="shared" si="743"/>
        <v>0</v>
      </c>
      <c r="CA299" s="17">
        <f t="shared" si="743"/>
        <v>0</v>
      </c>
    </row>
    <row r="300" spans="1:79" x14ac:dyDescent="0.2">
      <c r="D300" s="9"/>
      <c r="E300" s="5"/>
      <c r="F300" s="9"/>
      <c r="G300" s="20"/>
      <c r="H300" s="2">
        <v>3117</v>
      </c>
      <c r="I300" s="167">
        <f t="shared" ref="I300:BT300" si="744">SUMIF($F$12:$F$451,"=3117",I$12:I$451)</f>
        <v>52488554</v>
      </c>
      <c r="J300" s="16">
        <f t="shared" si="744"/>
        <v>38114857</v>
      </c>
      <c r="K300" s="16">
        <f t="shared" si="744"/>
        <v>34185640</v>
      </c>
      <c r="L300" s="16">
        <f t="shared" si="744"/>
        <v>3929217</v>
      </c>
      <c r="M300" s="16">
        <f t="shared" si="744"/>
        <v>407340</v>
      </c>
      <c r="N300" s="16">
        <f t="shared" si="744"/>
        <v>357340</v>
      </c>
      <c r="O300" s="16">
        <f t="shared" si="744"/>
        <v>50000</v>
      </c>
      <c r="P300" s="16">
        <f t="shared" si="744"/>
        <v>13020504</v>
      </c>
      <c r="Q300" s="16">
        <f t="shared" si="744"/>
        <v>381151</v>
      </c>
      <c r="R300" s="16">
        <f t="shared" si="744"/>
        <v>564702</v>
      </c>
      <c r="S300" s="13">
        <f t="shared" si="744"/>
        <v>74.774000000000001</v>
      </c>
      <c r="T300" s="13">
        <f t="shared" si="744"/>
        <v>64.108500000000006</v>
      </c>
      <c r="U300" s="17">
        <f t="shared" si="744"/>
        <v>10.665500000000002</v>
      </c>
      <c r="V300" s="168">
        <f t="shared" si="744"/>
        <v>0</v>
      </c>
      <c r="W300" s="16">
        <f t="shared" si="744"/>
        <v>0</v>
      </c>
      <c r="X300" s="16">
        <f t="shared" si="744"/>
        <v>0</v>
      </c>
      <c r="Y300" s="16">
        <f t="shared" si="744"/>
        <v>0</v>
      </c>
      <c r="Z300" s="16">
        <f t="shared" si="744"/>
        <v>0</v>
      </c>
      <c r="AA300" s="16">
        <f t="shared" si="744"/>
        <v>0</v>
      </c>
      <c r="AB300" s="16">
        <f t="shared" si="744"/>
        <v>0</v>
      </c>
      <c r="AC300" s="16">
        <f t="shared" si="744"/>
        <v>0</v>
      </c>
      <c r="AD300" s="16">
        <f t="shared" si="744"/>
        <v>0</v>
      </c>
      <c r="AE300" s="16">
        <f t="shared" si="744"/>
        <v>0</v>
      </c>
      <c r="AF300" s="16">
        <f t="shared" si="744"/>
        <v>0</v>
      </c>
      <c r="AG300" s="16">
        <f t="shared" si="744"/>
        <v>0</v>
      </c>
      <c r="AH300" s="16">
        <f t="shared" si="744"/>
        <v>0</v>
      </c>
      <c r="AI300" s="16">
        <f t="shared" si="744"/>
        <v>0</v>
      </c>
      <c r="AJ300" s="16">
        <f t="shared" si="744"/>
        <v>0</v>
      </c>
      <c r="AK300" s="16">
        <f t="shared" si="744"/>
        <v>0</v>
      </c>
      <c r="AL300" s="16">
        <f t="shared" si="744"/>
        <v>0</v>
      </c>
      <c r="AM300" s="16">
        <f t="shared" si="744"/>
        <v>0</v>
      </c>
      <c r="AN300" s="16">
        <f t="shared" si="744"/>
        <v>0</v>
      </c>
      <c r="AO300" s="16">
        <f t="shared" si="744"/>
        <v>0</v>
      </c>
      <c r="AP300" s="16">
        <f t="shared" si="744"/>
        <v>0</v>
      </c>
      <c r="AQ300" s="16">
        <f t="shared" si="744"/>
        <v>0</v>
      </c>
      <c r="AR300" s="16">
        <f t="shared" si="744"/>
        <v>0</v>
      </c>
      <c r="AS300" s="16">
        <f t="shared" si="744"/>
        <v>0</v>
      </c>
      <c r="AT300" s="16">
        <f t="shared" si="744"/>
        <v>3750</v>
      </c>
      <c r="AU300" s="16">
        <f t="shared" si="744"/>
        <v>0</v>
      </c>
      <c r="AV300" s="16">
        <f t="shared" si="744"/>
        <v>3750</v>
      </c>
      <c r="AW300" s="16">
        <f t="shared" si="744"/>
        <v>3750</v>
      </c>
      <c r="AX300" s="13">
        <f t="shared" si="744"/>
        <v>0</v>
      </c>
      <c r="AY300" s="13">
        <f t="shared" si="744"/>
        <v>0</v>
      </c>
      <c r="AZ300" s="13">
        <f t="shared" si="744"/>
        <v>0</v>
      </c>
      <c r="BA300" s="13">
        <f t="shared" si="744"/>
        <v>0</v>
      </c>
      <c r="BB300" s="13">
        <f t="shared" si="744"/>
        <v>0</v>
      </c>
      <c r="BC300" s="13">
        <f t="shared" si="744"/>
        <v>0</v>
      </c>
      <c r="BD300" s="13">
        <f t="shared" si="744"/>
        <v>0</v>
      </c>
      <c r="BE300" s="13">
        <f t="shared" si="744"/>
        <v>0</v>
      </c>
      <c r="BF300" s="13">
        <f t="shared" si="744"/>
        <v>0</v>
      </c>
      <c r="BG300" s="13">
        <f t="shared" si="744"/>
        <v>0</v>
      </c>
      <c r="BH300" s="169">
        <f t="shared" si="744"/>
        <v>0</v>
      </c>
      <c r="BI300" s="167">
        <f t="shared" si="744"/>
        <v>52492304</v>
      </c>
      <c r="BJ300" s="16">
        <f t="shared" si="744"/>
        <v>38114857</v>
      </c>
      <c r="BK300" s="16">
        <f t="shared" si="744"/>
        <v>34185640</v>
      </c>
      <c r="BL300" s="16">
        <f t="shared" si="744"/>
        <v>3929217</v>
      </c>
      <c r="BM300" s="16">
        <f t="shared" si="744"/>
        <v>407340</v>
      </c>
      <c r="BN300" s="16">
        <f t="shared" si="744"/>
        <v>357340</v>
      </c>
      <c r="BO300" s="16">
        <f t="shared" si="744"/>
        <v>50000</v>
      </c>
      <c r="BP300" s="16">
        <f t="shared" si="744"/>
        <v>13020504</v>
      </c>
      <c r="BQ300" s="16">
        <f t="shared" si="744"/>
        <v>381151</v>
      </c>
      <c r="BR300" s="16">
        <f t="shared" si="744"/>
        <v>568452</v>
      </c>
      <c r="BS300" s="13">
        <f t="shared" si="744"/>
        <v>74.774000000000001</v>
      </c>
      <c r="BT300" s="13">
        <f t="shared" si="744"/>
        <v>64.108500000000006</v>
      </c>
      <c r="BU300" s="169">
        <f t="shared" ref="BU300:CA300" si="745">SUMIF($F$12:$F$451,"=3117",BU$12:BU$451)</f>
        <v>10.665500000000002</v>
      </c>
      <c r="BV300" s="167">
        <f t="shared" si="745"/>
        <v>0</v>
      </c>
      <c r="BW300" s="16">
        <f t="shared" si="745"/>
        <v>0</v>
      </c>
      <c r="BX300" s="16">
        <f t="shared" si="745"/>
        <v>0</v>
      </c>
      <c r="BY300" s="16">
        <f t="shared" si="745"/>
        <v>0</v>
      </c>
      <c r="BZ300" s="16">
        <f t="shared" si="745"/>
        <v>0</v>
      </c>
      <c r="CA300" s="17">
        <f t="shared" si="745"/>
        <v>0</v>
      </c>
    </row>
    <row r="301" spans="1:79" x14ac:dyDescent="0.2">
      <c r="D301" s="9"/>
      <c r="E301" s="5"/>
      <c r="F301" s="9"/>
      <c r="G301" s="20"/>
      <c r="H301" s="2">
        <v>3122</v>
      </c>
      <c r="I301" s="167">
        <f t="shared" ref="I301:BT301" si="746">SUMIF($F$12:$F$451,"=3122",I$12:I$451)</f>
        <v>0</v>
      </c>
      <c r="J301" s="16">
        <f t="shared" si="746"/>
        <v>0</v>
      </c>
      <c r="K301" s="16">
        <f t="shared" si="746"/>
        <v>0</v>
      </c>
      <c r="L301" s="16">
        <f t="shared" si="746"/>
        <v>0</v>
      </c>
      <c r="M301" s="16">
        <f t="shared" si="746"/>
        <v>0</v>
      </c>
      <c r="N301" s="16">
        <f t="shared" si="746"/>
        <v>0</v>
      </c>
      <c r="O301" s="16">
        <f t="shared" si="746"/>
        <v>0</v>
      </c>
      <c r="P301" s="16">
        <f t="shared" si="746"/>
        <v>0</v>
      </c>
      <c r="Q301" s="16">
        <f t="shared" si="746"/>
        <v>0</v>
      </c>
      <c r="R301" s="16">
        <f t="shared" si="746"/>
        <v>0</v>
      </c>
      <c r="S301" s="13">
        <f t="shared" si="746"/>
        <v>0</v>
      </c>
      <c r="T301" s="13">
        <f t="shared" si="746"/>
        <v>0</v>
      </c>
      <c r="U301" s="17">
        <f t="shared" si="746"/>
        <v>0</v>
      </c>
      <c r="V301" s="168">
        <f t="shared" si="746"/>
        <v>0</v>
      </c>
      <c r="W301" s="16">
        <f t="shared" si="746"/>
        <v>0</v>
      </c>
      <c r="X301" s="16">
        <f t="shared" si="746"/>
        <v>0</v>
      </c>
      <c r="Y301" s="16">
        <f t="shared" si="746"/>
        <v>0</v>
      </c>
      <c r="Z301" s="16">
        <f t="shared" si="746"/>
        <v>0</v>
      </c>
      <c r="AA301" s="16">
        <f t="shared" si="746"/>
        <v>0</v>
      </c>
      <c r="AB301" s="16">
        <f t="shared" si="746"/>
        <v>0</v>
      </c>
      <c r="AC301" s="16">
        <f t="shared" si="746"/>
        <v>0</v>
      </c>
      <c r="AD301" s="16">
        <f t="shared" si="746"/>
        <v>0</v>
      </c>
      <c r="AE301" s="16">
        <f t="shared" si="746"/>
        <v>0</v>
      </c>
      <c r="AF301" s="16">
        <f t="shared" si="746"/>
        <v>0</v>
      </c>
      <c r="AG301" s="16">
        <f t="shared" si="746"/>
        <v>0</v>
      </c>
      <c r="AH301" s="16">
        <f t="shared" si="746"/>
        <v>0</v>
      </c>
      <c r="AI301" s="16">
        <f t="shared" si="746"/>
        <v>0</v>
      </c>
      <c r="AJ301" s="16">
        <f t="shared" si="746"/>
        <v>0</v>
      </c>
      <c r="AK301" s="16">
        <f t="shared" si="746"/>
        <v>0</v>
      </c>
      <c r="AL301" s="16">
        <f t="shared" si="746"/>
        <v>0</v>
      </c>
      <c r="AM301" s="16">
        <f t="shared" si="746"/>
        <v>0</v>
      </c>
      <c r="AN301" s="16">
        <f t="shared" si="746"/>
        <v>0</v>
      </c>
      <c r="AO301" s="16">
        <f t="shared" si="746"/>
        <v>0</v>
      </c>
      <c r="AP301" s="16">
        <f t="shared" si="746"/>
        <v>0</v>
      </c>
      <c r="AQ301" s="16">
        <f t="shared" si="746"/>
        <v>0</v>
      </c>
      <c r="AR301" s="16">
        <f t="shared" si="746"/>
        <v>0</v>
      </c>
      <c r="AS301" s="16">
        <f t="shared" si="746"/>
        <v>0</v>
      </c>
      <c r="AT301" s="16">
        <f t="shared" si="746"/>
        <v>0</v>
      </c>
      <c r="AU301" s="16">
        <f t="shared" si="746"/>
        <v>0</v>
      </c>
      <c r="AV301" s="16">
        <f t="shared" si="746"/>
        <v>0</v>
      </c>
      <c r="AW301" s="16">
        <f t="shared" si="746"/>
        <v>0</v>
      </c>
      <c r="AX301" s="13">
        <f t="shared" si="746"/>
        <v>0</v>
      </c>
      <c r="AY301" s="13">
        <f t="shared" si="746"/>
        <v>0</v>
      </c>
      <c r="AZ301" s="13">
        <f t="shared" si="746"/>
        <v>0</v>
      </c>
      <c r="BA301" s="13">
        <f t="shared" si="746"/>
        <v>0</v>
      </c>
      <c r="BB301" s="13">
        <f t="shared" si="746"/>
        <v>0</v>
      </c>
      <c r="BC301" s="13">
        <f t="shared" si="746"/>
        <v>0</v>
      </c>
      <c r="BD301" s="13">
        <f t="shared" si="746"/>
        <v>0</v>
      </c>
      <c r="BE301" s="13">
        <f t="shared" si="746"/>
        <v>0</v>
      </c>
      <c r="BF301" s="13">
        <f t="shared" si="746"/>
        <v>0</v>
      </c>
      <c r="BG301" s="13">
        <f t="shared" si="746"/>
        <v>0</v>
      </c>
      <c r="BH301" s="169">
        <f t="shared" si="746"/>
        <v>0</v>
      </c>
      <c r="BI301" s="167">
        <f t="shared" si="746"/>
        <v>0</v>
      </c>
      <c r="BJ301" s="16">
        <f t="shared" si="746"/>
        <v>0</v>
      </c>
      <c r="BK301" s="16">
        <f t="shared" si="746"/>
        <v>0</v>
      </c>
      <c r="BL301" s="16">
        <f t="shared" si="746"/>
        <v>0</v>
      </c>
      <c r="BM301" s="16">
        <f t="shared" si="746"/>
        <v>0</v>
      </c>
      <c r="BN301" s="16">
        <f t="shared" si="746"/>
        <v>0</v>
      </c>
      <c r="BO301" s="16">
        <f t="shared" si="746"/>
        <v>0</v>
      </c>
      <c r="BP301" s="16">
        <f t="shared" si="746"/>
        <v>0</v>
      </c>
      <c r="BQ301" s="16">
        <f t="shared" si="746"/>
        <v>0</v>
      </c>
      <c r="BR301" s="16">
        <f t="shared" si="746"/>
        <v>0</v>
      </c>
      <c r="BS301" s="13">
        <f t="shared" si="746"/>
        <v>0</v>
      </c>
      <c r="BT301" s="13">
        <f t="shared" si="746"/>
        <v>0</v>
      </c>
      <c r="BU301" s="169">
        <f t="shared" ref="BU301:CA301" si="747">SUMIF($F$12:$F$451,"=3122",BU$12:BU$451)</f>
        <v>0</v>
      </c>
      <c r="BV301" s="167">
        <f t="shared" si="747"/>
        <v>0</v>
      </c>
      <c r="BW301" s="16">
        <f t="shared" si="747"/>
        <v>0</v>
      </c>
      <c r="BX301" s="16">
        <f t="shared" si="747"/>
        <v>0</v>
      </c>
      <c r="BY301" s="16">
        <f t="shared" si="747"/>
        <v>0</v>
      </c>
      <c r="BZ301" s="16">
        <f t="shared" si="747"/>
        <v>0</v>
      </c>
      <c r="CA301" s="17">
        <f t="shared" si="747"/>
        <v>0</v>
      </c>
    </row>
    <row r="302" spans="1:79" x14ac:dyDescent="0.2">
      <c r="D302" s="9"/>
      <c r="E302" s="5"/>
      <c r="F302" s="9"/>
      <c r="G302" s="20"/>
      <c r="H302" s="2">
        <v>3124</v>
      </c>
      <c r="I302" s="167">
        <f t="shared" ref="I302:BT302" si="748">SUMIF($F$12:$F$451,"=3124",I$12:I$451)</f>
        <v>4110107</v>
      </c>
      <c r="J302" s="16">
        <f t="shared" si="748"/>
        <v>3039835</v>
      </c>
      <c r="K302" s="16">
        <f t="shared" si="748"/>
        <v>2937341</v>
      </c>
      <c r="L302" s="16">
        <f t="shared" si="748"/>
        <v>102494</v>
      </c>
      <c r="M302" s="16">
        <f t="shared" si="748"/>
        <v>0</v>
      </c>
      <c r="N302" s="16">
        <f t="shared" si="748"/>
        <v>0</v>
      </c>
      <c r="O302" s="16">
        <f t="shared" si="748"/>
        <v>0</v>
      </c>
      <c r="P302" s="16">
        <f t="shared" si="748"/>
        <v>1027464</v>
      </c>
      <c r="Q302" s="16">
        <f t="shared" si="748"/>
        <v>30398</v>
      </c>
      <c r="R302" s="16">
        <f t="shared" si="748"/>
        <v>12410</v>
      </c>
      <c r="S302" s="13">
        <f t="shared" si="748"/>
        <v>4.6234000000000002</v>
      </c>
      <c r="T302" s="13">
        <f t="shared" si="748"/>
        <v>4.3174999999999999</v>
      </c>
      <c r="U302" s="17">
        <f t="shared" si="748"/>
        <v>0.30590000000000001</v>
      </c>
      <c r="V302" s="168">
        <f t="shared" si="748"/>
        <v>0</v>
      </c>
      <c r="W302" s="16">
        <f t="shared" si="748"/>
        <v>0</v>
      </c>
      <c r="X302" s="16">
        <f t="shared" si="748"/>
        <v>0</v>
      </c>
      <c r="Y302" s="16">
        <f t="shared" si="748"/>
        <v>0</v>
      </c>
      <c r="Z302" s="16">
        <f t="shared" si="748"/>
        <v>0</v>
      </c>
      <c r="AA302" s="16">
        <f t="shared" si="748"/>
        <v>0</v>
      </c>
      <c r="AB302" s="16">
        <f t="shared" si="748"/>
        <v>0</v>
      </c>
      <c r="AC302" s="16">
        <f t="shared" si="748"/>
        <v>0</v>
      </c>
      <c r="AD302" s="16">
        <f t="shared" si="748"/>
        <v>0</v>
      </c>
      <c r="AE302" s="16">
        <f t="shared" si="748"/>
        <v>0</v>
      </c>
      <c r="AF302" s="16">
        <f t="shared" si="748"/>
        <v>0</v>
      </c>
      <c r="AG302" s="16">
        <f t="shared" si="748"/>
        <v>0</v>
      </c>
      <c r="AH302" s="16">
        <f t="shared" si="748"/>
        <v>0</v>
      </c>
      <c r="AI302" s="16">
        <f t="shared" si="748"/>
        <v>0</v>
      </c>
      <c r="AJ302" s="16">
        <f t="shared" si="748"/>
        <v>0</v>
      </c>
      <c r="AK302" s="16">
        <f t="shared" si="748"/>
        <v>0</v>
      </c>
      <c r="AL302" s="16">
        <f t="shared" si="748"/>
        <v>0</v>
      </c>
      <c r="AM302" s="16">
        <f t="shared" si="748"/>
        <v>0</v>
      </c>
      <c r="AN302" s="16">
        <f t="shared" si="748"/>
        <v>0</v>
      </c>
      <c r="AO302" s="16">
        <f t="shared" si="748"/>
        <v>0</v>
      </c>
      <c r="AP302" s="16">
        <f t="shared" si="748"/>
        <v>0</v>
      </c>
      <c r="AQ302" s="16">
        <f t="shared" si="748"/>
        <v>0</v>
      </c>
      <c r="AR302" s="16">
        <f t="shared" si="748"/>
        <v>0</v>
      </c>
      <c r="AS302" s="16">
        <f t="shared" si="748"/>
        <v>0</v>
      </c>
      <c r="AT302" s="16">
        <f t="shared" si="748"/>
        <v>0</v>
      </c>
      <c r="AU302" s="16">
        <f t="shared" si="748"/>
        <v>0</v>
      </c>
      <c r="AV302" s="16">
        <f t="shared" si="748"/>
        <v>0</v>
      </c>
      <c r="AW302" s="16">
        <f t="shared" si="748"/>
        <v>0</v>
      </c>
      <c r="AX302" s="13">
        <f t="shared" si="748"/>
        <v>0</v>
      </c>
      <c r="AY302" s="13">
        <f t="shared" si="748"/>
        <v>0</v>
      </c>
      <c r="AZ302" s="13">
        <f t="shared" si="748"/>
        <v>0</v>
      </c>
      <c r="BA302" s="13">
        <f t="shared" si="748"/>
        <v>0</v>
      </c>
      <c r="BB302" s="13">
        <f t="shared" si="748"/>
        <v>0</v>
      </c>
      <c r="BC302" s="13">
        <f t="shared" si="748"/>
        <v>0</v>
      </c>
      <c r="BD302" s="13">
        <f t="shared" si="748"/>
        <v>0</v>
      </c>
      <c r="BE302" s="13">
        <f t="shared" si="748"/>
        <v>0</v>
      </c>
      <c r="BF302" s="13">
        <f t="shared" si="748"/>
        <v>0</v>
      </c>
      <c r="BG302" s="13">
        <f t="shared" si="748"/>
        <v>0</v>
      </c>
      <c r="BH302" s="169">
        <f t="shared" si="748"/>
        <v>0</v>
      </c>
      <c r="BI302" s="167">
        <f t="shared" si="748"/>
        <v>4110107</v>
      </c>
      <c r="BJ302" s="16">
        <f t="shared" si="748"/>
        <v>3039835</v>
      </c>
      <c r="BK302" s="16">
        <f t="shared" si="748"/>
        <v>2937341</v>
      </c>
      <c r="BL302" s="16">
        <f t="shared" si="748"/>
        <v>102494</v>
      </c>
      <c r="BM302" s="16">
        <f t="shared" si="748"/>
        <v>0</v>
      </c>
      <c r="BN302" s="16">
        <f t="shared" si="748"/>
        <v>0</v>
      </c>
      <c r="BO302" s="16">
        <f t="shared" si="748"/>
        <v>0</v>
      </c>
      <c r="BP302" s="16">
        <f t="shared" si="748"/>
        <v>1027464</v>
      </c>
      <c r="BQ302" s="16">
        <f t="shared" si="748"/>
        <v>30398</v>
      </c>
      <c r="BR302" s="16">
        <f t="shared" si="748"/>
        <v>12410</v>
      </c>
      <c r="BS302" s="13">
        <f t="shared" si="748"/>
        <v>4.6234000000000002</v>
      </c>
      <c r="BT302" s="13">
        <f t="shared" si="748"/>
        <v>4.3174999999999999</v>
      </c>
      <c r="BU302" s="169">
        <f t="shared" ref="BU302:CA302" si="749">SUMIF($F$12:$F$451,"=3124",BU$12:BU$451)</f>
        <v>0.30590000000000001</v>
      </c>
      <c r="BV302" s="167">
        <f t="shared" si="749"/>
        <v>0</v>
      </c>
      <c r="BW302" s="16">
        <f t="shared" si="749"/>
        <v>0</v>
      </c>
      <c r="BX302" s="16">
        <f t="shared" si="749"/>
        <v>0</v>
      </c>
      <c r="BY302" s="16">
        <f t="shared" si="749"/>
        <v>0</v>
      </c>
      <c r="BZ302" s="16">
        <f t="shared" si="749"/>
        <v>0</v>
      </c>
      <c r="CA302" s="17">
        <f t="shared" si="749"/>
        <v>0</v>
      </c>
    </row>
    <row r="303" spans="1:79" x14ac:dyDescent="0.2">
      <c r="D303" s="9"/>
      <c r="E303" s="5"/>
      <c r="F303" s="9"/>
      <c r="G303" s="20"/>
      <c r="H303" s="2">
        <v>3141</v>
      </c>
      <c r="I303" s="167">
        <f t="shared" ref="I303:BT303" si="750">SUMIF($F$12:$F$451,"=3141",I$12:I$451)</f>
        <v>49398381</v>
      </c>
      <c r="J303" s="16">
        <f t="shared" si="750"/>
        <v>36230104</v>
      </c>
      <c r="K303" s="16">
        <f t="shared" si="750"/>
        <v>0</v>
      </c>
      <c r="L303" s="16">
        <f t="shared" si="750"/>
        <v>36230104</v>
      </c>
      <c r="M303" s="16">
        <f t="shared" si="750"/>
        <v>201400</v>
      </c>
      <c r="N303" s="16">
        <f t="shared" si="750"/>
        <v>0</v>
      </c>
      <c r="O303" s="16">
        <f t="shared" si="750"/>
        <v>201400</v>
      </c>
      <c r="P303" s="16">
        <f t="shared" si="750"/>
        <v>12313846</v>
      </c>
      <c r="Q303" s="16">
        <f t="shared" si="750"/>
        <v>362299</v>
      </c>
      <c r="R303" s="16">
        <f t="shared" si="750"/>
        <v>290732</v>
      </c>
      <c r="S303" s="13">
        <f t="shared" si="750"/>
        <v>108.83000000000004</v>
      </c>
      <c r="T303" s="13">
        <f t="shared" si="750"/>
        <v>0</v>
      </c>
      <c r="U303" s="17">
        <f t="shared" si="750"/>
        <v>108.83000000000004</v>
      </c>
      <c r="V303" s="168">
        <f t="shared" si="750"/>
        <v>0</v>
      </c>
      <c r="W303" s="16">
        <f t="shared" si="750"/>
        <v>0</v>
      </c>
      <c r="X303" s="16">
        <f t="shared" si="750"/>
        <v>0</v>
      </c>
      <c r="Y303" s="16">
        <f t="shared" si="750"/>
        <v>0</v>
      </c>
      <c r="Z303" s="16">
        <f t="shared" si="750"/>
        <v>0</v>
      </c>
      <c r="AA303" s="16">
        <f t="shared" si="750"/>
        <v>18089737</v>
      </c>
      <c r="AB303" s="16">
        <f t="shared" si="750"/>
        <v>0</v>
      </c>
      <c r="AC303" s="16">
        <f t="shared" si="750"/>
        <v>115606</v>
      </c>
      <c r="AD303" s="16">
        <f t="shared" si="750"/>
        <v>0</v>
      </c>
      <c r="AE303" s="16">
        <f t="shared" si="750"/>
        <v>18205343</v>
      </c>
      <c r="AF303" s="16">
        <f t="shared" si="750"/>
        <v>18205343</v>
      </c>
      <c r="AG303" s="16">
        <f t="shared" si="750"/>
        <v>0</v>
      </c>
      <c r="AH303" s="16">
        <f t="shared" si="750"/>
        <v>0</v>
      </c>
      <c r="AI303" s="16">
        <f t="shared" si="750"/>
        <v>0</v>
      </c>
      <c r="AJ303" s="16">
        <f t="shared" si="750"/>
        <v>0</v>
      </c>
      <c r="AK303" s="16">
        <f t="shared" si="750"/>
        <v>0</v>
      </c>
      <c r="AL303" s="16">
        <f t="shared" si="750"/>
        <v>0</v>
      </c>
      <c r="AM303" s="16">
        <f t="shared" si="750"/>
        <v>0</v>
      </c>
      <c r="AN303" s="16">
        <f t="shared" si="750"/>
        <v>0</v>
      </c>
      <c r="AO303" s="16">
        <f t="shared" si="750"/>
        <v>0</v>
      </c>
      <c r="AP303" s="16">
        <f t="shared" si="750"/>
        <v>18205343</v>
      </c>
      <c r="AQ303" s="16">
        <f t="shared" si="750"/>
        <v>18205343</v>
      </c>
      <c r="AR303" s="16">
        <f t="shared" si="750"/>
        <v>6153407</v>
      </c>
      <c r="AS303" s="16">
        <f t="shared" si="750"/>
        <v>182055</v>
      </c>
      <c r="AT303" s="16">
        <f t="shared" si="750"/>
        <v>0</v>
      </c>
      <c r="AU303" s="16">
        <f t="shared" si="750"/>
        <v>140912</v>
      </c>
      <c r="AV303" s="16">
        <f t="shared" si="750"/>
        <v>140912</v>
      </c>
      <c r="AW303" s="16">
        <f t="shared" si="750"/>
        <v>24681717</v>
      </c>
      <c r="AX303" s="13">
        <f t="shared" si="750"/>
        <v>0</v>
      </c>
      <c r="AY303" s="13">
        <f t="shared" si="750"/>
        <v>0</v>
      </c>
      <c r="AZ303" s="13">
        <f t="shared" si="750"/>
        <v>0</v>
      </c>
      <c r="BA303" s="13">
        <f t="shared" si="750"/>
        <v>0</v>
      </c>
      <c r="BB303" s="13">
        <f t="shared" si="750"/>
        <v>54.279999999999994</v>
      </c>
      <c r="BC303" s="13">
        <f t="shared" si="750"/>
        <v>0</v>
      </c>
      <c r="BD303" s="13">
        <f t="shared" si="750"/>
        <v>0</v>
      </c>
      <c r="BE303" s="13">
        <f t="shared" si="750"/>
        <v>0.35</v>
      </c>
      <c r="BF303" s="13">
        <f t="shared" si="750"/>
        <v>0</v>
      </c>
      <c r="BG303" s="13">
        <f t="shared" si="750"/>
        <v>54.63</v>
      </c>
      <c r="BH303" s="169">
        <f t="shared" si="750"/>
        <v>54.63</v>
      </c>
      <c r="BI303" s="167">
        <f t="shared" si="750"/>
        <v>74080098</v>
      </c>
      <c r="BJ303" s="16">
        <f t="shared" si="750"/>
        <v>54435447</v>
      </c>
      <c r="BK303" s="16">
        <f t="shared" si="750"/>
        <v>0</v>
      </c>
      <c r="BL303" s="16">
        <f t="shared" si="750"/>
        <v>54435447</v>
      </c>
      <c r="BM303" s="16">
        <f t="shared" si="750"/>
        <v>201400</v>
      </c>
      <c r="BN303" s="16">
        <f t="shared" si="750"/>
        <v>0</v>
      </c>
      <c r="BO303" s="16">
        <f t="shared" si="750"/>
        <v>201400</v>
      </c>
      <c r="BP303" s="16">
        <f t="shared" si="750"/>
        <v>18467253</v>
      </c>
      <c r="BQ303" s="16">
        <f t="shared" si="750"/>
        <v>544354</v>
      </c>
      <c r="BR303" s="16">
        <f t="shared" si="750"/>
        <v>431644</v>
      </c>
      <c r="BS303" s="13">
        <f t="shared" si="750"/>
        <v>163.46</v>
      </c>
      <c r="BT303" s="13">
        <f t="shared" si="750"/>
        <v>0</v>
      </c>
      <c r="BU303" s="169">
        <f t="shared" ref="BU303:CA303" si="751">SUMIF($F$12:$F$451,"=3141",BU$12:BU$451)</f>
        <v>163.46</v>
      </c>
      <c r="BV303" s="167">
        <f t="shared" si="751"/>
        <v>0</v>
      </c>
      <c r="BW303" s="16">
        <f t="shared" si="751"/>
        <v>0</v>
      </c>
      <c r="BX303" s="16">
        <f t="shared" si="751"/>
        <v>0</v>
      </c>
      <c r="BY303" s="16">
        <f t="shared" si="751"/>
        <v>0</v>
      </c>
      <c r="BZ303" s="16">
        <f t="shared" si="751"/>
        <v>0</v>
      </c>
      <c r="CA303" s="17">
        <f t="shared" si="751"/>
        <v>0</v>
      </c>
    </row>
    <row r="304" spans="1:79" x14ac:dyDescent="0.2">
      <c r="D304" s="9"/>
      <c r="E304" s="5"/>
      <c r="F304" s="9"/>
      <c r="G304" s="20"/>
      <c r="H304" s="2">
        <v>3143</v>
      </c>
      <c r="I304" s="167">
        <f t="shared" ref="I304:BT304" si="752">SUMIF($F$12:$F$451,"=3143",I$12:I$451)</f>
        <v>59080734</v>
      </c>
      <c r="J304" s="16">
        <f t="shared" si="752"/>
        <v>43515576</v>
      </c>
      <c r="K304" s="16">
        <f t="shared" si="752"/>
        <v>42623865</v>
      </c>
      <c r="L304" s="16">
        <f t="shared" si="752"/>
        <v>891711</v>
      </c>
      <c r="M304" s="16">
        <f t="shared" si="752"/>
        <v>283000</v>
      </c>
      <c r="N304" s="16">
        <f t="shared" si="752"/>
        <v>283000</v>
      </c>
      <c r="O304" s="16">
        <f t="shared" si="752"/>
        <v>0</v>
      </c>
      <c r="P304" s="16">
        <f t="shared" si="752"/>
        <v>14803919</v>
      </c>
      <c r="Q304" s="16">
        <f t="shared" si="752"/>
        <v>435153</v>
      </c>
      <c r="R304" s="16">
        <f t="shared" si="752"/>
        <v>43086</v>
      </c>
      <c r="S304" s="13">
        <f t="shared" si="752"/>
        <v>89.205299999999994</v>
      </c>
      <c r="T304" s="13">
        <f t="shared" si="752"/>
        <v>85.815300000000022</v>
      </c>
      <c r="U304" s="17">
        <f t="shared" si="752"/>
        <v>3.3899999999999992</v>
      </c>
      <c r="V304" s="168">
        <f t="shared" si="752"/>
        <v>0</v>
      </c>
      <c r="W304" s="16">
        <f t="shared" si="752"/>
        <v>0</v>
      </c>
      <c r="X304" s="16">
        <f t="shared" si="752"/>
        <v>0</v>
      </c>
      <c r="Y304" s="16">
        <f t="shared" si="752"/>
        <v>0</v>
      </c>
      <c r="Z304" s="16">
        <f t="shared" si="752"/>
        <v>0</v>
      </c>
      <c r="AA304" s="16">
        <f t="shared" si="752"/>
        <v>445889</v>
      </c>
      <c r="AB304" s="16">
        <f t="shared" si="752"/>
        <v>0</v>
      </c>
      <c r="AC304" s="16">
        <f t="shared" si="752"/>
        <v>0</v>
      </c>
      <c r="AD304" s="16">
        <f t="shared" si="752"/>
        <v>0</v>
      </c>
      <c r="AE304" s="16">
        <f t="shared" si="752"/>
        <v>445889</v>
      </c>
      <c r="AF304" s="16">
        <f t="shared" si="752"/>
        <v>445889</v>
      </c>
      <c r="AG304" s="16">
        <f t="shared" si="752"/>
        <v>0</v>
      </c>
      <c r="AH304" s="16">
        <f t="shared" si="752"/>
        <v>0</v>
      </c>
      <c r="AI304" s="16">
        <f t="shared" si="752"/>
        <v>0</v>
      </c>
      <c r="AJ304" s="16">
        <f t="shared" si="752"/>
        <v>0</v>
      </c>
      <c r="AK304" s="16">
        <f t="shared" si="752"/>
        <v>0</v>
      </c>
      <c r="AL304" s="16">
        <f t="shared" si="752"/>
        <v>0</v>
      </c>
      <c r="AM304" s="16">
        <f t="shared" si="752"/>
        <v>0</v>
      </c>
      <c r="AN304" s="16">
        <f t="shared" si="752"/>
        <v>0</v>
      </c>
      <c r="AO304" s="16">
        <f t="shared" si="752"/>
        <v>0</v>
      </c>
      <c r="AP304" s="16">
        <f t="shared" si="752"/>
        <v>445889</v>
      </c>
      <c r="AQ304" s="16">
        <f t="shared" si="752"/>
        <v>445889</v>
      </c>
      <c r="AR304" s="16">
        <f t="shared" si="752"/>
        <v>150710</v>
      </c>
      <c r="AS304" s="16">
        <f t="shared" si="752"/>
        <v>4457</v>
      </c>
      <c r="AT304" s="16">
        <f t="shared" si="752"/>
        <v>0</v>
      </c>
      <c r="AU304" s="16">
        <f t="shared" si="752"/>
        <v>21543</v>
      </c>
      <c r="AV304" s="16">
        <f t="shared" si="752"/>
        <v>21543</v>
      </c>
      <c r="AW304" s="16">
        <f t="shared" si="752"/>
        <v>622599</v>
      </c>
      <c r="AX304" s="13">
        <f t="shared" si="752"/>
        <v>0</v>
      </c>
      <c r="AY304" s="13">
        <f t="shared" si="752"/>
        <v>0</v>
      </c>
      <c r="AZ304" s="13">
        <f t="shared" si="752"/>
        <v>0</v>
      </c>
      <c r="BA304" s="13">
        <f t="shared" si="752"/>
        <v>0</v>
      </c>
      <c r="BB304" s="13">
        <f t="shared" si="752"/>
        <v>1.6800000000000006</v>
      </c>
      <c r="BC304" s="13">
        <f t="shared" si="752"/>
        <v>0</v>
      </c>
      <c r="BD304" s="13">
        <f t="shared" si="752"/>
        <v>0</v>
      </c>
      <c r="BE304" s="13">
        <f t="shared" si="752"/>
        <v>0</v>
      </c>
      <c r="BF304" s="13">
        <f t="shared" si="752"/>
        <v>0</v>
      </c>
      <c r="BG304" s="13">
        <f t="shared" si="752"/>
        <v>1.6800000000000006</v>
      </c>
      <c r="BH304" s="169">
        <f t="shared" si="752"/>
        <v>1.6800000000000006</v>
      </c>
      <c r="BI304" s="167">
        <f t="shared" si="752"/>
        <v>59703333</v>
      </c>
      <c r="BJ304" s="16">
        <f t="shared" si="752"/>
        <v>43961465</v>
      </c>
      <c r="BK304" s="16">
        <f t="shared" si="752"/>
        <v>42623865</v>
      </c>
      <c r="BL304" s="16">
        <f t="shared" si="752"/>
        <v>1337600</v>
      </c>
      <c r="BM304" s="16">
        <f t="shared" si="752"/>
        <v>283000</v>
      </c>
      <c r="BN304" s="16">
        <f t="shared" si="752"/>
        <v>283000</v>
      </c>
      <c r="BO304" s="16">
        <f t="shared" si="752"/>
        <v>0</v>
      </c>
      <c r="BP304" s="16">
        <f t="shared" si="752"/>
        <v>14954629</v>
      </c>
      <c r="BQ304" s="16">
        <f t="shared" si="752"/>
        <v>439610</v>
      </c>
      <c r="BR304" s="16">
        <f t="shared" si="752"/>
        <v>64629</v>
      </c>
      <c r="BS304" s="13">
        <f t="shared" si="752"/>
        <v>90.885300000000058</v>
      </c>
      <c r="BT304" s="13">
        <f t="shared" si="752"/>
        <v>85.815300000000022</v>
      </c>
      <c r="BU304" s="169">
        <f t="shared" ref="BU304:CA304" si="753">SUMIF($F$12:$F$451,"=3143",BU$12:BU$451)</f>
        <v>5.0699999999999994</v>
      </c>
      <c r="BV304" s="167">
        <f t="shared" si="753"/>
        <v>0</v>
      </c>
      <c r="BW304" s="16">
        <f t="shared" si="753"/>
        <v>0</v>
      </c>
      <c r="BX304" s="16">
        <f t="shared" si="753"/>
        <v>0</v>
      </c>
      <c r="BY304" s="16">
        <f t="shared" si="753"/>
        <v>0</v>
      </c>
      <c r="BZ304" s="16">
        <f t="shared" si="753"/>
        <v>0</v>
      </c>
      <c r="CA304" s="17">
        <f t="shared" si="753"/>
        <v>0</v>
      </c>
    </row>
    <row r="305" spans="4:79" x14ac:dyDescent="0.2">
      <c r="D305" s="9"/>
      <c r="E305" s="5"/>
      <c r="F305" s="9"/>
      <c r="G305" s="20"/>
      <c r="H305" s="2">
        <v>3231</v>
      </c>
      <c r="I305" s="167">
        <f t="shared" ref="I305:BT305" si="754">SUMIF($F$12:$F$451,"=3231",I$12:I$451)</f>
        <v>62634262</v>
      </c>
      <c r="J305" s="16">
        <f t="shared" si="754"/>
        <v>46354858</v>
      </c>
      <c r="K305" s="16">
        <f t="shared" si="754"/>
        <v>44680639</v>
      </c>
      <c r="L305" s="16">
        <f t="shared" si="754"/>
        <v>1674219</v>
      </c>
      <c r="M305" s="16">
        <f t="shared" si="754"/>
        <v>55300</v>
      </c>
      <c r="N305" s="16">
        <f t="shared" si="754"/>
        <v>0</v>
      </c>
      <c r="O305" s="16">
        <f t="shared" si="754"/>
        <v>55300</v>
      </c>
      <c r="P305" s="16">
        <f t="shared" si="754"/>
        <v>15686634</v>
      </c>
      <c r="Q305" s="16">
        <f t="shared" si="754"/>
        <v>463549</v>
      </c>
      <c r="R305" s="16">
        <f t="shared" si="754"/>
        <v>73921</v>
      </c>
      <c r="S305" s="13">
        <f t="shared" si="754"/>
        <v>75.347499999999997</v>
      </c>
      <c r="T305" s="13">
        <f t="shared" si="754"/>
        <v>70.6845</v>
      </c>
      <c r="U305" s="17">
        <f t="shared" si="754"/>
        <v>4.6630000000000003</v>
      </c>
      <c r="V305" s="168">
        <f t="shared" si="754"/>
        <v>0</v>
      </c>
      <c r="W305" s="16">
        <f t="shared" si="754"/>
        <v>0</v>
      </c>
      <c r="X305" s="16">
        <f t="shared" si="754"/>
        <v>0</v>
      </c>
      <c r="Y305" s="16">
        <f t="shared" si="754"/>
        <v>0</v>
      </c>
      <c r="Z305" s="16">
        <f t="shared" si="754"/>
        <v>0</v>
      </c>
      <c r="AA305" s="16">
        <f t="shared" si="754"/>
        <v>0</v>
      </c>
      <c r="AB305" s="16">
        <f t="shared" si="754"/>
        <v>0</v>
      </c>
      <c r="AC305" s="16">
        <f t="shared" si="754"/>
        <v>0</v>
      </c>
      <c r="AD305" s="16">
        <f t="shared" si="754"/>
        <v>0</v>
      </c>
      <c r="AE305" s="16">
        <f t="shared" si="754"/>
        <v>0</v>
      </c>
      <c r="AF305" s="16">
        <f t="shared" si="754"/>
        <v>0</v>
      </c>
      <c r="AG305" s="16">
        <f t="shared" si="754"/>
        <v>0</v>
      </c>
      <c r="AH305" s="16">
        <f t="shared" si="754"/>
        <v>0</v>
      </c>
      <c r="AI305" s="16">
        <f t="shared" si="754"/>
        <v>0</v>
      </c>
      <c r="AJ305" s="16">
        <f t="shared" si="754"/>
        <v>0</v>
      </c>
      <c r="AK305" s="16">
        <f t="shared" si="754"/>
        <v>0</v>
      </c>
      <c r="AL305" s="16">
        <f t="shared" si="754"/>
        <v>0</v>
      </c>
      <c r="AM305" s="16">
        <f t="shared" si="754"/>
        <v>0</v>
      </c>
      <c r="AN305" s="16">
        <f t="shared" si="754"/>
        <v>0</v>
      </c>
      <c r="AO305" s="16">
        <f t="shared" si="754"/>
        <v>0</v>
      </c>
      <c r="AP305" s="16">
        <f t="shared" si="754"/>
        <v>0</v>
      </c>
      <c r="AQ305" s="16">
        <f t="shared" si="754"/>
        <v>0</v>
      </c>
      <c r="AR305" s="16">
        <f t="shared" si="754"/>
        <v>0</v>
      </c>
      <c r="AS305" s="16">
        <f t="shared" si="754"/>
        <v>0</v>
      </c>
      <c r="AT305" s="16">
        <f t="shared" si="754"/>
        <v>0</v>
      </c>
      <c r="AU305" s="16">
        <f t="shared" si="754"/>
        <v>0</v>
      </c>
      <c r="AV305" s="16">
        <f t="shared" si="754"/>
        <v>0</v>
      </c>
      <c r="AW305" s="16">
        <f t="shared" si="754"/>
        <v>0</v>
      </c>
      <c r="AX305" s="13">
        <f t="shared" si="754"/>
        <v>0</v>
      </c>
      <c r="AY305" s="13">
        <f t="shared" si="754"/>
        <v>0</v>
      </c>
      <c r="AZ305" s="13">
        <f t="shared" si="754"/>
        <v>0</v>
      </c>
      <c r="BA305" s="13">
        <f t="shared" si="754"/>
        <v>0</v>
      </c>
      <c r="BB305" s="13">
        <f t="shared" si="754"/>
        <v>0</v>
      </c>
      <c r="BC305" s="13">
        <f t="shared" si="754"/>
        <v>0</v>
      </c>
      <c r="BD305" s="13">
        <f t="shared" si="754"/>
        <v>0</v>
      </c>
      <c r="BE305" s="13">
        <f t="shared" si="754"/>
        <v>0</v>
      </c>
      <c r="BF305" s="13">
        <f t="shared" si="754"/>
        <v>0</v>
      </c>
      <c r="BG305" s="13">
        <f t="shared" si="754"/>
        <v>0</v>
      </c>
      <c r="BH305" s="169">
        <f t="shared" si="754"/>
        <v>0</v>
      </c>
      <c r="BI305" s="167">
        <f t="shared" si="754"/>
        <v>62634262</v>
      </c>
      <c r="BJ305" s="16">
        <f t="shared" si="754"/>
        <v>46354858</v>
      </c>
      <c r="BK305" s="16">
        <f t="shared" si="754"/>
        <v>44680639</v>
      </c>
      <c r="BL305" s="16">
        <f t="shared" si="754"/>
        <v>1674219</v>
      </c>
      <c r="BM305" s="16">
        <f t="shared" si="754"/>
        <v>55300</v>
      </c>
      <c r="BN305" s="16">
        <f t="shared" si="754"/>
        <v>0</v>
      </c>
      <c r="BO305" s="16">
        <f t="shared" si="754"/>
        <v>55300</v>
      </c>
      <c r="BP305" s="16">
        <f t="shared" si="754"/>
        <v>15686634</v>
      </c>
      <c r="BQ305" s="16">
        <f t="shared" si="754"/>
        <v>463549</v>
      </c>
      <c r="BR305" s="16">
        <f t="shared" si="754"/>
        <v>73921</v>
      </c>
      <c r="BS305" s="13">
        <f t="shared" si="754"/>
        <v>75.347499999999997</v>
      </c>
      <c r="BT305" s="13">
        <f t="shared" si="754"/>
        <v>70.6845</v>
      </c>
      <c r="BU305" s="169">
        <f t="shared" ref="BU305:CA305" si="755">SUMIF($F$12:$F$451,"=3231",BU$12:BU$451)</f>
        <v>4.6630000000000003</v>
      </c>
      <c r="BV305" s="167">
        <f t="shared" si="755"/>
        <v>0</v>
      </c>
      <c r="BW305" s="16">
        <f t="shared" si="755"/>
        <v>0</v>
      </c>
      <c r="BX305" s="16">
        <f t="shared" si="755"/>
        <v>0</v>
      </c>
      <c r="BY305" s="16">
        <f t="shared" si="755"/>
        <v>0</v>
      </c>
      <c r="BZ305" s="16">
        <f t="shared" si="755"/>
        <v>0</v>
      </c>
      <c r="CA305" s="17">
        <f t="shared" si="755"/>
        <v>0</v>
      </c>
    </row>
    <row r="306" spans="4:79" ht="13.5" thickBot="1" x14ac:dyDescent="0.25">
      <c r="D306" s="9"/>
      <c r="E306" s="5"/>
      <c r="F306" s="9"/>
      <c r="G306" s="20"/>
      <c r="H306" s="151">
        <v>3233</v>
      </c>
      <c r="I306" s="170">
        <f t="shared" ref="I306:BT306" si="756">SUMIF($F$12:$F$451,"=3233",I$12:I$451)</f>
        <v>8680817</v>
      </c>
      <c r="J306" s="171">
        <f t="shared" si="756"/>
        <v>5520023</v>
      </c>
      <c r="K306" s="171">
        <f t="shared" si="756"/>
        <v>4501742</v>
      </c>
      <c r="L306" s="171">
        <f t="shared" si="756"/>
        <v>1018281</v>
      </c>
      <c r="M306" s="171">
        <f t="shared" si="756"/>
        <v>920000</v>
      </c>
      <c r="N306" s="171">
        <f t="shared" si="756"/>
        <v>770000</v>
      </c>
      <c r="O306" s="171">
        <f t="shared" si="756"/>
        <v>150000</v>
      </c>
      <c r="P306" s="171">
        <f t="shared" si="756"/>
        <v>2176728</v>
      </c>
      <c r="Q306" s="171">
        <f t="shared" si="756"/>
        <v>55201</v>
      </c>
      <c r="R306" s="171">
        <f t="shared" si="756"/>
        <v>8865</v>
      </c>
      <c r="S306" s="172">
        <f t="shared" si="756"/>
        <v>11.329999999999998</v>
      </c>
      <c r="T306" s="172">
        <f t="shared" si="756"/>
        <v>8.0500000000000007</v>
      </c>
      <c r="U306" s="173">
        <f t="shared" si="756"/>
        <v>3.2799999999999994</v>
      </c>
      <c r="V306" s="174">
        <f t="shared" si="756"/>
        <v>0</v>
      </c>
      <c r="W306" s="171">
        <f t="shared" si="756"/>
        <v>0</v>
      </c>
      <c r="X306" s="171">
        <f t="shared" si="756"/>
        <v>0</v>
      </c>
      <c r="Y306" s="171">
        <f t="shared" si="756"/>
        <v>0</v>
      </c>
      <c r="Z306" s="171">
        <f t="shared" si="756"/>
        <v>0</v>
      </c>
      <c r="AA306" s="171">
        <f t="shared" si="756"/>
        <v>584113</v>
      </c>
      <c r="AB306" s="171">
        <f t="shared" si="756"/>
        <v>0</v>
      </c>
      <c r="AC306" s="171">
        <f t="shared" si="756"/>
        <v>0</v>
      </c>
      <c r="AD306" s="171">
        <f t="shared" si="756"/>
        <v>0</v>
      </c>
      <c r="AE306" s="171">
        <f t="shared" si="756"/>
        <v>584113</v>
      </c>
      <c r="AF306" s="171">
        <f t="shared" si="756"/>
        <v>584113</v>
      </c>
      <c r="AG306" s="171">
        <f t="shared" si="756"/>
        <v>0</v>
      </c>
      <c r="AH306" s="171">
        <f t="shared" si="756"/>
        <v>0</v>
      </c>
      <c r="AI306" s="171">
        <f t="shared" si="756"/>
        <v>0</v>
      </c>
      <c r="AJ306" s="171">
        <f t="shared" si="756"/>
        <v>0</v>
      </c>
      <c r="AK306" s="171">
        <f t="shared" si="756"/>
        <v>0</v>
      </c>
      <c r="AL306" s="171">
        <f t="shared" si="756"/>
        <v>0</v>
      </c>
      <c r="AM306" s="171">
        <f t="shared" si="756"/>
        <v>0</v>
      </c>
      <c r="AN306" s="171">
        <f t="shared" si="756"/>
        <v>0</v>
      </c>
      <c r="AO306" s="171">
        <f t="shared" si="756"/>
        <v>0</v>
      </c>
      <c r="AP306" s="171">
        <f t="shared" si="756"/>
        <v>584113</v>
      </c>
      <c r="AQ306" s="171">
        <f t="shared" si="756"/>
        <v>584113</v>
      </c>
      <c r="AR306" s="171">
        <f t="shared" si="756"/>
        <v>197431</v>
      </c>
      <c r="AS306" s="171">
        <f t="shared" si="756"/>
        <v>5841</v>
      </c>
      <c r="AT306" s="171">
        <f t="shared" si="756"/>
        <v>0</v>
      </c>
      <c r="AU306" s="171">
        <f t="shared" si="756"/>
        <v>3546</v>
      </c>
      <c r="AV306" s="171">
        <f t="shared" si="756"/>
        <v>3546</v>
      </c>
      <c r="AW306" s="171">
        <f t="shared" si="756"/>
        <v>790931</v>
      </c>
      <c r="AX306" s="172">
        <f t="shared" si="756"/>
        <v>0</v>
      </c>
      <c r="AY306" s="172">
        <f t="shared" si="756"/>
        <v>0</v>
      </c>
      <c r="AZ306" s="172">
        <f t="shared" si="756"/>
        <v>0</v>
      </c>
      <c r="BA306" s="172">
        <f t="shared" si="756"/>
        <v>0</v>
      </c>
      <c r="BB306" s="172">
        <f t="shared" si="756"/>
        <v>1.88</v>
      </c>
      <c r="BC306" s="172">
        <f t="shared" si="756"/>
        <v>0</v>
      </c>
      <c r="BD306" s="172">
        <f t="shared" si="756"/>
        <v>0</v>
      </c>
      <c r="BE306" s="172">
        <f t="shared" si="756"/>
        <v>0</v>
      </c>
      <c r="BF306" s="172">
        <f t="shared" si="756"/>
        <v>0</v>
      </c>
      <c r="BG306" s="172">
        <f t="shared" si="756"/>
        <v>1.88</v>
      </c>
      <c r="BH306" s="175">
        <f t="shared" si="756"/>
        <v>1.88</v>
      </c>
      <c r="BI306" s="170">
        <f t="shared" si="756"/>
        <v>9471748</v>
      </c>
      <c r="BJ306" s="171">
        <f t="shared" si="756"/>
        <v>6104136</v>
      </c>
      <c r="BK306" s="171">
        <f t="shared" si="756"/>
        <v>4501742</v>
      </c>
      <c r="BL306" s="171">
        <f t="shared" si="756"/>
        <v>1602394</v>
      </c>
      <c r="BM306" s="171">
        <f t="shared" si="756"/>
        <v>920000</v>
      </c>
      <c r="BN306" s="171">
        <f t="shared" si="756"/>
        <v>770000</v>
      </c>
      <c r="BO306" s="171">
        <f t="shared" si="756"/>
        <v>150000</v>
      </c>
      <c r="BP306" s="171">
        <f t="shared" si="756"/>
        <v>2374159</v>
      </c>
      <c r="BQ306" s="171">
        <f t="shared" si="756"/>
        <v>61042</v>
      </c>
      <c r="BR306" s="171">
        <f t="shared" si="756"/>
        <v>12411</v>
      </c>
      <c r="BS306" s="172">
        <f t="shared" si="756"/>
        <v>13.209999999999997</v>
      </c>
      <c r="BT306" s="172">
        <f t="shared" si="756"/>
        <v>8.0500000000000007</v>
      </c>
      <c r="BU306" s="175">
        <f t="shared" ref="BU306:CA306" si="757">SUMIF($F$12:$F$451,"=3233",BU$12:BU$451)</f>
        <v>5.1599999999999993</v>
      </c>
      <c r="BV306" s="170">
        <f t="shared" si="757"/>
        <v>0</v>
      </c>
      <c r="BW306" s="171">
        <f t="shared" si="757"/>
        <v>0</v>
      </c>
      <c r="BX306" s="171">
        <f t="shared" si="757"/>
        <v>0</v>
      </c>
      <c r="BY306" s="171">
        <f t="shared" si="757"/>
        <v>0</v>
      </c>
      <c r="BZ306" s="171">
        <f t="shared" si="757"/>
        <v>0</v>
      </c>
      <c r="CA306" s="173">
        <f t="shared" si="757"/>
        <v>0</v>
      </c>
    </row>
    <row r="307" spans="4:79" x14ac:dyDescent="0.2">
      <c r="D307" s="5"/>
      <c r="E307" s="5"/>
      <c r="F307" s="5"/>
      <c r="G307" s="20"/>
      <c r="H307" s="5"/>
    </row>
  </sheetData>
  <mergeCells count="54">
    <mergeCell ref="A3:E3"/>
    <mergeCell ref="I8:I10"/>
    <mergeCell ref="I6:U7"/>
    <mergeCell ref="BS8:BS10"/>
    <mergeCell ref="AN9:AN10"/>
    <mergeCell ref="AL9:AM9"/>
    <mergeCell ref="AF9:AF10"/>
    <mergeCell ref="AG9:AH9"/>
    <mergeCell ref="AI9:AI10"/>
    <mergeCell ref="BM9:BM10"/>
    <mergeCell ref="AX8:AY9"/>
    <mergeCell ref="BJ8:BR8"/>
    <mergeCell ref="BR9:BR10"/>
    <mergeCell ref="V6:BH6"/>
    <mergeCell ref="BI6:BU7"/>
    <mergeCell ref="V7:AF8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T8:BU9"/>
    <mergeCell ref="BQ9:BQ10"/>
    <mergeCell ref="BI8:BI10"/>
    <mergeCell ref="AD9:AE9"/>
    <mergeCell ref="BJ9:BJ10"/>
    <mergeCell ref="BK9:BL9"/>
    <mergeCell ref="AW7:AW10"/>
    <mergeCell ref="AJ9:AK9"/>
    <mergeCell ref="AO7:AQ9"/>
    <mergeCell ref="AR7:AR10"/>
    <mergeCell ref="AS7:AS10"/>
    <mergeCell ref="AT7:AV9"/>
    <mergeCell ref="V9:W9"/>
    <mergeCell ref="X9:X10"/>
    <mergeCell ref="Y9:Y10"/>
    <mergeCell ref="AB9:AC9"/>
    <mergeCell ref="BV6:CA7"/>
    <mergeCell ref="BV8:CA9"/>
    <mergeCell ref="BN9:BO9"/>
    <mergeCell ref="BP9:BP10"/>
    <mergeCell ref="AX7:BH7"/>
    <mergeCell ref="AZ8:AZ9"/>
    <mergeCell ref="BA8:BB8"/>
    <mergeCell ref="BC8:BC9"/>
    <mergeCell ref="BD8:BE9"/>
    <mergeCell ref="BF8:BH9"/>
    <mergeCell ref="Z9:AA9"/>
    <mergeCell ref="AG7:AN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A155"/>
  <sheetViews>
    <sheetView zoomScaleNormal="100" workbookViewId="0">
      <pane xSplit="8" ySplit="11" topLeftCell="AU12" activePane="bottomRight" state="frozen"/>
      <selection activeCell="E477" sqref="E477"/>
      <selection pane="topRight" activeCell="E477" sqref="E477"/>
      <selection pane="bottomLeft" activeCell="E477" sqref="E477"/>
      <selection pane="bottomRight" activeCell="BD8" sqref="BD8:BE9"/>
    </sheetView>
  </sheetViews>
  <sheetFormatPr defaultColWidth="9.140625" defaultRowHeight="15" x14ac:dyDescent="0.25"/>
  <cols>
    <col min="1" max="1" width="5.28515625" style="308" customWidth="1"/>
    <col min="2" max="2" width="7.140625" style="250" bestFit="1" customWidth="1"/>
    <col min="3" max="3" width="8.7109375" style="309" bestFit="1" customWidth="1"/>
    <col min="4" max="4" width="7.85546875" style="250" bestFit="1" customWidth="1"/>
    <col min="5" max="5" width="31.42578125" style="316" customWidth="1"/>
    <col min="6" max="6" width="6.42578125" style="309" customWidth="1"/>
    <col min="7" max="7" width="10.28515625" style="250" bestFit="1" customWidth="1"/>
    <col min="8" max="8" width="10" style="250" customWidth="1"/>
    <col min="9" max="9" width="12.140625" style="314" customWidth="1"/>
    <col min="10" max="10" width="11.5703125" style="314" customWidth="1"/>
    <col min="11" max="18" width="10.85546875" style="314" customWidth="1"/>
    <col min="19" max="20" width="9.28515625" style="315" customWidth="1"/>
    <col min="21" max="21" width="9.28515625" style="628" customWidth="1"/>
    <col min="22" max="25" width="10.28515625" style="314" customWidth="1"/>
    <col min="26" max="26" width="10.5703125" style="314" customWidth="1"/>
    <col min="27" max="27" width="10.28515625" style="314" customWidth="1"/>
    <col min="28" max="29" width="8.85546875" style="314" customWidth="1"/>
    <col min="30" max="30" width="10.28515625" style="314" customWidth="1"/>
    <col min="31" max="31" width="9.140625" style="314" customWidth="1"/>
    <col min="32" max="41" width="10.28515625" style="314" customWidth="1"/>
    <col min="42" max="42" width="10.28515625" style="315" customWidth="1"/>
    <col min="43" max="43" width="10" style="315" customWidth="1"/>
    <col min="44" max="44" width="9.28515625" style="315" customWidth="1"/>
    <col min="45" max="45" width="9.140625" style="314" customWidth="1"/>
    <col min="46" max="46" width="9.7109375" style="314" customWidth="1"/>
    <col min="47" max="47" width="11.28515625" style="314" customWidth="1"/>
    <col min="48" max="48" width="10" style="314" customWidth="1"/>
    <col min="49" max="49" width="9.7109375" style="314" customWidth="1"/>
    <col min="50" max="50" width="9.140625" style="315" customWidth="1"/>
    <col min="51" max="51" width="10.42578125" style="315" customWidth="1"/>
    <col min="52" max="52" width="9.140625" style="315" customWidth="1"/>
    <col min="53" max="53" width="10.140625" style="315" customWidth="1"/>
    <col min="54" max="54" width="9.28515625" style="315" customWidth="1"/>
    <col min="55" max="55" width="9.140625" style="315" customWidth="1"/>
    <col min="56" max="57" width="9" style="315" customWidth="1"/>
    <col min="58" max="60" width="9.28515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84" t="s">
        <v>4</v>
      </c>
      <c r="B3" s="1084"/>
      <c r="C3" s="1084"/>
      <c r="D3" s="1084"/>
      <c r="E3" s="1084"/>
      <c r="F3" s="249"/>
      <c r="G3" s="249"/>
      <c r="H3" s="249"/>
      <c r="AU3" s="507"/>
      <c r="AV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I4" s="904"/>
      <c r="X4" s="903" t="s">
        <v>855</v>
      </c>
      <c r="AU4" s="506"/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252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5"/>
      <c r="T5" s="905"/>
      <c r="U5" s="906"/>
      <c r="V5" s="904"/>
      <c r="W5" s="904"/>
      <c r="X5" s="903" t="s">
        <v>856</v>
      </c>
      <c r="Y5" s="904"/>
      <c r="Z5" s="904"/>
      <c r="AA5" s="904"/>
      <c r="AB5" s="904"/>
      <c r="AC5" s="904"/>
      <c r="AD5" s="904"/>
      <c r="AE5" s="904"/>
      <c r="AF5" s="904"/>
      <c r="AT5" s="907"/>
      <c r="AU5" s="506"/>
      <c r="AV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249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18" customHeight="1" x14ac:dyDescent="0.25">
      <c r="A8" s="255"/>
      <c r="B8" s="256"/>
      <c r="C8" s="256"/>
      <c r="D8" s="256"/>
      <c r="E8" s="256"/>
      <c r="F8" s="256"/>
      <c r="G8" s="256"/>
      <c r="H8" s="256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5" t="s">
        <v>851</v>
      </c>
      <c r="BB8" s="108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4.75" customHeight="1" thickBot="1" x14ac:dyDescent="0.3">
      <c r="A9" s="257" t="s">
        <v>773</v>
      </c>
      <c r="B9" s="89"/>
      <c r="C9" s="89"/>
      <c r="D9" s="258"/>
      <c r="E9" s="89"/>
      <c r="F9" s="259"/>
      <c r="G9" s="260"/>
      <c r="H9" s="2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1087"/>
      <c r="BB9" s="1088"/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3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267" customFormat="1" ht="14.25" customHeight="1" thickBot="1" x14ac:dyDescent="0.25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36" t="s">
        <v>262</v>
      </c>
      <c r="J11" s="137" t="s">
        <v>263</v>
      </c>
      <c r="K11" s="137" t="s">
        <v>801</v>
      </c>
      <c r="L11" s="137" t="s">
        <v>802</v>
      </c>
      <c r="M11" s="137" t="s">
        <v>269</v>
      </c>
      <c r="N11" s="137" t="s">
        <v>803</v>
      </c>
      <c r="O11" s="137" t="s">
        <v>804</v>
      </c>
      <c r="P11" s="137" t="s">
        <v>264</v>
      </c>
      <c r="Q11" s="137" t="s">
        <v>265</v>
      </c>
      <c r="R11" s="137" t="s">
        <v>266</v>
      </c>
      <c r="S11" s="503" t="s">
        <v>267</v>
      </c>
      <c r="T11" s="187" t="s">
        <v>532</v>
      </c>
      <c r="U11" s="188" t="s">
        <v>533</v>
      </c>
      <c r="V11" s="509" t="s">
        <v>815</v>
      </c>
      <c r="W11" s="137" t="s">
        <v>816</v>
      </c>
      <c r="X11" s="141" t="s">
        <v>815</v>
      </c>
      <c r="Y11" s="141" t="s">
        <v>815</v>
      </c>
      <c r="Z11" s="141" t="s">
        <v>815</v>
      </c>
      <c r="AA11" s="141" t="s">
        <v>816</v>
      </c>
      <c r="AB11" s="141" t="s">
        <v>815</v>
      </c>
      <c r="AC11" s="141" t="s">
        <v>816</v>
      </c>
      <c r="AD11" s="141" t="s">
        <v>815</v>
      </c>
      <c r="AE11" s="141" t="s">
        <v>816</v>
      </c>
      <c r="AF11" s="141" t="s">
        <v>824</v>
      </c>
      <c r="AG11" s="141" t="s">
        <v>817</v>
      </c>
      <c r="AH11" s="141" t="s">
        <v>818</v>
      </c>
      <c r="AI11" s="141" t="s">
        <v>817</v>
      </c>
      <c r="AJ11" s="141" t="s">
        <v>817</v>
      </c>
      <c r="AK11" s="141" t="s">
        <v>818</v>
      </c>
      <c r="AL11" s="141" t="s">
        <v>817</v>
      </c>
      <c r="AM11" s="141" t="s">
        <v>818</v>
      </c>
      <c r="AN11" s="141" t="s">
        <v>825</v>
      </c>
      <c r="AO11" s="509" t="s">
        <v>819</v>
      </c>
      <c r="AP11" s="509" t="s">
        <v>820</v>
      </c>
      <c r="AQ11" s="141" t="s">
        <v>821</v>
      </c>
      <c r="AR11" s="141" t="s">
        <v>282</v>
      </c>
      <c r="AS11" s="141" t="s">
        <v>283</v>
      </c>
      <c r="AT11" s="141" t="s">
        <v>284</v>
      </c>
      <c r="AU11" s="141" t="s">
        <v>284</v>
      </c>
      <c r="AV11" s="141" t="s">
        <v>284</v>
      </c>
      <c r="AW11" s="141" t="s">
        <v>289</v>
      </c>
      <c r="AX11" s="402" t="s">
        <v>285</v>
      </c>
      <c r="AY11" s="142" t="s">
        <v>286</v>
      </c>
      <c r="AZ11" s="142" t="s">
        <v>285</v>
      </c>
      <c r="BA11" s="142" t="s">
        <v>285</v>
      </c>
      <c r="BB11" s="142" t="s">
        <v>286</v>
      </c>
      <c r="BC11" s="142" t="s">
        <v>285</v>
      </c>
      <c r="BD11" s="142" t="s">
        <v>285</v>
      </c>
      <c r="BE11" s="142" t="s">
        <v>286</v>
      </c>
      <c r="BF11" s="142" t="s">
        <v>285</v>
      </c>
      <c r="BG11" s="142" t="s">
        <v>286</v>
      </c>
      <c r="BH11" s="143" t="s">
        <v>287</v>
      </c>
      <c r="BI11" s="140" t="s">
        <v>262</v>
      </c>
      <c r="BJ11" s="141" t="s">
        <v>263</v>
      </c>
      <c r="BK11" s="141" t="s">
        <v>801</v>
      </c>
      <c r="BL11" s="141" t="s">
        <v>802</v>
      </c>
      <c r="BM11" s="141" t="s">
        <v>269</v>
      </c>
      <c r="BN11" s="141" t="s">
        <v>803</v>
      </c>
      <c r="BO11" s="141" t="s">
        <v>804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532</v>
      </c>
      <c r="BU11" s="179" t="s">
        <v>533</v>
      </c>
      <c r="BV11" s="688" t="s">
        <v>843</v>
      </c>
      <c r="BW11" s="662" t="s">
        <v>837</v>
      </c>
      <c r="BX11" s="662" t="s">
        <v>838</v>
      </c>
      <c r="BY11" s="662" t="s">
        <v>844</v>
      </c>
      <c r="BZ11" s="662" t="s">
        <v>845</v>
      </c>
      <c r="CA11" s="689" t="s">
        <v>839</v>
      </c>
    </row>
    <row r="12" spans="1:79" ht="14.1" customHeight="1" x14ac:dyDescent="0.25">
      <c r="A12" s="268">
        <v>1</v>
      </c>
      <c r="B12" s="269">
        <v>4486</v>
      </c>
      <c r="C12" s="270">
        <v>600075176</v>
      </c>
      <c r="D12" s="270">
        <v>46750401</v>
      </c>
      <c r="E12" s="271" t="s">
        <v>301</v>
      </c>
      <c r="F12" s="269">
        <v>3233</v>
      </c>
      <c r="G12" s="272" t="s">
        <v>297</v>
      </c>
      <c r="H12" s="272" t="s">
        <v>272</v>
      </c>
      <c r="I12" s="406">
        <v>5759963</v>
      </c>
      <c r="J12" s="407">
        <v>4169346</v>
      </c>
      <c r="K12" s="407">
        <v>3358192</v>
      </c>
      <c r="L12" s="407">
        <v>811154</v>
      </c>
      <c r="M12" s="407">
        <v>100000</v>
      </c>
      <c r="N12" s="407">
        <v>100000</v>
      </c>
      <c r="O12" s="407">
        <v>0</v>
      </c>
      <c r="P12" s="144">
        <v>1443039</v>
      </c>
      <c r="Q12" s="144">
        <v>41693</v>
      </c>
      <c r="R12" s="407">
        <v>5885</v>
      </c>
      <c r="S12" s="408">
        <v>8.69</v>
      </c>
      <c r="T12" s="409">
        <v>6.08</v>
      </c>
      <c r="U12" s="768">
        <v>2.61</v>
      </c>
      <c r="V12" s="878">
        <f>AG12*-1</f>
        <v>0</v>
      </c>
      <c r="W12" s="410">
        <f>AH12*-1</f>
        <v>0</v>
      </c>
      <c r="X12" s="410">
        <v>0</v>
      </c>
      <c r="Y12" s="410">
        <v>0</v>
      </c>
      <c r="Z12" s="410">
        <v>0</v>
      </c>
      <c r="AA12" s="410">
        <v>405563</v>
      </c>
      <c r="AB12" s="410">
        <v>0</v>
      </c>
      <c r="AC12" s="410">
        <v>0</v>
      </c>
      <c r="AD12" s="410">
        <f>V12+X12+Y12+Z12+AB12</f>
        <v>0</v>
      </c>
      <c r="AE12" s="410">
        <f>W12+AA12+AC12</f>
        <v>405563</v>
      </c>
      <c r="AF12" s="410">
        <f>SUM(AD12:AE12)</f>
        <v>405563</v>
      </c>
      <c r="AG12" s="410">
        <v>0</v>
      </c>
      <c r="AH12" s="410">
        <v>0</v>
      </c>
      <c r="AI12" s="410">
        <v>0</v>
      </c>
      <c r="AJ12" s="410">
        <v>0</v>
      </c>
      <c r="AK12" s="410">
        <v>0</v>
      </c>
      <c r="AL12" s="410">
        <f>AG12+AI12+AJ12</f>
        <v>0</v>
      </c>
      <c r="AM12" s="410">
        <f>AH12+AK12</f>
        <v>0</v>
      </c>
      <c r="AN12" s="410">
        <f>SUM(AL12:AM12)</f>
        <v>0</v>
      </c>
      <c r="AO12" s="410">
        <f>AD12+AL12</f>
        <v>0</v>
      </c>
      <c r="AP12" s="410">
        <f>AE12+AM12</f>
        <v>405563</v>
      </c>
      <c r="AQ12" s="410">
        <f>SUM(AO12:AP12)</f>
        <v>405563</v>
      </c>
      <c r="AR12" s="144">
        <f>ROUND((AF12+AG12+AH12+AI12)*33.8%,0)</f>
        <v>137080</v>
      </c>
      <c r="AS12" s="144">
        <f>ROUND(AF12*1%,0)</f>
        <v>4056</v>
      </c>
      <c r="AT12" s="410">
        <v>0</v>
      </c>
      <c r="AU12" s="410">
        <v>2354</v>
      </c>
      <c r="AV12" s="410">
        <f>AT12+AU12</f>
        <v>2354</v>
      </c>
      <c r="AW12" s="410">
        <f>AQ12+AR12+AS12+AV12</f>
        <v>549053</v>
      </c>
      <c r="AX12" s="411">
        <v>0</v>
      </c>
      <c r="AY12" s="411">
        <v>0</v>
      </c>
      <c r="AZ12" s="411">
        <v>0</v>
      </c>
      <c r="BA12" s="411">
        <v>0</v>
      </c>
      <c r="BB12" s="411">
        <v>1.31</v>
      </c>
      <c r="BC12" s="411">
        <v>0</v>
      </c>
      <c r="BD12" s="411">
        <v>0</v>
      </c>
      <c r="BE12" s="411">
        <v>0</v>
      </c>
      <c r="BF12" s="411">
        <f>AX12+AZ12+BA12+BC12+BD12</f>
        <v>0</v>
      </c>
      <c r="BG12" s="411">
        <f>AY12+BB12+BE12</f>
        <v>1.31</v>
      </c>
      <c r="BH12" s="413">
        <f>SUM(BF12:BG12)</f>
        <v>1.31</v>
      </c>
      <c r="BI12" s="412">
        <f>I12+AW12</f>
        <v>6309016</v>
      </c>
      <c r="BJ12" s="410">
        <f>J12+AF12</f>
        <v>4574909</v>
      </c>
      <c r="BK12" s="410">
        <f>K12+AD12</f>
        <v>3358192</v>
      </c>
      <c r="BL12" s="410">
        <f>L12+AE12</f>
        <v>1216717</v>
      </c>
      <c r="BM12" s="410">
        <f>M12+AN12</f>
        <v>100000</v>
      </c>
      <c r="BN12" s="410">
        <f>N12+AL12</f>
        <v>100000</v>
      </c>
      <c r="BO12" s="410">
        <f>O12+AM12</f>
        <v>0</v>
      </c>
      <c r="BP12" s="410">
        <f>P12+AR12</f>
        <v>1580119</v>
      </c>
      <c r="BQ12" s="410">
        <f>Q12+AS12</f>
        <v>45749</v>
      </c>
      <c r="BR12" s="410">
        <f>R12+AV12</f>
        <v>8239</v>
      </c>
      <c r="BS12" s="411">
        <f>S12+BH12</f>
        <v>10</v>
      </c>
      <c r="BT12" s="411">
        <f>T12+BF12</f>
        <v>6.08</v>
      </c>
      <c r="BU12" s="413">
        <f>U12+BG12</f>
        <v>3.92</v>
      </c>
      <c r="BV12" s="406"/>
      <c r="BW12" s="407"/>
      <c r="BX12" s="407"/>
      <c r="BY12" s="407"/>
      <c r="BZ12" s="407"/>
      <c r="CA12" s="495"/>
    </row>
    <row r="13" spans="1:79" ht="12.95" customHeight="1" x14ac:dyDescent="0.25">
      <c r="A13" s="273">
        <v>1</v>
      </c>
      <c r="B13" s="274">
        <v>4486</v>
      </c>
      <c r="C13" s="275">
        <v>600075176</v>
      </c>
      <c r="D13" s="275">
        <v>46750401</v>
      </c>
      <c r="E13" s="276" t="s">
        <v>302</v>
      </c>
      <c r="F13" s="277"/>
      <c r="G13" s="278"/>
      <c r="H13" s="278"/>
      <c r="I13" s="465">
        <v>5759963</v>
      </c>
      <c r="J13" s="461">
        <v>4169346</v>
      </c>
      <c r="K13" s="461">
        <v>3358192</v>
      </c>
      <c r="L13" s="461">
        <v>811154</v>
      </c>
      <c r="M13" s="461">
        <v>100000</v>
      </c>
      <c r="N13" s="461">
        <v>100000</v>
      </c>
      <c r="O13" s="461">
        <v>0</v>
      </c>
      <c r="P13" s="461">
        <v>1443039</v>
      </c>
      <c r="Q13" s="461">
        <v>41693</v>
      </c>
      <c r="R13" s="461">
        <v>5885</v>
      </c>
      <c r="S13" s="462">
        <v>8.69</v>
      </c>
      <c r="T13" s="462">
        <v>6.08</v>
      </c>
      <c r="U13" s="535">
        <v>2.61</v>
      </c>
      <c r="V13" s="874">
        <f t="shared" ref="V13:CA13" si="0">SUM(V12)</f>
        <v>0</v>
      </c>
      <c r="W13" s="875">
        <f t="shared" si="0"/>
        <v>0</v>
      </c>
      <c r="X13" s="875">
        <f t="shared" si="0"/>
        <v>0</v>
      </c>
      <c r="Y13" s="875">
        <f t="shared" si="0"/>
        <v>0</v>
      </c>
      <c r="Z13" s="875">
        <f t="shared" si="0"/>
        <v>0</v>
      </c>
      <c r="AA13" s="875">
        <f t="shared" si="0"/>
        <v>405563</v>
      </c>
      <c r="AB13" s="875">
        <f t="shared" si="0"/>
        <v>0</v>
      </c>
      <c r="AC13" s="875">
        <f t="shared" si="0"/>
        <v>0</v>
      </c>
      <c r="AD13" s="875">
        <f t="shared" si="0"/>
        <v>0</v>
      </c>
      <c r="AE13" s="875">
        <f t="shared" si="0"/>
        <v>405563</v>
      </c>
      <c r="AF13" s="875">
        <f t="shared" si="0"/>
        <v>405563</v>
      </c>
      <c r="AG13" s="875">
        <f t="shared" si="0"/>
        <v>0</v>
      </c>
      <c r="AH13" s="875">
        <f t="shared" si="0"/>
        <v>0</v>
      </c>
      <c r="AI13" s="875">
        <f t="shared" si="0"/>
        <v>0</v>
      </c>
      <c r="AJ13" s="875">
        <f t="shared" si="0"/>
        <v>0</v>
      </c>
      <c r="AK13" s="875">
        <f t="shared" si="0"/>
        <v>0</v>
      </c>
      <c r="AL13" s="875">
        <f t="shared" si="0"/>
        <v>0</v>
      </c>
      <c r="AM13" s="875">
        <f t="shared" si="0"/>
        <v>0</v>
      </c>
      <c r="AN13" s="875">
        <f t="shared" si="0"/>
        <v>0</v>
      </c>
      <c r="AO13" s="875">
        <f t="shared" si="0"/>
        <v>0</v>
      </c>
      <c r="AP13" s="875">
        <f t="shared" si="0"/>
        <v>405563</v>
      </c>
      <c r="AQ13" s="875">
        <f t="shared" si="0"/>
        <v>405563</v>
      </c>
      <c r="AR13" s="875">
        <f t="shared" si="0"/>
        <v>137080</v>
      </c>
      <c r="AS13" s="875">
        <f t="shared" si="0"/>
        <v>4056</v>
      </c>
      <c r="AT13" s="875">
        <f t="shared" si="0"/>
        <v>0</v>
      </c>
      <c r="AU13" s="875">
        <f t="shared" si="0"/>
        <v>2354</v>
      </c>
      <c r="AV13" s="875">
        <f t="shared" si="0"/>
        <v>2354</v>
      </c>
      <c r="AW13" s="875">
        <f t="shared" si="0"/>
        <v>549053</v>
      </c>
      <c r="AX13" s="876">
        <f t="shared" si="0"/>
        <v>0</v>
      </c>
      <c r="AY13" s="876">
        <f t="shared" si="0"/>
        <v>0</v>
      </c>
      <c r="AZ13" s="876">
        <f t="shared" si="0"/>
        <v>0</v>
      </c>
      <c r="BA13" s="876">
        <f t="shared" si="0"/>
        <v>0</v>
      </c>
      <c r="BB13" s="876">
        <f t="shared" ref="BB13" si="1">SUM(BB12)</f>
        <v>1.31</v>
      </c>
      <c r="BC13" s="876">
        <f t="shared" si="0"/>
        <v>0</v>
      </c>
      <c r="BD13" s="876">
        <f t="shared" si="0"/>
        <v>0</v>
      </c>
      <c r="BE13" s="876">
        <f t="shared" ref="BE13" si="2">SUM(BE12)</f>
        <v>0</v>
      </c>
      <c r="BF13" s="876">
        <f t="shared" si="0"/>
        <v>0</v>
      </c>
      <c r="BG13" s="876">
        <f t="shared" si="0"/>
        <v>1.31</v>
      </c>
      <c r="BH13" s="877">
        <f t="shared" si="0"/>
        <v>1.31</v>
      </c>
      <c r="BI13" s="781">
        <f t="shared" si="0"/>
        <v>6309016</v>
      </c>
      <c r="BJ13" s="461">
        <f t="shared" si="0"/>
        <v>4574909</v>
      </c>
      <c r="BK13" s="461">
        <f t="shared" si="0"/>
        <v>3358192</v>
      </c>
      <c r="BL13" s="461">
        <f t="shared" si="0"/>
        <v>1216717</v>
      </c>
      <c r="BM13" s="461">
        <f t="shared" si="0"/>
        <v>100000</v>
      </c>
      <c r="BN13" s="461">
        <f t="shared" si="0"/>
        <v>100000</v>
      </c>
      <c r="BO13" s="461">
        <f t="shared" si="0"/>
        <v>0</v>
      </c>
      <c r="BP13" s="461">
        <f t="shared" si="0"/>
        <v>1580119</v>
      </c>
      <c r="BQ13" s="461">
        <f t="shared" si="0"/>
        <v>45749</v>
      </c>
      <c r="BR13" s="461">
        <f t="shared" si="0"/>
        <v>8239</v>
      </c>
      <c r="BS13" s="462">
        <f t="shared" si="0"/>
        <v>10</v>
      </c>
      <c r="BT13" s="462">
        <f t="shared" si="0"/>
        <v>6.08</v>
      </c>
      <c r="BU13" s="279">
        <f t="shared" si="0"/>
        <v>3.92</v>
      </c>
      <c r="BV13" s="850">
        <f t="shared" si="0"/>
        <v>0</v>
      </c>
      <c r="BW13" s="713">
        <f t="shared" si="0"/>
        <v>0</v>
      </c>
      <c r="BX13" s="713">
        <f t="shared" si="0"/>
        <v>0</v>
      </c>
      <c r="BY13" s="713">
        <f t="shared" si="0"/>
        <v>0</v>
      </c>
      <c r="BZ13" s="713">
        <f t="shared" si="0"/>
        <v>0</v>
      </c>
      <c r="CA13" s="851">
        <f t="shared" si="0"/>
        <v>0</v>
      </c>
    </row>
    <row r="14" spans="1:79" ht="12.95" customHeight="1" x14ac:dyDescent="0.25">
      <c r="A14" s="281">
        <v>2</v>
      </c>
      <c r="B14" s="281">
        <v>4419</v>
      </c>
      <c r="C14" s="537">
        <v>600074056</v>
      </c>
      <c r="D14" s="281">
        <v>72744049</v>
      </c>
      <c r="E14" s="323" t="s">
        <v>303</v>
      </c>
      <c r="F14" s="281">
        <v>3111</v>
      </c>
      <c r="G14" s="284" t="s">
        <v>304</v>
      </c>
      <c r="H14" s="285" t="s">
        <v>271</v>
      </c>
      <c r="I14" s="565">
        <v>25378389</v>
      </c>
      <c r="J14" s="566">
        <v>18731798</v>
      </c>
      <c r="K14" s="566">
        <v>17069722</v>
      </c>
      <c r="L14" s="566">
        <v>1662076</v>
      </c>
      <c r="M14" s="415">
        <v>36000</v>
      </c>
      <c r="N14" s="415">
        <v>0</v>
      </c>
      <c r="O14" s="415">
        <v>36000</v>
      </c>
      <c r="P14" s="627">
        <v>6343515</v>
      </c>
      <c r="Q14" s="627">
        <v>187318</v>
      </c>
      <c r="R14" s="566">
        <v>79758</v>
      </c>
      <c r="S14" s="542">
        <v>35.692399999999999</v>
      </c>
      <c r="T14" s="545">
        <v>29.645199999999999</v>
      </c>
      <c r="U14" s="769">
        <v>6.0472000000000001</v>
      </c>
      <c r="V14" s="424">
        <f t="shared" ref="V14:W17" si="3">AG14*-1</f>
        <v>0</v>
      </c>
      <c r="W14" s="418">
        <f t="shared" si="3"/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0</v>
      </c>
      <c r="AF14" s="418">
        <f>SUM(AD14:AE14)</f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ref="AO14:AP17" si="4">AD14+AL14</f>
        <v>0</v>
      </c>
      <c r="AP14" s="418">
        <f t="shared" si="4"/>
        <v>0</v>
      </c>
      <c r="AQ14" s="418">
        <f>SUM(AO14:AP14)</f>
        <v>0</v>
      </c>
      <c r="AR14" s="68">
        <f>ROUND((AF14+AG14+AH14+AI14)*33.8%,0)</f>
        <v>0</v>
      </c>
      <c r="AS14" s="68">
        <f>ROUND(AF14*1%,0)</f>
        <v>0</v>
      </c>
      <c r="AT14" s="418">
        <v>0</v>
      </c>
      <c r="AU14" s="418">
        <v>0</v>
      </c>
      <c r="AV14" s="418">
        <f>AT14+AU14</f>
        <v>0</v>
      </c>
      <c r="AW14" s="418">
        <f>AQ14+AR14+AS14+AV14</f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</v>
      </c>
      <c r="BH14" s="421">
        <f>SUM(BF14:BG14)</f>
        <v>0</v>
      </c>
      <c r="BI14" s="780">
        <f>I14+AW14</f>
        <v>25378389</v>
      </c>
      <c r="BJ14" s="418">
        <f>J14+AF14</f>
        <v>18731798</v>
      </c>
      <c r="BK14" s="418">
        <f t="shared" ref="BK14:BL17" si="5">K14+AD14</f>
        <v>17069722</v>
      </c>
      <c r="BL14" s="418">
        <f t="shared" si="5"/>
        <v>1662076</v>
      </c>
      <c r="BM14" s="418">
        <f>M14+AN14</f>
        <v>36000</v>
      </c>
      <c r="BN14" s="418">
        <f t="shared" ref="BN14:BO17" si="6">N14+AL14</f>
        <v>0</v>
      </c>
      <c r="BO14" s="418">
        <f t="shared" si="6"/>
        <v>36000</v>
      </c>
      <c r="BP14" s="418">
        <f t="shared" ref="BP14:BQ17" si="7">P14+AR14</f>
        <v>6343515</v>
      </c>
      <c r="BQ14" s="418">
        <f t="shared" si="7"/>
        <v>187318</v>
      </c>
      <c r="BR14" s="418">
        <f>R14+AV14</f>
        <v>79758</v>
      </c>
      <c r="BS14" s="419">
        <f>S14+BH14</f>
        <v>35.692399999999999</v>
      </c>
      <c r="BT14" s="419">
        <f t="shared" ref="BT14:BU17" si="8">T14+BF14</f>
        <v>29.645199999999999</v>
      </c>
      <c r="BU14" s="421">
        <f t="shared" si="8"/>
        <v>6.0472000000000001</v>
      </c>
      <c r="BV14" s="420"/>
      <c r="BW14" s="415"/>
      <c r="BX14" s="415"/>
      <c r="BY14" s="415"/>
      <c r="BZ14" s="415"/>
      <c r="CA14" s="510"/>
    </row>
    <row r="15" spans="1:79" ht="12.95" customHeight="1" x14ac:dyDescent="0.25">
      <c r="A15" s="281">
        <v>2</v>
      </c>
      <c r="B15" s="281">
        <v>4419</v>
      </c>
      <c r="C15" s="537">
        <v>600074056</v>
      </c>
      <c r="D15" s="281">
        <v>72744049</v>
      </c>
      <c r="E15" s="323" t="s">
        <v>303</v>
      </c>
      <c r="F15" s="281">
        <v>3111</v>
      </c>
      <c r="G15" s="286" t="s">
        <v>292</v>
      </c>
      <c r="H15" s="285" t="s">
        <v>271</v>
      </c>
      <c r="I15" s="565">
        <v>544970</v>
      </c>
      <c r="J15" s="415">
        <v>404280</v>
      </c>
      <c r="K15" s="415">
        <v>404280</v>
      </c>
      <c r="L15" s="415">
        <v>0</v>
      </c>
      <c r="M15" s="415">
        <v>0</v>
      </c>
      <c r="N15" s="415">
        <v>0</v>
      </c>
      <c r="O15" s="415">
        <v>0</v>
      </c>
      <c r="P15" s="68">
        <v>136647</v>
      </c>
      <c r="Q15" s="68">
        <v>4043</v>
      </c>
      <c r="R15" s="415">
        <v>0</v>
      </c>
      <c r="S15" s="416">
        <v>1</v>
      </c>
      <c r="T15" s="417">
        <v>1</v>
      </c>
      <c r="U15" s="770">
        <v>0</v>
      </c>
      <c r="V15" s="424">
        <f t="shared" si="3"/>
        <v>0</v>
      </c>
      <c r="W15" s="418">
        <f t="shared" si="3"/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f>V15+X15+Y15+Z15+AB15</f>
        <v>0</v>
      </c>
      <c r="AE15" s="418">
        <f>W15+AA15+AC15</f>
        <v>0</v>
      </c>
      <c r="AF15" s="418">
        <f>SUM(AD15:AE15)</f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f>AG15+AI15+AJ15</f>
        <v>0</v>
      </c>
      <c r="AM15" s="418">
        <f>AH15+AK15</f>
        <v>0</v>
      </c>
      <c r="AN15" s="418">
        <f>SUM(AL15:AM15)</f>
        <v>0</v>
      </c>
      <c r="AO15" s="418">
        <f t="shared" si="4"/>
        <v>0</v>
      </c>
      <c r="AP15" s="418">
        <f t="shared" si="4"/>
        <v>0</v>
      </c>
      <c r="AQ15" s="418">
        <f>SUM(AO15:AP15)</f>
        <v>0</v>
      </c>
      <c r="AR15" s="68">
        <f>ROUND((AF15+AG15+AH15+AI15)*33.8%,0)</f>
        <v>0</v>
      </c>
      <c r="AS15" s="68">
        <f>ROUND(AF15*1%,0)</f>
        <v>0</v>
      </c>
      <c r="AT15" s="418">
        <v>0</v>
      </c>
      <c r="AU15" s="418">
        <v>0</v>
      </c>
      <c r="AV15" s="418">
        <f>AT15+AU15</f>
        <v>0</v>
      </c>
      <c r="AW15" s="418">
        <f>AQ15+AR15+AS15+AV15</f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f>AX15+AZ15+BA15+BC15+BD15</f>
        <v>0</v>
      </c>
      <c r="BG15" s="419">
        <f>AY15+BB15+BE15</f>
        <v>0</v>
      </c>
      <c r="BH15" s="421">
        <f>SUM(BF15:BG15)</f>
        <v>0</v>
      </c>
      <c r="BI15" s="780">
        <f>I15+AW15</f>
        <v>544970</v>
      </c>
      <c r="BJ15" s="418">
        <f>J15+AF15</f>
        <v>404280</v>
      </c>
      <c r="BK15" s="418">
        <f t="shared" si="5"/>
        <v>404280</v>
      </c>
      <c r="BL15" s="418">
        <f t="shared" si="5"/>
        <v>0</v>
      </c>
      <c r="BM15" s="418">
        <f>M15+AN15</f>
        <v>0</v>
      </c>
      <c r="BN15" s="418">
        <f t="shared" si="6"/>
        <v>0</v>
      </c>
      <c r="BO15" s="418">
        <f t="shared" si="6"/>
        <v>0</v>
      </c>
      <c r="BP15" s="418">
        <f t="shared" si="7"/>
        <v>136647</v>
      </c>
      <c r="BQ15" s="418">
        <f t="shared" si="7"/>
        <v>4043</v>
      </c>
      <c r="BR15" s="418">
        <f>R15+AV15</f>
        <v>0</v>
      </c>
      <c r="BS15" s="419">
        <f>S15+BH15</f>
        <v>1</v>
      </c>
      <c r="BT15" s="419">
        <f t="shared" si="8"/>
        <v>1</v>
      </c>
      <c r="BU15" s="421">
        <f t="shared" si="8"/>
        <v>0</v>
      </c>
      <c r="BV15" s="420"/>
      <c r="BW15" s="415"/>
      <c r="BX15" s="415"/>
      <c r="BY15" s="415"/>
      <c r="BZ15" s="415"/>
      <c r="CA15" s="510"/>
    </row>
    <row r="16" spans="1:79" ht="12.95" customHeight="1" x14ac:dyDescent="0.25">
      <c r="A16" s="281">
        <v>2</v>
      </c>
      <c r="B16" s="281">
        <v>4419</v>
      </c>
      <c r="C16" s="537">
        <v>600074056</v>
      </c>
      <c r="D16" s="281">
        <v>72744049</v>
      </c>
      <c r="E16" s="323" t="s">
        <v>303</v>
      </c>
      <c r="F16" s="281">
        <v>3111</v>
      </c>
      <c r="G16" s="284" t="s">
        <v>298</v>
      </c>
      <c r="H16" s="285" t="s">
        <v>272</v>
      </c>
      <c r="I16" s="565">
        <v>1534627</v>
      </c>
      <c r="J16" s="415">
        <v>1137706</v>
      </c>
      <c r="K16" s="415">
        <v>1137706</v>
      </c>
      <c r="L16" s="415">
        <v>0</v>
      </c>
      <c r="M16" s="415">
        <v>0</v>
      </c>
      <c r="N16" s="415">
        <v>0</v>
      </c>
      <c r="O16" s="415">
        <v>0</v>
      </c>
      <c r="P16" s="68">
        <v>384544</v>
      </c>
      <c r="Q16" s="68">
        <v>11377</v>
      </c>
      <c r="R16" s="415">
        <v>1000</v>
      </c>
      <c r="S16" s="416">
        <v>3.2399999999999998</v>
      </c>
      <c r="T16" s="417">
        <v>3.2399999999999998</v>
      </c>
      <c r="U16" s="770">
        <v>0</v>
      </c>
      <c r="V16" s="424">
        <f t="shared" si="3"/>
        <v>0</v>
      </c>
      <c r="W16" s="418">
        <f t="shared" si="3"/>
        <v>0</v>
      </c>
      <c r="X16" s="418">
        <v>154500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154500</v>
      </c>
      <c r="AE16" s="418">
        <f>W16+AA16+AC16</f>
        <v>0</v>
      </c>
      <c r="AF16" s="418">
        <f>SUM(AD16:AE16)</f>
        <v>154500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si="4"/>
        <v>154500</v>
      </c>
      <c r="AP16" s="418">
        <f t="shared" si="4"/>
        <v>0</v>
      </c>
      <c r="AQ16" s="418">
        <f>SUM(AO16:AP16)</f>
        <v>154500</v>
      </c>
      <c r="AR16" s="68">
        <f>ROUND((AF16+AG16+AH16+AI16)*33.8%,0)</f>
        <v>52221</v>
      </c>
      <c r="AS16" s="68">
        <f>ROUND(AF16*1%,0)</f>
        <v>1545</v>
      </c>
      <c r="AT16" s="418">
        <v>0</v>
      </c>
      <c r="AU16" s="418">
        <v>0</v>
      </c>
      <c r="AV16" s="418">
        <f>AT16+AU16</f>
        <v>0</v>
      </c>
      <c r="AW16" s="418">
        <f>AQ16+AR16+AS16+AV16</f>
        <v>208266</v>
      </c>
      <c r="AX16" s="419">
        <v>0</v>
      </c>
      <c r="AY16" s="419">
        <v>0</v>
      </c>
      <c r="AZ16" s="419">
        <v>0.42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0.42</v>
      </c>
      <c r="BG16" s="419">
        <f>AY16+BB16+BE16</f>
        <v>0</v>
      </c>
      <c r="BH16" s="421">
        <f>SUM(BF16:BG16)</f>
        <v>0.42</v>
      </c>
      <c r="BI16" s="780">
        <f>I16+AW16</f>
        <v>1742893</v>
      </c>
      <c r="BJ16" s="418">
        <f>J16+AF16</f>
        <v>1292206</v>
      </c>
      <c r="BK16" s="418">
        <f t="shared" si="5"/>
        <v>1292206</v>
      </c>
      <c r="BL16" s="418">
        <f t="shared" si="5"/>
        <v>0</v>
      </c>
      <c r="BM16" s="418">
        <f>M16+AN16</f>
        <v>0</v>
      </c>
      <c r="BN16" s="418">
        <f t="shared" si="6"/>
        <v>0</v>
      </c>
      <c r="BO16" s="418">
        <f t="shared" si="6"/>
        <v>0</v>
      </c>
      <c r="BP16" s="418">
        <f t="shared" si="7"/>
        <v>436765</v>
      </c>
      <c r="BQ16" s="418">
        <f t="shared" si="7"/>
        <v>12922</v>
      </c>
      <c r="BR16" s="418">
        <f>R16+AV16</f>
        <v>1000</v>
      </c>
      <c r="BS16" s="419">
        <f>S16+BH16</f>
        <v>3.6599999999999997</v>
      </c>
      <c r="BT16" s="419">
        <f t="shared" si="8"/>
        <v>3.6599999999999997</v>
      </c>
      <c r="BU16" s="421">
        <f t="shared" si="8"/>
        <v>0</v>
      </c>
      <c r="BV16" s="420"/>
      <c r="BW16" s="415"/>
      <c r="BX16" s="415"/>
      <c r="BY16" s="415"/>
      <c r="BZ16" s="415"/>
      <c r="CA16" s="510"/>
    </row>
    <row r="17" spans="1:79" ht="12.95" customHeight="1" x14ac:dyDescent="0.25">
      <c r="A17" s="281">
        <v>2</v>
      </c>
      <c r="B17" s="281">
        <v>4419</v>
      </c>
      <c r="C17" s="537">
        <v>600074056</v>
      </c>
      <c r="D17" s="281">
        <v>72744049</v>
      </c>
      <c r="E17" s="323" t="s">
        <v>303</v>
      </c>
      <c r="F17" s="281">
        <v>3141</v>
      </c>
      <c r="G17" s="284" t="s">
        <v>294</v>
      </c>
      <c r="H17" s="284" t="s">
        <v>272</v>
      </c>
      <c r="I17" s="565">
        <v>2521805</v>
      </c>
      <c r="J17" s="415">
        <v>1859052</v>
      </c>
      <c r="K17" s="415">
        <v>0</v>
      </c>
      <c r="L17" s="415">
        <v>1859052</v>
      </c>
      <c r="M17" s="415">
        <v>4000</v>
      </c>
      <c r="N17" s="415">
        <v>0</v>
      </c>
      <c r="O17" s="415">
        <v>4000</v>
      </c>
      <c r="P17" s="68">
        <v>629712</v>
      </c>
      <c r="Q17" s="68">
        <v>18591</v>
      </c>
      <c r="R17" s="415">
        <v>10450</v>
      </c>
      <c r="S17" s="416">
        <v>5.5866999999999996</v>
      </c>
      <c r="T17" s="417">
        <v>0</v>
      </c>
      <c r="U17" s="770">
        <v>5.5866999999999996</v>
      </c>
      <c r="V17" s="424">
        <f t="shared" si="3"/>
        <v>0</v>
      </c>
      <c r="W17" s="418">
        <f t="shared" si="3"/>
        <v>0</v>
      </c>
      <c r="X17" s="418">
        <v>0</v>
      </c>
      <c r="Y17" s="418">
        <v>0</v>
      </c>
      <c r="Z17" s="418">
        <v>0</v>
      </c>
      <c r="AA17" s="418">
        <v>933879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933879</v>
      </c>
      <c r="AF17" s="418">
        <f>SUM(AD17:AE17)</f>
        <v>933879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4"/>
        <v>0</v>
      </c>
      <c r="AP17" s="418">
        <f t="shared" si="4"/>
        <v>933879</v>
      </c>
      <c r="AQ17" s="418">
        <f>SUM(AO17:AP17)</f>
        <v>933879</v>
      </c>
      <c r="AR17" s="68">
        <f>ROUND((AF17+AG17+AH17+AI17)*33.8%,0)</f>
        <v>315651</v>
      </c>
      <c r="AS17" s="68">
        <f>ROUND(AF17*1%,0)</f>
        <v>9339</v>
      </c>
      <c r="AT17" s="418">
        <v>0</v>
      </c>
      <c r="AU17" s="418">
        <v>5062</v>
      </c>
      <c r="AV17" s="418">
        <f>AT17+AU17</f>
        <v>5062</v>
      </c>
      <c r="AW17" s="418">
        <f>AQ17+AR17+AS17+AV17</f>
        <v>1263931</v>
      </c>
      <c r="AX17" s="419">
        <v>0</v>
      </c>
      <c r="AY17" s="419">
        <v>0</v>
      </c>
      <c r="AZ17" s="419">
        <v>0</v>
      </c>
      <c r="BA17" s="419">
        <v>0</v>
      </c>
      <c r="BB17" s="419">
        <v>2.79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2.79</v>
      </c>
      <c r="BH17" s="421">
        <f>SUM(BF17:BG17)</f>
        <v>2.79</v>
      </c>
      <c r="BI17" s="780">
        <f>I17+AW17</f>
        <v>3785736</v>
      </c>
      <c r="BJ17" s="418">
        <f>J17+AF17</f>
        <v>2792931</v>
      </c>
      <c r="BK17" s="418">
        <f t="shared" si="5"/>
        <v>0</v>
      </c>
      <c r="BL17" s="418">
        <f t="shared" si="5"/>
        <v>2792931</v>
      </c>
      <c r="BM17" s="418">
        <f>M17+AN17</f>
        <v>4000</v>
      </c>
      <c r="BN17" s="418">
        <f t="shared" si="6"/>
        <v>0</v>
      </c>
      <c r="BO17" s="418">
        <f t="shared" si="6"/>
        <v>4000</v>
      </c>
      <c r="BP17" s="418">
        <f t="shared" si="7"/>
        <v>945363</v>
      </c>
      <c r="BQ17" s="418">
        <f t="shared" si="7"/>
        <v>27930</v>
      </c>
      <c r="BR17" s="418">
        <f>R17+AV17</f>
        <v>15512</v>
      </c>
      <c r="BS17" s="419">
        <f>S17+BH17</f>
        <v>8.3766999999999996</v>
      </c>
      <c r="BT17" s="419">
        <f t="shared" si="8"/>
        <v>0</v>
      </c>
      <c r="BU17" s="421">
        <f t="shared" si="8"/>
        <v>8.3766999999999996</v>
      </c>
      <c r="BV17" s="420"/>
      <c r="BW17" s="415"/>
      <c r="BX17" s="415"/>
      <c r="BY17" s="415"/>
      <c r="BZ17" s="415"/>
      <c r="CA17" s="510"/>
    </row>
    <row r="18" spans="1:79" ht="12.95" customHeight="1" x14ac:dyDescent="0.25">
      <c r="A18" s="538">
        <v>2</v>
      </c>
      <c r="B18" s="539">
        <v>4419</v>
      </c>
      <c r="C18" s="540">
        <v>600074056</v>
      </c>
      <c r="D18" s="539">
        <v>72744049</v>
      </c>
      <c r="E18" s="541" t="s">
        <v>305</v>
      </c>
      <c r="F18" s="275"/>
      <c r="G18" s="289"/>
      <c r="H18" s="289"/>
      <c r="I18" s="466">
        <v>29979791</v>
      </c>
      <c r="J18" s="463">
        <v>22132836</v>
      </c>
      <c r="K18" s="463">
        <v>18611708</v>
      </c>
      <c r="L18" s="463">
        <v>3521128</v>
      </c>
      <c r="M18" s="463">
        <v>40000</v>
      </c>
      <c r="N18" s="463">
        <v>0</v>
      </c>
      <c r="O18" s="463">
        <v>40000</v>
      </c>
      <c r="P18" s="463">
        <v>7494418</v>
      </c>
      <c r="Q18" s="463">
        <v>221329</v>
      </c>
      <c r="R18" s="463">
        <v>91208</v>
      </c>
      <c r="S18" s="464">
        <v>45.519100000000002</v>
      </c>
      <c r="T18" s="464">
        <v>33.885199999999998</v>
      </c>
      <c r="U18" s="534">
        <v>11.633900000000001</v>
      </c>
      <c r="V18" s="466">
        <f t="shared" ref="V18:CA18" si="9">SUM(V14:V17)</f>
        <v>0</v>
      </c>
      <c r="W18" s="463">
        <f t="shared" si="9"/>
        <v>0</v>
      </c>
      <c r="X18" s="463">
        <f t="shared" si="9"/>
        <v>154500</v>
      </c>
      <c r="Y18" s="463">
        <f t="shared" si="9"/>
        <v>0</v>
      </c>
      <c r="Z18" s="463">
        <f t="shared" si="9"/>
        <v>0</v>
      </c>
      <c r="AA18" s="463">
        <f t="shared" si="9"/>
        <v>933879</v>
      </c>
      <c r="AB18" s="463">
        <f t="shared" si="9"/>
        <v>0</v>
      </c>
      <c r="AC18" s="463">
        <f t="shared" si="9"/>
        <v>0</v>
      </c>
      <c r="AD18" s="463">
        <f t="shared" si="9"/>
        <v>154500</v>
      </c>
      <c r="AE18" s="463">
        <f t="shared" si="9"/>
        <v>933879</v>
      </c>
      <c r="AF18" s="463">
        <f t="shared" si="9"/>
        <v>1088379</v>
      </c>
      <c r="AG18" s="463">
        <f t="shared" si="9"/>
        <v>0</v>
      </c>
      <c r="AH18" s="463">
        <f t="shared" si="9"/>
        <v>0</v>
      </c>
      <c r="AI18" s="463">
        <f t="shared" si="9"/>
        <v>0</v>
      </c>
      <c r="AJ18" s="463">
        <f t="shared" si="9"/>
        <v>0</v>
      </c>
      <c r="AK18" s="463">
        <f t="shared" si="9"/>
        <v>0</v>
      </c>
      <c r="AL18" s="463">
        <f t="shared" si="9"/>
        <v>0</v>
      </c>
      <c r="AM18" s="463">
        <f t="shared" si="9"/>
        <v>0</v>
      </c>
      <c r="AN18" s="463">
        <f t="shared" si="9"/>
        <v>0</v>
      </c>
      <c r="AO18" s="463">
        <f t="shared" si="9"/>
        <v>154500</v>
      </c>
      <c r="AP18" s="463">
        <f t="shared" si="9"/>
        <v>933879</v>
      </c>
      <c r="AQ18" s="463">
        <f t="shared" si="9"/>
        <v>1088379</v>
      </c>
      <c r="AR18" s="463">
        <f t="shared" si="9"/>
        <v>367872</v>
      </c>
      <c r="AS18" s="463">
        <f t="shared" si="9"/>
        <v>10884</v>
      </c>
      <c r="AT18" s="463">
        <f t="shared" si="9"/>
        <v>0</v>
      </c>
      <c r="AU18" s="463">
        <f t="shared" si="9"/>
        <v>5062</v>
      </c>
      <c r="AV18" s="463">
        <f t="shared" si="9"/>
        <v>5062</v>
      </c>
      <c r="AW18" s="463">
        <f t="shared" si="9"/>
        <v>1472197</v>
      </c>
      <c r="AX18" s="464">
        <f t="shared" si="9"/>
        <v>0</v>
      </c>
      <c r="AY18" s="464">
        <f t="shared" si="9"/>
        <v>0</v>
      </c>
      <c r="AZ18" s="464">
        <f t="shared" si="9"/>
        <v>0.42</v>
      </c>
      <c r="BA18" s="464">
        <f t="shared" si="9"/>
        <v>0</v>
      </c>
      <c r="BB18" s="464">
        <f t="shared" ref="BB18" si="10">SUM(BB14:BB17)</f>
        <v>2.79</v>
      </c>
      <c r="BC18" s="464">
        <f t="shared" si="9"/>
        <v>0</v>
      </c>
      <c r="BD18" s="464">
        <f t="shared" si="9"/>
        <v>0</v>
      </c>
      <c r="BE18" s="464">
        <f t="shared" ref="BE18" si="11">SUM(BE14:BE17)</f>
        <v>0</v>
      </c>
      <c r="BF18" s="464">
        <f t="shared" si="9"/>
        <v>0.42</v>
      </c>
      <c r="BG18" s="464">
        <f t="shared" si="9"/>
        <v>2.79</v>
      </c>
      <c r="BH18" s="290">
        <f t="shared" si="9"/>
        <v>3.21</v>
      </c>
      <c r="BI18" s="787">
        <f t="shared" si="9"/>
        <v>31451988</v>
      </c>
      <c r="BJ18" s="463">
        <f t="shared" si="9"/>
        <v>23221215</v>
      </c>
      <c r="BK18" s="463">
        <f t="shared" si="9"/>
        <v>18766208</v>
      </c>
      <c r="BL18" s="463">
        <f t="shared" si="9"/>
        <v>4455007</v>
      </c>
      <c r="BM18" s="463">
        <f t="shared" si="9"/>
        <v>40000</v>
      </c>
      <c r="BN18" s="463">
        <f t="shared" si="9"/>
        <v>0</v>
      </c>
      <c r="BO18" s="463">
        <f t="shared" si="9"/>
        <v>40000</v>
      </c>
      <c r="BP18" s="463">
        <f t="shared" si="9"/>
        <v>7862290</v>
      </c>
      <c r="BQ18" s="463">
        <f t="shared" si="9"/>
        <v>232213</v>
      </c>
      <c r="BR18" s="463">
        <f t="shared" si="9"/>
        <v>96270</v>
      </c>
      <c r="BS18" s="464">
        <f t="shared" si="9"/>
        <v>48.729099999999995</v>
      </c>
      <c r="BT18" s="464">
        <f t="shared" si="9"/>
        <v>34.305199999999999</v>
      </c>
      <c r="BU18" s="290">
        <f t="shared" si="9"/>
        <v>14.4239</v>
      </c>
      <c r="BV18" s="852">
        <f t="shared" si="9"/>
        <v>0</v>
      </c>
      <c r="BW18" s="722">
        <f t="shared" si="9"/>
        <v>0</v>
      </c>
      <c r="BX18" s="722">
        <f t="shared" si="9"/>
        <v>0</v>
      </c>
      <c r="BY18" s="722">
        <f t="shared" si="9"/>
        <v>0</v>
      </c>
      <c r="BZ18" s="722">
        <f t="shared" si="9"/>
        <v>0</v>
      </c>
      <c r="CA18" s="853">
        <f t="shared" si="9"/>
        <v>0</v>
      </c>
    </row>
    <row r="19" spans="1:79" ht="12.95" customHeight="1" x14ac:dyDescent="0.25">
      <c r="A19" s="280">
        <v>3</v>
      </c>
      <c r="B19" s="281">
        <v>4464</v>
      </c>
      <c r="C19" s="281" t="s">
        <v>306</v>
      </c>
      <c r="D19" s="281">
        <v>46750461</v>
      </c>
      <c r="E19" s="283" t="s">
        <v>307</v>
      </c>
      <c r="F19" s="281">
        <v>3113</v>
      </c>
      <c r="G19" s="284" t="s">
        <v>308</v>
      </c>
      <c r="H19" s="284" t="s">
        <v>271</v>
      </c>
      <c r="I19" s="565">
        <v>35979688</v>
      </c>
      <c r="J19" s="415">
        <v>26283312</v>
      </c>
      <c r="K19" s="415">
        <v>24584100</v>
      </c>
      <c r="L19" s="415">
        <v>1699212</v>
      </c>
      <c r="M19" s="415">
        <v>50000</v>
      </c>
      <c r="N19" s="415">
        <v>50000</v>
      </c>
      <c r="O19" s="415">
        <v>0</v>
      </c>
      <c r="P19" s="68">
        <v>8900659</v>
      </c>
      <c r="Q19" s="68">
        <v>262833</v>
      </c>
      <c r="R19" s="415">
        <v>482884</v>
      </c>
      <c r="S19" s="416">
        <v>39.709400000000002</v>
      </c>
      <c r="T19" s="417">
        <v>34.636800000000001</v>
      </c>
      <c r="U19" s="770">
        <v>5.0725999999999996</v>
      </c>
      <c r="V19" s="424">
        <f t="shared" ref="V19:W23" si="12">AG19*-1</f>
        <v>0</v>
      </c>
      <c r="W19" s="418">
        <f t="shared" si="12"/>
        <v>0</v>
      </c>
      <c r="X19" s="418">
        <v>0</v>
      </c>
      <c r="Y19" s="418">
        <v>0</v>
      </c>
      <c r="Z19" s="418">
        <v>0</v>
      </c>
      <c r="AA19" s="418">
        <v>0</v>
      </c>
      <c r="AB19" s="418">
        <v>0</v>
      </c>
      <c r="AC19" s="418">
        <v>0</v>
      </c>
      <c r="AD19" s="418">
        <f>V19+X19+Y19+Z19+AB19</f>
        <v>0</v>
      </c>
      <c r="AE19" s="418">
        <f>W19+AA19+AC19</f>
        <v>0</v>
      </c>
      <c r="AF19" s="418">
        <f>SUM(AD19:AE19)</f>
        <v>0</v>
      </c>
      <c r="AG19" s="418">
        <v>0</v>
      </c>
      <c r="AH19" s="418">
        <v>0</v>
      </c>
      <c r="AI19" s="418">
        <v>0</v>
      </c>
      <c r="AJ19" s="418">
        <v>0</v>
      </c>
      <c r="AK19" s="418">
        <v>0</v>
      </c>
      <c r="AL19" s="418">
        <f>AG19+AI19+AJ19</f>
        <v>0</v>
      </c>
      <c r="AM19" s="418">
        <f>AH19+AK19</f>
        <v>0</v>
      </c>
      <c r="AN19" s="418">
        <f>SUM(AL19:AM19)</f>
        <v>0</v>
      </c>
      <c r="AO19" s="418">
        <f t="shared" ref="AO19:AP23" si="13">AD19+AL19</f>
        <v>0</v>
      </c>
      <c r="AP19" s="418">
        <f t="shared" si="13"/>
        <v>0</v>
      </c>
      <c r="AQ19" s="418">
        <f>SUM(AO19:AP19)</f>
        <v>0</v>
      </c>
      <c r="AR19" s="68">
        <f>ROUND((AF19+AG19+AH19+AI19)*33.8%,0)</f>
        <v>0</v>
      </c>
      <c r="AS19" s="68">
        <f>ROUND(AF19*1%,0)</f>
        <v>0</v>
      </c>
      <c r="AT19" s="418">
        <v>0</v>
      </c>
      <c r="AU19" s="418">
        <v>0</v>
      </c>
      <c r="AV19" s="418">
        <f>AT19+AU19</f>
        <v>0</v>
      </c>
      <c r="AW19" s="418">
        <f>AQ19+AR19+AS19+AV19</f>
        <v>0</v>
      </c>
      <c r="AX19" s="419">
        <v>0</v>
      </c>
      <c r="AY19" s="419">
        <v>0</v>
      </c>
      <c r="AZ19" s="419">
        <v>0</v>
      </c>
      <c r="BA19" s="419">
        <v>0</v>
      </c>
      <c r="BB19" s="419">
        <v>0</v>
      </c>
      <c r="BC19" s="419">
        <v>0</v>
      </c>
      <c r="BD19" s="419">
        <v>0</v>
      </c>
      <c r="BE19" s="419">
        <v>0</v>
      </c>
      <c r="BF19" s="419">
        <f>AX19+AZ19+BA19+BC19+BD19</f>
        <v>0</v>
      </c>
      <c r="BG19" s="419">
        <f>AY19+BB19+BE19</f>
        <v>0</v>
      </c>
      <c r="BH19" s="421">
        <f>SUM(BF19:BG19)</f>
        <v>0</v>
      </c>
      <c r="BI19" s="780">
        <f>I19+AW19</f>
        <v>35979688</v>
      </c>
      <c r="BJ19" s="418">
        <f>J19+AF19</f>
        <v>26283312</v>
      </c>
      <c r="BK19" s="418">
        <f t="shared" ref="BK19:BL23" si="14">K19+AD19</f>
        <v>24584100</v>
      </c>
      <c r="BL19" s="418">
        <f t="shared" si="14"/>
        <v>1699212</v>
      </c>
      <c r="BM19" s="418">
        <f>M19+AN19</f>
        <v>50000</v>
      </c>
      <c r="BN19" s="418">
        <f t="shared" ref="BN19:BO23" si="15">N19+AL19</f>
        <v>50000</v>
      </c>
      <c r="BO19" s="418">
        <f t="shared" si="15"/>
        <v>0</v>
      </c>
      <c r="BP19" s="418">
        <f t="shared" ref="BP19:BQ23" si="16">P19+AR19</f>
        <v>8900659</v>
      </c>
      <c r="BQ19" s="418">
        <f t="shared" si="16"/>
        <v>262833</v>
      </c>
      <c r="BR19" s="418">
        <f>R19+AV19</f>
        <v>482884</v>
      </c>
      <c r="BS19" s="419">
        <f>S19+BH19</f>
        <v>39.709400000000002</v>
      </c>
      <c r="BT19" s="419">
        <f t="shared" ref="BT19:BU23" si="17">T19+BF19</f>
        <v>34.636800000000001</v>
      </c>
      <c r="BU19" s="421">
        <f t="shared" si="17"/>
        <v>5.0725999999999996</v>
      </c>
      <c r="BV19" s="420"/>
      <c r="BW19" s="415"/>
      <c r="BX19" s="415"/>
      <c r="BY19" s="415"/>
      <c r="BZ19" s="415"/>
      <c r="CA19" s="510"/>
    </row>
    <row r="20" spans="1:79" ht="12.95" customHeight="1" x14ac:dyDescent="0.25">
      <c r="A20" s="280">
        <v>3</v>
      </c>
      <c r="B20" s="281">
        <v>4464</v>
      </c>
      <c r="C20" s="281" t="s">
        <v>306</v>
      </c>
      <c r="D20" s="281">
        <v>46750461</v>
      </c>
      <c r="E20" s="283" t="s">
        <v>309</v>
      </c>
      <c r="F20" s="281">
        <v>3113</v>
      </c>
      <c r="G20" s="284" t="s">
        <v>298</v>
      </c>
      <c r="H20" s="284" t="s">
        <v>272</v>
      </c>
      <c r="I20" s="565">
        <v>1891081</v>
      </c>
      <c r="J20" s="415">
        <v>1402879</v>
      </c>
      <c r="K20" s="415">
        <v>1402879</v>
      </c>
      <c r="L20" s="415">
        <v>0</v>
      </c>
      <c r="M20" s="415">
        <v>0</v>
      </c>
      <c r="N20" s="415">
        <v>0</v>
      </c>
      <c r="O20" s="415">
        <v>0</v>
      </c>
      <c r="P20" s="68">
        <v>474173</v>
      </c>
      <c r="Q20" s="68">
        <v>14029</v>
      </c>
      <c r="R20" s="415">
        <v>0</v>
      </c>
      <c r="S20" s="416">
        <v>3.92</v>
      </c>
      <c r="T20" s="417">
        <v>3.92</v>
      </c>
      <c r="U20" s="770">
        <v>0</v>
      </c>
      <c r="V20" s="424">
        <f t="shared" si="12"/>
        <v>0</v>
      </c>
      <c r="W20" s="418">
        <f t="shared" si="12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418">
        <f>SUM(AD20:AE20)</f>
        <v>0</v>
      </c>
      <c r="AG20" s="418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si="13"/>
        <v>0</v>
      </c>
      <c r="AP20" s="418">
        <f t="shared" si="13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421">
        <f>SUM(BF20:BG20)</f>
        <v>0</v>
      </c>
      <c r="BI20" s="780">
        <f>I20+AW20</f>
        <v>1891081</v>
      </c>
      <c r="BJ20" s="418">
        <f>J20+AF20</f>
        <v>1402879</v>
      </c>
      <c r="BK20" s="418">
        <f t="shared" si="14"/>
        <v>1402879</v>
      </c>
      <c r="BL20" s="418">
        <f t="shared" si="14"/>
        <v>0</v>
      </c>
      <c r="BM20" s="418">
        <f>M20+AN20</f>
        <v>0</v>
      </c>
      <c r="BN20" s="418">
        <f t="shared" si="15"/>
        <v>0</v>
      </c>
      <c r="BO20" s="418">
        <f t="shared" si="15"/>
        <v>0</v>
      </c>
      <c r="BP20" s="418">
        <f t="shared" si="16"/>
        <v>474173</v>
      </c>
      <c r="BQ20" s="418">
        <f t="shared" si="16"/>
        <v>14029</v>
      </c>
      <c r="BR20" s="418">
        <f>R20+AV20</f>
        <v>0</v>
      </c>
      <c r="BS20" s="419">
        <f>S20+BH20</f>
        <v>3.92</v>
      </c>
      <c r="BT20" s="419">
        <f t="shared" si="17"/>
        <v>3.92</v>
      </c>
      <c r="BU20" s="421">
        <f t="shared" si="17"/>
        <v>0</v>
      </c>
      <c r="BV20" s="420"/>
      <c r="BW20" s="415"/>
      <c r="BX20" s="415"/>
      <c r="BY20" s="415"/>
      <c r="BZ20" s="415"/>
      <c r="CA20" s="510"/>
    </row>
    <row r="21" spans="1:79" ht="12.95" customHeight="1" x14ac:dyDescent="0.25">
      <c r="A21" s="280">
        <v>3</v>
      </c>
      <c r="B21" s="281">
        <v>4464</v>
      </c>
      <c r="C21" s="281" t="s">
        <v>306</v>
      </c>
      <c r="D21" s="281">
        <v>46750461</v>
      </c>
      <c r="E21" s="283" t="s">
        <v>307</v>
      </c>
      <c r="F21" s="281">
        <v>3141</v>
      </c>
      <c r="G21" s="284" t="s">
        <v>294</v>
      </c>
      <c r="H21" s="284" t="s">
        <v>272</v>
      </c>
      <c r="I21" s="565">
        <v>2159389</v>
      </c>
      <c r="J21" s="415">
        <v>1579599</v>
      </c>
      <c r="K21" s="415">
        <v>0</v>
      </c>
      <c r="L21" s="415">
        <v>1579599</v>
      </c>
      <c r="M21" s="415">
        <v>10000</v>
      </c>
      <c r="N21" s="415">
        <v>0</v>
      </c>
      <c r="O21" s="415">
        <v>10000</v>
      </c>
      <c r="P21" s="68">
        <v>537284</v>
      </c>
      <c r="Q21" s="68">
        <v>15796</v>
      </c>
      <c r="R21" s="415">
        <v>16710</v>
      </c>
      <c r="S21" s="416">
        <v>4.7667000000000002</v>
      </c>
      <c r="T21" s="417">
        <v>0</v>
      </c>
      <c r="U21" s="770">
        <v>4.7667000000000002</v>
      </c>
      <c r="V21" s="424">
        <f t="shared" si="12"/>
        <v>0</v>
      </c>
      <c r="W21" s="418">
        <f t="shared" si="12"/>
        <v>0</v>
      </c>
      <c r="X21" s="418">
        <v>0</v>
      </c>
      <c r="Y21" s="418">
        <v>0</v>
      </c>
      <c r="Z21" s="418">
        <v>0</v>
      </c>
      <c r="AA21" s="418">
        <v>793293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793293</v>
      </c>
      <c r="AF21" s="418">
        <f>SUM(AD21:AE21)</f>
        <v>793293</v>
      </c>
      <c r="AG21" s="418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13"/>
        <v>0</v>
      </c>
      <c r="AP21" s="418">
        <f t="shared" si="13"/>
        <v>793293</v>
      </c>
      <c r="AQ21" s="418">
        <f>SUM(AO21:AP21)</f>
        <v>793293</v>
      </c>
      <c r="AR21" s="68">
        <f>ROUND((AF21+AG21+AH21+AI21)*33.8%,0)</f>
        <v>268133</v>
      </c>
      <c r="AS21" s="68">
        <f>ROUND(AF21*1%,0)</f>
        <v>7933</v>
      </c>
      <c r="AT21" s="418">
        <v>0</v>
      </c>
      <c r="AU21" s="418">
        <v>8112</v>
      </c>
      <c r="AV21" s="418">
        <f>AT21+AU21</f>
        <v>8112</v>
      </c>
      <c r="AW21" s="418">
        <f>AQ21+AR21+AS21+AV21</f>
        <v>1077471</v>
      </c>
      <c r="AX21" s="419">
        <v>0</v>
      </c>
      <c r="AY21" s="419">
        <v>0</v>
      </c>
      <c r="AZ21" s="419">
        <v>0</v>
      </c>
      <c r="BA21" s="419">
        <v>0</v>
      </c>
      <c r="BB21" s="419">
        <v>2.38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2.38</v>
      </c>
      <c r="BH21" s="421">
        <f>SUM(BF21:BG21)</f>
        <v>2.38</v>
      </c>
      <c r="BI21" s="780">
        <f>I21+AW21</f>
        <v>3236860</v>
      </c>
      <c r="BJ21" s="418">
        <f>J21+AF21</f>
        <v>2372892</v>
      </c>
      <c r="BK21" s="418">
        <f t="shared" si="14"/>
        <v>0</v>
      </c>
      <c r="BL21" s="418">
        <f t="shared" si="14"/>
        <v>2372892</v>
      </c>
      <c r="BM21" s="418">
        <f>M21+AN21</f>
        <v>10000</v>
      </c>
      <c r="BN21" s="418">
        <f t="shared" si="15"/>
        <v>0</v>
      </c>
      <c r="BO21" s="418">
        <f t="shared" si="15"/>
        <v>10000</v>
      </c>
      <c r="BP21" s="418">
        <f t="shared" si="16"/>
        <v>805417</v>
      </c>
      <c r="BQ21" s="418">
        <f t="shared" si="16"/>
        <v>23729</v>
      </c>
      <c r="BR21" s="418">
        <f>R21+AV21</f>
        <v>24822</v>
      </c>
      <c r="BS21" s="419">
        <f>S21+BH21</f>
        <v>7.1467000000000001</v>
      </c>
      <c r="BT21" s="419">
        <f t="shared" si="17"/>
        <v>0</v>
      </c>
      <c r="BU21" s="421">
        <f t="shared" si="17"/>
        <v>7.1467000000000001</v>
      </c>
      <c r="BV21" s="420"/>
      <c r="BW21" s="415"/>
      <c r="BX21" s="415"/>
      <c r="BY21" s="415"/>
      <c r="BZ21" s="415"/>
      <c r="CA21" s="510"/>
    </row>
    <row r="22" spans="1:79" ht="12.95" customHeight="1" x14ac:dyDescent="0.25">
      <c r="A22" s="280">
        <v>3</v>
      </c>
      <c r="B22" s="281">
        <v>4464</v>
      </c>
      <c r="C22" s="281" t="s">
        <v>306</v>
      </c>
      <c r="D22" s="281">
        <v>46750461</v>
      </c>
      <c r="E22" s="283" t="s">
        <v>309</v>
      </c>
      <c r="F22" s="281">
        <v>3143</v>
      </c>
      <c r="G22" s="284" t="s">
        <v>595</v>
      </c>
      <c r="H22" s="284" t="s">
        <v>271</v>
      </c>
      <c r="I22" s="565">
        <v>3564538</v>
      </c>
      <c r="J22" s="415">
        <v>2624464</v>
      </c>
      <c r="K22" s="415">
        <v>2624464</v>
      </c>
      <c r="L22" s="415">
        <v>0</v>
      </c>
      <c r="M22" s="415">
        <v>20000</v>
      </c>
      <c r="N22" s="415">
        <v>20000</v>
      </c>
      <c r="O22" s="415">
        <v>0</v>
      </c>
      <c r="P22" s="68">
        <v>893829</v>
      </c>
      <c r="Q22" s="68">
        <v>26245</v>
      </c>
      <c r="R22" s="415">
        <v>0</v>
      </c>
      <c r="S22" s="416">
        <v>4.9997999999999996</v>
      </c>
      <c r="T22" s="417">
        <v>4.9997999999999996</v>
      </c>
      <c r="U22" s="770">
        <v>0</v>
      </c>
      <c r="V22" s="424">
        <f t="shared" si="12"/>
        <v>0</v>
      </c>
      <c r="W22" s="418">
        <f t="shared" si="12"/>
        <v>0</v>
      </c>
      <c r="X22" s="418">
        <v>0</v>
      </c>
      <c r="Y22" s="418">
        <v>0</v>
      </c>
      <c r="Z22" s="418">
        <v>0</v>
      </c>
      <c r="AA22" s="418">
        <v>0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0</v>
      </c>
      <c r="AF22" s="418">
        <f>SUM(AD22:AE22)</f>
        <v>0</v>
      </c>
      <c r="AG22" s="418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si="13"/>
        <v>0</v>
      </c>
      <c r="AP22" s="418">
        <f t="shared" si="13"/>
        <v>0</v>
      </c>
      <c r="AQ22" s="418">
        <f>SUM(AO22:AP22)</f>
        <v>0</v>
      </c>
      <c r="AR22" s="68">
        <f>ROUND((AF22+AG22+AH22+AI22)*33.8%,0)</f>
        <v>0</v>
      </c>
      <c r="AS22" s="68">
        <f>ROUND(AF22*1%,0)</f>
        <v>0</v>
      </c>
      <c r="AT22" s="418">
        <v>0</v>
      </c>
      <c r="AU22" s="418">
        <v>0</v>
      </c>
      <c r="AV22" s="418">
        <f>AT22+AU22</f>
        <v>0</v>
      </c>
      <c r="AW22" s="418">
        <f>AQ22+AR22+AS22+AV22</f>
        <v>0</v>
      </c>
      <c r="AX22" s="419">
        <v>0</v>
      </c>
      <c r="AY22" s="419">
        <v>0</v>
      </c>
      <c r="AZ22" s="419">
        <v>0</v>
      </c>
      <c r="BA22" s="419">
        <v>0</v>
      </c>
      <c r="BB22" s="419">
        <v>0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</v>
      </c>
      <c r="BH22" s="421">
        <f>SUM(BF22:BG22)</f>
        <v>0</v>
      </c>
      <c r="BI22" s="780">
        <f>I22+AW22</f>
        <v>3564538</v>
      </c>
      <c r="BJ22" s="418">
        <f>J22+AF22</f>
        <v>2624464</v>
      </c>
      <c r="BK22" s="418">
        <f t="shared" si="14"/>
        <v>2624464</v>
      </c>
      <c r="BL22" s="418">
        <f t="shared" si="14"/>
        <v>0</v>
      </c>
      <c r="BM22" s="418">
        <f>M22+AN22</f>
        <v>20000</v>
      </c>
      <c r="BN22" s="418">
        <f t="shared" si="15"/>
        <v>20000</v>
      </c>
      <c r="BO22" s="418">
        <f t="shared" si="15"/>
        <v>0</v>
      </c>
      <c r="BP22" s="418">
        <f t="shared" si="16"/>
        <v>893829</v>
      </c>
      <c r="BQ22" s="418">
        <f t="shared" si="16"/>
        <v>26245</v>
      </c>
      <c r="BR22" s="418">
        <f>R22+AV22</f>
        <v>0</v>
      </c>
      <c r="BS22" s="419">
        <f>S22+BH22</f>
        <v>4.9997999999999996</v>
      </c>
      <c r="BT22" s="419">
        <f t="shared" si="17"/>
        <v>4.9997999999999996</v>
      </c>
      <c r="BU22" s="421">
        <f t="shared" si="17"/>
        <v>0</v>
      </c>
      <c r="BV22" s="420"/>
      <c r="BW22" s="415"/>
      <c r="BX22" s="415"/>
      <c r="BY22" s="415"/>
      <c r="BZ22" s="415"/>
      <c r="CA22" s="510"/>
    </row>
    <row r="23" spans="1:79" ht="12.95" customHeight="1" x14ac:dyDescent="0.25">
      <c r="A23" s="280">
        <v>3</v>
      </c>
      <c r="B23" s="281">
        <v>4464</v>
      </c>
      <c r="C23" s="281" t="s">
        <v>306</v>
      </c>
      <c r="D23" s="281">
        <v>46750461</v>
      </c>
      <c r="E23" s="283" t="s">
        <v>309</v>
      </c>
      <c r="F23" s="281">
        <v>3143</v>
      </c>
      <c r="G23" s="284" t="s">
        <v>596</v>
      </c>
      <c r="H23" s="284" t="s">
        <v>272</v>
      </c>
      <c r="I23" s="565">
        <v>90143</v>
      </c>
      <c r="J23" s="415">
        <v>64522</v>
      </c>
      <c r="K23" s="415">
        <v>0</v>
      </c>
      <c r="L23" s="415">
        <v>64522</v>
      </c>
      <c r="M23" s="415">
        <v>0</v>
      </c>
      <c r="N23" s="415">
        <v>0</v>
      </c>
      <c r="O23" s="415">
        <v>0</v>
      </c>
      <c r="P23" s="68">
        <v>21808</v>
      </c>
      <c r="Q23" s="68">
        <v>645</v>
      </c>
      <c r="R23" s="415">
        <v>3168</v>
      </c>
      <c r="S23" s="416">
        <v>0.24440000000000001</v>
      </c>
      <c r="T23" s="417">
        <v>0</v>
      </c>
      <c r="U23" s="770">
        <v>0.24440000000000001</v>
      </c>
      <c r="V23" s="424">
        <f t="shared" si="12"/>
        <v>0</v>
      </c>
      <c r="W23" s="418">
        <f t="shared" si="12"/>
        <v>0</v>
      </c>
      <c r="X23" s="418">
        <v>0</v>
      </c>
      <c r="Y23" s="418">
        <v>0</v>
      </c>
      <c r="Z23" s="418">
        <v>0</v>
      </c>
      <c r="AA23" s="418">
        <v>32278</v>
      </c>
      <c r="AB23" s="418">
        <v>0</v>
      </c>
      <c r="AC23" s="418">
        <v>0</v>
      </c>
      <c r="AD23" s="418">
        <f>V23+X23+Y23+Z23+AB23</f>
        <v>0</v>
      </c>
      <c r="AE23" s="418">
        <f>W23+AA23+AC23</f>
        <v>32278</v>
      </c>
      <c r="AF23" s="418">
        <f>SUM(AD23:AE23)</f>
        <v>32278</v>
      </c>
      <c r="AG23" s="418">
        <v>0</v>
      </c>
      <c r="AH23" s="418">
        <v>0</v>
      </c>
      <c r="AI23" s="418">
        <v>0</v>
      </c>
      <c r="AJ23" s="418">
        <v>0</v>
      </c>
      <c r="AK23" s="418">
        <v>0</v>
      </c>
      <c r="AL23" s="418">
        <f>AG23+AI23+AJ23</f>
        <v>0</v>
      </c>
      <c r="AM23" s="418">
        <f>AH23+AK23</f>
        <v>0</v>
      </c>
      <c r="AN23" s="418">
        <f>SUM(AL23:AM23)</f>
        <v>0</v>
      </c>
      <c r="AO23" s="418">
        <f t="shared" si="13"/>
        <v>0</v>
      </c>
      <c r="AP23" s="418">
        <f t="shared" si="13"/>
        <v>32278</v>
      </c>
      <c r="AQ23" s="418">
        <f>SUM(AO23:AP23)</f>
        <v>32278</v>
      </c>
      <c r="AR23" s="68">
        <f>ROUND((AF23+AG23+AH23+AI23)*33.8%,0)</f>
        <v>10910</v>
      </c>
      <c r="AS23" s="68">
        <f>ROUND(AF23*1%,0)</f>
        <v>323</v>
      </c>
      <c r="AT23" s="418">
        <v>0</v>
      </c>
      <c r="AU23" s="418">
        <v>1584</v>
      </c>
      <c r="AV23" s="418">
        <f>AT23+AU23</f>
        <v>1584</v>
      </c>
      <c r="AW23" s="418">
        <f>AQ23+AR23+AS23+AV23</f>
        <v>45095</v>
      </c>
      <c r="AX23" s="419">
        <v>0</v>
      </c>
      <c r="AY23" s="419">
        <v>0</v>
      </c>
      <c r="AZ23" s="419">
        <v>0</v>
      </c>
      <c r="BA23" s="419">
        <v>0</v>
      </c>
      <c r="BB23" s="419">
        <v>0.12</v>
      </c>
      <c r="BC23" s="419">
        <v>0</v>
      </c>
      <c r="BD23" s="419">
        <v>0</v>
      </c>
      <c r="BE23" s="419">
        <v>0</v>
      </c>
      <c r="BF23" s="419">
        <f>AX23+AZ23+BA23+BC23+BD23</f>
        <v>0</v>
      </c>
      <c r="BG23" s="419">
        <f>AY23+BB23+BE23</f>
        <v>0.12</v>
      </c>
      <c r="BH23" s="421">
        <f>SUM(BF23:BG23)</f>
        <v>0.12</v>
      </c>
      <c r="BI23" s="780">
        <f>I23+AW23</f>
        <v>135238</v>
      </c>
      <c r="BJ23" s="418">
        <f>J23+AF23</f>
        <v>96800</v>
      </c>
      <c r="BK23" s="418">
        <f t="shared" si="14"/>
        <v>0</v>
      </c>
      <c r="BL23" s="418">
        <f t="shared" si="14"/>
        <v>96800</v>
      </c>
      <c r="BM23" s="418">
        <f>M23+AN23</f>
        <v>0</v>
      </c>
      <c r="BN23" s="418">
        <f t="shared" si="15"/>
        <v>0</v>
      </c>
      <c r="BO23" s="418">
        <f t="shared" si="15"/>
        <v>0</v>
      </c>
      <c r="BP23" s="418">
        <f t="shared" si="16"/>
        <v>32718</v>
      </c>
      <c r="BQ23" s="418">
        <f t="shared" si="16"/>
        <v>968</v>
      </c>
      <c r="BR23" s="418">
        <f>R23+AV23</f>
        <v>4752</v>
      </c>
      <c r="BS23" s="419">
        <f>S23+BH23</f>
        <v>0.3644</v>
      </c>
      <c r="BT23" s="419">
        <f t="shared" si="17"/>
        <v>0</v>
      </c>
      <c r="BU23" s="421">
        <f t="shared" si="17"/>
        <v>0.3644</v>
      </c>
      <c r="BV23" s="420"/>
      <c r="BW23" s="415"/>
      <c r="BX23" s="415"/>
      <c r="BY23" s="415"/>
      <c r="BZ23" s="415"/>
      <c r="CA23" s="510"/>
    </row>
    <row r="24" spans="1:79" ht="12.95" customHeight="1" x14ac:dyDescent="0.25">
      <c r="A24" s="273">
        <v>3</v>
      </c>
      <c r="B24" s="275">
        <v>4464</v>
      </c>
      <c r="C24" s="275" t="s">
        <v>306</v>
      </c>
      <c r="D24" s="275">
        <v>46750461</v>
      </c>
      <c r="E24" s="288" t="s">
        <v>310</v>
      </c>
      <c r="F24" s="275"/>
      <c r="G24" s="289"/>
      <c r="H24" s="289"/>
      <c r="I24" s="466">
        <v>43684839</v>
      </c>
      <c r="J24" s="463">
        <v>31954776</v>
      </c>
      <c r="K24" s="463">
        <v>28611443</v>
      </c>
      <c r="L24" s="463">
        <v>3343333</v>
      </c>
      <c r="M24" s="463">
        <v>80000</v>
      </c>
      <c r="N24" s="463">
        <v>70000</v>
      </c>
      <c r="O24" s="463">
        <v>10000</v>
      </c>
      <c r="P24" s="463">
        <v>10827753</v>
      </c>
      <c r="Q24" s="463">
        <v>319548</v>
      </c>
      <c r="R24" s="463">
        <v>502762</v>
      </c>
      <c r="S24" s="464">
        <v>53.640300000000003</v>
      </c>
      <c r="T24" s="464">
        <v>43.556600000000003</v>
      </c>
      <c r="U24" s="534">
        <v>10.0837</v>
      </c>
      <c r="V24" s="466">
        <f t="shared" ref="V24:CA24" si="18">SUM(V19:V23)</f>
        <v>0</v>
      </c>
      <c r="W24" s="463">
        <f t="shared" si="18"/>
        <v>0</v>
      </c>
      <c r="X24" s="463">
        <f t="shared" si="18"/>
        <v>0</v>
      </c>
      <c r="Y24" s="463">
        <f t="shared" si="18"/>
        <v>0</v>
      </c>
      <c r="Z24" s="463">
        <f t="shared" si="18"/>
        <v>0</v>
      </c>
      <c r="AA24" s="463">
        <f t="shared" si="18"/>
        <v>825571</v>
      </c>
      <c r="AB24" s="463">
        <f t="shared" si="18"/>
        <v>0</v>
      </c>
      <c r="AC24" s="463">
        <f t="shared" si="18"/>
        <v>0</v>
      </c>
      <c r="AD24" s="463">
        <f t="shared" si="18"/>
        <v>0</v>
      </c>
      <c r="AE24" s="463">
        <f t="shared" si="18"/>
        <v>825571</v>
      </c>
      <c r="AF24" s="463">
        <f t="shared" si="18"/>
        <v>825571</v>
      </c>
      <c r="AG24" s="463">
        <f t="shared" si="18"/>
        <v>0</v>
      </c>
      <c r="AH24" s="463">
        <f t="shared" si="18"/>
        <v>0</v>
      </c>
      <c r="AI24" s="463">
        <f t="shared" si="18"/>
        <v>0</v>
      </c>
      <c r="AJ24" s="463">
        <f t="shared" si="18"/>
        <v>0</v>
      </c>
      <c r="AK24" s="463">
        <f t="shared" si="18"/>
        <v>0</v>
      </c>
      <c r="AL24" s="463">
        <f t="shared" si="18"/>
        <v>0</v>
      </c>
      <c r="AM24" s="463">
        <f t="shared" si="18"/>
        <v>0</v>
      </c>
      <c r="AN24" s="463">
        <f t="shared" si="18"/>
        <v>0</v>
      </c>
      <c r="AO24" s="463">
        <f t="shared" si="18"/>
        <v>0</v>
      </c>
      <c r="AP24" s="463">
        <f t="shared" si="18"/>
        <v>825571</v>
      </c>
      <c r="AQ24" s="463">
        <f t="shared" si="18"/>
        <v>825571</v>
      </c>
      <c r="AR24" s="463">
        <f t="shared" si="18"/>
        <v>279043</v>
      </c>
      <c r="AS24" s="463">
        <f t="shared" si="18"/>
        <v>8256</v>
      </c>
      <c r="AT24" s="463">
        <f t="shared" si="18"/>
        <v>0</v>
      </c>
      <c r="AU24" s="463">
        <f t="shared" si="18"/>
        <v>9696</v>
      </c>
      <c r="AV24" s="463">
        <f t="shared" si="18"/>
        <v>9696</v>
      </c>
      <c r="AW24" s="463">
        <f t="shared" si="18"/>
        <v>1122566</v>
      </c>
      <c r="AX24" s="464">
        <f t="shared" si="18"/>
        <v>0</v>
      </c>
      <c r="AY24" s="464">
        <f t="shared" si="18"/>
        <v>0</v>
      </c>
      <c r="AZ24" s="464">
        <f t="shared" si="18"/>
        <v>0</v>
      </c>
      <c r="BA24" s="464">
        <f t="shared" si="18"/>
        <v>0</v>
      </c>
      <c r="BB24" s="464">
        <f t="shared" ref="BB24" si="19">SUM(BB19:BB23)</f>
        <v>2.5</v>
      </c>
      <c r="BC24" s="464">
        <f t="shared" si="18"/>
        <v>0</v>
      </c>
      <c r="BD24" s="464">
        <f t="shared" si="18"/>
        <v>0</v>
      </c>
      <c r="BE24" s="464">
        <f t="shared" ref="BE24" si="20">SUM(BE19:BE23)</f>
        <v>0</v>
      </c>
      <c r="BF24" s="464">
        <f t="shared" si="18"/>
        <v>0</v>
      </c>
      <c r="BG24" s="464">
        <f t="shared" si="18"/>
        <v>2.5</v>
      </c>
      <c r="BH24" s="290">
        <f t="shared" si="18"/>
        <v>2.5</v>
      </c>
      <c r="BI24" s="787">
        <f t="shared" si="18"/>
        <v>44807405</v>
      </c>
      <c r="BJ24" s="463">
        <f t="shared" si="18"/>
        <v>32780347</v>
      </c>
      <c r="BK24" s="463">
        <f t="shared" si="18"/>
        <v>28611443</v>
      </c>
      <c r="BL24" s="463">
        <f t="shared" si="18"/>
        <v>4168904</v>
      </c>
      <c r="BM24" s="463">
        <f t="shared" si="18"/>
        <v>80000</v>
      </c>
      <c r="BN24" s="463">
        <f t="shared" si="18"/>
        <v>70000</v>
      </c>
      <c r="BO24" s="463">
        <f t="shared" si="18"/>
        <v>10000</v>
      </c>
      <c r="BP24" s="463">
        <f t="shared" si="18"/>
        <v>11106796</v>
      </c>
      <c r="BQ24" s="463">
        <f t="shared" si="18"/>
        <v>327804</v>
      </c>
      <c r="BR24" s="463">
        <f t="shared" si="18"/>
        <v>512458</v>
      </c>
      <c r="BS24" s="464">
        <f t="shared" si="18"/>
        <v>56.140300000000011</v>
      </c>
      <c r="BT24" s="464">
        <f t="shared" si="18"/>
        <v>43.556600000000003</v>
      </c>
      <c r="BU24" s="290">
        <f t="shared" si="18"/>
        <v>12.5837</v>
      </c>
      <c r="BV24" s="852">
        <f t="shared" si="18"/>
        <v>0</v>
      </c>
      <c r="BW24" s="722">
        <f t="shared" si="18"/>
        <v>0</v>
      </c>
      <c r="BX24" s="722">
        <f t="shared" si="18"/>
        <v>0</v>
      </c>
      <c r="BY24" s="722">
        <f t="shared" si="18"/>
        <v>0</v>
      </c>
      <c r="BZ24" s="722">
        <f t="shared" si="18"/>
        <v>0</v>
      </c>
      <c r="CA24" s="853">
        <f t="shared" si="18"/>
        <v>0</v>
      </c>
    </row>
    <row r="25" spans="1:79" ht="12.95" customHeight="1" x14ac:dyDescent="0.25">
      <c r="A25" s="280">
        <v>4</v>
      </c>
      <c r="B25" s="281">
        <v>4457</v>
      </c>
      <c r="C25" s="281">
        <v>600074609</v>
      </c>
      <c r="D25" s="281">
        <v>72743964</v>
      </c>
      <c r="E25" s="283" t="s">
        <v>311</v>
      </c>
      <c r="F25" s="281">
        <v>3117</v>
      </c>
      <c r="G25" s="284" t="s">
        <v>308</v>
      </c>
      <c r="H25" s="284" t="s">
        <v>271</v>
      </c>
      <c r="I25" s="565">
        <v>5905496</v>
      </c>
      <c r="J25" s="415">
        <v>4289763</v>
      </c>
      <c r="K25" s="415">
        <v>3918034</v>
      </c>
      <c r="L25" s="415">
        <v>371729</v>
      </c>
      <c r="M25" s="415">
        <v>30000</v>
      </c>
      <c r="N25" s="415">
        <v>20000</v>
      </c>
      <c r="O25" s="415">
        <v>10000</v>
      </c>
      <c r="P25" s="68">
        <v>1460079</v>
      </c>
      <c r="Q25" s="68">
        <v>42898</v>
      </c>
      <c r="R25" s="415">
        <v>82756</v>
      </c>
      <c r="S25" s="416">
        <v>6.801400000000001</v>
      </c>
      <c r="T25" s="417">
        <v>5.8471000000000002</v>
      </c>
      <c r="U25" s="770">
        <v>0.95430000000000004</v>
      </c>
      <c r="V25" s="424">
        <f t="shared" ref="V25:W29" si="21">AG25*-1</f>
        <v>0</v>
      </c>
      <c r="W25" s="418">
        <f t="shared" si="21"/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f>V25+X25+Y25+Z25+AB25</f>
        <v>0</v>
      </c>
      <c r="AE25" s="418">
        <f>W25+AA25+AC25</f>
        <v>0</v>
      </c>
      <c r="AF25" s="418">
        <f>SUM(AD25:AE25)</f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f>AG25+AI25+AJ25</f>
        <v>0</v>
      </c>
      <c r="AM25" s="418">
        <f>AH25+AK25</f>
        <v>0</v>
      </c>
      <c r="AN25" s="418">
        <f>SUM(AL25:AM25)</f>
        <v>0</v>
      </c>
      <c r="AO25" s="418">
        <f t="shared" ref="AO25:AP29" si="22">AD25+AL25</f>
        <v>0</v>
      </c>
      <c r="AP25" s="418">
        <f t="shared" si="22"/>
        <v>0</v>
      </c>
      <c r="AQ25" s="418">
        <f>SUM(AO25:AP25)</f>
        <v>0</v>
      </c>
      <c r="AR25" s="68">
        <f>ROUND((AF25+AG25+AH25+AI25)*33.8%,0)</f>
        <v>0</v>
      </c>
      <c r="AS25" s="68">
        <f>ROUND(AF25*1%,0)</f>
        <v>0</v>
      </c>
      <c r="AT25" s="418">
        <v>0</v>
      </c>
      <c r="AU25" s="418">
        <v>0</v>
      </c>
      <c r="AV25" s="418">
        <f>AT25+AU25</f>
        <v>0</v>
      </c>
      <c r="AW25" s="418">
        <f>AQ25+AR25+AS25+AV25</f>
        <v>0</v>
      </c>
      <c r="AX25" s="419">
        <v>0</v>
      </c>
      <c r="AY25" s="419">
        <v>0</v>
      </c>
      <c r="AZ25" s="419">
        <v>0</v>
      </c>
      <c r="BA25" s="419">
        <v>0</v>
      </c>
      <c r="BB25" s="419">
        <v>0</v>
      </c>
      <c r="BC25" s="419">
        <v>0</v>
      </c>
      <c r="BD25" s="419">
        <v>0</v>
      </c>
      <c r="BE25" s="419">
        <v>0</v>
      </c>
      <c r="BF25" s="419">
        <f>AX25+AZ25+BA25+BC25+BD25</f>
        <v>0</v>
      </c>
      <c r="BG25" s="419">
        <f>AY25+BB25+BE25</f>
        <v>0</v>
      </c>
      <c r="BH25" s="421">
        <f>SUM(BF25:BG25)</f>
        <v>0</v>
      </c>
      <c r="BI25" s="780">
        <f>I25+AW25</f>
        <v>5905496</v>
      </c>
      <c r="BJ25" s="418">
        <f>J25+AF25</f>
        <v>4289763</v>
      </c>
      <c r="BK25" s="418">
        <f t="shared" ref="BK25:BL29" si="23">K25+AD25</f>
        <v>3918034</v>
      </c>
      <c r="BL25" s="418">
        <f t="shared" si="23"/>
        <v>371729</v>
      </c>
      <c r="BM25" s="418">
        <f>M25+AN25</f>
        <v>30000</v>
      </c>
      <c r="BN25" s="418">
        <f t="shared" ref="BN25:BO29" si="24">N25+AL25</f>
        <v>20000</v>
      </c>
      <c r="BO25" s="418">
        <f t="shared" si="24"/>
        <v>10000</v>
      </c>
      <c r="BP25" s="418">
        <f t="shared" ref="BP25:BQ29" si="25">P25+AR25</f>
        <v>1460079</v>
      </c>
      <c r="BQ25" s="418">
        <f t="shared" si="25"/>
        <v>42898</v>
      </c>
      <c r="BR25" s="418">
        <f>R25+AV25</f>
        <v>82756</v>
      </c>
      <c r="BS25" s="419">
        <f>S25+BH25</f>
        <v>6.801400000000001</v>
      </c>
      <c r="BT25" s="419">
        <f t="shared" ref="BT25:BU29" si="26">T25+BF25</f>
        <v>5.8471000000000002</v>
      </c>
      <c r="BU25" s="421">
        <f t="shared" si="26"/>
        <v>0.95430000000000004</v>
      </c>
      <c r="BV25" s="420"/>
      <c r="BW25" s="415"/>
      <c r="BX25" s="415"/>
      <c r="BY25" s="415"/>
      <c r="BZ25" s="415"/>
      <c r="CA25" s="510"/>
    </row>
    <row r="26" spans="1:79" ht="12.95" customHeight="1" x14ac:dyDescent="0.25">
      <c r="A26" s="280">
        <v>4</v>
      </c>
      <c r="B26" s="281">
        <v>4457</v>
      </c>
      <c r="C26" s="281">
        <v>600074609</v>
      </c>
      <c r="D26" s="281">
        <v>72743964</v>
      </c>
      <c r="E26" s="283" t="s">
        <v>311</v>
      </c>
      <c r="F26" s="281">
        <v>3117</v>
      </c>
      <c r="G26" s="284" t="s">
        <v>298</v>
      </c>
      <c r="H26" s="284" t="s">
        <v>272</v>
      </c>
      <c r="I26" s="565">
        <v>1490075</v>
      </c>
      <c r="J26" s="415">
        <v>1104284</v>
      </c>
      <c r="K26" s="415">
        <v>1104284</v>
      </c>
      <c r="L26" s="415">
        <v>0</v>
      </c>
      <c r="M26" s="415">
        <v>0</v>
      </c>
      <c r="N26" s="415">
        <v>0</v>
      </c>
      <c r="O26" s="415">
        <v>0</v>
      </c>
      <c r="P26" s="68">
        <v>373248</v>
      </c>
      <c r="Q26" s="68">
        <v>11043</v>
      </c>
      <c r="R26" s="415">
        <v>1500</v>
      </c>
      <c r="S26" s="416">
        <v>2.93</v>
      </c>
      <c r="T26" s="417">
        <v>2.93</v>
      </c>
      <c r="U26" s="770">
        <v>0</v>
      </c>
      <c r="V26" s="424">
        <f t="shared" si="21"/>
        <v>0</v>
      </c>
      <c r="W26" s="418">
        <f t="shared" si="21"/>
        <v>0</v>
      </c>
      <c r="X26" s="418">
        <v>-105080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>V26+X26+Y26+Z26+AB26</f>
        <v>-105080</v>
      </c>
      <c r="AE26" s="418">
        <f>W26+AA26+AC26</f>
        <v>0</v>
      </c>
      <c r="AF26" s="418">
        <f>SUM(AD26:AE26)</f>
        <v>-105080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>AG26+AI26+AJ26</f>
        <v>0</v>
      </c>
      <c r="AM26" s="418">
        <f>AH26+AK26</f>
        <v>0</v>
      </c>
      <c r="AN26" s="418">
        <f>SUM(AL26:AM26)</f>
        <v>0</v>
      </c>
      <c r="AO26" s="418">
        <f t="shared" si="22"/>
        <v>-105080</v>
      </c>
      <c r="AP26" s="418">
        <f t="shared" si="22"/>
        <v>0</v>
      </c>
      <c r="AQ26" s="418">
        <f>SUM(AO26:AP26)</f>
        <v>-105080</v>
      </c>
      <c r="AR26" s="68">
        <f>ROUND((AF26+AG26+AH26+AI26)*33.8%,0)</f>
        <v>-35517</v>
      </c>
      <c r="AS26" s="68">
        <f>ROUND(AF26*1%,0)</f>
        <v>-1051</v>
      </c>
      <c r="AT26" s="418">
        <v>0</v>
      </c>
      <c r="AU26" s="418">
        <v>0</v>
      </c>
      <c r="AV26" s="418">
        <f>AT26+AU26</f>
        <v>0</v>
      </c>
      <c r="AW26" s="418">
        <f>AQ26+AR26+AS26+AV26</f>
        <v>-141648</v>
      </c>
      <c r="AX26" s="419">
        <v>0</v>
      </c>
      <c r="AY26" s="419">
        <v>0</v>
      </c>
      <c r="AZ26" s="419">
        <v>-0.28000000000000003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>AX26+AZ26+BA26+BC26+BD26</f>
        <v>-0.28000000000000003</v>
      </c>
      <c r="BG26" s="419">
        <f>AY26+BB26+BE26</f>
        <v>0</v>
      </c>
      <c r="BH26" s="421">
        <f>SUM(BF26:BG26)</f>
        <v>-0.28000000000000003</v>
      </c>
      <c r="BI26" s="780">
        <f>I26+AW26</f>
        <v>1348427</v>
      </c>
      <c r="BJ26" s="418">
        <f>J26+AF26</f>
        <v>999204</v>
      </c>
      <c r="BK26" s="418">
        <f t="shared" si="23"/>
        <v>999204</v>
      </c>
      <c r="BL26" s="418">
        <f t="shared" si="23"/>
        <v>0</v>
      </c>
      <c r="BM26" s="418">
        <f>M26+AN26</f>
        <v>0</v>
      </c>
      <c r="BN26" s="418">
        <f t="shared" si="24"/>
        <v>0</v>
      </c>
      <c r="BO26" s="418">
        <f t="shared" si="24"/>
        <v>0</v>
      </c>
      <c r="BP26" s="418">
        <f t="shared" si="25"/>
        <v>337731</v>
      </c>
      <c r="BQ26" s="418">
        <f t="shared" si="25"/>
        <v>9992</v>
      </c>
      <c r="BR26" s="418">
        <f>R26+AV26</f>
        <v>1500</v>
      </c>
      <c r="BS26" s="419">
        <f>S26+BH26</f>
        <v>2.6500000000000004</v>
      </c>
      <c r="BT26" s="419">
        <f t="shared" si="26"/>
        <v>2.6500000000000004</v>
      </c>
      <c r="BU26" s="421">
        <f t="shared" si="26"/>
        <v>0</v>
      </c>
      <c r="BV26" s="420"/>
      <c r="BW26" s="415"/>
      <c r="BX26" s="415"/>
      <c r="BY26" s="415"/>
      <c r="BZ26" s="415"/>
      <c r="CA26" s="510"/>
    </row>
    <row r="27" spans="1:79" ht="12.95" customHeight="1" x14ac:dyDescent="0.25">
      <c r="A27" s="280">
        <v>4</v>
      </c>
      <c r="B27" s="281">
        <v>4457</v>
      </c>
      <c r="C27" s="281">
        <v>600074609</v>
      </c>
      <c r="D27" s="281">
        <v>72743964</v>
      </c>
      <c r="E27" s="283" t="s">
        <v>311</v>
      </c>
      <c r="F27" s="281">
        <v>3141</v>
      </c>
      <c r="G27" s="284" t="s">
        <v>294</v>
      </c>
      <c r="H27" s="284" t="s">
        <v>272</v>
      </c>
      <c r="I27" s="565">
        <v>172316</v>
      </c>
      <c r="J27" s="415">
        <v>126722</v>
      </c>
      <c r="K27" s="415">
        <v>0</v>
      </c>
      <c r="L27" s="415">
        <v>126722</v>
      </c>
      <c r="M27" s="415">
        <v>0</v>
      </c>
      <c r="N27" s="415">
        <v>0</v>
      </c>
      <c r="O27" s="415">
        <v>0</v>
      </c>
      <c r="P27" s="68">
        <v>42832</v>
      </c>
      <c r="Q27" s="68">
        <v>1267</v>
      </c>
      <c r="R27" s="415">
        <v>1495</v>
      </c>
      <c r="S27" s="416">
        <v>0.38</v>
      </c>
      <c r="T27" s="417">
        <v>0</v>
      </c>
      <c r="U27" s="770">
        <v>0.38</v>
      </c>
      <c r="V27" s="424">
        <f t="shared" si="21"/>
        <v>0</v>
      </c>
      <c r="W27" s="418">
        <f t="shared" si="21"/>
        <v>0</v>
      </c>
      <c r="X27" s="418">
        <v>0</v>
      </c>
      <c r="Y27" s="418">
        <v>0</v>
      </c>
      <c r="Z27" s="418">
        <v>0</v>
      </c>
      <c r="AA27" s="418">
        <v>63780</v>
      </c>
      <c r="AB27" s="418">
        <v>0</v>
      </c>
      <c r="AC27" s="418">
        <v>0</v>
      </c>
      <c r="AD27" s="418">
        <f>V27+X27+Y27+Z27+AB27</f>
        <v>0</v>
      </c>
      <c r="AE27" s="418">
        <f>W27+AA27+AC27</f>
        <v>63780</v>
      </c>
      <c r="AF27" s="418">
        <f>SUM(AD27:AE27)</f>
        <v>63780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>AG27+AI27+AJ27</f>
        <v>0</v>
      </c>
      <c r="AM27" s="418">
        <f>AH27+AK27</f>
        <v>0</v>
      </c>
      <c r="AN27" s="418">
        <f>SUM(AL27:AM27)</f>
        <v>0</v>
      </c>
      <c r="AO27" s="418">
        <f t="shared" si="22"/>
        <v>0</v>
      </c>
      <c r="AP27" s="418">
        <f t="shared" si="22"/>
        <v>63780</v>
      </c>
      <c r="AQ27" s="418">
        <f>SUM(AO27:AP27)</f>
        <v>63780</v>
      </c>
      <c r="AR27" s="68">
        <f>ROUND((AF27+AG27+AH27+AI27)*33.8%,0)</f>
        <v>21558</v>
      </c>
      <c r="AS27" s="68">
        <f>ROUND(AF27*1%,0)</f>
        <v>638</v>
      </c>
      <c r="AT27" s="418">
        <v>0</v>
      </c>
      <c r="AU27" s="418">
        <v>715</v>
      </c>
      <c r="AV27" s="418">
        <f>AT27+AU27</f>
        <v>715</v>
      </c>
      <c r="AW27" s="418">
        <f>AQ27+AR27+AS27+AV27</f>
        <v>86691</v>
      </c>
      <c r="AX27" s="419">
        <v>0</v>
      </c>
      <c r="AY27" s="419">
        <v>0</v>
      </c>
      <c r="AZ27" s="419">
        <v>0</v>
      </c>
      <c r="BA27" s="419">
        <v>0</v>
      </c>
      <c r="BB27" s="419">
        <v>0.19</v>
      </c>
      <c r="BC27" s="419">
        <v>0</v>
      </c>
      <c r="BD27" s="419">
        <v>0</v>
      </c>
      <c r="BE27" s="419">
        <v>0</v>
      </c>
      <c r="BF27" s="419">
        <f>AX27+AZ27+BA27+BC27+BD27</f>
        <v>0</v>
      </c>
      <c r="BG27" s="419">
        <f>AY27+BB27+BE27</f>
        <v>0.19</v>
      </c>
      <c r="BH27" s="421">
        <f>SUM(BF27:BG27)</f>
        <v>0.19</v>
      </c>
      <c r="BI27" s="780">
        <f>I27+AW27</f>
        <v>259007</v>
      </c>
      <c r="BJ27" s="418">
        <f>J27+AF27</f>
        <v>190502</v>
      </c>
      <c r="BK27" s="418">
        <f t="shared" si="23"/>
        <v>0</v>
      </c>
      <c r="BL27" s="418">
        <f t="shared" si="23"/>
        <v>190502</v>
      </c>
      <c r="BM27" s="418">
        <f>M27+AN27</f>
        <v>0</v>
      </c>
      <c r="BN27" s="418">
        <f t="shared" si="24"/>
        <v>0</v>
      </c>
      <c r="BO27" s="418">
        <f t="shared" si="24"/>
        <v>0</v>
      </c>
      <c r="BP27" s="418">
        <f t="shared" si="25"/>
        <v>64390</v>
      </c>
      <c r="BQ27" s="418">
        <f t="shared" si="25"/>
        <v>1905</v>
      </c>
      <c r="BR27" s="418">
        <f>R27+AV27</f>
        <v>2210</v>
      </c>
      <c r="BS27" s="419">
        <f>S27+BH27</f>
        <v>0.57000000000000006</v>
      </c>
      <c r="BT27" s="419">
        <f t="shared" si="26"/>
        <v>0</v>
      </c>
      <c r="BU27" s="421">
        <f t="shared" si="26"/>
        <v>0.57000000000000006</v>
      </c>
      <c r="BV27" s="420"/>
      <c r="BW27" s="415"/>
      <c r="BX27" s="415"/>
      <c r="BY27" s="415"/>
      <c r="BZ27" s="415"/>
      <c r="CA27" s="510"/>
    </row>
    <row r="28" spans="1:79" ht="12.95" customHeight="1" x14ac:dyDescent="0.25">
      <c r="A28" s="280">
        <v>4</v>
      </c>
      <c r="B28" s="281">
        <v>4457</v>
      </c>
      <c r="C28" s="281">
        <v>600074609</v>
      </c>
      <c r="D28" s="281">
        <v>72743964</v>
      </c>
      <c r="E28" s="283" t="s">
        <v>311</v>
      </c>
      <c r="F28" s="281">
        <v>3143</v>
      </c>
      <c r="G28" s="284" t="s">
        <v>595</v>
      </c>
      <c r="H28" s="284" t="s">
        <v>271</v>
      </c>
      <c r="I28" s="565">
        <v>1184946</v>
      </c>
      <c r="J28" s="415">
        <v>879040</v>
      </c>
      <c r="K28" s="415">
        <v>879040</v>
      </c>
      <c r="L28" s="415">
        <v>0</v>
      </c>
      <c r="M28" s="415">
        <v>0</v>
      </c>
      <c r="N28" s="415">
        <v>0</v>
      </c>
      <c r="O28" s="415">
        <v>0</v>
      </c>
      <c r="P28" s="68">
        <v>297116</v>
      </c>
      <c r="Q28" s="68">
        <v>8790</v>
      </c>
      <c r="R28" s="415">
        <v>0</v>
      </c>
      <c r="S28" s="416">
        <v>1.716</v>
      </c>
      <c r="T28" s="417">
        <v>1.716</v>
      </c>
      <c r="U28" s="770">
        <v>0</v>
      </c>
      <c r="V28" s="424">
        <f t="shared" si="21"/>
        <v>0</v>
      </c>
      <c r="W28" s="418">
        <f t="shared" si="21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>V28+X28+Y28+Z28+AB28</f>
        <v>0</v>
      </c>
      <c r="AE28" s="418">
        <f>W28+AA28+AC28</f>
        <v>0</v>
      </c>
      <c r="AF28" s="418">
        <f>SUM(AD28:AE28)</f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>AG28+AI28+AJ28</f>
        <v>0</v>
      </c>
      <c r="AM28" s="418">
        <f>AH28+AK28</f>
        <v>0</v>
      </c>
      <c r="AN28" s="418">
        <f>SUM(AL28:AM28)</f>
        <v>0</v>
      </c>
      <c r="AO28" s="418">
        <f t="shared" si="22"/>
        <v>0</v>
      </c>
      <c r="AP28" s="418">
        <f t="shared" si="22"/>
        <v>0</v>
      </c>
      <c r="AQ28" s="418">
        <f>SUM(AO28:AP28)</f>
        <v>0</v>
      </c>
      <c r="AR28" s="68">
        <f>ROUND((AF28+AG28+AH28+AI28)*33.8%,0)</f>
        <v>0</v>
      </c>
      <c r="AS28" s="68">
        <f>ROUND(AF28*1%,0)</f>
        <v>0</v>
      </c>
      <c r="AT28" s="418">
        <v>0</v>
      </c>
      <c r="AU28" s="418">
        <v>0</v>
      </c>
      <c r="AV28" s="418">
        <f>AT28+AU28</f>
        <v>0</v>
      </c>
      <c r="AW28" s="418">
        <f>AQ28+AR28+AS28+AV28</f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>AX28+AZ28+BA28+BC28+BD28</f>
        <v>0</v>
      </c>
      <c r="BG28" s="419">
        <f>AY28+BB28+BE28</f>
        <v>0</v>
      </c>
      <c r="BH28" s="421">
        <f>SUM(BF28:BG28)</f>
        <v>0</v>
      </c>
      <c r="BI28" s="780">
        <f>I28+AW28</f>
        <v>1184946</v>
      </c>
      <c r="BJ28" s="418">
        <f>J28+AF28</f>
        <v>879040</v>
      </c>
      <c r="BK28" s="418">
        <f t="shared" si="23"/>
        <v>879040</v>
      </c>
      <c r="BL28" s="418">
        <f t="shared" si="23"/>
        <v>0</v>
      </c>
      <c r="BM28" s="418">
        <f>M28+AN28</f>
        <v>0</v>
      </c>
      <c r="BN28" s="418">
        <f t="shared" si="24"/>
        <v>0</v>
      </c>
      <c r="BO28" s="418">
        <f t="shared" si="24"/>
        <v>0</v>
      </c>
      <c r="BP28" s="418">
        <f t="shared" si="25"/>
        <v>297116</v>
      </c>
      <c r="BQ28" s="418">
        <f t="shared" si="25"/>
        <v>8790</v>
      </c>
      <c r="BR28" s="418">
        <f>R28+AV28</f>
        <v>0</v>
      </c>
      <c r="BS28" s="419">
        <f>S28+BH28</f>
        <v>1.716</v>
      </c>
      <c r="BT28" s="419">
        <f t="shared" si="26"/>
        <v>1.716</v>
      </c>
      <c r="BU28" s="421">
        <f t="shared" si="26"/>
        <v>0</v>
      </c>
      <c r="BV28" s="420"/>
      <c r="BW28" s="415"/>
      <c r="BX28" s="415"/>
      <c r="BY28" s="415"/>
      <c r="BZ28" s="415"/>
      <c r="CA28" s="510"/>
    </row>
    <row r="29" spans="1:79" ht="12.95" customHeight="1" x14ac:dyDescent="0.25">
      <c r="A29" s="280">
        <v>4</v>
      </c>
      <c r="B29" s="281">
        <v>4457</v>
      </c>
      <c r="C29" s="281">
        <v>600074609</v>
      </c>
      <c r="D29" s="281">
        <v>72743964</v>
      </c>
      <c r="E29" s="283" t="s">
        <v>311</v>
      </c>
      <c r="F29" s="281">
        <v>3143</v>
      </c>
      <c r="G29" s="284" t="s">
        <v>596</v>
      </c>
      <c r="H29" s="284" t="s">
        <v>272</v>
      </c>
      <c r="I29" s="565">
        <v>20506</v>
      </c>
      <c r="J29" s="415">
        <v>14678</v>
      </c>
      <c r="K29" s="415">
        <v>0</v>
      </c>
      <c r="L29" s="415">
        <v>14678</v>
      </c>
      <c r="M29" s="415">
        <v>0</v>
      </c>
      <c r="N29" s="415">
        <v>0</v>
      </c>
      <c r="O29" s="415">
        <v>0</v>
      </c>
      <c r="P29" s="68">
        <v>4961</v>
      </c>
      <c r="Q29" s="68">
        <v>147</v>
      </c>
      <c r="R29" s="415">
        <v>720</v>
      </c>
      <c r="S29" s="416">
        <v>5.5599999999999997E-2</v>
      </c>
      <c r="T29" s="417">
        <v>0</v>
      </c>
      <c r="U29" s="770">
        <v>5.5599999999999997E-2</v>
      </c>
      <c r="V29" s="424">
        <f t="shared" si="21"/>
        <v>0</v>
      </c>
      <c r="W29" s="418">
        <f t="shared" si="21"/>
        <v>0</v>
      </c>
      <c r="X29" s="418">
        <v>0</v>
      </c>
      <c r="Y29" s="418">
        <v>0</v>
      </c>
      <c r="Z29" s="418">
        <v>0</v>
      </c>
      <c r="AA29" s="418">
        <v>7322</v>
      </c>
      <c r="AB29" s="418">
        <v>0</v>
      </c>
      <c r="AC29" s="418">
        <v>0</v>
      </c>
      <c r="AD29" s="418">
        <f>V29+X29+Y29+Z29+AB29</f>
        <v>0</v>
      </c>
      <c r="AE29" s="418">
        <f>W29+AA29+AC29</f>
        <v>7322</v>
      </c>
      <c r="AF29" s="418">
        <f>SUM(AD29:AE29)</f>
        <v>7322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>AG29+AI29+AJ29</f>
        <v>0</v>
      </c>
      <c r="AM29" s="418">
        <f>AH29+AK29</f>
        <v>0</v>
      </c>
      <c r="AN29" s="418">
        <f>SUM(AL29:AM29)</f>
        <v>0</v>
      </c>
      <c r="AO29" s="418">
        <f t="shared" si="22"/>
        <v>0</v>
      </c>
      <c r="AP29" s="418">
        <f t="shared" si="22"/>
        <v>7322</v>
      </c>
      <c r="AQ29" s="418">
        <f>SUM(AO29:AP29)</f>
        <v>7322</v>
      </c>
      <c r="AR29" s="68">
        <f>ROUND((AF29+AG29+AH29+AI29)*33.8%,0)</f>
        <v>2475</v>
      </c>
      <c r="AS29" s="68">
        <f>ROUND(AF29*1%,0)</f>
        <v>73</v>
      </c>
      <c r="AT29" s="418">
        <v>0</v>
      </c>
      <c r="AU29" s="418">
        <v>360</v>
      </c>
      <c r="AV29" s="418">
        <f>AT29+AU29</f>
        <v>360</v>
      </c>
      <c r="AW29" s="418">
        <f>AQ29+AR29+AS29+AV29</f>
        <v>10230</v>
      </c>
      <c r="AX29" s="419">
        <v>0</v>
      </c>
      <c r="AY29" s="419">
        <v>0</v>
      </c>
      <c r="AZ29" s="419">
        <v>0</v>
      </c>
      <c r="BA29" s="419">
        <v>0</v>
      </c>
      <c r="BB29" s="419">
        <v>0.03</v>
      </c>
      <c r="BC29" s="419">
        <v>0</v>
      </c>
      <c r="BD29" s="419">
        <v>0</v>
      </c>
      <c r="BE29" s="419">
        <v>0</v>
      </c>
      <c r="BF29" s="419">
        <f>AX29+AZ29+BA29+BC29+BD29</f>
        <v>0</v>
      </c>
      <c r="BG29" s="419">
        <f>AY29+BB29+BE29</f>
        <v>0.03</v>
      </c>
      <c r="BH29" s="421">
        <f>SUM(BF29:BG29)</f>
        <v>0.03</v>
      </c>
      <c r="BI29" s="780">
        <f>I29+AW29</f>
        <v>30736</v>
      </c>
      <c r="BJ29" s="418">
        <f>J29+AF29</f>
        <v>22000</v>
      </c>
      <c r="BK29" s="418">
        <f t="shared" si="23"/>
        <v>0</v>
      </c>
      <c r="BL29" s="418">
        <f t="shared" si="23"/>
        <v>22000</v>
      </c>
      <c r="BM29" s="418">
        <f>M29+AN29</f>
        <v>0</v>
      </c>
      <c r="BN29" s="418">
        <f t="shared" si="24"/>
        <v>0</v>
      </c>
      <c r="BO29" s="418">
        <f t="shared" si="24"/>
        <v>0</v>
      </c>
      <c r="BP29" s="418">
        <f t="shared" si="25"/>
        <v>7436</v>
      </c>
      <c r="BQ29" s="418">
        <f t="shared" si="25"/>
        <v>220</v>
      </c>
      <c r="BR29" s="418">
        <f>R29+AV29</f>
        <v>1080</v>
      </c>
      <c r="BS29" s="419">
        <f>S29+BH29</f>
        <v>8.5599999999999996E-2</v>
      </c>
      <c r="BT29" s="419">
        <f t="shared" si="26"/>
        <v>0</v>
      </c>
      <c r="BU29" s="421">
        <f t="shared" si="26"/>
        <v>8.5599999999999996E-2</v>
      </c>
      <c r="BV29" s="420"/>
      <c r="BW29" s="415"/>
      <c r="BX29" s="415"/>
      <c r="BY29" s="415"/>
      <c r="BZ29" s="415"/>
      <c r="CA29" s="510"/>
    </row>
    <row r="30" spans="1:79" ht="12.95" customHeight="1" x14ac:dyDescent="0.25">
      <c r="A30" s="273">
        <v>4</v>
      </c>
      <c r="B30" s="275">
        <v>4457</v>
      </c>
      <c r="C30" s="275">
        <v>600074609</v>
      </c>
      <c r="D30" s="275">
        <v>72743964</v>
      </c>
      <c r="E30" s="288" t="s">
        <v>312</v>
      </c>
      <c r="F30" s="291"/>
      <c r="G30" s="292"/>
      <c r="H30" s="292"/>
      <c r="I30" s="466">
        <v>8773339</v>
      </c>
      <c r="J30" s="463">
        <v>6414487</v>
      </c>
      <c r="K30" s="463">
        <v>5901358</v>
      </c>
      <c r="L30" s="463">
        <v>513129</v>
      </c>
      <c r="M30" s="463">
        <v>30000</v>
      </c>
      <c r="N30" s="463">
        <v>20000</v>
      </c>
      <c r="O30" s="463">
        <v>10000</v>
      </c>
      <c r="P30" s="463">
        <v>2178236</v>
      </c>
      <c r="Q30" s="463">
        <v>64145</v>
      </c>
      <c r="R30" s="463">
        <v>86471</v>
      </c>
      <c r="S30" s="464">
        <v>11.883000000000001</v>
      </c>
      <c r="T30" s="464">
        <v>10.4931</v>
      </c>
      <c r="U30" s="534">
        <v>1.3899000000000001</v>
      </c>
      <c r="V30" s="466">
        <f t="shared" ref="V30:CA30" si="27">SUM(V25:V29)</f>
        <v>0</v>
      </c>
      <c r="W30" s="463">
        <f t="shared" si="27"/>
        <v>0</v>
      </c>
      <c r="X30" s="463">
        <f t="shared" si="27"/>
        <v>-105080</v>
      </c>
      <c r="Y30" s="463">
        <f t="shared" si="27"/>
        <v>0</v>
      </c>
      <c r="Z30" s="463">
        <f t="shared" si="27"/>
        <v>0</v>
      </c>
      <c r="AA30" s="463">
        <f t="shared" si="27"/>
        <v>71102</v>
      </c>
      <c r="AB30" s="463">
        <f t="shared" si="27"/>
        <v>0</v>
      </c>
      <c r="AC30" s="463">
        <f t="shared" si="27"/>
        <v>0</v>
      </c>
      <c r="AD30" s="463">
        <f t="shared" si="27"/>
        <v>-105080</v>
      </c>
      <c r="AE30" s="463">
        <f t="shared" si="27"/>
        <v>71102</v>
      </c>
      <c r="AF30" s="463">
        <f t="shared" si="27"/>
        <v>-33978</v>
      </c>
      <c r="AG30" s="463">
        <f t="shared" si="27"/>
        <v>0</v>
      </c>
      <c r="AH30" s="463">
        <f t="shared" si="27"/>
        <v>0</v>
      </c>
      <c r="AI30" s="463">
        <f t="shared" si="27"/>
        <v>0</v>
      </c>
      <c r="AJ30" s="463">
        <f t="shared" si="27"/>
        <v>0</v>
      </c>
      <c r="AK30" s="463">
        <f t="shared" si="27"/>
        <v>0</v>
      </c>
      <c r="AL30" s="463">
        <f t="shared" si="27"/>
        <v>0</v>
      </c>
      <c r="AM30" s="463">
        <f t="shared" si="27"/>
        <v>0</v>
      </c>
      <c r="AN30" s="463">
        <f t="shared" si="27"/>
        <v>0</v>
      </c>
      <c r="AO30" s="463">
        <f t="shared" si="27"/>
        <v>-105080</v>
      </c>
      <c r="AP30" s="463">
        <f t="shared" si="27"/>
        <v>71102</v>
      </c>
      <c r="AQ30" s="463">
        <f t="shared" si="27"/>
        <v>-33978</v>
      </c>
      <c r="AR30" s="463">
        <f t="shared" si="27"/>
        <v>-11484</v>
      </c>
      <c r="AS30" s="463">
        <f t="shared" si="27"/>
        <v>-340</v>
      </c>
      <c r="AT30" s="463">
        <f t="shared" si="27"/>
        <v>0</v>
      </c>
      <c r="AU30" s="463">
        <f t="shared" si="27"/>
        <v>1075</v>
      </c>
      <c r="AV30" s="463">
        <f t="shared" si="27"/>
        <v>1075</v>
      </c>
      <c r="AW30" s="463">
        <f t="shared" si="27"/>
        <v>-44727</v>
      </c>
      <c r="AX30" s="464">
        <f t="shared" si="27"/>
        <v>0</v>
      </c>
      <c r="AY30" s="464">
        <f t="shared" si="27"/>
        <v>0</v>
      </c>
      <c r="AZ30" s="464">
        <f t="shared" si="27"/>
        <v>-0.28000000000000003</v>
      </c>
      <c r="BA30" s="464">
        <f t="shared" si="27"/>
        <v>0</v>
      </c>
      <c r="BB30" s="464">
        <f t="shared" ref="BB30" si="28">SUM(BB25:BB29)</f>
        <v>0.22</v>
      </c>
      <c r="BC30" s="464">
        <f t="shared" si="27"/>
        <v>0</v>
      </c>
      <c r="BD30" s="464">
        <f t="shared" si="27"/>
        <v>0</v>
      </c>
      <c r="BE30" s="464">
        <f t="shared" ref="BE30" si="29">SUM(BE25:BE29)</f>
        <v>0</v>
      </c>
      <c r="BF30" s="464">
        <f t="shared" si="27"/>
        <v>-0.28000000000000003</v>
      </c>
      <c r="BG30" s="464">
        <f t="shared" si="27"/>
        <v>0.22</v>
      </c>
      <c r="BH30" s="290">
        <f t="shared" si="27"/>
        <v>-6.0000000000000026E-2</v>
      </c>
      <c r="BI30" s="787">
        <f t="shared" si="27"/>
        <v>8728612</v>
      </c>
      <c r="BJ30" s="463">
        <f t="shared" si="27"/>
        <v>6380509</v>
      </c>
      <c r="BK30" s="463">
        <f t="shared" si="27"/>
        <v>5796278</v>
      </c>
      <c r="BL30" s="463">
        <f t="shared" si="27"/>
        <v>584231</v>
      </c>
      <c r="BM30" s="463">
        <f t="shared" si="27"/>
        <v>30000</v>
      </c>
      <c r="BN30" s="463">
        <f t="shared" si="27"/>
        <v>20000</v>
      </c>
      <c r="BO30" s="463">
        <f t="shared" si="27"/>
        <v>10000</v>
      </c>
      <c r="BP30" s="463">
        <f t="shared" si="27"/>
        <v>2166752</v>
      </c>
      <c r="BQ30" s="463">
        <f t="shared" si="27"/>
        <v>63805</v>
      </c>
      <c r="BR30" s="463">
        <f t="shared" si="27"/>
        <v>87546</v>
      </c>
      <c r="BS30" s="464">
        <f t="shared" si="27"/>
        <v>11.823</v>
      </c>
      <c r="BT30" s="464">
        <f t="shared" si="27"/>
        <v>10.213099999999999</v>
      </c>
      <c r="BU30" s="290">
        <f t="shared" si="27"/>
        <v>1.6099000000000001</v>
      </c>
      <c r="BV30" s="852">
        <f t="shared" si="27"/>
        <v>0</v>
      </c>
      <c r="BW30" s="722">
        <f t="shared" si="27"/>
        <v>0</v>
      </c>
      <c r="BX30" s="722">
        <f t="shared" si="27"/>
        <v>0</v>
      </c>
      <c r="BY30" s="722">
        <f t="shared" si="27"/>
        <v>0</v>
      </c>
      <c r="BZ30" s="722">
        <f t="shared" si="27"/>
        <v>0</v>
      </c>
      <c r="CA30" s="853">
        <f t="shared" si="27"/>
        <v>0</v>
      </c>
    </row>
    <row r="31" spans="1:79" ht="12.95" customHeight="1" x14ac:dyDescent="0.25">
      <c r="A31" s="280">
        <v>5</v>
      </c>
      <c r="B31" s="281">
        <v>4456</v>
      </c>
      <c r="C31" s="281">
        <v>600074617</v>
      </c>
      <c r="D31" s="281">
        <v>68430132</v>
      </c>
      <c r="E31" s="283" t="s">
        <v>313</v>
      </c>
      <c r="F31" s="281">
        <v>3113</v>
      </c>
      <c r="G31" s="284" t="s">
        <v>308</v>
      </c>
      <c r="H31" s="284" t="s">
        <v>271</v>
      </c>
      <c r="I31" s="565">
        <v>48219108</v>
      </c>
      <c r="J31" s="415">
        <v>34977569</v>
      </c>
      <c r="K31" s="415">
        <v>32859920</v>
      </c>
      <c r="L31" s="415">
        <v>2117649</v>
      </c>
      <c r="M31" s="415">
        <v>305920</v>
      </c>
      <c r="N31" s="415">
        <v>285920</v>
      </c>
      <c r="O31" s="415">
        <v>20000</v>
      </c>
      <c r="P31" s="68">
        <v>11925819</v>
      </c>
      <c r="Q31" s="68">
        <v>349776</v>
      </c>
      <c r="R31" s="415">
        <v>660024</v>
      </c>
      <c r="S31" s="416">
        <v>53.359100000000005</v>
      </c>
      <c r="T31" s="417">
        <v>46.853500000000004</v>
      </c>
      <c r="U31" s="770">
        <v>6.5055999999999994</v>
      </c>
      <c r="V31" s="424">
        <f t="shared" ref="V31:W35" si="30">AG31*-1</f>
        <v>0</v>
      </c>
      <c r="W31" s="418">
        <f t="shared" si="30"/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f>V31+X31+Y31+Z31+AB31</f>
        <v>0</v>
      </c>
      <c r="AE31" s="418">
        <f>W31+AA31+AC31</f>
        <v>0</v>
      </c>
      <c r="AF31" s="418">
        <f>SUM(AD31:AE31)</f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>AG31+AI31+AJ31</f>
        <v>0</v>
      </c>
      <c r="AM31" s="418">
        <f>AH31+AK31</f>
        <v>0</v>
      </c>
      <c r="AN31" s="418">
        <f>SUM(AL31:AM31)</f>
        <v>0</v>
      </c>
      <c r="AO31" s="418">
        <f t="shared" ref="AO31:AP35" si="31">AD31+AL31</f>
        <v>0</v>
      </c>
      <c r="AP31" s="418">
        <f t="shared" si="31"/>
        <v>0</v>
      </c>
      <c r="AQ31" s="418">
        <f>SUM(AO31:AP31)</f>
        <v>0</v>
      </c>
      <c r="AR31" s="68">
        <f>ROUND((AF31+AG31+AH31+AI31)*33.8%,0)</f>
        <v>0</v>
      </c>
      <c r="AS31" s="68">
        <f>ROUND(AF31*1%,0)</f>
        <v>0</v>
      </c>
      <c r="AT31" s="418">
        <v>0</v>
      </c>
      <c r="AU31" s="418">
        <v>0</v>
      </c>
      <c r="AV31" s="418">
        <f>AT31+AU31</f>
        <v>0</v>
      </c>
      <c r="AW31" s="418">
        <f>AQ31+AR31+AS31+AV31</f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f>AX31+AZ31+BA31+BC31+BD31</f>
        <v>0</v>
      </c>
      <c r="BG31" s="419">
        <f>AY31+BB31+BE31</f>
        <v>0</v>
      </c>
      <c r="BH31" s="421">
        <f>SUM(BF31:BG31)</f>
        <v>0</v>
      </c>
      <c r="BI31" s="780">
        <f>I31+AW31</f>
        <v>48219108</v>
      </c>
      <c r="BJ31" s="418">
        <f>J31+AF31</f>
        <v>34977569</v>
      </c>
      <c r="BK31" s="418">
        <f t="shared" ref="BK31:BL35" si="32">K31+AD31</f>
        <v>32859920</v>
      </c>
      <c r="BL31" s="418">
        <f t="shared" si="32"/>
        <v>2117649</v>
      </c>
      <c r="BM31" s="418">
        <f>M31+AN31</f>
        <v>305920</v>
      </c>
      <c r="BN31" s="418">
        <f t="shared" ref="BN31:BO35" si="33">N31+AL31</f>
        <v>285920</v>
      </c>
      <c r="BO31" s="418">
        <f t="shared" si="33"/>
        <v>20000</v>
      </c>
      <c r="BP31" s="418">
        <f t="shared" ref="BP31:BQ35" si="34">P31+AR31</f>
        <v>11925819</v>
      </c>
      <c r="BQ31" s="418">
        <f t="shared" si="34"/>
        <v>349776</v>
      </c>
      <c r="BR31" s="418">
        <f>R31+AV31</f>
        <v>660024</v>
      </c>
      <c r="BS31" s="419">
        <f>S31+BH31</f>
        <v>53.359100000000005</v>
      </c>
      <c r="BT31" s="419">
        <f t="shared" ref="BT31:BU35" si="35">T31+BF31</f>
        <v>46.853500000000004</v>
      </c>
      <c r="BU31" s="421">
        <f t="shared" si="35"/>
        <v>6.5055999999999994</v>
      </c>
      <c r="BV31" s="420">
        <v>152054</v>
      </c>
      <c r="BW31" s="415">
        <v>112800</v>
      </c>
      <c r="BX31" s="415">
        <v>0</v>
      </c>
      <c r="BY31" s="415">
        <v>38126</v>
      </c>
      <c r="BZ31" s="415">
        <v>1128</v>
      </c>
      <c r="CA31" s="510">
        <v>0.2</v>
      </c>
    </row>
    <row r="32" spans="1:79" ht="12.95" customHeight="1" x14ac:dyDescent="0.25">
      <c r="A32" s="280">
        <v>5</v>
      </c>
      <c r="B32" s="281">
        <v>4456</v>
      </c>
      <c r="C32" s="281">
        <v>600074617</v>
      </c>
      <c r="D32" s="281">
        <v>68430132</v>
      </c>
      <c r="E32" s="283" t="s">
        <v>313</v>
      </c>
      <c r="F32" s="281">
        <v>3113</v>
      </c>
      <c r="G32" s="284" t="s">
        <v>298</v>
      </c>
      <c r="H32" s="284" t="s">
        <v>272</v>
      </c>
      <c r="I32" s="565">
        <v>3484366</v>
      </c>
      <c r="J32" s="415">
        <v>2584470</v>
      </c>
      <c r="K32" s="415">
        <v>2584470</v>
      </c>
      <c r="L32" s="415">
        <v>0</v>
      </c>
      <c r="M32" s="415">
        <v>0</v>
      </c>
      <c r="N32" s="415">
        <v>0</v>
      </c>
      <c r="O32" s="415">
        <v>0</v>
      </c>
      <c r="P32" s="68">
        <v>873551</v>
      </c>
      <c r="Q32" s="68">
        <v>25845</v>
      </c>
      <c r="R32" s="415">
        <v>500</v>
      </c>
      <c r="S32" s="416">
        <v>6.98</v>
      </c>
      <c r="T32" s="417">
        <v>6.98</v>
      </c>
      <c r="U32" s="770">
        <v>0</v>
      </c>
      <c r="V32" s="424">
        <f t="shared" si="30"/>
        <v>0</v>
      </c>
      <c r="W32" s="418">
        <f t="shared" si="30"/>
        <v>0</v>
      </c>
      <c r="X32" s="418">
        <v>-72103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f>V32+X32+Y32+Z32+AB32</f>
        <v>-72103</v>
      </c>
      <c r="AE32" s="418">
        <f>W32+AA32+AC32</f>
        <v>0</v>
      </c>
      <c r="AF32" s="418">
        <f>SUM(AD32:AE32)</f>
        <v>-72103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f>AG32+AI32+AJ32</f>
        <v>0</v>
      </c>
      <c r="AM32" s="418">
        <f>AH32+AK32</f>
        <v>0</v>
      </c>
      <c r="AN32" s="418">
        <f>SUM(AL32:AM32)</f>
        <v>0</v>
      </c>
      <c r="AO32" s="418">
        <f t="shared" si="31"/>
        <v>-72103</v>
      </c>
      <c r="AP32" s="418">
        <f t="shared" si="31"/>
        <v>0</v>
      </c>
      <c r="AQ32" s="418">
        <f>SUM(AO32:AP32)</f>
        <v>-72103</v>
      </c>
      <c r="AR32" s="68">
        <f>ROUND((AF32+AG32+AH32+AI32)*33.8%,0)</f>
        <v>-24371</v>
      </c>
      <c r="AS32" s="68">
        <f>ROUND(AF32*1%,0)</f>
        <v>-721</v>
      </c>
      <c r="AT32" s="418">
        <v>0</v>
      </c>
      <c r="AU32" s="418">
        <v>0</v>
      </c>
      <c r="AV32" s="418">
        <f>AT32+AU32</f>
        <v>0</v>
      </c>
      <c r="AW32" s="418">
        <f>AQ32+AR32+AS32+AV32</f>
        <v>-97195</v>
      </c>
      <c r="AX32" s="419">
        <v>0</v>
      </c>
      <c r="AY32" s="419">
        <v>0</v>
      </c>
      <c r="AZ32" s="419">
        <v>-0.19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f>AX32+AZ32+BA32+BC32+BD32</f>
        <v>-0.19</v>
      </c>
      <c r="BG32" s="419">
        <f>AY32+BB32+BE32</f>
        <v>0</v>
      </c>
      <c r="BH32" s="421">
        <f>SUM(BF32:BG32)</f>
        <v>-0.19</v>
      </c>
      <c r="BI32" s="780">
        <f>I32+AW32</f>
        <v>3387171</v>
      </c>
      <c r="BJ32" s="418">
        <f>J32+AF32</f>
        <v>2512367</v>
      </c>
      <c r="BK32" s="418">
        <f t="shared" si="32"/>
        <v>2512367</v>
      </c>
      <c r="BL32" s="418">
        <f t="shared" si="32"/>
        <v>0</v>
      </c>
      <c r="BM32" s="418">
        <f>M32+AN32</f>
        <v>0</v>
      </c>
      <c r="BN32" s="418">
        <f t="shared" si="33"/>
        <v>0</v>
      </c>
      <c r="BO32" s="418">
        <f t="shared" si="33"/>
        <v>0</v>
      </c>
      <c r="BP32" s="418">
        <f t="shared" si="34"/>
        <v>849180</v>
      </c>
      <c r="BQ32" s="418">
        <f t="shared" si="34"/>
        <v>25124</v>
      </c>
      <c r="BR32" s="418">
        <f>R32+AV32</f>
        <v>500</v>
      </c>
      <c r="BS32" s="419">
        <f>S32+BH32</f>
        <v>6.79</v>
      </c>
      <c r="BT32" s="419">
        <f t="shared" si="35"/>
        <v>6.79</v>
      </c>
      <c r="BU32" s="421">
        <f t="shared" si="35"/>
        <v>0</v>
      </c>
      <c r="BV32" s="420"/>
      <c r="BW32" s="415"/>
      <c r="BX32" s="415"/>
      <c r="BY32" s="415"/>
      <c r="BZ32" s="415"/>
      <c r="CA32" s="510"/>
    </row>
    <row r="33" spans="1:79" ht="12.95" customHeight="1" x14ac:dyDescent="0.25">
      <c r="A33" s="280">
        <v>5</v>
      </c>
      <c r="B33" s="281">
        <v>4456</v>
      </c>
      <c r="C33" s="281">
        <v>600074617</v>
      </c>
      <c r="D33" s="281">
        <v>68430132</v>
      </c>
      <c r="E33" s="283" t="s">
        <v>313</v>
      </c>
      <c r="F33" s="281">
        <v>3141</v>
      </c>
      <c r="G33" s="284" t="s">
        <v>294</v>
      </c>
      <c r="H33" s="284" t="s">
        <v>272</v>
      </c>
      <c r="I33" s="565">
        <v>3036060</v>
      </c>
      <c r="J33" s="415">
        <v>2224316</v>
      </c>
      <c r="K33" s="415">
        <v>0</v>
      </c>
      <c r="L33" s="415">
        <v>2224316</v>
      </c>
      <c r="M33" s="415">
        <v>10000</v>
      </c>
      <c r="N33" s="415">
        <v>0</v>
      </c>
      <c r="O33" s="415">
        <v>10000</v>
      </c>
      <c r="P33" s="68">
        <v>755199</v>
      </c>
      <c r="Q33" s="68">
        <v>22243</v>
      </c>
      <c r="R33" s="415">
        <v>24302</v>
      </c>
      <c r="S33" s="416">
        <v>6.7</v>
      </c>
      <c r="T33" s="417">
        <v>0</v>
      </c>
      <c r="U33" s="770">
        <v>6.7</v>
      </c>
      <c r="V33" s="424">
        <f t="shared" si="30"/>
        <v>0</v>
      </c>
      <c r="W33" s="418">
        <f t="shared" si="30"/>
        <v>0</v>
      </c>
      <c r="X33" s="418">
        <v>0</v>
      </c>
      <c r="Y33" s="418">
        <v>0</v>
      </c>
      <c r="Z33" s="418">
        <v>0</v>
      </c>
      <c r="AA33" s="418">
        <v>1117233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1117233</v>
      </c>
      <c r="AF33" s="418">
        <f>SUM(AD33:AE33)</f>
        <v>1117233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si="31"/>
        <v>0</v>
      </c>
      <c r="AP33" s="418">
        <f t="shared" si="31"/>
        <v>1117233</v>
      </c>
      <c r="AQ33" s="418">
        <f>SUM(AO33:AP33)</f>
        <v>1117233</v>
      </c>
      <c r="AR33" s="68">
        <f>ROUND((AF33+AG33+AH33+AI33)*33.8%,0)</f>
        <v>377625</v>
      </c>
      <c r="AS33" s="68">
        <f>ROUND(AF33*1%,0)</f>
        <v>11172</v>
      </c>
      <c r="AT33" s="418">
        <v>0</v>
      </c>
      <c r="AU33" s="418">
        <v>11786</v>
      </c>
      <c r="AV33" s="418">
        <f>AT33+AU33</f>
        <v>11786</v>
      </c>
      <c r="AW33" s="418">
        <f>AQ33+AR33+AS33+AV33</f>
        <v>1517816</v>
      </c>
      <c r="AX33" s="419">
        <v>0</v>
      </c>
      <c r="AY33" s="419">
        <v>0</v>
      </c>
      <c r="AZ33" s="419">
        <v>0</v>
      </c>
      <c r="BA33" s="419">
        <v>0</v>
      </c>
      <c r="BB33" s="419">
        <v>3.35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3.35</v>
      </c>
      <c r="BH33" s="421">
        <f>SUM(BF33:BG33)</f>
        <v>3.35</v>
      </c>
      <c r="BI33" s="780">
        <f>I33+AW33</f>
        <v>4553876</v>
      </c>
      <c r="BJ33" s="418">
        <f>J33+AF33</f>
        <v>3341549</v>
      </c>
      <c r="BK33" s="418">
        <f t="shared" si="32"/>
        <v>0</v>
      </c>
      <c r="BL33" s="418">
        <f t="shared" si="32"/>
        <v>3341549</v>
      </c>
      <c r="BM33" s="418">
        <f>M33+AN33</f>
        <v>10000</v>
      </c>
      <c r="BN33" s="418">
        <f t="shared" si="33"/>
        <v>0</v>
      </c>
      <c r="BO33" s="418">
        <f t="shared" si="33"/>
        <v>10000</v>
      </c>
      <c r="BP33" s="418">
        <f t="shared" si="34"/>
        <v>1132824</v>
      </c>
      <c r="BQ33" s="418">
        <f t="shared" si="34"/>
        <v>33415</v>
      </c>
      <c r="BR33" s="418">
        <f>R33+AV33</f>
        <v>36088</v>
      </c>
      <c r="BS33" s="419">
        <f>S33+BH33</f>
        <v>10.050000000000001</v>
      </c>
      <c r="BT33" s="419">
        <f t="shared" si="35"/>
        <v>0</v>
      </c>
      <c r="BU33" s="421">
        <f t="shared" si="35"/>
        <v>10.050000000000001</v>
      </c>
      <c r="BV33" s="420"/>
      <c r="BW33" s="415"/>
      <c r="BX33" s="415"/>
      <c r="BY33" s="415"/>
      <c r="BZ33" s="415"/>
      <c r="CA33" s="510"/>
    </row>
    <row r="34" spans="1:79" ht="12.95" customHeight="1" x14ac:dyDescent="0.25">
      <c r="A34" s="280">
        <v>5</v>
      </c>
      <c r="B34" s="281">
        <v>4456</v>
      </c>
      <c r="C34" s="281">
        <v>600074617</v>
      </c>
      <c r="D34" s="281">
        <v>68430132</v>
      </c>
      <c r="E34" s="283" t="s">
        <v>313</v>
      </c>
      <c r="F34" s="281">
        <v>3143</v>
      </c>
      <c r="G34" s="284" t="s">
        <v>595</v>
      </c>
      <c r="H34" s="284" t="s">
        <v>271</v>
      </c>
      <c r="I34" s="565">
        <v>4150461</v>
      </c>
      <c r="J34" s="415">
        <v>3009496</v>
      </c>
      <c r="K34" s="415">
        <v>3009496</v>
      </c>
      <c r="L34" s="415">
        <v>0</v>
      </c>
      <c r="M34" s="415">
        <v>70000</v>
      </c>
      <c r="N34" s="415">
        <v>70000</v>
      </c>
      <c r="O34" s="415">
        <v>0</v>
      </c>
      <c r="P34" s="68">
        <v>1040870</v>
      </c>
      <c r="Q34" s="68">
        <v>30095</v>
      </c>
      <c r="R34" s="415">
        <v>0</v>
      </c>
      <c r="S34" s="416">
        <v>5.8930999999999996</v>
      </c>
      <c r="T34" s="417">
        <v>5.8930999999999996</v>
      </c>
      <c r="U34" s="770">
        <v>0</v>
      </c>
      <c r="V34" s="424">
        <f t="shared" si="30"/>
        <v>0</v>
      </c>
      <c r="W34" s="418">
        <f t="shared" si="30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418">
        <f>SUM(AD34:AE34)</f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31"/>
        <v>0</v>
      </c>
      <c r="AP34" s="418">
        <f t="shared" si="31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421">
        <f>SUM(BF34:BG34)</f>
        <v>0</v>
      </c>
      <c r="BI34" s="780">
        <f>I34+AW34</f>
        <v>4150461</v>
      </c>
      <c r="BJ34" s="418">
        <f>J34+AF34</f>
        <v>3009496</v>
      </c>
      <c r="BK34" s="418">
        <f t="shared" si="32"/>
        <v>3009496</v>
      </c>
      <c r="BL34" s="418">
        <f t="shared" si="32"/>
        <v>0</v>
      </c>
      <c r="BM34" s="418">
        <f>M34+AN34</f>
        <v>70000</v>
      </c>
      <c r="BN34" s="418">
        <f t="shared" si="33"/>
        <v>70000</v>
      </c>
      <c r="BO34" s="418">
        <f t="shared" si="33"/>
        <v>0</v>
      </c>
      <c r="BP34" s="418">
        <f t="shared" si="34"/>
        <v>1040870</v>
      </c>
      <c r="BQ34" s="418">
        <f t="shared" si="34"/>
        <v>30095</v>
      </c>
      <c r="BR34" s="418">
        <f>R34+AV34</f>
        <v>0</v>
      </c>
      <c r="BS34" s="419">
        <f>S34+BH34</f>
        <v>5.8930999999999996</v>
      </c>
      <c r="BT34" s="419">
        <f t="shared" si="35"/>
        <v>5.8930999999999996</v>
      </c>
      <c r="BU34" s="421">
        <f t="shared" si="35"/>
        <v>0</v>
      </c>
      <c r="BV34" s="420"/>
      <c r="BW34" s="415"/>
      <c r="BX34" s="415"/>
      <c r="BY34" s="415"/>
      <c r="BZ34" s="415"/>
      <c r="CA34" s="510"/>
    </row>
    <row r="35" spans="1:79" ht="12.95" customHeight="1" x14ac:dyDescent="0.25">
      <c r="A35" s="280">
        <v>5</v>
      </c>
      <c r="B35" s="281">
        <v>4456</v>
      </c>
      <c r="C35" s="281">
        <v>600074617</v>
      </c>
      <c r="D35" s="281">
        <v>68430132</v>
      </c>
      <c r="E35" s="283" t="s">
        <v>313</v>
      </c>
      <c r="F35" s="281">
        <v>3143</v>
      </c>
      <c r="G35" s="284" t="s">
        <v>596</v>
      </c>
      <c r="H35" s="284" t="s">
        <v>272</v>
      </c>
      <c r="I35" s="565">
        <v>102978</v>
      </c>
      <c r="J35" s="415">
        <v>73709</v>
      </c>
      <c r="K35" s="415">
        <v>0</v>
      </c>
      <c r="L35" s="415">
        <v>73709</v>
      </c>
      <c r="M35" s="415">
        <v>0</v>
      </c>
      <c r="N35" s="415">
        <v>0</v>
      </c>
      <c r="O35" s="415">
        <v>0</v>
      </c>
      <c r="P35" s="68">
        <v>24914</v>
      </c>
      <c r="Q35" s="68">
        <v>737</v>
      </c>
      <c r="R35" s="415">
        <v>3618</v>
      </c>
      <c r="S35" s="416">
        <v>0.2792</v>
      </c>
      <c r="T35" s="417">
        <v>0</v>
      </c>
      <c r="U35" s="770">
        <v>0.2792</v>
      </c>
      <c r="V35" s="424">
        <f t="shared" si="30"/>
        <v>0</v>
      </c>
      <c r="W35" s="418">
        <f t="shared" si="30"/>
        <v>0</v>
      </c>
      <c r="X35" s="418">
        <v>0</v>
      </c>
      <c r="Y35" s="418">
        <v>0</v>
      </c>
      <c r="Z35" s="418">
        <v>0</v>
      </c>
      <c r="AA35" s="418">
        <v>36841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36841</v>
      </c>
      <c r="AF35" s="418">
        <f>SUM(AD35:AE35)</f>
        <v>36841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31"/>
        <v>0</v>
      </c>
      <c r="AP35" s="418">
        <f t="shared" si="31"/>
        <v>36841</v>
      </c>
      <c r="AQ35" s="418">
        <f>SUM(AO35:AP35)</f>
        <v>36841</v>
      </c>
      <c r="AR35" s="68">
        <f>ROUND((AF35+AG35+AH35+AI35)*33.8%,0)</f>
        <v>12452</v>
      </c>
      <c r="AS35" s="68">
        <f>ROUND(AF35*1%,0)</f>
        <v>368</v>
      </c>
      <c r="AT35" s="418">
        <v>0</v>
      </c>
      <c r="AU35" s="418">
        <v>1809</v>
      </c>
      <c r="AV35" s="418">
        <f>AT35+AU35</f>
        <v>1809</v>
      </c>
      <c r="AW35" s="418">
        <f>AQ35+AR35+AS35+AV35</f>
        <v>51470</v>
      </c>
      <c r="AX35" s="419">
        <v>0</v>
      </c>
      <c r="AY35" s="419">
        <v>0</v>
      </c>
      <c r="AZ35" s="419">
        <v>0</v>
      </c>
      <c r="BA35" s="419">
        <v>0</v>
      </c>
      <c r="BB35" s="419">
        <v>0.14000000000000001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0.14000000000000001</v>
      </c>
      <c r="BH35" s="421">
        <f>SUM(BF35:BG35)</f>
        <v>0.14000000000000001</v>
      </c>
      <c r="BI35" s="780">
        <f>I35+AW35</f>
        <v>154448</v>
      </c>
      <c r="BJ35" s="418">
        <f>J35+AF35</f>
        <v>110550</v>
      </c>
      <c r="BK35" s="418">
        <f t="shared" si="32"/>
        <v>0</v>
      </c>
      <c r="BL35" s="418">
        <f t="shared" si="32"/>
        <v>110550</v>
      </c>
      <c r="BM35" s="418">
        <f>M35+AN35</f>
        <v>0</v>
      </c>
      <c r="BN35" s="418">
        <f t="shared" si="33"/>
        <v>0</v>
      </c>
      <c r="BO35" s="418">
        <f t="shared" si="33"/>
        <v>0</v>
      </c>
      <c r="BP35" s="418">
        <f t="shared" si="34"/>
        <v>37366</v>
      </c>
      <c r="BQ35" s="418">
        <f t="shared" si="34"/>
        <v>1105</v>
      </c>
      <c r="BR35" s="418">
        <f>R35+AV35</f>
        <v>5427</v>
      </c>
      <c r="BS35" s="419">
        <f>S35+BH35</f>
        <v>0.41920000000000002</v>
      </c>
      <c r="BT35" s="419">
        <f t="shared" si="35"/>
        <v>0</v>
      </c>
      <c r="BU35" s="421">
        <f t="shared" si="35"/>
        <v>0.41920000000000002</v>
      </c>
      <c r="BV35" s="420"/>
      <c r="BW35" s="415"/>
      <c r="BX35" s="415"/>
      <c r="BY35" s="415"/>
      <c r="BZ35" s="415"/>
      <c r="CA35" s="510"/>
    </row>
    <row r="36" spans="1:79" ht="12.95" customHeight="1" x14ac:dyDescent="0.25">
      <c r="A36" s="273">
        <v>5</v>
      </c>
      <c r="B36" s="275">
        <v>4456</v>
      </c>
      <c r="C36" s="275">
        <v>600074617</v>
      </c>
      <c r="D36" s="275">
        <v>68430132</v>
      </c>
      <c r="E36" s="288" t="s">
        <v>314</v>
      </c>
      <c r="F36" s="291"/>
      <c r="G36" s="292"/>
      <c r="H36" s="292"/>
      <c r="I36" s="466">
        <v>58992973</v>
      </c>
      <c r="J36" s="463">
        <v>42869560</v>
      </c>
      <c r="K36" s="463">
        <v>38453886</v>
      </c>
      <c r="L36" s="463">
        <v>4415674</v>
      </c>
      <c r="M36" s="463">
        <v>385920</v>
      </c>
      <c r="N36" s="463">
        <v>355920</v>
      </c>
      <c r="O36" s="463">
        <v>30000</v>
      </c>
      <c r="P36" s="463">
        <v>14620353</v>
      </c>
      <c r="Q36" s="463">
        <v>428696</v>
      </c>
      <c r="R36" s="463">
        <v>688444</v>
      </c>
      <c r="S36" s="464">
        <v>73.211400000000012</v>
      </c>
      <c r="T36" s="464">
        <v>59.726599999999998</v>
      </c>
      <c r="U36" s="534">
        <v>13.4848</v>
      </c>
      <c r="V36" s="466">
        <f t="shared" ref="V36:CA36" si="36">SUM(V31:V35)</f>
        <v>0</v>
      </c>
      <c r="W36" s="463">
        <f t="shared" si="36"/>
        <v>0</v>
      </c>
      <c r="X36" s="463">
        <f t="shared" si="36"/>
        <v>-72103</v>
      </c>
      <c r="Y36" s="463">
        <f t="shared" si="36"/>
        <v>0</v>
      </c>
      <c r="Z36" s="463">
        <f t="shared" si="36"/>
        <v>0</v>
      </c>
      <c r="AA36" s="463">
        <f t="shared" si="36"/>
        <v>1154074</v>
      </c>
      <c r="AB36" s="463">
        <f t="shared" si="36"/>
        <v>0</v>
      </c>
      <c r="AC36" s="463">
        <f t="shared" si="36"/>
        <v>0</v>
      </c>
      <c r="AD36" s="463">
        <f t="shared" si="36"/>
        <v>-72103</v>
      </c>
      <c r="AE36" s="463">
        <f t="shared" si="36"/>
        <v>1154074</v>
      </c>
      <c r="AF36" s="463">
        <f t="shared" si="36"/>
        <v>1081971</v>
      </c>
      <c r="AG36" s="463">
        <f t="shared" si="36"/>
        <v>0</v>
      </c>
      <c r="AH36" s="463">
        <f t="shared" si="36"/>
        <v>0</v>
      </c>
      <c r="AI36" s="463">
        <f t="shared" si="36"/>
        <v>0</v>
      </c>
      <c r="AJ36" s="463">
        <f t="shared" si="36"/>
        <v>0</v>
      </c>
      <c r="AK36" s="463">
        <f t="shared" si="36"/>
        <v>0</v>
      </c>
      <c r="AL36" s="463">
        <f t="shared" si="36"/>
        <v>0</v>
      </c>
      <c r="AM36" s="463">
        <f t="shared" si="36"/>
        <v>0</v>
      </c>
      <c r="AN36" s="463">
        <f t="shared" si="36"/>
        <v>0</v>
      </c>
      <c r="AO36" s="463">
        <f t="shared" si="36"/>
        <v>-72103</v>
      </c>
      <c r="AP36" s="463">
        <f t="shared" si="36"/>
        <v>1154074</v>
      </c>
      <c r="AQ36" s="463">
        <f t="shared" si="36"/>
        <v>1081971</v>
      </c>
      <c r="AR36" s="463">
        <f t="shared" si="36"/>
        <v>365706</v>
      </c>
      <c r="AS36" s="463">
        <f t="shared" si="36"/>
        <v>10819</v>
      </c>
      <c r="AT36" s="463">
        <f t="shared" si="36"/>
        <v>0</v>
      </c>
      <c r="AU36" s="463">
        <f t="shared" si="36"/>
        <v>13595</v>
      </c>
      <c r="AV36" s="463">
        <f t="shared" si="36"/>
        <v>13595</v>
      </c>
      <c r="AW36" s="463">
        <f t="shared" si="36"/>
        <v>1472091</v>
      </c>
      <c r="AX36" s="464">
        <f t="shared" si="36"/>
        <v>0</v>
      </c>
      <c r="AY36" s="464">
        <f t="shared" si="36"/>
        <v>0</v>
      </c>
      <c r="AZ36" s="464">
        <f t="shared" si="36"/>
        <v>-0.19</v>
      </c>
      <c r="BA36" s="464">
        <f t="shared" si="36"/>
        <v>0</v>
      </c>
      <c r="BB36" s="464">
        <f t="shared" ref="BB36" si="37">SUM(BB31:BB35)</f>
        <v>3.49</v>
      </c>
      <c r="BC36" s="464">
        <f t="shared" si="36"/>
        <v>0</v>
      </c>
      <c r="BD36" s="464">
        <f t="shared" si="36"/>
        <v>0</v>
      </c>
      <c r="BE36" s="464">
        <f t="shared" ref="BE36" si="38">SUM(BE31:BE35)</f>
        <v>0</v>
      </c>
      <c r="BF36" s="464">
        <f t="shared" si="36"/>
        <v>-0.19</v>
      </c>
      <c r="BG36" s="464">
        <f t="shared" si="36"/>
        <v>3.49</v>
      </c>
      <c r="BH36" s="290">
        <f t="shared" si="36"/>
        <v>3.3000000000000003</v>
      </c>
      <c r="BI36" s="787">
        <f t="shared" si="36"/>
        <v>60465064</v>
      </c>
      <c r="BJ36" s="463">
        <f t="shared" si="36"/>
        <v>43951531</v>
      </c>
      <c r="BK36" s="463">
        <f t="shared" si="36"/>
        <v>38381783</v>
      </c>
      <c r="BL36" s="463">
        <f t="shared" si="36"/>
        <v>5569748</v>
      </c>
      <c r="BM36" s="463">
        <f t="shared" si="36"/>
        <v>385920</v>
      </c>
      <c r="BN36" s="463">
        <f t="shared" si="36"/>
        <v>355920</v>
      </c>
      <c r="BO36" s="463">
        <f t="shared" si="36"/>
        <v>30000</v>
      </c>
      <c r="BP36" s="463">
        <f t="shared" si="36"/>
        <v>14986059</v>
      </c>
      <c r="BQ36" s="463">
        <f t="shared" si="36"/>
        <v>439515</v>
      </c>
      <c r="BR36" s="463">
        <f t="shared" si="36"/>
        <v>702039</v>
      </c>
      <c r="BS36" s="464">
        <f t="shared" si="36"/>
        <v>76.511400000000009</v>
      </c>
      <c r="BT36" s="464">
        <f t="shared" si="36"/>
        <v>59.5366</v>
      </c>
      <c r="BU36" s="290">
        <f t="shared" si="36"/>
        <v>16.974799999999998</v>
      </c>
      <c r="BV36" s="852">
        <f t="shared" si="36"/>
        <v>152054</v>
      </c>
      <c r="BW36" s="722">
        <f t="shared" si="36"/>
        <v>112800</v>
      </c>
      <c r="BX36" s="722">
        <f t="shared" si="36"/>
        <v>0</v>
      </c>
      <c r="BY36" s="722">
        <f t="shared" si="36"/>
        <v>38126</v>
      </c>
      <c r="BZ36" s="722">
        <f t="shared" si="36"/>
        <v>1128</v>
      </c>
      <c r="CA36" s="853">
        <f t="shared" si="36"/>
        <v>0.2</v>
      </c>
    </row>
    <row r="37" spans="1:79" ht="12.95" customHeight="1" x14ac:dyDescent="0.25">
      <c r="A37" s="280">
        <v>6</v>
      </c>
      <c r="B37" s="281">
        <v>4478</v>
      </c>
      <c r="C37" s="281">
        <v>600075141</v>
      </c>
      <c r="D37" s="281">
        <v>70975191</v>
      </c>
      <c r="E37" s="283" t="s">
        <v>315</v>
      </c>
      <c r="F37" s="281">
        <v>3114</v>
      </c>
      <c r="G37" s="286" t="s">
        <v>525</v>
      </c>
      <c r="H37" s="284" t="s">
        <v>271</v>
      </c>
      <c r="I37" s="565">
        <v>8178292</v>
      </c>
      <c r="J37" s="415">
        <v>5930092</v>
      </c>
      <c r="K37" s="415">
        <v>5449976</v>
      </c>
      <c r="L37" s="415">
        <v>480116</v>
      </c>
      <c r="M37" s="415">
        <v>90000</v>
      </c>
      <c r="N37" s="415">
        <v>70000</v>
      </c>
      <c r="O37" s="415">
        <v>20000</v>
      </c>
      <c r="P37" s="68">
        <v>2034791</v>
      </c>
      <c r="Q37" s="68">
        <v>59302</v>
      </c>
      <c r="R37" s="415">
        <v>64107</v>
      </c>
      <c r="S37" s="416">
        <v>8.5004999999999988</v>
      </c>
      <c r="T37" s="417">
        <v>7.1272000000000002</v>
      </c>
      <c r="U37" s="770">
        <v>1.3733</v>
      </c>
      <c r="V37" s="424">
        <f t="shared" ref="V37:W41" si="39">AG37*-1</f>
        <v>0</v>
      </c>
      <c r="W37" s="418">
        <f t="shared" si="39"/>
        <v>0</v>
      </c>
      <c r="X37" s="418">
        <v>0</v>
      </c>
      <c r="Y37" s="418">
        <v>0</v>
      </c>
      <c r="Z37" s="418">
        <v>0</v>
      </c>
      <c r="AA37" s="418">
        <v>0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0</v>
      </c>
      <c r="AF37" s="418">
        <f>SUM(AD37:AE37)</f>
        <v>0</v>
      </c>
      <c r="AG37" s="418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ref="AO37:AP41" si="40">AD37+AL37</f>
        <v>0</v>
      </c>
      <c r="AP37" s="418">
        <f t="shared" si="40"/>
        <v>0</v>
      </c>
      <c r="AQ37" s="418">
        <f>SUM(AO37:AP37)</f>
        <v>0</v>
      </c>
      <c r="AR37" s="68">
        <f>ROUND((AF37+AG37+AH37+AI37)*33.8%,0)</f>
        <v>0</v>
      </c>
      <c r="AS37" s="68">
        <f>ROUND(AF37*1%,0)</f>
        <v>0</v>
      </c>
      <c r="AT37" s="418">
        <v>0</v>
      </c>
      <c r="AU37" s="418">
        <v>0</v>
      </c>
      <c r="AV37" s="418">
        <f>AT37+AU37</f>
        <v>0</v>
      </c>
      <c r="AW37" s="418">
        <f>AQ37+AR37+AS37+AV37</f>
        <v>0</v>
      </c>
      <c r="AX37" s="419">
        <v>0</v>
      </c>
      <c r="AY37" s="419">
        <v>0</v>
      </c>
      <c r="AZ37" s="419">
        <v>0</v>
      </c>
      <c r="BA37" s="419">
        <v>0</v>
      </c>
      <c r="BB37" s="419">
        <v>0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</v>
      </c>
      <c r="BH37" s="421">
        <f>SUM(BF37:BG37)</f>
        <v>0</v>
      </c>
      <c r="BI37" s="780">
        <f>I37+AW37</f>
        <v>8178292</v>
      </c>
      <c r="BJ37" s="418">
        <f>J37+AF37</f>
        <v>5930092</v>
      </c>
      <c r="BK37" s="418">
        <f t="shared" ref="BK37:BL41" si="41">K37+AD37</f>
        <v>5449976</v>
      </c>
      <c r="BL37" s="418">
        <f t="shared" si="41"/>
        <v>480116</v>
      </c>
      <c r="BM37" s="418">
        <f>M37+AN37</f>
        <v>90000</v>
      </c>
      <c r="BN37" s="418">
        <f t="shared" ref="BN37:BO41" si="42">N37+AL37</f>
        <v>70000</v>
      </c>
      <c r="BO37" s="418">
        <f t="shared" si="42"/>
        <v>20000</v>
      </c>
      <c r="BP37" s="418">
        <f t="shared" ref="BP37:BQ41" si="43">P37+AR37</f>
        <v>2034791</v>
      </c>
      <c r="BQ37" s="418">
        <f t="shared" si="43"/>
        <v>59302</v>
      </c>
      <c r="BR37" s="418">
        <f>R37+AV37</f>
        <v>64107</v>
      </c>
      <c r="BS37" s="419">
        <f>S37+BH37</f>
        <v>8.5004999999999988</v>
      </c>
      <c r="BT37" s="419">
        <f t="shared" ref="BT37:BU41" si="44">T37+BF37</f>
        <v>7.1272000000000002</v>
      </c>
      <c r="BU37" s="421">
        <f t="shared" si="44"/>
        <v>1.3733</v>
      </c>
      <c r="BV37" s="420"/>
      <c r="BW37" s="415"/>
      <c r="BX37" s="415"/>
      <c r="BY37" s="415"/>
      <c r="BZ37" s="415"/>
      <c r="CA37" s="510"/>
    </row>
    <row r="38" spans="1:79" ht="12.95" customHeight="1" x14ac:dyDescent="0.25">
      <c r="A38" s="280">
        <v>6</v>
      </c>
      <c r="B38" s="281">
        <v>4478</v>
      </c>
      <c r="C38" s="281">
        <v>600075141</v>
      </c>
      <c r="D38" s="281">
        <v>70975191</v>
      </c>
      <c r="E38" s="283" t="s">
        <v>315</v>
      </c>
      <c r="F38" s="281">
        <v>3114</v>
      </c>
      <c r="G38" s="286" t="s">
        <v>298</v>
      </c>
      <c r="H38" s="284" t="s">
        <v>272</v>
      </c>
      <c r="I38" s="565">
        <v>0</v>
      </c>
      <c r="J38" s="415">
        <v>0</v>
      </c>
      <c r="K38" s="415">
        <v>0</v>
      </c>
      <c r="L38" s="415">
        <v>0</v>
      </c>
      <c r="M38" s="415">
        <v>0</v>
      </c>
      <c r="N38" s="415">
        <v>0</v>
      </c>
      <c r="O38" s="415">
        <v>0</v>
      </c>
      <c r="P38" s="68">
        <v>0</v>
      </c>
      <c r="Q38" s="68">
        <v>0</v>
      </c>
      <c r="R38" s="415">
        <v>0</v>
      </c>
      <c r="S38" s="416">
        <v>0</v>
      </c>
      <c r="T38" s="417">
        <v>0</v>
      </c>
      <c r="U38" s="770">
        <v>0</v>
      </c>
      <c r="V38" s="424">
        <f t="shared" si="39"/>
        <v>0</v>
      </c>
      <c r="W38" s="418">
        <f t="shared" si="39"/>
        <v>0</v>
      </c>
      <c r="X38" s="418">
        <v>0</v>
      </c>
      <c r="Y38" s="418">
        <v>0</v>
      </c>
      <c r="Z38" s="418">
        <v>0</v>
      </c>
      <c r="AA38" s="418">
        <v>0</v>
      </c>
      <c r="AB38" s="418">
        <v>0</v>
      </c>
      <c r="AC38" s="418">
        <v>0</v>
      </c>
      <c r="AD38" s="418">
        <f>V38+X38+Y38+Z38+AB38</f>
        <v>0</v>
      </c>
      <c r="AE38" s="418">
        <f>W38+AA38+AC38</f>
        <v>0</v>
      </c>
      <c r="AF38" s="418">
        <f>SUM(AD38:AE38)</f>
        <v>0</v>
      </c>
      <c r="AG38" s="418">
        <v>0</v>
      </c>
      <c r="AH38" s="418">
        <v>0</v>
      </c>
      <c r="AI38" s="418">
        <v>0</v>
      </c>
      <c r="AJ38" s="418">
        <v>0</v>
      </c>
      <c r="AK38" s="418">
        <v>0</v>
      </c>
      <c r="AL38" s="418">
        <f>AG38+AI38+AJ38</f>
        <v>0</v>
      </c>
      <c r="AM38" s="418">
        <f>AH38+AK38</f>
        <v>0</v>
      </c>
      <c r="AN38" s="418">
        <f>SUM(AL38:AM38)</f>
        <v>0</v>
      </c>
      <c r="AO38" s="418">
        <f t="shared" si="40"/>
        <v>0</v>
      </c>
      <c r="AP38" s="418">
        <f t="shared" si="40"/>
        <v>0</v>
      </c>
      <c r="AQ38" s="418">
        <f>SUM(AO38:AP38)</f>
        <v>0</v>
      </c>
      <c r="AR38" s="68">
        <f>ROUND((AF38+AG38+AH38+AI38)*33.8%,0)</f>
        <v>0</v>
      </c>
      <c r="AS38" s="68">
        <f>ROUND(AF38*1%,0)</f>
        <v>0</v>
      </c>
      <c r="AT38" s="418">
        <v>0</v>
      </c>
      <c r="AU38" s="418">
        <v>0</v>
      </c>
      <c r="AV38" s="418">
        <f>AT38+AU38</f>
        <v>0</v>
      </c>
      <c r="AW38" s="418">
        <f>AQ38+AR38+AS38+AV38</f>
        <v>0</v>
      </c>
      <c r="AX38" s="419">
        <v>0</v>
      </c>
      <c r="AY38" s="419">
        <v>0</v>
      </c>
      <c r="AZ38" s="419">
        <v>0</v>
      </c>
      <c r="BA38" s="419">
        <v>0</v>
      </c>
      <c r="BB38" s="419">
        <v>0</v>
      </c>
      <c r="BC38" s="419">
        <v>0</v>
      </c>
      <c r="BD38" s="419">
        <v>0</v>
      </c>
      <c r="BE38" s="419">
        <v>0</v>
      </c>
      <c r="BF38" s="419">
        <f>AX38+AZ38+BA38+BC38+BD38</f>
        <v>0</v>
      </c>
      <c r="BG38" s="419">
        <f>AY38+BB38+BE38</f>
        <v>0</v>
      </c>
      <c r="BH38" s="421">
        <f>SUM(BF38:BG38)</f>
        <v>0</v>
      </c>
      <c r="BI38" s="780">
        <f>I38+AW38</f>
        <v>0</v>
      </c>
      <c r="BJ38" s="418">
        <f>J38+AF38</f>
        <v>0</v>
      </c>
      <c r="BK38" s="418">
        <f t="shared" si="41"/>
        <v>0</v>
      </c>
      <c r="BL38" s="418">
        <f t="shared" si="41"/>
        <v>0</v>
      </c>
      <c r="BM38" s="418">
        <f>M38+AN38</f>
        <v>0</v>
      </c>
      <c r="BN38" s="418">
        <f t="shared" si="42"/>
        <v>0</v>
      </c>
      <c r="BO38" s="418">
        <f t="shared" si="42"/>
        <v>0</v>
      </c>
      <c r="BP38" s="418">
        <f t="shared" si="43"/>
        <v>0</v>
      </c>
      <c r="BQ38" s="418">
        <f t="shared" si="43"/>
        <v>0</v>
      </c>
      <c r="BR38" s="418">
        <f>R38+AV38</f>
        <v>0</v>
      </c>
      <c r="BS38" s="419">
        <f>S38+BH38</f>
        <v>0</v>
      </c>
      <c r="BT38" s="419">
        <f t="shared" si="44"/>
        <v>0</v>
      </c>
      <c r="BU38" s="421">
        <f t="shared" si="44"/>
        <v>0</v>
      </c>
      <c r="BV38" s="420"/>
      <c r="BW38" s="415"/>
      <c r="BX38" s="415"/>
      <c r="BY38" s="415"/>
      <c r="BZ38" s="415"/>
      <c r="CA38" s="510"/>
    </row>
    <row r="39" spans="1:79" ht="12.95" customHeight="1" x14ac:dyDescent="0.25">
      <c r="A39" s="280">
        <v>6</v>
      </c>
      <c r="B39" s="281">
        <v>4478</v>
      </c>
      <c r="C39" s="281">
        <v>600075141</v>
      </c>
      <c r="D39" s="281">
        <v>70975191</v>
      </c>
      <c r="E39" s="283" t="s">
        <v>315</v>
      </c>
      <c r="F39" s="281">
        <v>3114</v>
      </c>
      <c r="G39" s="286" t="s">
        <v>292</v>
      </c>
      <c r="H39" s="284" t="s">
        <v>271</v>
      </c>
      <c r="I39" s="565">
        <v>801720</v>
      </c>
      <c r="J39" s="415">
        <v>594748</v>
      </c>
      <c r="K39" s="415">
        <v>594748</v>
      </c>
      <c r="L39" s="415">
        <v>0</v>
      </c>
      <c r="M39" s="415">
        <v>0</v>
      </c>
      <c r="N39" s="415">
        <v>0</v>
      </c>
      <c r="O39" s="415">
        <v>0</v>
      </c>
      <c r="P39" s="68">
        <v>201025</v>
      </c>
      <c r="Q39" s="68">
        <v>5947</v>
      </c>
      <c r="R39" s="415">
        <v>0</v>
      </c>
      <c r="S39" s="416">
        <v>1.4166000000000001</v>
      </c>
      <c r="T39" s="417">
        <v>1.4166000000000001</v>
      </c>
      <c r="U39" s="770">
        <v>0</v>
      </c>
      <c r="V39" s="424">
        <f t="shared" si="39"/>
        <v>0</v>
      </c>
      <c r="W39" s="418">
        <f t="shared" si="39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418">
        <f>SUM(AD39:AE39)</f>
        <v>0</v>
      </c>
      <c r="AG39" s="418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si="40"/>
        <v>0</v>
      </c>
      <c r="AP39" s="418">
        <f t="shared" si="40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421">
        <f>SUM(BF39:BG39)</f>
        <v>0</v>
      </c>
      <c r="BI39" s="780">
        <f>I39+AW39</f>
        <v>801720</v>
      </c>
      <c r="BJ39" s="418">
        <f>J39+AF39</f>
        <v>594748</v>
      </c>
      <c r="BK39" s="418">
        <f t="shared" si="41"/>
        <v>594748</v>
      </c>
      <c r="BL39" s="418">
        <f t="shared" si="41"/>
        <v>0</v>
      </c>
      <c r="BM39" s="418">
        <f>M39+AN39</f>
        <v>0</v>
      </c>
      <c r="BN39" s="418">
        <f t="shared" si="42"/>
        <v>0</v>
      </c>
      <c r="BO39" s="418">
        <f t="shared" si="42"/>
        <v>0</v>
      </c>
      <c r="BP39" s="418">
        <f t="shared" si="43"/>
        <v>201025</v>
      </c>
      <c r="BQ39" s="418">
        <f t="shared" si="43"/>
        <v>5947</v>
      </c>
      <c r="BR39" s="418">
        <f>R39+AV39</f>
        <v>0</v>
      </c>
      <c r="BS39" s="419">
        <f>S39+BH39</f>
        <v>1.4166000000000001</v>
      </c>
      <c r="BT39" s="419">
        <f t="shared" si="44"/>
        <v>1.4166000000000001</v>
      </c>
      <c r="BU39" s="421">
        <f t="shared" si="44"/>
        <v>0</v>
      </c>
      <c r="BV39" s="420"/>
      <c r="BW39" s="415"/>
      <c r="BX39" s="415"/>
      <c r="BY39" s="415"/>
      <c r="BZ39" s="415"/>
      <c r="CA39" s="510"/>
    </row>
    <row r="40" spans="1:79" ht="12.95" customHeight="1" x14ac:dyDescent="0.25">
      <c r="A40" s="280">
        <v>6</v>
      </c>
      <c r="B40" s="281">
        <v>4478</v>
      </c>
      <c r="C40" s="281">
        <v>600075141</v>
      </c>
      <c r="D40" s="281">
        <v>70975191</v>
      </c>
      <c r="E40" s="283" t="s">
        <v>315</v>
      </c>
      <c r="F40" s="281">
        <v>3143</v>
      </c>
      <c r="G40" s="284" t="s">
        <v>595</v>
      </c>
      <c r="H40" s="284" t="s">
        <v>271</v>
      </c>
      <c r="I40" s="565">
        <v>114601</v>
      </c>
      <c r="J40" s="415">
        <v>85016</v>
      </c>
      <c r="K40" s="415">
        <v>85016</v>
      </c>
      <c r="L40" s="415">
        <v>0</v>
      </c>
      <c r="M40" s="415">
        <v>0</v>
      </c>
      <c r="N40" s="415">
        <v>0</v>
      </c>
      <c r="O40" s="415">
        <v>0</v>
      </c>
      <c r="P40" s="68">
        <v>28735</v>
      </c>
      <c r="Q40" s="68">
        <v>850</v>
      </c>
      <c r="R40" s="415">
        <v>0</v>
      </c>
      <c r="S40" s="416">
        <v>0.17849999999999999</v>
      </c>
      <c r="T40" s="417">
        <v>0.17849999999999999</v>
      </c>
      <c r="U40" s="770">
        <v>0</v>
      </c>
      <c r="V40" s="424">
        <f t="shared" si="39"/>
        <v>0</v>
      </c>
      <c r="W40" s="418">
        <f t="shared" si="39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418">
        <f>SUM(AD40:AE40)</f>
        <v>0</v>
      </c>
      <c r="AG40" s="418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si="40"/>
        <v>0</v>
      </c>
      <c r="AP40" s="418">
        <f t="shared" si="40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0</v>
      </c>
      <c r="AU40" s="418">
        <v>0</v>
      </c>
      <c r="AV40" s="418">
        <f>AT40+AU40</f>
        <v>0</v>
      </c>
      <c r="AW40" s="418">
        <f>AQ40+AR40+AS40+AV40</f>
        <v>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421">
        <f>SUM(BF40:BG40)</f>
        <v>0</v>
      </c>
      <c r="BI40" s="780">
        <f>I40+AW40</f>
        <v>114601</v>
      </c>
      <c r="BJ40" s="418">
        <f>J40+AF40</f>
        <v>85016</v>
      </c>
      <c r="BK40" s="418">
        <f t="shared" si="41"/>
        <v>85016</v>
      </c>
      <c r="BL40" s="418">
        <f t="shared" si="41"/>
        <v>0</v>
      </c>
      <c r="BM40" s="418">
        <f>M40+AN40</f>
        <v>0</v>
      </c>
      <c r="BN40" s="418">
        <f t="shared" si="42"/>
        <v>0</v>
      </c>
      <c r="BO40" s="418">
        <f t="shared" si="42"/>
        <v>0</v>
      </c>
      <c r="BP40" s="418">
        <f t="shared" si="43"/>
        <v>28735</v>
      </c>
      <c r="BQ40" s="418">
        <f t="shared" si="43"/>
        <v>850</v>
      </c>
      <c r="BR40" s="418">
        <f>R40+AV40</f>
        <v>0</v>
      </c>
      <c r="BS40" s="419">
        <f>S40+BH40</f>
        <v>0.17849999999999999</v>
      </c>
      <c r="BT40" s="419">
        <f t="shared" si="44"/>
        <v>0.17849999999999999</v>
      </c>
      <c r="BU40" s="421">
        <f t="shared" si="44"/>
        <v>0</v>
      </c>
      <c r="BV40" s="420"/>
      <c r="BW40" s="415"/>
      <c r="BX40" s="415"/>
      <c r="BY40" s="415"/>
      <c r="BZ40" s="415"/>
      <c r="CA40" s="510"/>
    </row>
    <row r="41" spans="1:79" ht="12.95" customHeight="1" x14ac:dyDescent="0.25">
      <c r="A41" s="280">
        <v>6</v>
      </c>
      <c r="B41" s="281">
        <v>4478</v>
      </c>
      <c r="C41" s="281">
        <v>600075141</v>
      </c>
      <c r="D41" s="281">
        <v>70975191</v>
      </c>
      <c r="E41" s="283" t="s">
        <v>315</v>
      </c>
      <c r="F41" s="281">
        <v>3143</v>
      </c>
      <c r="G41" s="284" t="s">
        <v>596</v>
      </c>
      <c r="H41" s="284" t="s">
        <v>272</v>
      </c>
      <c r="I41" s="565">
        <v>5642</v>
      </c>
      <c r="J41" s="415">
        <v>4039</v>
      </c>
      <c r="K41" s="415">
        <v>0</v>
      </c>
      <c r="L41" s="415">
        <v>4039</v>
      </c>
      <c r="M41" s="415">
        <v>0</v>
      </c>
      <c r="N41" s="415">
        <v>0</v>
      </c>
      <c r="O41" s="415">
        <v>0</v>
      </c>
      <c r="P41" s="68">
        <v>1365</v>
      </c>
      <c r="Q41" s="68">
        <v>40</v>
      </c>
      <c r="R41" s="415">
        <v>198</v>
      </c>
      <c r="S41" s="416">
        <v>1.5299999999999999E-2</v>
      </c>
      <c r="T41" s="417">
        <v>0</v>
      </c>
      <c r="U41" s="770">
        <v>1.5299999999999999E-2</v>
      </c>
      <c r="V41" s="424">
        <f t="shared" si="39"/>
        <v>0</v>
      </c>
      <c r="W41" s="418">
        <f t="shared" si="39"/>
        <v>0</v>
      </c>
      <c r="X41" s="418">
        <v>0</v>
      </c>
      <c r="Y41" s="418">
        <v>0</v>
      </c>
      <c r="Z41" s="418">
        <v>0</v>
      </c>
      <c r="AA41" s="418">
        <v>2011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2011</v>
      </c>
      <c r="AF41" s="418">
        <f>SUM(AD41:AE41)</f>
        <v>2011</v>
      </c>
      <c r="AG41" s="418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40"/>
        <v>0</v>
      </c>
      <c r="AP41" s="418">
        <f t="shared" si="40"/>
        <v>2011</v>
      </c>
      <c r="AQ41" s="418">
        <f>SUM(AO41:AP41)</f>
        <v>2011</v>
      </c>
      <c r="AR41" s="68">
        <f>ROUND((AF41+AG41+AH41+AI41)*33.8%,0)</f>
        <v>680</v>
      </c>
      <c r="AS41" s="68">
        <f>ROUND(AF41*1%,0)</f>
        <v>20</v>
      </c>
      <c r="AT41" s="418">
        <v>0</v>
      </c>
      <c r="AU41" s="418">
        <v>99</v>
      </c>
      <c r="AV41" s="418">
        <f>AT41+AU41</f>
        <v>99</v>
      </c>
      <c r="AW41" s="418">
        <f>AQ41+AR41+AS41+AV41</f>
        <v>2810</v>
      </c>
      <c r="AX41" s="419">
        <v>0</v>
      </c>
      <c r="AY41" s="419">
        <v>0</v>
      </c>
      <c r="AZ41" s="419">
        <v>0</v>
      </c>
      <c r="BA41" s="419">
        <v>0</v>
      </c>
      <c r="BB41" s="419">
        <v>0.01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0.01</v>
      </c>
      <c r="BH41" s="421">
        <f>SUM(BF41:BG41)</f>
        <v>0.01</v>
      </c>
      <c r="BI41" s="780">
        <f>I41+AW41</f>
        <v>8452</v>
      </c>
      <c r="BJ41" s="418">
        <f>J41+AF41</f>
        <v>6050</v>
      </c>
      <c r="BK41" s="418">
        <f t="shared" si="41"/>
        <v>0</v>
      </c>
      <c r="BL41" s="418">
        <f t="shared" si="41"/>
        <v>6050</v>
      </c>
      <c r="BM41" s="418">
        <f>M41+AN41</f>
        <v>0</v>
      </c>
      <c r="BN41" s="418">
        <f t="shared" si="42"/>
        <v>0</v>
      </c>
      <c r="BO41" s="418">
        <f t="shared" si="42"/>
        <v>0</v>
      </c>
      <c r="BP41" s="418">
        <f t="shared" si="43"/>
        <v>2045</v>
      </c>
      <c r="BQ41" s="418">
        <f t="shared" si="43"/>
        <v>60</v>
      </c>
      <c r="BR41" s="418">
        <f>R41+AV41</f>
        <v>297</v>
      </c>
      <c r="BS41" s="419">
        <f>S41+BH41</f>
        <v>2.53E-2</v>
      </c>
      <c r="BT41" s="419">
        <f t="shared" si="44"/>
        <v>0</v>
      </c>
      <c r="BU41" s="421">
        <f t="shared" si="44"/>
        <v>2.53E-2</v>
      </c>
      <c r="BV41" s="420"/>
      <c r="BW41" s="415"/>
      <c r="BX41" s="415"/>
      <c r="BY41" s="415"/>
      <c r="BZ41" s="415"/>
      <c r="CA41" s="510"/>
    </row>
    <row r="42" spans="1:79" ht="12.95" customHeight="1" x14ac:dyDescent="0.25">
      <c r="A42" s="273">
        <v>6</v>
      </c>
      <c r="B42" s="275">
        <v>4478</v>
      </c>
      <c r="C42" s="275">
        <v>600075141</v>
      </c>
      <c r="D42" s="275">
        <v>70975191</v>
      </c>
      <c r="E42" s="288" t="s">
        <v>316</v>
      </c>
      <c r="F42" s="291"/>
      <c r="G42" s="292"/>
      <c r="H42" s="292"/>
      <c r="I42" s="466">
        <v>9100255</v>
      </c>
      <c r="J42" s="463">
        <v>6613895</v>
      </c>
      <c r="K42" s="463">
        <v>6129740</v>
      </c>
      <c r="L42" s="463">
        <v>484155</v>
      </c>
      <c r="M42" s="463">
        <v>90000</v>
      </c>
      <c r="N42" s="463">
        <v>70000</v>
      </c>
      <c r="O42" s="463">
        <v>20000</v>
      </c>
      <c r="P42" s="463">
        <v>2265916</v>
      </c>
      <c r="Q42" s="463">
        <v>66139</v>
      </c>
      <c r="R42" s="463">
        <v>64305</v>
      </c>
      <c r="S42" s="464">
        <v>10.110899999999999</v>
      </c>
      <c r="T42" s="464">
        <v>8.7223000000000006</v>
      </c>
      <c r="U42" s="534">
        <v>1.3886000000000001</v>
      </c>
      <c r="V42" s="466">
        <f t="shared" ref="V42:CA42" si="45">SUM(V37:V41)</f>
        <v>0</v>
      </c>
      <c r="W42" s="463">
        <f t="shared" si="45"/>
        <v>0</v>
      </c>
      <c r="X42" s="463">
        <f t="shared" si="45"/>
        <v>0</v>
      </c>
      <c r="Y42" s="463">
        <f t="shared" si="45"/>
        <v>0</v>
      </c>
      <c r="Z42" s="463">
        <f t="shared" si="45"/>
        <v>0</v>
      </c>
      <c r="AA42" s="463">
        <f t="shared" si="45"/>
        <v>2011</v>
      </c>
      <c r="AB42" s="463">
        <f t="shared" si="45"/>
        <v>0</v>
      </c>
      <c r="AC42" s="463">
        <f t="shared" si="45"/>
        <v>0</v>
      </c>
      <c r="AD42" s="463">
        <f t="shared" si="45"/>
        <v>0</v>
      </c>
      <c r="AE42" s="463">
        <f t="shared" si="45"/>
        <v>2011</v>
      </c>
      <c r="AF42" s="463">
        <f t="shared" si="45"/>
        <v>2011</v>
      </c>
      <c r="AG42" s="463">
        <f t="shared" si="45"/>
        <v>0</v>
      </c>
      <c r="AH42" s="463">
        <f t="shared" si="45"/>
        <v>0</v>
      </c>
      <c r="AI42" s="463">
        <f t="shared" si="45"/>
        <v>0</v>
      </c>
      <c r="AJ42" s="463">
        <f t="shared" si="45"/>
        <v>0</v>
      </c>
      <c r="AK42" s="463">
        <f t="shared" si="45"/>
        <v>0</v>
      </c>
      <c r="AL42" s="463">
        <f t="shared" si="45"/>
        <v>0</v>
      </c>
      <c r="AM42" s="463">
        <f t="shared" si="45"/>
        <v>0</v>
      </c>
      <c r="AN42" s="463">
        <f t="shared" si="45"/>
        <v>0</v>
      </c>
      <c r="AO42" s="463">
        <f t="shared" si="45"/>
        <v>0</v>
      </c>
      <c r="AP42" s="463">
        <f t="shared" si="45"/>
        <v>2011</v>
      </c>
      <c r="AQ42" s="463">
        <f t="shared" si="45"/>
        <v>2011</v>
      </c>
      <c r="AR42" s="463">
        <f t="shared" si="45"/>
        <v>680</v>
      </c>
      <c r="AS42" s="463">
        <f t="shared" si="45"/>
        <v>20</v>
      </c>
      <c r="AT42" s="463">
        <f t="shared" si="45"/>
        <v>0</v>
      </c>
      <c r="AU42" s="463">
        <f t="shared" si="45"/>
        <v>99</v>
      </c>
      <c r="AV42" s="463">
        <f t="shared" si="45"/>
        <v>99</v>
      </c>
      <c r="AW42" s="463">
        <f t="shared" si="45"/>
        <v>2810</v>
      </c>
      <c r="AX42" s="464">
        <f t="shared" si="45"/>
        <v>0</v>
      </c>
      <c r="AY42" s="464">
        <f t="shared" si="45"/>
        <v>0</v>
      </c>
      <c r="AZ42" s="464">
        <f t="shared" si="45"/>
        <v>0</v>
      </c>
      <c r="BA42" s="464">
        <f t="shared" si="45"/>
        <v>0</v>
      </c>
      <c r="BB42" s="464">
        <f t="shared" ref="BB42" si="46">SUM(BB37:BB41)</f>
        <v>0.01</v>
      </c>
      <c r="BC42" s="464">
        <f t="shared" si="45"/>
        <v>0</v>
      </c>
      <c r="BD42" s="464">
        <f t="shared" si="45"/>
        <v>0</v>
      </c>
      <c r="BE42" s="464">
        <f t="shared" ref="BE42" si="47">SUM(BE37:BE41)</f>
        <v>0</v>
      </c>
      <c r="BF42" s="464">
        <f t="shared" si="45"/>
        <v>0</v>
      </c>
      <c r="BG42" s="464">
        <f t="shared" si="45"/>
        <v>0.01</v>
      </c>
      <c r="BH42" s="290">
        <f t="shared" si="45"/>
        <v>0.01</v>
      </c>
      <c r="BI42" s="787">
        <f t="shared" si="45"/>
        <v>9103065</v>
      </c>
      <c r="BJ42" s="463">
        <f t="shared" si="45"/>
        <v>6615906</v>
      </c>
      <c r="BK42" s="463">
        <f t="shared" si="45"/>
        <v>6129740</v>
      </c>
      <c r="BL42" s="463">
        <f t="shared" si="45"/>
        <v>486166</v>
      </c>
      <c r="BM42" s="463">
        <f t="shared" si="45"/>
        <v>90000</v>
      </c>
      <c r="BN42" s="463">
        <f t="shared" si="45"/>
        <v>70000</v>
      </c>
      <c r="BO42" s="463">
        <f t="shared" si="45"/>
        <v>20000</v>
      </c>
      <c r="BP42" s="463">
        <f t="shared" si="45"/>
        <v>2266596</v>
      </c>
      <c r="BQ42" s="463">
        <f t="shared" si="45"/>
        <v>66159</v>
      </c>
      <c r="BR42" s="463">
        <f t="shared" si="45"/>
        <v>64404</v>
      </c>
      <c r="BS42" s="464">
        <f t="shared" si="45"/>
        <v>10.120899999999999</v>
      </c>
      <c r="BT42" s="464">
        <f t="shared" si="45"/>
        <v>8.7223000000000006</v>
      </c>
      <c r="BU42" s="290">
        <f t="shared" si="45"/>
        <v>1.3986000000000001</v>
      </c>
      <c r="BV42" s="852">
        <f t="shared" si="45"/>
        <v>0</v>
      </c>
      <c r="BW42" s="722">
        <f t="shared" si="45"/>
        <v>0</v>
      </c>
      <c r="BX42" s="722">
        <f t="shared" si="45"/>
        <v>0</v>
      </c>
      <c r="BY42" s="722">
        <f t="shared" si="45"/>
        <v>0</v>
      </c>
      <c r="BZ42" s="722">
        <f t="shared" si="45"/>
        <v>0</v>
      </c>
      <c r="CA42" s="853">
        <f t="shared" si="45"/>
        <v>0</v>
      </c>
    </row>
    <row r="43" spans="1:79" ht="12.95" customHeight="1" x14ac:dyDescent="0.25">
      <c r="A43" s="280">
        <v>7</v>
      </c>
      <c r="B43" s="281">
        <v>4471</v>
      </c>
      <c r="C43" s="281">
        <v>600075061</v>
      </c>
      <c r="D43" s="281">
        <v>70975205</v>
      </c>
      <c r="E43" s="283" t="s">
        <v>317</v>
      </c>
      <c r="F43" s="281">
        <v>3231</v>
      </c>
      <c r="G43" s="284" t="s">
        <v>295</v>
      </c>
      <c r="H43" s="284" t="s">
        <v>271</v>
      </c>
      <c r="I43" s="565">
        <v>13160481</v>
      </c>
      <c r="J43" s="415">
        <v>9722080</v>
      </c>
      <c r="K43" s="415">
        <v>9395810</v>
      </c>
      <c r="L43" s="415">
        <v>326270</v>
      </c>
      <c r="M43" s="415">
        <v>30000</v>
      </c>
      <c r="N43" s="415">
        <v>0</v>
      </c>
      <c r="O43" s="415">
        <v>30000</v>
      </c>
      <c r="P43" s="68">
        <v>3296203</v>
      </c>
      <c r="Q43" s="68">
        <v>97221</v>
      </c>
      <c r="R43" s="415">
        <v>14977</v>
      </c>
      <c r="S43" s="416">
        <v>15.8918</v>
      </c>
      <c r="T43" s="417">
        <v>14.892099999999999</v>
      </c>
      <c r="U43" s="770">
        <v>0.99970000000000003</v>
      </c>
      <c r="V43" s="424">
        <f>AG43*-1</f>
        <v>0</v>
      </c>
      <c r="W43" s="418">
        <f>AH43*-1</f>
        <v>0</v>
      </c>
      <c r="X43" s="418">
        <v>0</v>
      </c>
      <c r="Y43" s="418">
        <v>0</v>
      </c>
      <c r="Z43" s="418">
        <v>0</v>
      </c>
      <c r="AA43" s="418">
        <v>0</v>
      </c>
      <c r="AB43" s="418">
        <v>0</v>
      </c>
      <c r="AC43" s="418">
        <v>0</v>
      </c>
      <c r="AD43" s="418">
        <f>V43+X43+Y43+Z43+AB43</f>
        <v>0</v>
      </c>
      <c r="AE43" s="418">
        <f>W43+AA43+AC43</f>
        <v>0</v>
      </c>
      <c r="AF43" s="418">
        <f>SUM(AD43:AE43)</f>
        <v>0</v>
      </c>
      <c r="AG43" s="418">
        <v>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0</v>
      </c>
      <c r="AM43" s="418">
        <f>AH43+AK43</f>
        <v>0</v>
      </c>
      <c r="AN43" s="418">
        <f>SUM(AL43:AM43)</f>
        <v>0</v>
      </c>
      <c r="AO43" s="418">
        <f>AD43+AL43</f>
        <v>0</v>
      </c>
      <c r="AP43" s="418">
        <f>AE43+AM43</f>
        <v>0</v>
      </c>
      <c r="AQ43" s="418">
        <f>SUM(AO43:AP43)</f>
        <v>0</v>
      </c>
      <c r="AR43" s="68">
        <f>ROUND((AF43+AG43+AH43+AI43)*33.8%,0)</f>
        <v>0</v>
      </c>
      <c r="AS43" s="68">
        <f>ROUND(AF43*1%,0)</f>
        <v>0</v>
      </c>
      <c r="AT43" s="418">
        <v>0</v>
      </c>
      <c r="AU43" s="418">
        <v>0</v>
      </c>
      <c r="AV43" s="418">
        <f>AT43+AU43</f>
        <v>0</v>
      </c>
      <c r="AW43" s="418">
        <f>AQ43+AR43+AS43+AV43</f>
        <v>0</v>
      </c>
      <c r="AX43" s="419">
        <v>0</v>
      </c>
      <c r="AY43" s="419">
        <v>0</v>
      </c>
      <c r="AZ43" s="419">
        <v>0</v>
      </c>
      <c r="BA43" s="419">
        <v>0</v>
      </c>
      <c r="BB43" s="419">
        <v>0</v>
      </c>
      <c r="BC43" s="419">
        <v>0</v>
      </c>
      <c r="BD43" s="419">
        <v>0</v>
      </c>
      <c r="BE43" s="419">
        <v>0</v>
      </c>
      <c r="BF43" s="419">
        <f>AX43+AZ43+BA43+BC43+BD43</f>
        <v>0</v>
      </c>
      <c r="BG43" s="419">
        <f>AY43+BB43+BE43</f>
        <v>0</v>
      </c>
      <c r="BH43" s="421">
        <f>SUM(BF43:BG43)</f>
        <v>0</v>
      </c>
      <c r="BI43" s="780">
        <f>I43+AW43</f>
        <v>13160481</v>
      </c>
      <c r="BJ43" s="418">
        <f>J43+AF43</f>
        <v>9722080</v>
      </c>
      <c r="BK43" s="418">
        <f>K43+AD43</f>
        <v>9395810</v>
      </c>
      <c r="BL43" s="418">
        <f>L43+AE43</f>
        <v>326270</v>
      </c>
      <c r="BM43" s="418">
        <f>M43+AN43</f>
        <v>30000</v>
      </c>
      <c r="BN43" s="418">
        <f>N43+AL43</f>
        <v>0</v>
      </c>
      <c r="BO43" s="418">
        <f>O43+AM43</f>
        <v>30000</v>
      </c>
      <c r="BP43" s="418">
        <f>P43+AR43</f>
        <v>3296203</v>
      </c>
      <c r="BQ43" s="418">
        <f>Q43+AS43</f>
        <v>97221</v>
      </c>
      <c r="BR43" s="418">
        <f>R43+AV43</f>
        <v>14977</v>
      </c>
      <c r="BS43" s="419">
        <f>S43+BH43</f>
        <v>15.8918</v>
      </c>
      <c r="BT43" s="419">
        <f>T43+BF43</f>
        <v>14.892099999999999</v>
      </c>
      <c r="BU43" s="421">
        <f>U43+BG43</f>
        <v>0.99970000000000003</v>
      </c>
      <c r="BV43" s="420"/>
      <c r="BW43" s="415"/>
      <c r="BX43" s="415"/>
      <c r="BY43" s="415"/>
      <c r="BZ43" s="415"/>
      <c r="CA43" s="510"/>
    </row>
    <row r="44" spans="1:79" ht="12.95" customHeight="1" x14ac:dyDescent="0.25">
      <c r="A44" s="273">
        <v>7</v>
      </c>
      <c r="B44" s="275">
        <v>4471</v>
      </c>
      <c r="C44" s="275">
        <v>600075061</v>
      </c>
      <c r="D44" s="275">
        <v>70975205</v>
      </c>
      <c r="E44" s="288" t="s">
        <v>318</v>
      </c>
      <c r="F44" s="291"/>
      <c r="G44" s="292"/>
      <c r="H44" s="292"/>
      <c r="I44" s="466">
        <v>13160481</v>
      </c>
      <c r="J44" s="463">
        <v>9722080</v>
      </c>
      <c r="K44" s="463">
        <v>9395810</v>
      </c>
      <c r="L44" s="463">
        <v>326270</v>
      </c>
      <c r="M44" s="463">
        <v>30000</v>
      </c>
      <c r="N44" s="463">
        <v>0</v>
      </c>
      <c r="O44" s="463">
        <v>30000</v>
      </c>
      <c r="P44" s="463">
        <v>3296203</v>
      </c>
      <c r="Q44" s="463">
        <v>97221</v>
      </c>
      <c r="R44" s="463">
        <v>14977</v>
      </c>
      <c r="S44" s="464">
        <v>15.8918</v>
      </c>
      <c r="T44" s="464">
        <v>14.892099999999999</v>
      </c>
      <c r="U44" s="534">
        <v>0.99970000000000003</v>
      </c>
      <c r="V44" s="466">
        <f t="shared" ref="V44:CA44" si="48">SUM(V43)</f>
        <v>0</v>
      </c>
      <c r="W44" s="463">
        <f t="shared" si="48"/>
        <v>0</v>
      </c>
      <c r="X44" s="463">
        <f t="shared" si="48"/>
        <v>0</v>
      </c>
      <c r="Y44" s="463">
        <f t="shared" si="48"/>
        <v>0</v>
      </c>
      <c r="Z44" s="463">
        <f t="shared" si="48"/>
        <v>0</v>
      </c>
      <c r="AA44" s="463">
        <f t="shared" si="48"/>
        <v>0</v>
      </c>
      <c r="AB44" s="463">
        <f t="shared" si="48"/>
        <v>0</v>
      </c>
      <c r="AC44" s="463">
        <f t="shared" si="48"/>
        <v>0</v>
      </c>
      <c r="AD44" s="463">
        <f t="shared" si="48"/>
        <v>0</v>
      </c>
      <c r="AE44" s="463">
        <f t="shared" si="48"/>
        <v>0</v>
      </c>
      <c r="AF44" s="463">
        <f t="shared" si="48"/>
        <v>0</v>
      </c>
      <c r="AG44" s="463">
        <f t="shared" si="48"/>
        <v>0</v>
      </c>
      <c r="AH44" s="463">
        <f t="shared" si="48"/>
        <v>0</v>
      </c>
      <c r="AI44" s="463">
        <f t="shared" si="48"/>
        <v>0</v>
      </c>
      <c r="AJ44" s="463">
        <f t="shared" si="48"/>
        <v>0</v>
      </c>
      <c r="AK44" s="463">
        <f t="shared" si="48"/>
        <v>0</v>
      </c>
      <c r="AL44" s="463">
        <f t="shared" si="48"/>
        <v>0</v>
      </c>
      <c r="AM44" s="463">
        <f t="shared" si="48"/>
        <v>0</v>
      </c>
      <c r="AN44" s="463">
        <f t="shared" si="48"/>
        <v>0</v>
      </c>
      <c r="AO44" s="463">
        <f t="shared" si="48"/>
        <v>0</v>
      </c>
      <c r="AP44" s="463">
        <f t="shared" si="48"/>
        <v>0</v>
      </c>
      <c r="AQ44" s="463">
        <f t="shared" si="48"/>
        <v>0</v>
      </c>
      <c r="AR44" s="463">
        <f t="shared" si="48"/>
        <v>0</v>
      </c>
      <c r="AS44" s="463">
        <f t="shared" si="48"/>
        <v>0</v>
      </c>
      <c r="AT44" s="463">
        <f t="shared" si="48"/>
        <v>0</v>
      </c>
      <c r="AU44" s="463">
        <f t="shared" si="48"/>
        <v>0</v>
      </c>
      <c r="AV44" s="463">
        <f t="shared" si="48"/>
        <v>0</v>
      </c>
      <c r="AW44" s="463">
        <f t="shared" si="48"/>
        <v>0</v>
      </c>
      <c r="AX44" s="464">
        <f t="shared" si="48"/>
        <v>0</v>
      </c>
      <c r="AY44" s="464">
        <f t="shared" si="48"/>
        <v>0</v>
      </c>
      <c r="AZ44" s="464">
        <f t="shared" si="48"/>
        <v>0</v>
      </c>
      <c r="BA44" s="464">
        <f t="shared" si="48"/>
        <v>0</v>
      </c>
      <c r="BB44" s="464">
        <f t="shared" ref="BB44" si="49">SUM(BB43)</f>
        <v>0</v>
      </c>
      <c r="BC44" s="464">
        <f t="shared" si="48"/>
        <v>0</v>
      </c>
      <c r="BD44" s="464">
        <f t="shared" si="48"/>
        <v>0</v>
      </c>
      <c r="BE44" s="464">
        <f t="shared" ref="BE44" si="50">SUM(BE43)</f>
        <v>0</v>
      </c>
      <c r="BF44" s="464">
        <f t="shared" si="48"/>
        <v>0</v>
      </c>
      <c r="BG44" s="464">
        <f t="shared" si="48"/>
        <v>0</v>
      </c>
      <c r="BH44" s="290">
        <f t="shared" si="48"/>
        <v>0</v>
      </c>
      <c r="BI44" s="787">
        <f t="shared" si="48"/>
        <v>13160481</v>
      </c>
      <c r="BJ44" s="463">
        <f t="shared" si="48"/>
        <v>9722080</v>
      </c>
      <c r="BK44" s="463">
        <f t="shared" si="48"/>
        <v>9395810</v>
      </c>
      <c r="BL44" s="463">
        <f t="shared" si="48"/>
        <v>326270</v>
      </c>
      <c r="BM44" s="463">
        <f t="shared" si="48"/>
        <v>30000</v>
      </c>
      <c r="BN44" s="463">
        <f t="shared" si="48"/>
        <v>0</v>
      </c>
      <c r="BO44" s="463">
        <f t="shared" si="48"/>
        <v>30000</v>
      </c>
      <c r="BP44" s="463">
        <f t="shared" si="48"/>
        <v>3296203</v>
      </c>
      <c r="BQ44" s="463">
        <f t="shared" si="48"/>
        <v>97221</v>
      </c>
      <c r="BR44" s="463">
        <f t="shared" si="48"/>
        <v>14977</v>
      </c>
      <c r="BS44" s="464">
        <f t="shared" si="48"/>
        <v>15.8918</v>
      </c>
      <c r="BT44" s="464">
        <f t="shared" si="48"/>
        <v>14.892099999999999</v>
      </c>
      <c r="BU44" s="290">
        <f t="shared" si="48"/>
        <v>0.99970000000000003</v>
      </c>
      <c r="BV44" s="852">
        <f t="shared" si="48"/>
        <v>0</v>
      </c>
      <c r="BW44" s="722">
        <f t="shared" si="48"/>
        <v>0</v>
      </c>
      <c r="BX44" s="722">
        <f t="shared" si="48"/>
        <v>0</v>
      </c>
      <c r="BY44" s="722">
        <f t="shared" si="48"/>
        <v>0</v>
      </c>
      <c r="BZ44" s="722">
        <f t="shared" si="48"/>
        <v>0</v>
      </c>
      <c r="CA44" s="853">
        <f t="shared" si="48"/>
        <v>0</v>
      </c>
    </row>
    <row r="45" spans="1:79" ht="12.95" customHeight="1" x14ac:dyDescent="0.25">
      <c r="A45" s="280">
        <v>8</v>
      </c>
      <c r="B45" s="281">
        <v>4474</v>
      </c>
      <c r="C45" s="281">
        <v>600075192</v>
      </c>
      <c r="D45" s="281">
        <v>49864661</v>
      </c>
      <c r="E45" s="283" t="s">
        <v>319</v>
      </c>
      <c r="F45" s="281">
        <v>3233</v>
      </c>
      <c r="G45" s="293" t="s">
        <v>297</v>
      </c>
      <c r="H45" s="284" t="s">
        <v>272</v>
      </c>
      <c r="I45" s="565">
        <v>1785904</v>
      </c>
      <c r="J45" s="415">
        <v>1323975</v>
      </c>
      <c r="K45" s="415">
        <v>1149932</v>
      </c>
      <c r="L45" s="415">
        <v>174043</v>
      </c>
      <c r="M45" s="415">
        <v>0</v>
      </c>
      <c r="N45" s="415">
        <v>0</v>
      </c>
      <c r="O45" s="415">
        <v>0</v>
      </c>
      <c r="P45" s="68">
        <v>447504</v>
      </c>
      <c r="Q45" s="68">
        <v>13240</v>
      </c>
      <c r="R45" s="415">
        <v>1185</v>
      </c>
      <c r="S45" s="416">
        <v>2.64</v>
      </c>
      <c r="T45" s="417">
        <v>2.08</v>
      </c>
      <c r="U45" s="770">
        <v>0.56000000000000005</v>
      </c>
      <c r="V45" s="424">
        <f>AG45*-1</f>
        <v>0</v>
      </c>
      <c r="W45" s="418">
        <f>AH45*-1</f>
        <v>0</v>
      </c>
      <c r="X45" s="418">
        <v>0</v>
      </c>
      <c r="Y45" s="418">
        <v>0</v>
      </c>
      <c r="Z45" s="418">
        <v>0</v>
      </c>
      <c r="AA45" s="418">
        <v>87004</v>
      </c>
      <c r="AB45" s="418">
        <v>0</v>
      </c>
      <c r="AC45" s="418">
        <v>0</v>
      </c>
      <c r="AD45" s="418">
        <f>V45+X45+Y45+Z45+AB45</f>
        <v>0</v>
      </c>
      <c r="AE45" s="418">
        <f>W45+AA45+AC45</f>
        <v>87004</v>
      </c>
      <c r="AF45" s="418">
        <f>SUM(AD45:AE45)</f>
        <v>87004</v>
      </c>
      <c r="AG45" s="418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>AG45+AI45+AJ45</f>
        <v>0</v>
      </c>
      <c r="AM45" s="418">
        <f>AH45+AK45</f>
        <v>0</v>
      </c>
      <c r="AN45" s="418">
        <f>SUM(AL45:AM45)</f>
        <v>0</v>
      </c>
      <c r="AO45" s="418">
        <f>AD45+AL45</f>
        <v>0</v>
      </c>
      <c r="AP45" s="418">
        <f>AE45+AM45</f>
        <v>87004</v>
      </c>
      <c r="AQ45" s="418">
        <f>SUM(AO45:AP45)</f>
        <v>87004</v>
      </c>
      <c r="AR45" s="68">
        <f>ROUND((AF45+AG45+AH45+AI45)*33.8%,0)</f>
        <v>29407</v>
      </c>
      <c r="AS45" s="68">
        <f>ROUND(AF45*1%,0)</f>
        <v>870</v>
      </c>
      <c r="AT45" s="418">
        <v>0</v>
      </c>
      <c r="AU45" s="418">
        <v>474</v>
      </c>
      <c r="AV45" s="418">
        <f>AT45+AU45</f>
        <v>474</v>
      </c>
      <c r="AW45" s="418">
        <f>AQ45+AR45+AS45+AV45</f>
        <v>117755</v>
      </c>
      <c r="AX45" s="419">
        <v>0</v>
      </c>
      <c r="AY45" s="419">
        <v>0</v>
      </c>
      <c r="AZ45" s="419">
        <v>0</v>
      </c>
      <c r="BA45" s="419">
        <v>0</v>
      </c>
      <c r="BB45" s="419">
        <v>0.28000000000000003</v>
      </c>
      <c r="BC45" s="419">
        <v>0</v>
      </c>
      <c r="BD45" s="419">
        <v>0</v>
      </c>
      <c r="BE45" s="419">
        <v>0</v>
      </c>
      <c r="BF45" s="419">
        <f>AX45+AZ45+BA45+BC45+BD45</f>
        <v>0</v>
      </c>
      <c r="BG45" s="419">
        <f>AY45+BB45+BE45</f>
        <v>0.28000000000000003</v>
      </c>
      <c r="BH45" s="421">
        <f>SUM(BF45:BG45)</f>
        <v>0.28000000000000003</v>
      </c>
      <c r="BI45" s="780">
        <f>I45+AW45</f>
        <v>1903659</v>
      </c>
      <c r="BJ45" s="418">
        <f>J45+AF45</f>
        <v>1410979</v>
      </c>
      <c r="BK45" s="418">
        <f>K45+AD45</f>
        <v>1149932</v>
      </c>
      <c r="BL45" s="418">
        <f>L45+AE45</f>
        <v>261047</v>
      </c>
      <c r="BM45" s="418">
        <f>M45+AN45</f>
        <v>0</v>
      </c>
      <c r="BN45" s="418">
        <f>N45+AL45</f>
        <v>0</v>
      </c>
      <c r="BO45" s="418">
        <f>O45+AM45</f>
        <v>0</v>
      </c>
      <c r="BP45" s="418">
        <f>P45+AR45</f>
        <v>476911</v>
      </c>
      <c r="BQ45" s="418">
        <f>Q45+AS45</f>
        <v>14110</v>
      </c>
      <c r="BR45" s="418">
        <f>R45+AV45</f>
        <v>1659</v>
      </c>
      <c r="BS45" s="419">
        <f>S45+BH45</f>
        <v>2.92</v>
      </c>
      <c r="BT45" s="419">
        <f>T45+BF45</f>
        <v>2.08</v>
      </c>
      <c r="BU45" s="421">
        <f>U45+BG45</f>
        <v>0.84000000000000008</v>
      </c>
      <c r="BV45" s="420"/>
      <c r="BW45" s="415"/>
      <c r="BX45" s="415"/>
      <c r="BY45" s="415"/>
      <c r="BZ45" s="415"/>
      <c r="CA45" s="510"/>
    </row>
    <row r="46" spans="1:79" ht="12.95" customHeight="1" x14ac:dyDescent="0.25">
      <c r="A46" s="273">
        <v>8</v>
      </c>
      <c r="B46" s="275">
        <v>4474</v>
      </c>
      <c r="C46" s="275">
        <v>600075192</v>
      </c>
      <c r="D46" s="275">
        <v>49864661</v>
      </c>
      <c r="E46" s="288" t="s">
        <v>320</v>
      </c>
      <c r="F46" s="291"/>
      <c r="G46" s="292"/>
      <c r="H46" s="292"/>
      <c r="I46" s="466">
        <v>1785904</v>
      </c>
      <c r="J46" s="463">
        <v>1323975</v>
      </c>
      <c r="K46" s="463">
        <v>1149932</v>
      </c>
      <c r="L46" s="463">
        <v>174043</v>
      </c>
      <c r="M46" s="463">
        <v>0</v>
      </c>
      <c r="N46" s="463">
        <v>0</v>
      </c>
      <c r="O46" s="463">
        <v>0</v>
      </c>
      <c r="P46" s="463">
        <v>447504</v>
      </c>
      <c r="Q46" s="463">
        <v>13240</v>
      </c>
      <c r="R46" s="463">
        <v>1185</v>
      </c>
      <c r="S46" s="464">
        <v>2.64</v>
      </c>
      <c r="T46" s="464">
        <v>2.08</v>
      </c>
      <c r="U46" s="534">
        <v>0.56000000000000005</v>
      </c>
      <c r="V46" s="466">
        <f t="shared" ref="V46:CA46" si="51">SUM(V45)</f>
        <v>0</v>
      </c>
      <c r="W46" s="463">
        <f t="shared" si="51"/>
        <v>0</v>
      </c>
      <c r="X46" s="463">
        <f t="shared" si="51"/>
        <v>0</v>
      </c>
      <c r="Y46" s="463">
        <f t="shared" si="51"/>
        <v>0</v>
      </c>
      <c r="Z46" s="463">
        <f t="shared" si="51"/>
        <v>0</v>
      </c>
      <c r="AA46" s="463">
        <f t="shared" si="51"/>
        <v>87004</v>
      </c>
      <c r="AB46" s="463">
        <f t="shared" si="51"/>
        <v>0</v>
      </c>
      <c r="AC46" s="463">
        <f t="shared" si="51"/>
        <v>0</v>
      </c>
      <c r="AD46" s="463">
        <f t="shared" si="51"/>
        <v>0</v>
      </c>
      <c r="AE46" s="463">
        <f t="shared" si="51"/>
        <v>87004</v>
      </c>
      <c r="AF46" s="463">
        <f t="shared" si="51"/>
        <v>87004</v>
      </c>
      <c r="AG46" s="463">
        <f t="shared" si="51"/>
        <v>0</v>
      </c>
      <c r="AH46" s="463">
        <f t="shared" si="51"/>
        <v>0</v>
      </c>
      <c r="AI46" s="463">
        <f t="shared" si="51"/>
        <v>0</v>
      </c>
      <c r="AJ46" s="463">
        <f t="shared" si="51"/>
        <v>0</v>
      </c>
      <c r="AK46" s="463">
        <f t="shared" si="51"/>
        <v>0</v>
      </c>
      <c r="AL46" s="463">
        <f t="shared" si="51"/>
        <v>0</v>
      </c>
      <c r="AM46" s="463">
        <f t="shared" si="51"/>
        <v>0</v>
      </c>
      <c r="AN46" s="463">
        <f t="shared" si="51"/>
        <v>0</v>
      </c>
      <c r="AO46" s="463">
        <f t="shared" si="51"/>
        <v>0</v>
      </c>
      <c r="AP46" s="463">
        <f t="shared" si="51"/>
        <v>87004</v>
      </c>
      <c r="AQ46" s="463">
        <f t="shared" si="51"/>
        <v>87004</v>
      </c>
      <c r="AR46" s="463">
        <f t="shared" si="51"/>
        <v>29407</v>
      </c>
      <c r="AS46" s="463">
        <f t="shared" si="51"/>
        <v>870</v>
      </c>
      <c r="AT46" s="463">
        <f t="shared" si="51"/>
        <v>0</v>
      </c>
      <c r="AU46" s="463">
        <f t="shared" si="51"/>
        <v>474</v>
      </c>
      <c r="AV46" s="463">
        <f t="shared" si="51"/>
        <v>474</v>
      </c>
      <c r="AW46" s="463">
        <f t="shared" si="51"/>
        <v>117755</v>
      </c>
      <c r="AX46" s="464">
        <f t="shared" si="51"/>
        <v>0</v>
      </c>
      <c r="AY46" s="464">
        <f t="shared" si="51"/>
        <v>0</v>
      </c>
      <c r="AZ46" s="464">
        <f t="shared" si="51"/>
        <v>0</v>
      </c>
      <c r="BA46" s="464">
        <f t="shared" si="51"/>
        <v>0</v>
      </c>
      <c r="BB46" s="464">
        <f t="shared" ref="BB46" si="52">SUM(BB45)</f>
        <v>0.28000000000000003</v>
      </c>
      <c r="BC46" s="464">
        <f t="shared" si="51"/>
        <v>0</v>
      </c>
      <c r="BD46" s="464">
        <f t="shared" si="51"/>
        <v>0</v>
      </c>
      <c r="BE46" s="464">
        <f t="shared" ref="BE46" si="53">SUM(BE45)</f>
        <v>0</v>
      </c>
      <c r="BF46" s="464">
        <f t="shared" si="51"/>
        <v>0</v>
      </c>
      <c r="BG46" s="464">
        <f t="shared" si="51"/>
        <v>0.28000000000000003</v>
      </c>
      <c r="BH46" s="290">
        <f t="shared" si="51"/>
        <v>0.28000000000000003</v>
      </c>
      <c r="BI46" s="787">
        <f t="shared" si="51"/>
        <v>1903659</v>
      </c>
      <c r="BJ46" s="463">
        <f t="shared" si="51"/>
        <v>1410979</v>
      </c>
      <c r="BK46" s="463">
        <f t="shared" si="51"/>
        <v>1149932</v>
      </c>
      <c r="BL46" s="463">
        <f t="shared" si="51"/>
        <v>261047</v>
      </c>
      <c r="BM46" s="463">
        <f t="shared" si="51"/>
        <v>0</v>
      </c>
      <c r="BN46" s="463">
        <f t="shared" si="51"/>
        <v>0</v>
      </c>
      <c r="BO46" s="463">
        <f t="shared" si="51"/>
        <v>0</v>
      </c>
      <c r="BP46" s="463">
        <f t="shared" si="51"/>
        <v>476911</v>
      </c>
      <c r="BQ46" s="463">
        <f t="shared" si="51"/>
        <v>14110</v>
      </c>
      <c r="BR46" s="463">
        <f t="shared" si="51"/>
        <v>1659</v>
      </c>
      <c r="BS46" s="464">
        <f t="shared" si="51"/>
        <v>2.92</v>
      </c>
      <c r="BT46" s="464">
        <f t="shared" si="51"/>
        <v>2.08</v>
      </c>
      <c r="BU46" s="290">
        <f t="shared" si="51"/>
        <v>0.84000000000000008</v>
      </c>
      <c r="BV46" s="852">
        <f t="shared" si="51"/>
        <v>0</v>
      </c>
      <c r="BW46" s="722">
        <f t="shared" si="51"/>
        <v>0</v>
      </c>
      <c r="BX46" s="722">
        <f t="shared" si="51"/>
        <v>0</v>
      </c>
      <c r="BY46" s="722">
        <f t="shared" si="51"/>
        <v>0</v>
      </c>
      <c r="BZ46" s="722">
        <f t="shared" si="51"/>
        <v>0</v>
      </c>
      <c r="CA46" s="853">
        <f t="shared" si="51"/>
        <v>0</v>
      </c>
    </row>
    <row r="47" spans="1:79" ht="12.95" customHeight="1" x14ac:dyDescent="0.25">
      <c r="A47" s="280">
        <v>9</v>
      </c>
      <c r="B47" s="281">
        <v>4402</v>
      </c>
      <c r="C47" s="282">
        <v>600074021</v>
      </c>
      <c r="D47" s="281">
        <v>70695342</v>
      </c>
      <c r="E47" s="283" t="s">
        <v>321</v>
      </c>
      <c r="F47" s="281">
        <v>3111</v>
      </c>
      <c r="G47" s="284" t="s">
        <v>304</v>
      </c>
      <c r="H47" s="284" t="s">
        <v>271</v>
      </c>
      <c r="I47" s="565">
        <v>12262860</v>
      </c>
      <c r="J47" s="415">
        <v>9065584</v>
      </c>
      <c r="K47" s="415">
        <v>8132705</v>
      </c>
      <c r="L47" s="415">
        <v>932879</v>
      </c>
      <c r="M47" s="415">
        <v>0</v>
      </c>
      <c r="N47" s="415">
        <v>0</v>
      </c>
      <c r="O47" s="415">
        <v>0</v>
      </c>
      <c r="P47" s="68">
        <v>3064167</v>
      </c>
      <c r="Q47" s="68">
        <v>90656</v>
      </c>
      <c r="R47" s="415">
        <v>42453</v>
      </c>
      <c r="S47" s="416">
        <v>17.185199999999998</v>
      </c>
      <c r="T47" s="417">
        <v>13.951599999999999</v>
      </c>
      <c r="U47" s="770">
        <v>3.2336</v>
      </c>
      <c r="V47" s="424">
        <f t="shared" ref="V47:W49" si="54">AG47*-1</f>
        <v>0</v>
      </c>
      <c r="W47" s="418">
        <f t="shared" si="54"/>
        <v>0</v>
      </c>
      <c r="X47" s="418">
        <v>0</v>
      </c>
      <c r="Y47" s="418">
        <v>0</v>
      </c>
      <c r="Z47" s="418">
        <v>0</v>
      </c>
      <c r="AA47" s="418">
        <v>0</v>
      </c>
      <c r="AB47" s="418">
        <v>0</v>
      </c>
      <c r="AC47" s="418">
        <v>0</v>
      </c>
      <c r="AD47" s="418">
        <f>V47+X47+Y47+Z47+AB47</f>
        <v>0</v>
      </c>
      <c r="AE47" s="418">
        <f>W47+AA47+AC47</f>
        <v>0</v>
      </c>
      <c r="AF47" s="418">
        <f>SUM(AD47:AE47)</f>
        <v>0</v>
      </c>
      <c r="AG47" s="418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>AG47+AI47+AJ47</f>
        <v>0</v>
      </c>
      <c r="AM47" s="418">
        <f>AH47+AK47</f>
        <v>0</v>
      </c>
      <c r="AN47" s="418">
        <f>SUM(AL47:AM47)</f>
        <v>0</v>
      </c>
      <c r="AO47" s="418">
        <f t="shared" ref="AO47:AP49" si="55">AD47+AL47</f>
        <v>0</v>
      </c>
      <c r="AP47" s="418">
        <f t="shared" si="55"/>
        <v>0</v>
      </c>
      <c r="AQ47" s="418">
        <f>SUM(AO47:AP47)</f>
        <v>0</v>
      </c>
      <c r="AR47" s="68">
        <f>ROUND((AF47+AG47+AH47+AI47)*33.8%,0)</f>
        <v>0</v>
      </c>
      <c r="AS47" s="68">
        <f>ROUND(AF47*1%,0)</f>
        <v>0</v>
      </c>
      <c r="AT47" s="418">
        <v>0</v>
      </c>
      <c r="AU47" s="418">
        <v>0</v>
      </c>
      <c r="AV47" s="418">
        <f>AT47+AU47</f>
        <v>0</v>
      </c>
      <c r="AW47" s="418">
        <f>AQ47+AR47+AS47+AV47</f>
        <v>0</v>
      </c>
      <c r="AX47" s="419">
        <v>0</v>
      </c>
      <c r="AY47" s="419">
        <v>0</v>
      </c>
      <c r="AZ47" s="419">
        <v>0</v>
      </c>
      <c r="BA47" s="419">
        <v>0</v>
      </c>
      <c r="BB47" s="419">
        <v>0</v>
      </c>
      <c r="BC47" s="419">
        <v>0</v>
      </c>
      <c r="BD47" s="419">
        <v>0</v>
      </c>
      <c r="BE47" s="419">
        <v>0</v>
      </c>
      <c r="BF47" s="419">
        <f>AX47+AZ47+BA47+BC47+BD47</f>
        <v>0</v>
      </c>
      <c r="BG47" s="419">
        <f>AY47+BB47+BE47</f>
        <v>0</v>
      </c>
      <c r="BH47" s="421">
        <f>SUM(BF47:BG47)</f>
        <v>0</v>
      </c>
      <c r="BI47" s="780">
        <f>I47+AW47</f>
        <v>12262860</v>
      </c>
      <c r="BJ47" s="418">
        <f>J47+AF47</f>
        <v>9065584</v>
      </c>
      <c r="BK47" s="418">
        <f t="shared" ref="BK47:BL49" si="56">K47+AD47</f>
        <v>8132705</v>
      </c>
      <c r="BL47" s="418">
        <f t="shared" si="56"/>
        <v>932879</v>
      </c>
      <c r="BM47" s="418">
        <f>M47+AN47</f>
        <v>0</v>
      </c>
      <c r="BN47" s="418">
        <f t="shared" ref="BN47:BO49" si="57">N47+AL47</f>
        <v>0</v>
      </c>
      <c r="BO47" s="418">
        <f t="shared" si="57"/>
        <v>0</v>
      </c>
      <c r="BP47" s="418">
        <f t="shared" ref="BP47:BQ49" si="58">P47+AR47</f>
        <v>3064167</v>
      </c>
      <c r="BQ47" s="418">
        <f t="shared" si="58"/>
        <v>90656</v>
      </c>
      <c r="BR47" s="418">
        <f>R47+AV47</f>
        <v>42453</v>
      </c>
      <c r="BS47" s="419">
        <f>S47+BH47</f>
        <v>17.185199999999998</v>
      </c>
      <c r="BT47" s="419">
        <f t="shared" ref="BT47:BU49" si="59">T47+BF47</f>
        <v>13.951599999999999</v>
      </c>
      <c r="BU47" s="421">
        <f t="shared" si="59"/>
        <v>3.2336</v>
      </c>
      <c r="BV47" s="420"/>
      <c r="BW47" s="415"/>
      <c r="BX47" s="415"/>
      <c r="BY47" s="415"/>
      <c r="BZ47" s="415"/>
      <c r="CA47" s="510"/>
    </row>
    <row r="48" spans="1:79" ht="12.95" customHeight="1" x14ac:dyDescent="0.25">
      <c r="A48" s="280">
        <v>9</v>
      </c>
      <c r="B48" s="281">
        <v>4402</v>
      </c>
      <c r="C48" s="282">
        <v>600074021</v>
      </c>
      <c r="D48" s="281">
        <v>70695342</v>
      </c>
      <c r="E48" s="283" t="s">
        <v>321</v>
      </c>
      <c r="F48" s="281">
        <v>3111</v>
      </c>
      <c r="G48" s="284" t="s">
        <v>298</v>
      </c>
      <c r="H48" s="284" t="s">
        <v>272</v>
      </c>
      <c r="I48" s="565">
        <v>685897</v>
      </c>
      <c r="J48" s="415">
        <v>508826</v>
      </c>
      <c r="K48" s="415">
        <v>508826</v>
      </c>
      <c r="L48" s="415">
        <v>0</v>
      </c>
      <c r="M48" s="415">
        <v>0</v>
      </c>
      <c r="N48" s="415">
        <v>0</v>
      </c>
      <c r="O48" s="415">
        <v>0</v>
      </c>
      <c r="P48" s="68">
        <v>171983</v>
      </c>
      <c r="Q48" s="68">
        <v>5088</v>
      </c>
      <c r="R48" s="415">
        <v>0</v>
      </c>
      <c r="S48" s="416">
        <v>1.39</v>
      </c>
      <c r="T48" s="417">
        <v>1.39</v>
      </c>
      <c r="U48" s="770">
        <v>0</v>
      </c>
      <c r="V48" s="424">
        <f t="shared" si="54"/>
        <v>0</v>
      </c>
      <c r="W48" s="418">
        <f t="shared" si="54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>V48+X48+Y48+Z48+AB48</f>
        <v>0</v>
      </c>
      <c r="AE48" s="418">
        <f>W48+AA48+AC48</f>
        <v>0</v>
      </c>
      <c r="AF48" s="418">
        <f>SUM(AD48:AE48)</f>
        <v>0</v>
      </c>
      <c r="AG48" s="418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>AG48+AI48+AJ48</f>
        <v>0</v>
      </c>
      <c r="AM48" s="418">
        <f>AH48+AK48</f>
        <v>0</v>
      </c>
      <c r="AN48" s="418">
        <f>SUM(AL48:AM48)</f>
        <v>0</v>
      </c>
      <c r="AO48" s="418">
        <f t="shared" si="55"/>
        <v>0</v>
      </c>
      <c r="AP48" s="418">
        <f t="shared" si="55"/>
        <v>0</v>
      </c>
      <c r="AQ48" s="418">
        <f>SUM(AO48:AP48)</f>
        <v>0</v>
      </c>
      <c r="AR48" s="68">
        <f>ROUND((AF48+AG48+AH48+AI48)*33.8%,0)</f>
        <v>0</v>
      </c>
      <c r="AS48" s="68">
        <f>ROUND(AF48*1%,0)</f>
        <v>0</v>
      </c>
      <c r="AT48" s="418">
        <v>0</v>
      </c>
      <c r="AU48" s="418">
        <v>0</v>
      </c>
      <c r="AV48" s="418">
        <f>AT48+AU48</f>
        <v>0</v>
      </c>
      <c r="AW48" s="418">
        <f>AQ48+AR48+AS48+AV48</f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>AX48+AZ48+BA48+BC48+BD48</f>
        <v>0</v>
      </c>
      <c r="BG48" s="419">
        <f>AY48+BB48+BE48</f>
        <v>0</v>
      </c>
      <c r="BH48" s="421">
        <f>SUM(BF48:BG48)</f>
        <v>0</v>
      </c>
      <c r="BI48" s="780">
        <f>I48+AW48</f>
        <v>685897</v>
      </c>
      <c r="BJ48" s="418">
        <f>J48+AF48</f>
        <v>508826</v>
      </c>
      <c r="BK48" s="418">
        <f t="shared" si="56"/>
        <v>508826</v>
      </c>
      <c r="BL48" s="418">
        <f t="shared" si="56"/>
        <v>0</v>
      </c>
      <c r="BM48" s="418">
        <f>M48+AN48</f>
        <v>0</v>
      </c>
      <c r="BN48" s="418">
        <f t="shared" si="57"/>
        <v>0</v>
      </c>
      <c r="BO48" s="418">
        <f t="shared" si="57"/>
        <v>0</v>
      </c>
      <c r="BP48" s="418">
        <f t="shared" si="58"/>
        <v>171983</v>
      </c>
      <c r="BQ48" s="418">
        <f t="shared" si="58"/>
        <v>5088</v>
      </c>
      <c r="BR48" s="418">
        <f>R48+AV48</f>
        <v>0</v>
      </c>
      <c r="BS48" s="419">
        <f>S48+BH48</f>
        <v>1.39</v>
      </c>
      <c r="BT48" s="419">
        <f t="shared" si="59"/>
        <v>1.39</v>
      </c>
      <c r="BU48" s="421">
        <f t="shared" si="59"/>
        <v>0</v>
      </c>
      <c r="BV48" s="420"/>
      <c r="BW48" s="415"/>
      <c r="BX48" s="415"/>
      <c r="BY48" s="415"/>
      <c r="BZ48" s="415"/>
      <c r="CA48" s="510"/>
    </row>
    <row r="49" spans="1:79" ht="12.95" customHeight="1" x14ac:dyDescent="0.25">
      <c r="A49" s="280">
        <v>9</v>
      </c>
      <c r="B49" s="281">
        <v>4402</v>
      </c>
      <c r="C49" s="282">
        <v>600074021</v>
      </c>
      <c r="D49" s="281">
        <v>70695342</v>
      </c>
      <c r="E49" s="283" t="s">
        <v>321</v>
      </c>
      <c r="F49" s="281">
        <v>3141</v>
      </c>
      <c r="G49" s="284" t="s">
        <v>294</v>
      </c>
      <c r="H49" s="284" t="s">
        <v>272</v>
      </c>
      <c r="I49" s="565">
        <v>1351290</v>
      </c>
      <c r="J49" s="415">
        <v>998206</v>
      </c>
      <c r="K49" s="415">
        <v>0</v>
      </c>
      <c r="L49" s="415">
        <v>998206</v>
      </c>
      <c r="M49" s="415">
        <v>0</v>
      </c>
      <c r="N49" s="415">
        <v>0</v>
      </c>
      <c r="O49" s="415">
        <v>0</v>
      </c>
      <c r="P49" s="68">
        <v>337394</v>
      </c>
      <c r="Q49" s="68">
        <v>9982</v>
      </c>
      <c r="R49" s="415">
        <v>5708</v>
      </c>
      <c r="S49" s="416">
        <v>2.9933000000000001</v>
      </c>
      <c r="T49" s="417">
        <v>0</v>
      </c>
      <c r="U49" s="770">
        <v>2.9933000000000001</v>
      </c>
      <c r="V49" s="424">
        <f t="shared" si="54"/>
        <v>0</v>
      </c>
      <c r="W49" s="418">
        <f t="shared" si="54"/>
        <v>0</v>
      </c>
      <c r="X49" s="418">
        <v>0</v>
      </c>
      <c r="Y49" s="418">
        <v>0</v>
      </c>
      <c r="Z49" s="418">
        <v>0</v>
      </c>
      <c r="AA49" s="418">
        <v>496242</v>
      </c>
      <c r="AB49" s="418">
        <v>0</v>
      </c>
      <c r="AC49" s="418">
        <v>0</v>
      </c>
      <c r="AD49" s="418">
        <f>V49+X49+Y49+Z49+AB49</f>
        <v>0</v>
      </c>
      <c r="AE49" s="418">
        <f>W49+AA49+AC49</f>
        <v>496242</v>
      </c>
      <c r="AF49" s="418">
        <f>SUM(AD49:AE49)</f>
        <v>496242</v>
      </c>
      <c r="AG49" s="418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>AG49+AI49+AJ49</f>
        <v>0</v>
      </c>
      <c r="AM49" s="418">
        <f>AH49+AK49</f>
        <v>0</v>
      </c>
      <c r="AN49" s="418">
        <f>SUM(AL49:AM49)</f>
        <v>0</v>
      </c>
      <c r="AO49" s="418">
        <f t="shared" si="55"/>
        <v>0</v>
      </c>
      <c r="AP49" s="418">
        <f t="shared" si="55"/>
        <v>496242</v>
      </c>
      <c r="AQ49" s="418">
        <f>SUM(AO49:AP49)</f>
        <v>496242</v>
      </c>
      <c r="AR49" s="68">
        <f>ROUND((AF49+AG49+AH49+AI49)*33.8%,0)</f>
        <v>167730</v>
      </c>
      <c r="AS49" s="68">
        <f>ROUND(AF49*1%,0)</f>
        <v>4962</v>
      </c>
      <c r="AT49" s="418">
        <v>0</v>
      </c>
      <c r="AU49" s="418">
        <v>2768</v>
      </c>
      <c r="AV49" s="418">
        <f>AT49+AU49</f>
        <v>2768</v>
      </c>
      <c r="AW49" s="418">
        <f>AQ49+AR49+AS49+AV49</f>
        <v>671702</v>
      </c>
      <c r="AX49" s="419">
        <v>0</v>
      </c>
      <c r="AY49" s="419">
        <v>0</v>
      </c>
      <c r="AZ49" s="419">
        <v>0</v>
      </c>
      <c r="BA49" s="419">
        <v>0</v>
      </c>
      <c r="BB49" s="419">
        <v>1.5</v>
      </c>
      <c r="BC49" s="419">
        <v>0</v>
      </c>
      <c r="BD49" s="419">
        <v>0</v>
      </c>
      <c r="BE49" s="419">
        <v>0</v>
      </c>
      <c r="BF49" s="419">
        <f>AX49+AZ49+BA49+BC49+BD49</f>
        <v>0</v>
      </c>
      <c r="BG49" s="419">
        <f>AY49+BB49+BE49</f>
        <v>1.5</v>
      </c>
      <c r="BH49" s="421">
        <f>SUM(BF49:BG49)</f>
        <v>1.5</v>
      </c>
      <c r="BI49" s="780">
        <f>I49+AW49</f>
        <v>2022992</v>
      </c>
      <c r="BJ49" s="418">
        <f>J49+AF49</f>
        <v>1494448</v>
      </c>
      <c r="BK49" s="418">
        <f t="shared" si="56"/>
        <v>0</v>
      </c>
      <c r="BL49" s="418">
        <f t="shared" si="56"/>
        <v>1494448</v>
      </c>
      <c r="BM49" s="418">
        <f>M49+AN49</f>
        <v>0</v>
      </c>
      <c r="BN49" s="418">
        <f t="shared" si="57"/>
        <v>0</v>
      </c>
      <c r="BO49" s="418">
        <f t="shared" si="57"/>
        <v>0</v>
      </c>
      <c r="BP49" s="418">
        <f t="shared" si="58"/>
        <v>505124</v>
      </c>
      <c r="BQ49" s="418">
        <f t="shared" si="58"/>
        <v>14944</v>
      </c>
      <c r="BR49" s="418">
        <f>R49+AV49</f>
        <v>8476</v>
      </c>
      <c r="BS49" s="419">
        <f>S49+BH49</f>
        <v>4.4932999999999996</v>
      </c>
      <c r="BT49" s="419">
        <f t="shared" si="59"/>
        <v>0</v>
      </c>
      <c r="BU49" s="421">
        <f t="shared" si="59"/>
        <v>4.4932999999999996</v>
      </c>
      <c r="BV49" s="420"/>
      <c r="BW49" s="415"/>
      <c r="BX49" s="415"/>
      <c r="BY49" s="415"/>
      <c r="BZ49" s="415"/>
      <c r="CA49" s="510"/>
    </row>
    <row r="50" spans="1:79" ht="12.95" customHeight="1" x14ac:dyDescent="0.25">
      <c r="A50" s="273">
        <v>9</v>
      </c>
      <c r="B50" s="275">
        <v>4402</v>
      </c>
      <c r="C50" s="287">
        <v>600074021</v>
      </c>
      <c r="D50" s="275">
        <v>70695342</v>
      </c>
      <c r="E50" s="288" t="s">
        <v>322</v>
      </c>
      <c r="F50" s="291"/>
      <c r="G50" s="292"/>
      <c r="H50" s="292"/>
      <c r="I50" s="466">
        <v>14300047</v>
      </c>
      <c r="J50" s="463">
        <v>10572616</v>
      </c>
      <c r="K50" s="463">
        <v>8641531</v>
      </c>
      <c r="L50" s="463">
        <v>1931085</v>
      </c>
      <c r="M50" s="463">
        <v>0</v>
      </c>
      <c r="N50" s="463">
        <v>0</v>
      </c>
      <c r="O50" s="463">
        <v>0</v>
      </c>
      <c r="P50" s="463">
        <v>3573544</v>
      </c>
      <c r="Q50" s="463">
        <v>105726</v>
      </c>
      <c r="R50" s="463">
        <v>48161</v>
      </c>
      <c r="S50" s="464">
        <v>21.5685</v>
      </c>
      <c r="T50" s="464">
        <v>15.3416</v>
      </c>
      <c r="U50" s="534">
        <v>6.2269000000000005</v>
      </c>
      <c r="V50" s="466">
        <f t="shared" ref="V50:CA50" si="60">SUM(V47:V49)</f>
        <v>0</v>
      </c>
      <c r="W50" s="463">
        <f t="shared" si="60"/>
        <v>0</v>
      </c>
      <c r="X50" s="463">
        <f t="shared" si="60"/>
        <v>0</v>
      </c>
      <c r="Y50" s="463">
        <f t="shared" si="60"/>
        <v>0</v>
      </c>
      <c r="Z50" s="463">
        <f t="shared" si="60"/>
        <v>0</v>
      </c>
      <c r="AA50" s="463">
        <f t="shared" si="60"/>
        <v>496242</v>
      </c>
      <c r="AB50" s="463">
        <f t="shared" si="60"/>
        <v>0</v>
      </c>
      <c r="AC50" s="463">
        <f t="shared" si="60"/>
        <v>0</v>
      </c>
      <c r="AD50" s="463">
        <f t="shared" si="60"/>
        <v>0</v>
      </c>
      <c r="AE50" s="463">
        <f t="shared" si="60"/>
        <v>496242</v>
      </c>
      <c r="AF50" s="463">
        <f t="shared" si="60"/>
        <v>496242</v>
      </c>
      <c r="AG50" s="463">
        <f t="shared" si="60"/>
        <v>0</v>
      </c>
      <c r="AH50" s="463">
        <f t="shared" si="60"/>
        <v>0</v>
      </c>
      <c r="AI50" s="463">
        <f t="shared" si="60"/>
        <v>0</v>
      </c>
      <c r="AJ50" s="463">
        <f t="shared" si="60"/>
        <v>0</v>
      </c>
      <c r="AK50" s="463">
        <f t="shared" si="60"/>
        <v>0</v>
      </c>
      <c r="AL50" s="463">
        <f t="shared" si="60"/>
        <v>0</v>
      </c>
      <c r="AM50" s="463">
        <f t="shared" si="60"/>
        <v>0</v>
      </c>
      <c r="AN50" s="463">
        <f t="shared" si="60"/>
        <v>0</v>
      </c>
      <c r="AO50" s="463">
        <f t="shared" si="60"/>
        <v>0</v>
      </c>
      <c r="AP50" s="463">
        <f t="shared" si="60"/>
        <v>496242</v>
      </c>
      <c r="AQ50" s="463">
        <f t="shared" si="60"/>
        <v>496242</v>
      </c>
      <c r="AR50" s="463">
        <f t="shared" si="60"/>
        <v>167730</v>
      </c>
      <c r="AS50" s="463">
        <f t="shared" si="60"/>
        <v>4962</v>
      </c>
      <c r="AT50" s="463">
        <f t="shared" si="60"/>
        <v>0</v>
      </c>
      <c r="AU50" s="463">
        <f t="shared" si="60"/>
        <v>2768</v>
      </c>
      <c r="AV50" s="463">
        <f t="shared" si="60"/>
        <v>2768</v>
      </c>
      <c r="AW50" s="463">
        <f t="shared" si="60"/>
        <v>671702</v>
      </c>
      <c r="AX50" s="464">
        <f t="shared" si="60"/>
        <v>0</v>
      </c>
      <c r="AY50" s="464">
        <f t="shared" si="60"/>
        <v>0</v>
      </c>
      <c r="AZ50" s="464">
        <f t="shared" si="60"/>
        <v>0</v>
      </c>
      <c r="BA50" s="464">
        <f t="shared" si="60"/>
        <v>0</v>
      </c>
      <c r="BB50" s="464">
        <f t="shared" ref="BB50" si="61">SUM(BB47:BB49)</f>
        <v>1.5</v>
      </c>
      <c r="BC50" s="464">
        <f t="shared" si="60"/>
        <v>0</v>
      </c>
      <c r="BD50" s="464">
        <f t="shared" si="60"/>
        <v>0</v>
      </c>
      <c r="BE50" s="464">
        <f t="shared" ref="BE50" si="62">SUM(BE47:BE49)</f>
        <v>0</v>
      </c>
      <c r="BF50" s="464">
        <f t="shared" si="60"/>
        <v>0</v>
      </c>
      <c r="BG50" s="464">
        <f t="shared" si="60"/>
        <v>1.5</v>
      </c>
      <c r="BH50" s="290">
        <f t="shared" si="60"/>
        <v>1.5</v>
      </c>
      <c r="BI50" s="787">
        <f t="shared" si="60"/>
        <v>14971749</v>
      </c>
      <c r="BJ50" s="463">
        <f t="shared" si="60"/>
        <v>11068858</v>
      </c>
      <c r="BK50" s="463">
        <f t="shared" si="60"/>
        <v>8641531</v>
      </c>
      <c r="BL50" s="463">
        <f t="shared" si="60"/>
        <v>2427327</v>
      </c>
      <c r="BM50" s="463">
        <f t="shared" si="60"/>
        <v>0</v>
      </c>
      <c r="BN50" s="463">
        <f t="shared" si="60"/>
        <v>0</v>
      </c>
      <c r="BO50" s="463">
        <f t="shared" si="60"/>
        <v>0</v>
      </c>
      <c r="BP50" s="463">
        <f t="shared" si="60"/>
        <v>3741274</v>
      </c>
      <c r="BQ50" s="463">
        <f t="shared" si="60"/>
        <v>110688</v>
      </c>
      <c r="BR50" s="463">
        <f t="shared" si="60"/>
        <v>50929</v>
      </c>
      <c r="BS50" s="464">
        <f t="shared" si="60"/>
        <v>23.0685</v>
      </c>
      <c r="BT50" s="464">
        <f t="shared" si="60"/>
        <v>15.3416</v>
      </c>
      <c r="BU50" s="290">
        <f t="shared" si="60"/>
        <v>7.7268999999999997</v>
      </c>
      <c r="BV50" s="852">
        <f t="shared" si="60"/>
        <v>0</v>
      </c>
      <c r="BW50" s="722">
        <f t="shared" si="60"/>
        <v>0</v>
      </c>
      <c r="BX50" s="722">
        <f t="shared" si="60"/>
        <v>0</v>
      </c>
      <c r="BY50" s="722">
        <f t="shared" si="60"/>
        <v>0</v>
      </c>
      <c r="BZ50" s="722">
        <f t="shared" si="60"/>
        <v>0</v>
      </c>
      <c r="CA50" s="853">
        <f t="shared" si="60"/>
        <v>0</v>
      </c>
    </row>
    <row r="51" spans="1:79" ht="12.95" customHeight="1" x14ac:dyDescent="0.25">
      <c r="A51" s="280">
        <v>10</v>
      </c>
      <c r="B51" s="281">
        <v>4481</v>
      </c>
      <c r="C51" s="281">
        <v>600074722</v>
      </c>
      <c r="D51" s="281">
        <v>70942692</v>
      </c>
      <c r="E51" s="283" t="s">
        <v>323</v>
      </c>
      <c r="F51" s="281">
        <v>3113</v>
      </c>
      <c r="G51" s="284" t="s">
        <v>324</v>
      </c>
      <c r="H51" s="284" t="s">
        <v>271</v>
      </c>
      <c r="I51" s="565">
        <v>26424378</v>
      </c>
      <c r="J51" s="415">
        <v>19350568</v>
      </c>
      <c r="K51" s="415">
        <v>17844229</v>
      </c>
      <c r="L51" s="415">
        <v>1506339</v>
      </c>
      <c r="M51" s="415">
        <v>0</v>
      </c>
      <c r="N51" s="415">
        <v>0</v>
      </c>
      <c r="O51" s="415">
        <v>0</v>
      </c>
      <c r="P51" s="68">
        <v>6540492</v>
      </c>
      <c r="Q51" s="68">
        <v>193506</v>
      </c>
      <c r="R51" s="415">
        <v>339812</v>
      </c>
      <c r="S51" s="416">
        <v>29.3858</v>
      </c>
      <c r="T51" s="417">
        <v>24.899699999999999</v>
      </c>
      <c r="U51" s="770">
        <v>4.4861000000000004</v>
      </c>
      <c r="V51" s="424">
        <f t="shared" ref="V51:W55" si="63">AG51*-1</f>
        <v>0</v>
      </c>
      <c r="W51" s="418">
        <f t="shared" si="63"/>
        <v>0</v>
      </c>
      <c r="X51" s="418">
        <v>0</v>
      </c>
      <c r="Y51" s="418">
        <v>0</v>
      </c>
      <c r="Z51" s="418">
        <v>0</v>
      </c>
      <c r="AA51" s="418">
        <v>0</v>
      </c>
      <c r="AB51" s="418">
        <v>0</v>
      </c>
      <c r="AC51" s="418">
        <v>0</v>
      </c>
      <c r="AD51" s="418">
        <f>V51+X51+Y51+Z51+AB51</f>
        <v>0</v>
      </c>
      <c r="AE51" s="418">
        <f>W51+AA51+AC51</f>
        <v>0</v>
      </c>
      <c r="AF51" s="418">
        <f>SUM(AD51:AE51)</f>
        <v>0</v>
      </c>
      <c r="AG51" s="418">
        <v>0</v>
      </c>
      <c r="AH51" s="418">
        <v>0</v>
      </c>
      <c r="AI51" s="418">
        <v>0</v>
      </c>
      <c r="AJ51" s="418">
        <v>0</v>
      </c>
      <c r="AK51" s="418">
        <v>0</v>
      </c>
      <c r="AL51" s="418">
        <f>AG51+AI51+AJ51</f>
        <v>0</v>
      </c>
      <c r="AM51" s="418">
        <f>AH51+AK51</f>
        <v>0</v>
      </c>
      <c r="AN51" s="418">
        <f>SUM(AL51:AM51)</f>
        <v>0</v>
      </c>
      <c r="AO51" s="418">
        <f t="shared" ref="AO51:AP55" si="64">AD51+AL51</f>
        <v>0</v>
      </c>
      <c r="AP51" s="418">
        <f t="shared" si="64"/>
        <v>0</v>
      </c>
      <c r="AQ51" s="418">
        <f>SUM(AO51:AP51)</f>
        <v>0</v>
      </c>
      <c r="AR51" s="68">
        <f>ROUND((AF51+AG51+AH51+AI51)*33.8%,0)</f>
        <v>0</v>
      </c>
      <c r="AS51" s="68">
        <f>ROUND(AF51*1%,0)</f>
        <v>0</v>
      </c>
      <c r="AT51" s="418">
        <v>0</v>
      </c>
      <c r="AU51" s="418">
        <v>0</v>
      </c>
      <c r="AV51" s="418">
        <f>AT51+AU51</f>
        <v>0</v>
      </c>
      <c r="AW51" s="418">
        <f>AQ51+AR51+AS51+AV51</f>
        <v>0</v>
      </c>
      <c r="AX51" s="419">
        <v>0</v>
      </c>
      <c r="AY51" s="419">
        <v>0</v>
      </c>
      <c r="AZ51" s="419">
        <v>0</v>
      </c>
      <c r="BA51" s="419">
        <v>0</v>
      </c>
      <c r="BB51" s="419">
        <v>0</v>
      </c>
      <c r="BC51" s="419">
        <v>0</v>
      </c>
      <c r="BD51" s="419">
        <v>0</v>
      </c>
      <c r="BE51" s="419">
        <v>0</v>
      </c>
      <c r="BF51" s="419">
        <f>AX51+AZ51+BA51+BC51+BD51</f>
        <v>0</v>
      </c>
      <c r="BG51" s="419">
        <f>AY51+BB51+BE51</f>
        <v>0</v>
      </c>
      <c r="BH51" s="421">
        <f>SUM(BF51:BG51)</f>
        <v>0</v>
      </c>
      <c r="BI51" s="780">
        <f>I51+AW51</f>
        <v>26424378</v>
      </c>
      <c r="BJ51" s="418">
        <f>J51+AF51</f>
        <v>19350568</v>
      </c>
      <c r="BK51" s="418">
        <f t="shared" ref="BK51:BL55" si="65">K51+AD51</f>
        <v>17844229</v>
      </c>
      <c r="BL51" s="418">
        <f t="shared" si="65"/>
        <v>1506339</v>
      </c>
      <c r="BM51" s="418">
        <f>M51+AN51</f>
        <v>0</v>
      </c>
      <c r="BN51" s="418">
        <f t="shared" ref="BN51:BO55" si="66">N51+AL51</f>
        <v>0</v>
      </c>
      <c r="BO51" s="418">
        <f t="shared" si="66"/>
        <v>0</v>
      </c>
      <c r="BP51" s="418">
        <f t="shared" ref="BP51:BQ55" si="67">P51+AR51</f>
        <v>6540492</v>
      </c>
      <c r="BQ51" s="418">
        <f t="shared" si="67"/>
        <v>193506</v>
      </c>
      <c r="BR51" s="418">
        <f>R51+AV51</f>
        <v>339812</v>
      </c>
      <c r="BS51" s="419">
        <f>S51+BH51</f>
        <v>29.3858</v>
      </c>
      <c r="BT51" s="419">
        <f t="shared" ref="BT51:BU55" si="68">T51+BF51</f>
        <v>24.899699999999999</v>
      </c>
      <c r="BU51" s="421">
        <f t="shared" si="68"/>
        <v>4.4861000000000004</v>
      </c>
      <c r="BV51" s="420">
        <v>304109</v>
      </c>
      <c r="BW51" s="415">
        <v>225600</v>
      </c>
      <c r="BX51" s="415">
        <v>0</v>
      </c>
      <c r="BY51" s="415">
        <v>76253</v>
      </c>
      <c r="BZ51" s="415">
        <v>2256</v>
      </c>
      <c r="CA51" s="510">
        <v>0.4</v>
      </c>
    </row>
    <row r="52" spans="1:79" ht="12.95" customHeight="1" x14ac:dyDescent="0.25">
      <c r="A52" s="280">
        <v>10</v>
      </c>
      <c r="B52" s="281">
        <v>4481</v>
      </c>
      <c r="C52" s="281">
        <v>600074722</v>
      </c>
      <c r="D52" s="281">
        <v>70942692</v>
      </c>
      <c r="E52" s="283" t="s">
        <v>325</v>
      </c>
      <c r="F52" s="281">
        <v>3113</v>
      </c>
      <c r="G52" s="284" t="s">
        <v>298</v>
      </c>
      <c r="H52" s="284" t="s">
        <v>272</v>
      </c>
      <c r="I52" s="565">
        <v>3112142</v>
      </c>
      <c r="J52" s="415">
        <v>2307227</v>
      </c>
      <c r="K52" s="415">
        <v>2307227</v>
      </c>
      <c r="L52" s="415">
        <v>0</v>
      </c>
      <c r="M52" s="415">
        <v>0</v>
      </c>
      <c r="N52" s="415">
        <v>0</v>
      </c>
      <c r="O52" s="415">
        <v>0</v>
      </c>
      <c r="P52" s="68">
        <v>779843</v>
      </c>
      <c r="Q52" s="68">
        <v>23072</v>
      </c>
      <c r="R52" s="415">
        <v>2000</v>
      </c>
      <c r="S52" s="416">
        <v>6.2299999999999995</v>
      </c>
      <c r="T52" s="417">
        <v>6.2299999999999995</v>
      </c>
      <c r="U52" s="770">
        <v>0</v>
      </c>
      <c r="V52" s="424">
        <f t="shared" si="63"/>
        <v>0</v>
      </c>
      <c r="W52" s="418">
        <f t="shared" si="63"/>
        <v>0</v>
      </c>
      <c r="X52" s="418">
        <v>-92701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-92701</v>
      </c>
      <c r="AE52" s="418">
        <f>W52+AA52+AC52</f>
        <v>0</v>
      </c>
      <c r="AF52" s="418">
        <f>SUM(AD52:AE52)</f>
        <v>-92701</v>
      </c>
      <c r="AG52" s="418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 t="shared" si="64"/>
        <v>-92701</v>
      </c>
      <c r="AP52" s="418">
        <f t="shared" si="64"/>
        <v>0</v>
      </c>
      <c r="AQ52" s="418">
        <f>SUM(AO52:AP52)</f>
        <v>-92701</v>
      </c>
      <c r="AR52" s="68">
        <f>ROUND((AF52+AG52+AH52+AI52)*33.8%,0)</f>
        <v>-31333</v>
      </c>
      <c r="AS52" s="68">
        <f>ROUND(AF52*1%,0)</f>
        <v>-927</v>
      </c>
      <c r="AT52" s="418">
        <v>2500</v>
      </c>
      <c r="AU52" s="418">
        <v>0</v>
      </c>
      <c r="AV52" s="418">
        <f>AT52+AU52</f>
        <v>2500</v>
      </c>
      <c r="AW52" s="418">
        <f>AQ52+AR52+AS52+AV52</f>
        <v>-122461</v>
      </c>
      <c r="AX52" s="419">
        <v>0</v>
      </c>
      <c r="AY52" s="419">
        <v>0</v>
      </c>
      <c r="AZ52" s="419">
        <v>-0.25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-0.25</v>
      </c>
      <c r="BG52" s="419">
        <f>AY52+BB52+BE52</f>
        <v>0</v>
      </c>
      <c r="BH52" s="421">
        <f>SUM(BF52:BG52)</f>
        <v>-0.25</v>
      </c>
      <c r="BI52" s="780">
        <f>I52+AW52</f>
        <v>2989681</v>
      </c>
      <c r="BJ52" s="418">
        <f>J52+AF52</f>
        <v>2214526</v>
      </c>
      <c r="BK52" s="418">
        <f t="shared" si="65"/>
        <v>2214526</v>
      </c>
      <c r="BL52" s="418">
        <f t="shared" si="65"/>
        <v>0</v>
      </c>
      <c r="BM52" s="418">
        <f>M52+AN52</f>
        <v>0</v>
      </c>
      <c r="BN52" s="418">
        <f t="shared" si="66"/>
        <v>0</v>
      </c>
      <c r="BO52" s="418">
        <f t="shared" si="66"/>
        <v>0</v>
      </c>
      <c r="BP52" s="418">
        <f t="shared" si="67"/>
        <v>748510</v>
      </c>
      <c r="BQ52" s="418">
        <f t="shared" si="67"/>
        <v>22145</v>
      </c>
      <c r="BR52" s="418">
        <f>R52+AV52</f>
        <v>4500</v>
      </c>
      <c r="BS52" s="419">
        <f>S52+BH52</f>
        <v>5.9799999999999995</v>
      </c>
      <c r="BT52" s="419">
        <f t="shared" si="68"/>
        <v>5.9799999999999995</v>
      </c>
      <c r="BU52" s="421">
        <f t="shared" si="68"/>
        <v>0</v>
      </c>
      <c r="BV52" s="420"/>
      <c r="BW52" s="415"/>
      <c r="BX52" s="415"/>
      <c r="BY52" s="415"/>
      <c r="BZ52" s="415"/>
      <c r="CA52" s="510"/>
    </row>
    <row r="53" spans="1:79" ht="12.95" customHeight="1" x14ac:dyDescent="0.25">
      <c r="A53" s="280">
        <v>10</v>
      </c>
      <c r="B53" s="281">
        <v>4481</v>
      </c>
      <c r="C53" s="281">
        <v>600074722</v>
      </c>
      <c r="D53" s="281">
        <v>70942692</v>
      </c>
      <c r="E53" s="283" t="s">
        <v>325</v>
      </c>
      <c r="F53" s="281">
        <v>3141</v>
      </c>
      <c r="G53" s="284" t="s">
        <v>294</v>
      </c>
      <c r="H53" s="284" t="s">
        <v>272</v>
      </c>
      <c r="I53" s="565">
        <v>1155977</v>
      </c>
      <c r="J53" s="415">
        <v>851474</v>
      </c>
      <c r="K53" s="415">
        <v>0</v>
      </c>
      <c r="L53" s="415">
        <v>851474</v>
      </c>
      <c r="M53" s="415">
        <v>0</v>
      </c>
      <c r="N53" s="415">
        <v>0</v>
      </c>
      <c r="O53" s="415">
        <v>0</v>
      </c>
      <c r="P53" s="68">
        <v>287798</v>
      </c>
      <c r="Q53" s="68">
        <v>8515</v>
      </c>
      <c r="R53" s="415">
        <v>8190</v>
      </c>
      <c r="S53" s="416">
        <v>2.5533000000000001</v>
      </c>
      <c r="T53" s="417">
        <v>0</v>
      </c>
      <c r="U53" s="770">
        <v>2.5533000000000001</v>
      </c>
      <c r="V53" s="424">
        <f t="shared" si="63"/>
        <v>0</v>
      </c>
      <c r="W53" s="418">
        <f t="shared" si="63"/>
        <v>0</v>
      </c>
      <c r="X53" s="418">
        <v>0</v>
      </c>
      <c r="Y53" s="418">
        <v>0</v>
      </c>
      <c r="Z53" s="418">
        <v>0</v>
      </c>
      <c r="AA53" s="418">
        <v>426336</v>
      </c>
      <c r="AB53" s="418">
        <v>0</v>
      </c>
      <c r="AC53" s="418">
        <v>0</v>
      </c>
      <c r="AD53" s="418">
        <f>V53+X53+Y53+Z53+AB53</f>
        <v>0</v>
      </c>
      <c r="AE53" s="418">
        <f>W53+AA53+AC53</f>
        <v>426336</v>
      </c>
      <c r="AF53" s="418">
        <f>SUM(AD53:AE53)</f>
        <v>426336</v>
      </c>
      <c r="AG53" s="418">
        <v>0</v>
      </c>
      <c r="AH53" s="418">
        <v>0</v>
      </c>
      <c r="AI53" s="418">
        <v>0</v>
      </c>
      <c r="AJ53" s="418">
        <v>0</v>
      </c>
      <c r="AK53" s="418">
        <v>0</v>
      </c>
      <c r="AL53" s="418">
        <f>AG53+AI53+AJ53</f>
        <v>0</v>
      </c>
      <c r="AM53" s="418">
        <f>AH53+AK53</f>
        <v>0</v>
      </c>
      <c r="AN53" s="418">
        <f>SUM(AL53:AM53)</f>
        <v>0</v>
      </c>
      <c r="AO53" s="418">
        <f t="shared" si="64"/>
        <v>0</v>
      </c>
      <c r="AP53" s="418">
        <f t="shared" si="64"/>
        <v>426336</v>
      </c>
      <c r="AQ53" s="418">
        <f>SUM(AO53:AP53)</f>
        <v>426336</v>
      </c>
      <c r="AR53" s="68">
        <f>ROUND((AF53+AG53+AH53+AI53)*33.8%,0)</f>
        <v>144102</v>
      </c>
      <c r="AS53" s="68">
        <f>ROUND(AF53*1%,0)</f>
        <v>4263</v>
      </c>
      <c r="AT53" s="418">
        <v>0</v>
      </c>
      <c r="AU53" s="418">
        <v>3978</v>
      </c>
      <c r="AV53" s="418">
        <f>AT53+AU53</f>
        <v>3978</v>
      </c>
      <c r="AW53" s="418">
        <f>AQ53+AR53+AS53+AV53</f>
        <v>578679</v>
      </c>
      <c r="AX53" s="419">
        <v>0</v>
      </c>
      <c r="AY53" s="419">
        <v>0</v>
      </c>
      <c r="AZ53" s="419">
        <v>0</v>
      </c>
      <c r="BA53" s="419">
        <v>0</v>
      </c>
      <c r="BB53" s="419">
        <v>1.28</v>
      </c>
      <c r="BC53" s="419">
        <v>0</v>
      </c>
      <c r="BD53" s="419">
        <v>0</v>
      </c>
      <c r="BE53" s="419">
        <v>0</v>
      </c>
      <c r="BF53" s="419">
        <f>AX53+AZ53+BA53+BC53+BD53</f>
        <v>0</v>
      </c>
      <c r="BG53" s="419">
        <f>AY53+BB53+BE53</f>
        <v>1.28</v>
      </c>
      <c r="BH53" s="421">
        <f>SUM(BF53:BG53)</f>
        <v>1.28</v>
      </c>
      <c r="BI53" s="780">
        <f>I53+AW53</f>
        <v>1734656</v>
      </c>
      <c r="BJ53" s="418">
        <f>J53+AF53</f>
        <v>1277810</v>
      </c>
      <c r="BK53" s="418">
        <f t="shared" si="65"/>
        <v>0</v>
      </c>
      <c r="BL53" s="418">
        <f t="shared" si="65"/>
        <v>1277810</v>
      </c>
      <c r="BM53" s="418">
        <f>M53+AN53</f>
        <v>0</v>
      </c>
      <c r="BN53" s="418">
        <f t="shared" si="66"/>
        <v>0</v>
      </c>
      <c r="BO53" s="418">
        <f t="shared" si="66"/>
        <v>0</v>
      </c>
      <c r="BP53" s="418">
        <f t="shared" si="67"/>
        <v>431900</v>
      </c>
      <c r="BQ53" s="418">
        <f t="shared" si="67"/>
        <v>12778</v>
      </c>
      <c r="BR53" s="418">
        <f>R53+AV53</f>
        <v>12168</v>
      </c>
      <c r="BS53" s="419">
        <f>S53+BH53</f>
        <v>3.8333000000000004</v>
      </c>
      <c r="BT53" s="419">
        <f t="shared" si="68"/>
        <v>0</v>
      </c>
      <c r="BU53" s="421">
        <f t="shared" si="68"/>
        <v>3.8333000000000004</v>
      </c>
      <c r="BV53" s="420"/>
      <c r="BW53" s="415"/>
      <c r="BX53" s="415"/>
      <c r="BY53" s="415"/>
      <c r="BZ53" s="415"/>
      <c r="CA53" s="510"/>
    </row>
    <row r="54" spans="1:79" ht="12.95" customHeight="1" x14ac:dyDescent="0.25">
      <c r="A54" s="280">
        <v>10</v>
      </c>
      <c r="B54" s="281">
        <v>4481</v>
      </c>
      <c r="C54" s="281">
        <v>600074722</v>
      </c>
      <c r="D54" s="281">
        <v>70942692</v>
      </c>
      <c r="E54" s="283" t="s">
        <v>325</v>
      </c>
      <c r="F54" s="281">
        <v>3143</v>
      </c>
      <c r="G54" s="284" t="s">
        <v>595</v>
      </c>
      <c r="H54" s="284" t="s">
        <v>271</v>
      </c>
      <c r="I54" s="565">
        <v>1822073</v>
      </c>
      <c r="J54" s="415">
        <v>1351686</v>
      </c>
      <c r="K54" s="415">
        <v>1351686</v>
      </c>
      <c r="L54" s="415">
        <v>0</v>
      </c>
      <c r="M54" s="415">
        <v>0</v>
      </c>
      <c r="N54" s="415">
        <v>0</v>
      </c>
      <c r="O54" s="415">
        <v>0</v>
      </c>
      <c r="P54" s="68">
        <v>456870</v>
      </c>
      <c r="Q54" s="68">
        <v>13517</v>
      </c>
      <c r="R54" s="415">
        <v>0</v>
      </c>
      <c r="S54" s="416">
        <v>2.5714000000000001</v>
      </c>
      <c r="T54" s="417">
        <v>2.5714000000000001</v>
      </c>
      <c r="U54" s="770">
        <v>0</v>
      </c>
      <c r="V54" s="424">
        <f t="shared" si="63"/>
        <v>0</v>
      </c>
      <c r="W54" s="418">
        <f t="shared" si="63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>V54+X54+Y54+Z54+AB54</f>
        <v>0</v>
      </c>
      <c r="AE54" s="418">
        <f>W54+AA54+AC54</f>
        <v>0</v>
      </c>
      <c r="AF54" s="418">
        <f>SUM(AD54:AE54)</f>
        <v>0</v>
      </c>
      <c r="AG54" s="418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>AG54+AI54+AJ54</f>
        <v>0</v>
      </c>
      <c r="AM54" s="418">
        <f>AH54+AK54</f>
        <v>0</v>
      </c>
      <c r="AN54" s="418">
        <f>SUM(AL54:AM54)</f>
        <v>0</v>
      </c>
      <c r="AO54" s="418">
        <f t="shared" si="64"/>
        <v>0</v>
      </c>
      <c r="AP54" s="418">
        <f t="shared" si="64"/>
        <v>0</v>
      </c>
      <c r="AQ54" s="418">
        <f>SUM(AO54:AP54)</f>
        <v>0</v>
      </c>
      <c r="AR54" s="68">
        <f>ROUND((AF54+AG54+AH54+AI54)*33.8%,0)</f>
        <v>0</v>
      </c>
      <c r="AS54" s="68">
        <f>ROUND(AF54*1%,0)</f>
        <v>0</v>
      </c>
      <c r="AT54" s="418">
        <v>0</v>
      </c>
      <c r="AU54" s="418">
        <v>0</v>
      </c>
      <c r="AV54" s="418">
        <f>AT54+AU54</f>
        <v>0</v>
      </c>
      <c r="AW54" s="418">
        <f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>AX54+AZ54+BA54+BC54+BD54</f>
        <v>0</v>
      </c>
      <c r="BG54" s="419">
        <f>AY54+BB54+BE54</f>
        <v>0</v>
      </c>
      <c r="BH54" s="421">
        <f>SUM(BF54:BG54)</f>
        <v>0</v>
      </c>
      <c r="BI54" s="780">
        <f>I54+AW54</f>
        <v>1822073</v>
      </c>
      <c r="BJ54" s="418">
        <f>J54+AF54</f>
        <v>1351686</v>
      </c>
      <c r="BK54" s="418">
        <f t="shared" si="65"/>
        <v>1351686</v>
      </c>
      <c r="BL54" s="418">
        <f t="shared" si="65"/>
        <v>0</v>
      </c>
      <c r="BM54" s="418">
        <f>M54+AN54</f>
        <v>0</v>
      </c>
      <c r="BN54" s="418">
        <f t="shared" si="66"/>
        <v>0</v>
      </c>
      <c r="BO54" s="418">
        <f t="shared" si="66"/>
        <v>0</v>
      </c>
      <c r="BP54" s="418">
        <f t="shared" si="67"/>
        <v>456870</v>
      </c>
      <c r="BQ54" s="418">
        <f t="shared" si="67"/>
        <v>13517</v>
      </c>
      <c r="BR54" s="418">
        <f>R54+AV54</f>
        <v>0</v>
      </c>
      <c r="BS54" s="419">
        <f>S54+BH54</f>
        <v>2.5714000000000001</v>
      </c>
      <c r="BT54" s="419">
        <f t="shared" si="68"/>
        <v>2.5714000000000001</v>
      </c>
      <c r="BU54" s="421">
        <f t="shared" si="68"/>
        <v>0</v>
      </c>
      <c r="BV54" s="420"/>
      <c r="BW54" s="415"/>
      <c r="BX54" s="415"/>
      <c r="BY54" s="415"/>
      <c r="BZ54" s="415"/>
      <c r="CA54" s="510"/>
    </row>
    <row r="55" spans="1:79" ht="12.95" customHeight="1" x14ac:dyDescent="0.25">
      <c r="A55" s="280">
        <v>10</v>
      </c>
      <c r="B55" s="281">
        <v>4481</v>
      </c>
      <c r="C55" s="281">
        <v>600074722</v>
      </c>
      <c r="D55" s="281">
        <v>70942692</v>
      </c>
      <c r="E55" s="283" t="s">
        <v>325</v>
      </c>
      <c r="F55" s="281">
        <v>3143</v>
      </c>
      <c r="G55" s="284" t="s">
        <v>596</v>
      </c>
      <c r="H55" s="284" t="s">
        <v>272</v>
      </c>
      <c r="I55" s="565">
        <v>44039</v>
      </c>
      <c r="J55" s="415">
        <v>31522</v>
      </c>
      <c r="K55" s="415">
        <v>0</v>
      </c>
      <c r="L55" s="415">
        <v>31522</v>
      </c>
      <c r="M55" s="415">
        <v>0</v>
      </c>
      <c r="N55" s="415">
        <v>0</v>
      </c>
      <c r="O55" s="415">
        <v>0</v>
      </c>
      <c r="P55" s="68">
        <v>10654</v>
      </c>
      <c r="Q55" s="68">
        <v>315</v>
      </c>
      <c r="R55" s="415">
        <v>1548</v>
      </c>
      <c r="S55" s="416">
        <v>0.11940000000000001</v>
      </c>
      <c r="T55" s="417">
        <v>0</v>
      </c>
      <c r="U55" s="770">
        <v>0.11940000000000001</v>
      </c>
      <c r="V55" s="424">
        <f t="shared" si="63"/>
        <v>0</v>
      </c>
      <c r="W55" s="418">
        <f t="shared" si="63"/>
        <v>0</v>
      </c>
      <c r="X55" s="418">
        <v>0</v>
      </c>
      <c r="Y55" s="418">
        <v>0</v>
      </c>
      <c r="Z55" s="418">
        <v>0</v>
      </c>
      <c r="AA55" s="418">
        <v>15778</v>
      </c>
      <c r="AB55" s="418">
        <v>0</v>
      </c>
      <c r="AC55" s="418">
        <v>0</v>
      </c>
      <c r="AD55" s="418">
        <f>V55+X55+Y55+Z55+AB55</f>
        <v>0</v>
      </c>
      <c r="AE55" s="418">
        <f>W55+AA55+AC55</f>
        <v>15778</v>
      </c>
      <c r="AF55" s="418">
        <f>SUM(AD55:AE55)</f>
        <v>15778</v>
      </c>
      <c r="AG55" s="418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>AG55+AI55+AJ55</f>
        <v>0</v>
      </c>
      <c r="AM55" s="418">
        <f>AH55+AK55</f>
        <v>0</v>
      </c>
      <c r="AN55" s="418">
        <f>SUM(AL55:AM55)</f>
        <v>0</v>
      </c>
      <c r="AO55" s="418">
        <f t="shared" si="64"/>
        <v>0</v>
      </c>
      <c r="AP55" s="418">
        <f t="shared" si="64"/>
        <v>15778</v>
      </c>
      <c r="AQ55" s="418">
        <f>SUM(AO55:AP55)</f>
        <v>15778</v>
      </c>
      <c r="AR55" s="68">
        <f>ROUND((AF55+AG55+AH55+AI55)*33.8%,0)</f>
        <v>5333</v>
      </c>
      <c r="AS55" s="68">
        <f>ROUND(AF55*1%,0)</f>
        <v>158</v>
      </c>
      <c r="AT55" s="418">
        <v>0</v>
      </c>
      <c r="AU55" s="418">
        <v>774</v>
      </c>
      <c r="AV55" s="418">
        <f>AT55+AU55</f>
        <v>774</v>
      </c>
      <c r="AW55" s="418">
        <f>AQ55+AR55+AS55+AV55</f>
        <v>22043</v>
      </c>
      <c r="AX55" s="419">
        <v>0</v>
      </c>
      <c r="AY55" s="419">
        <v>0</v>
      </c>
      <c r="AZ55" s="419">
        <v>0</v>
      </c>
      <c r="BA55" s="419">
        <v>0</v>
      </c>
      <c r="BB55" s="419">
        <v>0.06</v>
      </c>
      <c r="BC55" s="419">
        <v>0</v>
      </c>
      <c r="BD55" s="419">
        <v>0</v>
      </c>
      <c r="BE55" s="419">
        <v>0</v>
      </c>
      <c r="BF55" s="419">
        <f>AX55+AZ55+BA55+BC55+BD55</f>
        <v>0</v>
      </c>
      <c r="BG55" s="419">
        <f>AY55+BB55+BE55</f>
        <v>0.06</v>
      </c>
      <c r="BH55" s="421">
        <f>SUM(BF55:BG55)</f>
        <v>0.06</v>
      </c>
      <c r="BI55" s="780">
        <f>I55+AW55</f>
        <v>66082</v>
      </c>
      <c r="BJ55" s="418">
        <f>J55+AF55</f>
        <v>47300</v>
      </c>
      <c r="BK55" s="418">
        <f t="shared" si="65"/>
        <v>0</v>
      </c>
      <c r="BL55" s="418">
        <f t="shared" si="65"/>
        <v>47300</v>
      </c>
      <c r="BM55" s="418">
        <f>M55+AN55</f>
        <v>0</v>
      </c>
      <c r="BN55" s="418">
        <f t="shared" si="66"/>
        <v>0</v>
      </c>
      <c r="BO55" s="418">
        <f t="shared" si="66"/>
        <v>0</v>
      </c>
      <c r="BP55" s="418">
        <f t="shared" si="67"/>
        <v>15987</v>
      </c>
      <c r="BQ55" s="418">
        <f t="shared" si="67"/>
        <v>473</v>
      </c>
      <c r="BR55" s="418">
        <f>R55+AV55</f>
        <v>2322</v>
      </c>
      <c r="BS55" s="419">
        <f>S55+BH55</f>
        <v>0.1794</v>
      </c>
      <c r="BT55" s="419">
        <f t="shared" si="68"/>
        <v>0</v>
      </c>
      <c r="BU55" s="421">
        <f t="shared" si="68"/>
        <v>0.1794</v>
      </c>
      <c r="BV55" s="420"/>
      <c r="BW55" s="415"/>
      <c r="BX55" s="415"/>
      <c r="BY55" s="415"/>
      <c r="BZ55" s="415"/>
      <c r="CA55" s="510"/>
    </row>
    <row r="56" spans="1:79" ht="12.95" customHeight="1" x14ac:dyDescent="0.25">
      <c r="A56" s="273">
        <v>10</v>
      </c>
      <c r="B56" s="275">
        <v>4481</v>
      </c>
      <c r="C56" s="275">
        <v>600074722</v>
      </c>
      <c r="D56" s="275">
        <v>70942692</v>
      </c>
      <c r="E56" s="288" t="s">
        <v>326</v>
      </c>
      <c r="F56" s="291"/>
      <c r="G56" s="292"/>
      <c r="H56" s="292"/>
      <c r="I56" s="466">
        <v>32558609</v>
      </c>
      <c r="J56" s="463">
        <v>23892477</v>
      </c>
      <c r="K56" s="463">
        <v>21503142</v>
      </c>
      <c r="L56" s="463">
        <v>2389335</v>
      </c>
      <c r="M56" s="463">
        <v>0</v>
      </c>
      <c r="N56" s="463">
        <v>0</v>
      </c>
      <c r="O56" s="463">
        <v>0</v>
      </c>
      <c r="P56" s="463">
        <v>8075657</v>
      </c>
      <c r="Q56" s="463">
        <v>238925</v>
      </c>
      <c r="R56" s="463">
        <v>351550</v>
      </c>
      <c r="S56" s="464">
        <v>40.859899999999996</v>
      </c>
      <c r="T56" s="464">
        <v>33.701099999999997</v>
      </c>
      <c r="U56" s="534">
        <v>7.1588000000000003</v>
      </c>
      <c r="V56" s="466">
        <f t="shared" ref="V56:CA56" si="69">SUM(V51:V55)</f>
        <v>0</v>
      </c>
      <c r="W56" s="463">
        <f t="shared" si="69"/>
        <v>0</v>
      </c>
      <c r="X56" s="463">
        <f t="shared" si="69"/>
        <v>-92701</v>
      </c>
      <c r="Y56" s="463">
        <f t="shared" si="69"/>
        <v>0</v>
      </c>
      <c r="Z56" s="463">
        <f t="shared" si="69"/>
        <v>0</v>
      </c>
      <c r="AA56" s="463">
        <f t="shared" si="69"/>
        <v>442114</v>
      </c>
      <c r="AB56" s="463">
        <f t="shared" si="69"/>
        <v>0</v>
      </c>
      <c r="AC56" s="463">
        <f t="shared" si="69"/>
        <v>0</v>
      </c>
      <c r="AD56" s="463">
        <f t="shared" si="69"/>
        <v>-92701</v>
      </c>
      <c r="AE56" s="463">
        <f t="shared" si="69"/>
        <v>442114</v>
      </c>
      <c r="AF56" s="463">
        <f t="shared" si="69"/>
        <v>349413</v>
      </c>
      <c r="AG56" s="463">
        <f t="shared" si="69"/>
        <v>0</v>
      </c>
      <c r="AH56" s="463">
        <f t="shared" si="69"/>
        <v>0</v>
      </c>
      <c r="AI56" s="463">
        <f t="shared" si="69"/>
        <v>0</v>
      </c>
      <c r="AJ56" s="463">
        <f t="shared" si="69"/>
        <v>0</v>
      </c>
      <c r="AK56" s="463">
        <f t="shared" si="69"/>
        <v>0</v>
      </c>
      <c r="AL56" s="463">
        <f t="shared" si="69"/>
        <v>0</v>
      </c>
      <c r="AM56" s="463">
        <f t="shared" si="69"/>
        <v>0</v>
      </c>
      <c r="AN56" s="463">
        <f t="shared" si="69"/>
        <v>0</v>
      </c>
      <c r="AO56" s="463">
        <f t="shared" si="69"/>
        <v>-92701</v>
      </c>
      <c r="AP56" s="463">
        <f t="shared" si="69"/>
        <v>442114</v>
      </c>
      <c r="AQ56" s="463">
        <f t="shared" si="69"/>
        <v>349413</v>
      </c>
      <c r="AR56" s="463">
        <f t="shared" si="69"/>
        <v>118102</v>
      </c>
      <c r="AS56" s="463">
        <f t="shared" si="69"/>
        <v>3494</v>
      </c>
      <c r="AT56" s="463">
        <f t="shared" si="69"/>
        <v>2500</v>
      </c>
      <c r="AU56" s="463">
        <f t="shared" si="69"/>
        <v>4752</v>
      </c>
      <c r="AV56" s="463">
        <f t="shared" si="69"/>
        <v>7252</v>
      </c>
      <c r="AW56" s="463">
        <f t="shared" si="69"/>
        <v>478261</v>
      </c>
      <c r="AX56" s="464">
        <f t="shared" si="69"/>
        <v>0</v>
      </c>
      <c r="AY56" s="464">
        <f t="shared" si="69"/>
        <v>0</v>
      </c>
      <c r="AZ56" s="464">
        <f t="shared" si="69"/>
        <v>-0.25</v>
      </c>
      <c r="BA56" s="464">
        <f t="shared" si="69"/>
        <v>0</v>
      </c>
      <c r="BB56" s="464">
        <f t="shared" ref="BB56" si="70">SUM(BB51:BB55)</f>
        <v>1.34</v>
      </c>
      <c r="BC56" s="464">
        <f t="shared" si="69"/>
        <v>0</v>
      </c>
      <c r="BD56" s="464">
        <f t="shared" si="69"/>
        <v>0</v>
      </c>
      <c r="BE56" s="464">
        <f t="shared" ref="BE56" si="71">SUM(BE51:BE55)</f>
        <v>0</v>
      </c>
      <c r="BF56" s="464">
        <f t="shared" si="69"/>
        <v>-0.25</v>
      </c>
      <c r="BG56" s="464">
        <f t="shared" si="69"/>
        <v>1.34</v>
      </c>
      <c r="BH56" s="290">
        <f t="shared" si="69"/>
        <v>1.0900000000000001</v>
      </c>
      <c r="BI56" s="787">
        <f t="shared" si="69"/>
        <v>33036870</v>
      </c>
      <c r="BJ56" s="463">
        <f t="shared" si="69"/>
        <v>24241890</v>
      </c>
      <c r="BK56" s="463">
        <f t="shared" si="69"/>
        <v>21410441</v>
      </c>
      <c r="BL56" s="463">
        <f t="shared" si="69"/>
        <v>2831449</v>
      </c>
      <c r="BM56" s="463">
        <f t="shared" si="69"/>
        <v>0</v>
      </c>
      <c r="BN56" s="463">
        <f t="shared" si="69"/>
        <v>0</v>
      </c>
      <c r="BO56" s="463">
        <f t="shared" si="69"/>
        <v>0</v>
      </c>
      <c r="BP56" s="463">
        <f t="shared" si="69"/>
        <v>8193759</v>
      </c>
      <c r="BQ56" s="463">
        <f t="shared" si="69"/>
        <v>242419</v>
      </c>
      <c r="BR56" s="463">
        <f t="shared" si="69"/>
        <v>358802</v>
      </c>
      <c r="BS56" s="464">
        <f t="shared" si="69"/>
        <v>41.9499</v>
      </c>
      <c r="BT56" s="464">
        <f t="shared" si="69"/>
        <v>33.451099999999997</v>
      </c>
      <c r="BU56" s="290">
        <f t="shared" si="69"/>
        <v>8.498800000000001</v>
      </c>
      <c r="BV56" s="852">
        <f t="shared" si="69"/>
        <v>304109</v>
      </c>
      <c r="BW56" s="722">
        <f t="shared" si="69"/>
        <v>225600</v>
      </c>
      <c r="BX56" s="722">
        <f t="shared" si="69"/>
        <v>0</v>
      </c>
      <c r="BY56" s="722">
        <f t="shared" si="69"/>
        <v>76253</v>
      </c>
      <c r="BZ56" s="722">
        <f t="shared" si="69"/>
        <v>2256</v>
      </c>
      <c r="CA56" s="853">
        <f t="shared" si="69"/>
        <v>0.4</v>
      </c>
    </row>
    <row r="57" spans="1:79" ht="12.95" customHeight="1" x14ac:dyDescent="0.25">
      <c r="A57" s="280">
        <v>11</v>
      </c>
      <c r="B57" s="281">
        <v>4469</v>
      </c>
      <c r="C57" s="281">
        <v>600075079</v>
      </c>
      <c r="D57" s="281">
        <v>70695334</v>
      </c>
      <c r="E57" s="283" t="s">
        <v>327</v>
      </c>
      <c r="F57" s="281">
        <v>3231</v>
      </c>
      <c r="G57" s="284" t="s">
        <v>397</v>
      </c>
      <c r="H57" s="284" t="s">
        <v>271</v>
      </c>
      <c r="I57" s="565">
        <v>3353505</v>
      </c>
      <c r="J57" s="415">
        <v>2484883</v>
      </c>
      <c r="K57" s="415">
        <v>2392154</v>
      </c>
      <c r="L57" s="415">
        <v>92729</v>
      </c>
      <c r="M57" s="415">
        <v>0</v>
      </c>
      <c r="N57" s="415">
        <v>0</v>
      </c>
      <c r="O57" s="415">
        <v>0</v>
      </c>
      <c r="P57" s="68">
        <v>839890</v>
      </c>
      <c r="Q57" s="68">
        <v>24849</v>
      </c>
      <c r="R57" s="415">
        <v>3883</v>
      </c>
      <c r="S57" s="416">
        <v>4.0517000000000003</v>
      </c>
      <c r="T57" s="417">
        <v>3.7915000000000001</v>
      </c>
      <c r="U57" s="770">
        <v>0.26019999999999999</v>
      </c>
      <c r="V57" s="424">
        <f>AG57*-1</f>
        <v>0</v>
      </c>
      <c r="W57" s="418">
        <f>AH57*-1</f>
        <v>0</v>
      </c>
      <c r="X57" s="418">
        <v>0</v>
      </c>
      <c r="Y57" s="418">
        <v>0</v>
      </c>
      <c r="Z57" s="418">
        <v>0</v>
      </c>
      <c r="AA57" s="418">
        <v>0</v>
      </c>
      <c r="AB57" s="418">
        <v>0</v>
      </c>
      <c r="AC57" s="418">
        <v>0</v>
      </c>
      <c r="AD57" s="418">
        <f>V57+X57+Y57+Z57+AB57</f>
        <v>0</v>
      </c>
      <c r="AE57" s="418">
        <f>W57+AA57+AC57</f>
        <v>0</v>
      </c>
      <c r="AF57" s="418">
        <f>SUM(AD57:AE57)</f>
        <v>0</v>
      </c>
      <c r="AG57" s="418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>AG57+AI57+AJ57</f>
        <v>0</v>
      </c>
      <c r="AM57" s="418">
        <f>AH57+AK57</f>
        <v>0</v>
      </c>
      <c r="AN57" s="418">
        <f>SUM(AL57:AM57)</f>
        <v>0</v>
      </c>
      <c r="AO57" s="418">
        <f>AD57+AL57</f>
        <v>0</v>
      </c>
      <c r="AP57" s="418">
        <f>AE57+AM57</f>
        <v>0</v>
      </c>
      <c r="AQ57" s="418">
        <f>SUM(AO57:AP57)</f>
        <v>0</v>
      </c>
      <c r="AR57" s="68">
        <f>ROUND((AF57+AG57+AH57+AI57)*33.8%,0)</f>
        <v>0</v>
      </c>
      <c r="AS57" s="68">
        <f>ROUND(AF57*1%,0)</f>
        <v>0</v>
      </c>
      <c r="AT57" s="418">
        <v>0</v>
      </c>
      <c r="AU57" s="418">
        <v>0</v>
      </c>
      <c r="AV57" s="418">
        <f>AT57+AU57</f>
        <v>0</v>
      </c>
      <c r="AW57" s="418">
        <f>AQ57+AR57+AS57+AV57</f>
        <v>0</v>
      </c>
      <c r="AX57" s="419">
        <v>0</v>
      </c>
      <c r="AY57" s="419">
        <v>0</v>
      </c>
      <c r="AZ57" s="419">
        <v>0</v>
      </c>
      <c r="BA57" s="419">
        <v>0</v>
      </c>
      <c r="BB57" s="419">
        <v>0</v>
      </c>
      <c r="BC57" s="419">
        <v>0</v>
      </c>
      <c r="BD57" s="419">
        <v>0</v>
      </c>
      <c r="BE57" s="419">
        <v>0</v>
      </c>
      <c r="BF57" s="419">
        <f>AX57+AZ57+BA57+BC57+BD57</f>
        <v>0</v>
      </c>
      <c r="BG57" s="419">
        <f>AY57+BB57+BE57</f>
        <v>0</v>
      </c>
      <c r="BH57" s="421">
        <f>SUM(BF57:BG57)</f>
        <v>0</v>
      </c>
      <c r="BI57" s="780">
        <f>I57+AW57</f>
        <v>3353505</v>
      </c>
      <c r="BJ57" s="418">
        <f>J57+AF57</f>
        <v>2484883</v>
      </c>
      <c r="BK57" s="418">
        <f>K57+AD57</f>
        <v>2392154</v>
      </c>
      <c r="BL57" s="418">
        <f>L57+AE57</f>
        <v>92729</v>
      </c>
      <c r="BM57" s="418">
        <f>M57+AN57</f>
        <v>0</v>
      </c>
      <c r="BN57" s="418">
        <f>N57+AL57</f>
        <v>0</v>
      </c>
      <c r="BO57" s="418">
        <f>O57+AM57</f>
        <v>0</v>
      </c>
      <c r="BP57" s="418">
        <f>P57+AR57</f>
        <v>839890</v>
      </c>
      <c r="BQ57" s="418">
        <f>Q57+AS57</f>
        <v>24849</v>
      </c>
      <c r="BR57" s="418">
        <f>R57+AV57</f>
        <v>3883</v>
      </c>
      <c r="BS57" s="419">
        <f>S57+BH57</f>
        <v>4.0517000000000003</v>
      </c>
      <c r="BT57" s="419">
        <f>T57+BF57</f>
        <v>3.7915000000000001</v>
      </c>
      <c r="BU57" s="421">
        <f>U57+BG57</f>
        <v>0.26019999999999999</v>
      </c>
      <c r="BV57" s="420"/>
      <c r="BW57" s="415"/>
      <c r="BX57" s="415"/>
      <c r="BY57" s="415"/>
      <c r="BZ57" s="415"/>
      <c r="CA57" s="510"/>
    </row>
    <row r="58" spans="1:79" ht="12.95" customHeight="1" x14ac:dyDescent="0.25">
      <c r="A58" s="273">
        <v>11</v>
      </c>
      <c r="B58" s="275">
        <v>4469</v>
      </c>
      <c r="C58" s="275">
        <v>600075079</v>
      </c>
      <c r="D58" s="275">
        <v>70695334</v>
      </c>
      <c r="E58" s="288" t="s">
        <v>328</v>
      </c>
      <c r="F58" s="291"/>
      <c r="G58" s="292"/>
      <c r="H58" s="292"/>
      <c r="I58" s="466">
        <v>3353505</v>
      </c>
      <c r="J58" s="463">
        <v>2484883</v>
      </c>
      <c r="K58" s="463">
        <v>2392154</v>
      </c>
      <c r="L58" s="463">
        <v>92729</v>
      </c>
      <c r="M58" s="463">
        <v>0</v>
      </c>
      <c r="N58" s="463">
        <v>0</v>
      </c>
      <c r="O58" s="463">
        <v>0</v>
      </c>
      <c r="P58" s="463">
        <v>839890</v>
      </c>
      <c r="Q58" s="463">
        <v>24849</v>
      </c>
      <c r="R58" s="463">
        <v>3883</v>
      </c>
      <c r="S58" s="464">
        <v>4.0517000000000003</v>
      </c>
      <c r="T58" s="464">
        <v>3.7915000000000001</v>
      </c>
      <c r="U58" s="534">
        <v>0.26019999999999999</v>
      </c>
      <c r="V58" s="466">
        <f t="shared" ref="V58:CA58" si="72">SUM(V57)</f>
        <v>0</v>
      </c>
      <c r="W58" s="463">
        <f t="shared" si="72"/>
        <v>0</v>
      </c>
      <c r="X58" s="463">
        <f t="shared" si="72"/>
        <v>0</v>
      </c>
      <c r="Y58" s="463">
        <f t="shared" si="72"/>
        <v>0</v>
      </c>
      <c r="Z58" s="463">
        <f t="shared" si="72"/>
        <v>0</v>
      </c>
      <c r="AA58" s="463">
        <f t="shared" si="72"/>
        <v>0</v>
      </c>
      <c r="AB58" s="463">
        <f t="shared" si="72"/>
        <v>0</v>
      </c>
      <c r="AC58" s="463">
        <f t="shared" si="72"/>
        <v>0</v>
      </c>
      <c r="AD58" s="463">
        <f t="shared" si="72"/>
        <v>0</v>
      </c>
      <c r="AE58" s="463">
        <f t="shared" si="72"/>
        <v>0</v>
      </c>
      <c r="AF58" s="463">
        <f t="shared" si="72"/>
        <v>0</v>
      </c>
      <c r="AG58" s="463">
        <f t="shared" si="72"/>
        <v>0</v>
      </c>
      <c r="AH58" s="463">
        <f t="shared" si="72"/>
        <v>0</v>
      </c>
      <c r="AI58" s="463">
        <f t="shared" si="72"/>
        <v>0</v>
      </c>
      <c r="AJ58" s="463">
        <f t="shared" si="72"/>
        <v>0</v>
      </c>
      <c r="AK58" s="463">
        <f t="shared" si="72"/>
        <v>0</v>
      </c>
      <c r="AL58" s="463">
        <f t="shared" si="72"/>
        <v>0</v>
      </c>
      <c r="AM58" s="463">
        <f t="shared" si="72"/>
        <v>0</v>
      </c>
      <c r="AN58" s="463">
        <f t="shared" si="72"/>
        <v>0</v>
      </c>
      <c r="AO58" s="463">
        <f t="shared" si="72"/>
        <v>0</v>
      </c>
      <c r="AP58" s="463">
        <f t="shared" si="72"/>
        <v>0</v>
      </c>
      <c r="AQ58" s="463">
        <f t="shared" si="72"/>
        <v>0</v>
      </c>
      <c r="AR58" s="463">
        <f t="shared" si="72"/>
        <v>0</v>
      </c>
      <c r="AS58" s="463">
        <f t="shared" si="72"/>
        <v>0</v>
      </c>
      <c r="AT58" s="463">
        <f t="shared" si="72"/>
        <v>0</v>
      </c>
      <c r="AU58" s="463">
        <f t="shared" si="72"/>
        <v>0</v>
      </c>
      <c r="AV58" s="463">
        <f t="shared" si="72"/>
        <v>0</v>
      </c>
      <c r="AW58" s="463">
        <f t="shared" si="72"/>
        <v>0</v>
      </c>
      <c r="AX58" s="464">
        <f t="shared" si="72"/>
        <v>0</v>
      </c>
      <c r="AY58" s="464">
        <f t="shared" si="72"/>
        <v>0</v>
      </c>
      <c r="AZ58" s="464">
        <f t="shared" si="72"/>
        <v>0</v>
      </c>
      <c r="BA58" s="464">
        <f t="shared" si="72"/>
        <v>0</v>
      </c>
      <c r="BB58" s="464">
        <f t="shared" ref="BB58" si="73">SUM(BB57)</f>
        <v>0</v>
      </c>
      <c r="BC58" s="464">
        <f t="shared" si="72"/>
        <v>0</v>
      </c>
      <c r="BD58" s="464">
        <f t="shared" si="72"/>
        <v>0</v>
      </c>
      <c r="BE58" s="464">
        <f t="shared" ref="BE58" si="74">SUM(BE57)</f>
        <v>0</v>
      </c>
      <c r="BF58" s="464">
        <f t="shared" si="72"/>
        <v>0</v>
      </c>
      <c r="BG58" s="464">
        <f t="shared" si="72"/>
        <v>0</v>
      </c>
      <c r="BH58" s="290">
        <f t="shared" si="72"/>
        <v>0</v>
      </c>
      <c r="BI58" s="787">
        <f t="shared" si="72"/>
        <v>3353505</v>
      </c>
      <c r="BJ58" s="463">
        <f t="shared" si="72"/>
        <v>2484883</v>
      </c>
      <c r="BK58" s="463">
        <f t="shared" si="72"/>
        <v>2392154</v>
      </c>
      <c r="BL58" s="463">
        <f t="shared" si="72"/>
        <v>92729</v>
      </c>
      <c r="BM58" s="463">
        <f t="shared" si="72"/>
        <v>0</v>
      </c>
      <c r="BN58" s="463">
        <f t="shared" si="72"/>
        <v>0</v>
      </c>
      <c r="BO58" s="463">
        <f t="shared" si="72"/>
        <v>0</v>
      </c>
      <c r="BP58" s="463">
        <f t="shared" si="72"/>
        <v>839890</v>
      </c>
      <c r="BQ58" s="463">
        <f t="shared" si="72"/>
        <v>24849</v>
      </c>
      <c r="BR58" s="463">
        <f t="shared" si="72"/>
        <v>3883</v>
      </c>
      <c r="BS58" s="464">
        <f t="shared" si="72"/>
        <v>4.0517000000000003</v>
      </c>
      <c r="BT58" s="464">
        <f t="shared" si="72"/>
        <v>3.7915000000000001</v>
      </c>
      <c r="BU58" s="290">
        <f t="shared" si="72"/>
        <v>0.26019999999999999</v>
      </c>
      <c r="BV58" s="852">
        <f t="shared" si="72"/>
        <v>0</v>
      </c>
      <c r="BW58" s="722">
        <f t="shared" si="72"/>
        <v>0</v>
      </c>
      <c r="BX58" s="722">
        <f t="shared" si="72"/>
        <v>0</v>
      </c>
      <c r="BY58" s="722">
        <f t="shared" si="72"/>
        <v>0</v>
      </c>
      <c r="BZ58" s="722">
        <f t="shared" si="72"/>
        <v>0</v>
      </c>
      <c r="CA58" s="853">
        <f t="shared" si="72"/>
        <v>0</v>
      </c>
    </row>
    <row r="59" spans="1:79" ht="12.95" customHeight="1" x14ac:dyDescent="0.25">
      <c r="A59" s="280">
        <v>12</v>
      </c>
      <c r="B59" s="281">
        <v>4451</v>
      </c>
      <c r="C59" s="281">
        <v>600074927</v>
      </c>
      <c r="D59" s="281">
        <v>49864653</v>
      </c>
      <c r="E59" s="283" t="s">
        <v>329</v>
      </c>
      <c r="F59" s="281">
        <v>3111</v>
      </c>
      <c r="G59" s="284" t="s">
        <v>304</v>
      </c>
      <c r="H59" s="284" t="s">
        <v>271</v>
      </c>
      <c r="I59" s="565">
        <v>8253781</v>
      </c>
      <c r="J59" s="415">
        <v>6050571</v>
      </c>
      <c r="K59" s="415">
        <v>5769731</v>
      </c>
      <c r="L59" s="415">
        <v>280840</v>
      </c>
      <c r="M59" s="415">
        <v>52000</v>
      </c>
      <c r="N59" s="415">
        <v>0</v>
      </c>
      <c r="O59" s="415">
        <v>52000</v>
      </c>
      <c r="P59" s="68">
        <v>2062669</v>
      </c>
      <c r="Q59" s="68">
        <v>60506</v>
      </c>
      <c r="R59" s="415">
        <v>28035</v>
      </c>
      <c r="S59" s="416">
        <v>11.163500000000001</v>
      </c>
      <c r="T59" s="417">
        <v>10</v>
      </c>
      <c r="U59" s="770">
        <v>1.1634999999999998</v>
      </c>
      <c r="V59" s="424">
        <f t="shared" ref="V59:W64" si="75">AG59*-1</f>
        <v>0</v>
      </c>
      <c r="W59" s="418">
        <f t="shared" si="75"/>
        <v>0</v>
      </c>
      <c r="X59" s="418">
        <v>0</v>
      </c>
      <c r="Y59" s="418">
        <v>0</v>
      </c>
      <c r="Z59" s="418">
        <v>0</v>
      </c>
      <c r="AA59" s="418">
        <v>0</v>
      </c>
      <c r="AB59" s="418">
        <v>0</v>
      </c>
      <c r="AC59" s="418">
        <v>0</v>
      </c>
      <c r="AD59" s="418">
        <f t="shared" ref="AD59:AD64" si="76">V59+X59+Y59+Z59+AB59</f>
        <v>0</v>
      </c>
      <c r="AE59" s="418">
        <f t="shared" ref="AE59:AE64" si="77">W59+AA59+AC59</f>
        <v>0</v>
      </c>
      <c r="AF59" s="418">
        <f t="shared" ref="AF59:AF64" si="78">SUM(AD59:AE59)</f>
        <v>0</v>
      </c>
      <c r="AG59" s="418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ref="AL59:AL64" si="79">AG59+AI59+AJ59</f>
        <v>0</v>
      </c>
      <c r="AM59" s="418">
        <f t="shared" ref="AM59:AM64" si="80">AH59+AK59</f>
        <v>0</v>
      </c>
      <c r="AN59" s="418">
        <f t="shared" ref="AN59:AN64" si="81">SUM(AL59:AM59)</f>
        <v>0</v>
      </c>
      <c r="AO59" s="418">
        <f t="shared" ref="AO59:AP64" si="82">AD59+AL59</f>
        <v>0</v>
      </c>
      <c r="AP59" s="418">
        <f t="shared" si="82"/>
        <v>0</v>
      </c>
      <c r="AQ59" s="418">
        <f t="shared" ref="AQ59:AQ64" si="83">SUM(AO59:AP59)</f>
        <v>0</v>
      </c>
      <c r="AR59" s="68">
        <f t="shared" ref="AR59:AR64" si="84">ROUND((AF59+AG59+AH59+AI59)*33.8%,0)</f>
        <v>0</v>
      </c>
      <c r="AS59" s="68">
        <f t="shared" ref="AS59:AS64" si="85">ROUND(AF59*1%,0)</f>
        <v>0</v>
      </c>
      <c r="AT59" s="418">
        <v>0</v>
      </c>
      <c r="AU59" s="418">
        <v>0</v>
      </c>
      <c r="AV59" s="418">
        <f t="shared" ref="AV59:AV64" si="86">AT59+AU59</f>
        <v>0</v>
      </c>
      <c r="AW59" s="418">
        <f t="shared" ref="AW59:AW64" si="87">AQ59+AR59+AS59+AV59</f>
        <v>0</v>
      </c>
      <c r="AX59" s="419">
        <v>0</v>
      </c>
      <c r="AY59" s="419">
        <v>0</v>
      </c>
      <c r="AZ59" s="419">
        <v>0</v>
      </c>
      <c r="BA59" s="419">
        <v>0</v>
      </c>
      <c r="BB59" s="419">
        <v>0</v>
      </c>
      <c r="BC59" s="419">
        <v>0</v>
      </c>
      <c r="BD59" s="419">
        <v>0</v>
      </c>
      <c r="BE59" s="419">
        <v>0</v>
      </c>
      <c r="BF59" s="419">
        <f t="shared" ref="BF59:BF64" si="88">AX59+AZ59+BA59+BC59+BD59</f>
        <v>0</v>
      </c>
      <c r="BG59" s="419">
        <f t="shared" ref="BG59:BG64" si="89">AY59+BB59+BE59</f>
        <v>0</v>
      </c>
      <c r="BH59" s="421">
        <f t="shared" ref="BH59:BH64" si="90">SUM(BF59:BG59)</f>
        <v>0</v>
      </c>
      <c r="BI59" s="780">
        <f t="shared" ref="BI59:BI64" si="91">I59+AW59</f>
        <v>8253781</v>
      </c>
      <c r="BJ59" s="418">
        <f t="shared" ref="BJ59:BJ64" si="92">J59+AF59</f>
        <v>6050571</v>
      </c>
      <c r="BK59" s="418">
        <f t="shared" ref="BK59:BL64" si="93">K59+AD59</f>
        <v>5769731</v>
      </c>
      <c r="BL59" s="418">
        <f t="shared" si="93"/>
        <v>280840</v>
      </c>
      <c r="BM59" s="418">
        <f t="shared" ref="BM59:BM64" si="94">M59+AN59</f>
        <v>52000</v>
      </c>
      <c r="BN59" s="418">
        <f t="shared" ref="BN59:BO64" si="95">N59+AL59</f>
        <v>0</v>
      </c>
      <c r="BO59" s="418">
        <f t="shared" si="95"/>
        <v>52000</v>
      </c>
      <c r="BP59" s="418">
        <f t="shared" ref="BP59:BQ64" si="96">P59+AR59</f>
        <v>2062669</v>
      </c>
      <c r="BQ59" s="418">
        <f t="shared" si="96"/>
        <v>60506</v>
      </c>
      <c r="BR59" s="418">
        <f t="shared" ref="BR59:BR64" si="97">R59+AV59</f>
        <v>28035</v>
      </c>
      <c r="BS59" s="419">
        <f t="shared" ref="BS59:BS64" si="98">S59+BH59</f>
        <v>11.163500000000001</v>
      </c>
      <c r="BT59" s="419">
        <f t="shared" ref="BT59:BU64" si="99">T59+BF59</f>
        <v>10</v>
      </c>
      <c r="BU59" s="421">
        <f t="shared" si="99"/>
        <v>1.1634999999999998</v>
      </c>
      <c r="BV59" s="420"/>
      <c r="BW59" s="415"/>
      <c r="BX59" s="415"/>
      <c r="BY59" s="415"/>
      <c r="BZ59" s="415"/>
      <c r="CA59" s="510"/>
    </row>
    <row r="60" spans="1:79" ht="12.95" customHeight="1" x14ac:dyDescent="0.25">
      <c r="A60" s="280">
        <v>12</v>
      </c>
      <c r="B60" s="281">
        <v>4451</v>
      </c>
      <c r="C60" s="281">
        <v>600074927</v>
      </c>
      <c r="D60" s="281">
        <v>49864653</v>
      </c>
      <c r="E60" s="283" t="s">
        <v>329</v>
      </c>
      <c r="F60" s="281">
        <v>3113</v>
      </c>
      <c r="G60" s="284" t="s">
        <v>308</v>
      </c>
      <c r="H60" s="284" t="s">
        <v>271</v>
      </c>
      <c r="I60" s="565">
        <v>28168839</v>
      </c>
      <c r="J60" s="415">
        <v>20459503</v>
      </c>
      <c r="K60" s="415">
        <v>18906625</v>
      </c>
      <c r="L60" s="415">
        <v>1552878</v>
      </c>
      <c r="M60" s="415">
        <v>175000</v>
      </c>
      <c r="N60" s="415">
        <v>99000</v>
      </c>
      <c r="O60" s="415">
        <v>76000</v>
      </c>
      <c r="P60" s="68">
        <v>6974462</v>
      </c>
      <c r="Q60" s="68">
        <v>204595</v>
      </c>
      <c r="R60" s="415">
        <v>355279</v>
      </c>
      <c r="S60" s="416">
        <v>31.918200000000002</v>
      </c>
      <c r="T60" s="417">
        <v>27.268799999999999</v>
      </c>
      <c r="U60" s="770">
        <v>4.6494</v>
      </c>
      <c r="V60" s="424">
        <f t="shared" si="75"/>
        <v>0</v>
      </c>
      <c r="W60" s="418">
        <f t="shared" si="75"/>
        <v>0</v>
      </c>
      <c r="X60" s="418">
        <v>0</v>
      </c>
      <c r="Y60" s="418">
        <v>0</v>
      </c>
      <c r="Z60" s="418">
        <v>0</v>
      </c>
      <c r="AA60" s="418">
        <v>0</v>
      </c>
      <c r="AB60" s="418">
        <v>0</v>
      </c>
      <c r="AC60" s="418">
        <v>0</v>
      </c>
      <c r="AD60" s="418">
        <f t="shared" si="76"/>
        <v>0</v>
      </c>
      <c r="AE60" s="418">
        <f t="shared" si="77"/>
        <v>0</v>
      </c>
      <c r="AF60" s="418">
        <f t="shared" si="78"/>
        <v>0</v>
      </c>
      <c r="AG60" s="418">
        <v>0</v>
      </c>
      <c r="AH60" s="418">
        <v>0</v>
      </c>
      <c r="AI60" s="418">
        <v>0</v>
      </c>
      <c r="AJ60" s="418">
        <v>0</v>
      </c>
      <c r="AK60" s="418">
        <v>0</v>
      </c>
      <c r="AL60" s="418">
        <f t="shared" si="79"/>
        <v>0</v>
      </c>
      <c r="AM60" s="418">
        <f t="shared" si="80"/>
        <v>0</v>
      </c>
      <c r="AN60" s="418">
        <f t="shared" si="81"/>
        <v>0</v>
      </c>
      <c r="AO60" s="418">
        <f t="shared" si="82"/>
        <v>0</v>
      </c>
      <c r="AP60" s="418">
        <f t="shared" si="82"/>
        <v>0</v>
      </c>
      <c r="AQ60" s="418">
        <f t="shared" si="83"/>
        <v>0</v>
      </c>
      <c r="AR60" s="68">
        <f t="shared" si="84"/>
        <v>0</v>
      </c>
      <c r="AS60" s="68">
        <f t="shared" si="85"/>
        <v>0</v>
      </c>
      <c r="AT60" s="418">
        <v>0</v>
      </c>
      <c r="AU60" s="418">
        <v>0</v>
      </c>
      <c r="AV60" s="418">
        <f t="shared" si="86"/>
        <v>0</v>
      </c>
      <c r="AW60" s="418">
        <f t="shared" si="87"/>
        <v>0</v>
      </c>
      <c r="AX60" s="419">
        <v>0</v>
      </c>
      <c r="AY60" s="419">
        <v>0</v>
      </c>
      <c r="AZ60" s="419">
        <v>0</v>
      </c>
      <c r="BA60" s="419">
        <v>0</v>
      </c>
      <c r="BB60" s="419">
        <v>0</v>
      </c>
      <c r="BC60" s="419">
        <v>0</v>
      </c>
      <c r="BD60" s="419">
        <v>0</v>
      </c>
      <c r="BE60" s="419">
        <v>0</v>
      </c>
      <c r="BF60" s="419">
        <f t="shared" si="88"/>
        <v>0</v>
      </c>
      <c r="BG60" s="419">
        <f t="shared" si="89"/>
        <v>0</v>
      </c>
      <c r="BH60" s="421">
        <f t="shared" si="90"/>
        <v>0</v>
      </c>
      <c r="BI60" s="780">
        <f t="shared" si="91"/>
        <v>28168839</v>
      </c>
      <c r="BJ60" s="418">
        <f t="shared" si="92"/>
        <v>20459503</v>
      </c>
      <c r="BK60" s="418">
        <f t="shared" si="93"/>
        <v>18906625</v>
      </c>
      <c r="BL60" s="418">
        <f t="shared" si="93"/>
        <v>1552878</v>
      </c>
      <c r="BM60" s="418">
        <f t="shared" si="94"/>
        <v>175000</v>
      </c>
      <c r="BN60" s="418">
        <f t="shared" si="95"/>
        <v>99000</v>
      </c>
      <c r="BO60" s="418">
        <f t="shared" si="95"/>
        <v>76000</v>
      </c>
      <c r="BP60" s="418">
        <f t="shared" si="96"/>
        <v>6974462</v>
      </c>
      <c r="BQ60" s="418">
        <f t="shared" si="96"/>
        <v>204595</v>
      </c>
      <c r="BR60" s="418">
        <f t="shared" si="97"/>
        <v>355279</v>
      </c>
      <c r="BS60" s="419">
        <f t="shared" si="98"/>
        <v>31.918200000000002</v>
      </c>
      <c r="BT60" s="419">
        <f t="shared" si="99"/>
        <v>27.268799999999999</v>
      </c>
      <c r="BU60" s="421">
        <f t="shared" si="99"/>
        <v>4.6494</v>
      </c>
      <c r="BV60" s="420"/>
      <c r="BW60" s="415"/>
      <c r="BX60" s="415"/>
      <c r="BY60" s="415"/>
      <c r="BZ60" s="415"/>
      <c r="CA60" s="510"/>
    </row>
    <row r="61" spans="1:79" ht="12.95" customHeight="1" x14ac:dyDescent="0.25">
      <c r="A61" s="280">
        <v>12</v>
      </c>
      <c r="B61" s="281">
        <v>4451</v>
      </c>
      <c r="C61" s="281">
        <v>600074927</v>
      </c>
      <c r="D61" s="281">
        <v>49864653</v>
      </c>
      <c r="E61" s="283" t="s">
        <v>329</v>
      </c>
      <c r="F61" s="281">
        <v>3113</v>
      </c>
      <c r="G61" s="284" t="s">
        <v>298</v>
      </c>
      <c r="H61" s="284" t="s">
        <v>272</v>
      </c>
      <c r="I61" s="565">
        <v>5512140</v>
      </c>
      <c r="J61" s="415">
        <v>4089125</v>
      </c>
      <c r="K61" s="415">
        <v>4089125</v>
      </c>
      <c r="L61" s="415">
        <v>0</v>
      </c>
      <c r="M61" s="415">
        <v>0</v>
      </c>
      <c r="N61" s="415">
        <v>0</v>
      </c>
      <c r="O61" s="415">
        <v>0</v>
      </c>
      <c r="P61" s="68">
        <v>1382124</v>
      </c>
      <c r="Q61" s="68">
        <v>40891</v>
      </c>
      <c r="R61" s="415">
        <v>0</v>
      </c>
      <c r="S61" s="416">
        <v>12.03</v>
      </c>
      <c r="T61" s="417">
        <v>12.03</v>
      </c>
      <c r="U61" s="770">
        <v>0</v>
      </c>
      <c r="V61" s="424">
        <f t="shared" si="75"/>
        <v>0</v>
      </c>
      <c r="W61" s="418">
        <f t="shared" si="75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si="76"/>
        <v>0</v>
      </c>
      <c r="AE61" s="418">
        <f t="shared" si="77"/>
        <v>0</v>
      </c>
      <c r="AF61" s="418">
        <f t="shared" si="78"/>
        <v>0</v>
      </c>
      <c r="AG61" s="418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si="79"/>
        <v>0</v>
      </c>
      <c r="AM61" s="418">
        <f t="shared" si="80"/>
        <v>0</v>
      </c>
      <c r="AN61" s="418">
        <f t="shared" si="81"/>
        <v>0</v>
      </c>
      <c r="AO61" s="418">
        <f t="shared" si="82"/>
        <v>0</v>
      </c>
      <c r="AP61" s="418">
        <f t="shared" si="82"/>
        <v>0</v>
      </c>
      <c r="AQ61" s="418">
        <f t="shared" si="83"/>
        <v>0</v>
      </c>
      <c r="AR61" s="68">
        <f t="shared" si="84"/>
        <v>0</v>
      </c>
      <c r="AS61" s="68">
        <f t="shared" si="85"/>
        <v>0</v>
      </c>
      <c r="AT61" s="418">
        <v>0</v>
      </c>
      <c r="AU61" s="418">
        <v>0</v>
      </c>
      <c r="AV61" s="418">
        <f t="shared" si="86"/>
        <v>0</v>
      </c>
      <c r="AW61" s="418">
        <f t="shared" si="87"/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si="88"/>
        <v>0</v>
      </c>
      <c r="BG61" s="419">
        <f t="shared" si="89"/>
        <v>0</v>
      </c>
      <c r="BH61" s="421">
        <f t="shared" si="90"/>
        <v>0</v>
      </c>
      <c r="BI61" s="780">
        <f t="shared" si="91"/>
        <v>5512140</v>
      </c>
      <c r="BJ61" s="418">
        <f t="shared" si="92"/>
        <v>4089125</v>
      </c>
      <c r="BK61" s="418">
        <f t="shared" si="93"/>
        <v>4089125</v>
      </c>
      <c r="BL61" s="418">
        <f t="shared" si="93"/>
        <v>0</v>
      </c>
      <c r="BM61" s="418">
        <f t="shared" si="94"/>
        <v>0</v>
      </c>
      <c r="BN61" s="418">
        <f t="shared" si="95"/>
        <v>0</v>
      </c>
      <c r="BO61" s="418">
        <f t="shared" si="95"/>
        <v>0</v>
      </c>
      <c r="BP61" s="418">
        <f t="shared" si="96"/>
        <v>1382124</v>
      </c>
      <c r="BQ61" s="418">
        <f t="shared" si="96"/>
        <v>40891</v>
      </c>
      <c r="BR61" s="418">
        <f t="shared" si="97"/>
        <v>0</v>
      </c>
      <c r="BS61" s="419">
        <f t="shared" si="98"/>
        <v>12.03</v>
      </c>
      <c r="BT61" s="419">
        <f t="shared" si="99"/>
        <v>12.03</v>
      </c>
      <c r="BU61" s="421">
        <f t="shared" si="99"/>
        <v>0</v>
      </c>
      <c r="BV61" s="420"/>
      <c r="BW61" s="415"/>
      <c r="BX61" s="415"/>
      <c r="BY61" s="415"/>
      <c r="BZ61" s="415"/>
      <c r="CA61" s="510"/>
    </row>
    <row r="62" spans="1:79" ht="12.95" customHeight="1" x14ac:dyDescent="0.25">
      <c r="A62" s="280">
        <v>12</v>
      </c>
      <c r="B62" s="281">
        <v>4451</v>
      </c>
      <c r="C62" s="281">
        <v>600074927</v>
      </c>
      <c r="D62" s="281">
        <v>49864653</v>
      </c>
      <c r="E62" s="283" t="s">
        <v>329</v>
      </c>
      <c r="F62" s="281">
        <v>3141</v>
      </c>
      <c r="G62" s="284" t="s">
        <v>294</v>
      </c>
      <c r="H62" s="284" t="s">
        <v>272</v>
      </c>
      <c r="I62" s="565">
        <v>2623807</v>
      </c>
      <c r="J62" s="415">
        <v>1934184</v>
      </c>
      <c r="K62" s="415">
        <v>0</v>
      </c>
      <c r="L62" s="415">
        <v>1934184</v>
      </c>
      <c r="M62" s="415">
        <v>0</v>
      </c>
      <c r="N62" s="415">
        <v>0</v>
      </c>
      <c r="O62" s="415">
        <v>0</v>
      </c>
      <c r="P62" s="68">
        <v>653754</v>
      </c>
      <c r="Q62" s="68">
        <v>19342</v>
      </c>
      <c r="R62" s="415">
        <v>16527</v>
      </c>
      <c r="S62" s="416">
        <v>5.8000000000000007</v>
      </c>
      <c r="T62" s="417">
        <v>0</v>
      </c>
      <c r="U62" s="770">
        <v>5.8000000000000007</v>
      </c>
      <c r="V62" s="424">
        <f t="shared" si="75"/>
        <v>0</v>
      </c>
      <c r="W62" s="418">
        <f t="shared" si="75"/>
        <v>0</v>
      </c>
      <c r="X62" s="418">
        <v>0</v>
      </c>
      <c r="Y62" s="418">
        <v>0</v>
      </c>
      <c r="Z62" s="418">
        <v>0</v>
      </c>
      <c r="AA62" s="418">
        <f>59296+843416+63898</f>
        <v>966610</v>
      </c>
      <c r="AB62" s="418">
        <v>0</v>
      </c>
      <c r="AC62" s="418">
        <v>0</v>
      </c>
      <c r="AD62" s="418">
        <f t="shared" si="76"/>
        <v>0</v>
      </c>
      <c r="AE62" s="418">
        <f t="shared" si="77"/>
        <v>966610</v>
      </c>
      <c r="AF62" s="418">
        <f t="shared" si="78"/>
        <v>966610</v>
      </c>
      <c r="AG62" s="418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79"/>
        <v>0</v>
      </c>
      <c r="AM62" s="418">
        <f t="shared" si="80"/>
        <v>0</v>
      </c>
      <c r="AN62" s="418">
        <f t="shared" si="81"/>
        <v>0</v>
      </c>
      <c r="AO62" s="418">
        <f t="shared" si="82"/>
        <v>0</v>
      </c>
      <c r="AP62" s="418">
        <f t="shared" si="82"/>
        <v>966610</v>
      </c>
      <c r="AQ62" s="418">
        <f t="shared" si="83"/>
        <v>966610</v>
      </c>
      <c r="AR62" s="68">
        <f t="shared" si="84"/>
        <v>326714</v>
      </c>
      <c r="AS62" s="68">
        <f t="shared" si="85"/>
        <v>9666</v>
      </c>
      <c r="AT62" s="418">
        <v>0</v>
      </c>
      <c r="AU62" s="418">
        <f>451+7054+484</f>
        <v>7989</v>
      </c>
      <c r="AV62" s="418">
        <f t="shared" si="86"/>
        <v>7989</v>
      </c>
      <c r="AW62" s="418">
        <f t="shared" si="87"/>
        <v>1310979</v>
      </c>
      <c r="AX62" s="419">
        <v>0</v>
      </c>
      <c r="AY62" s="419">
        <v>0</v>
      </c>
      <c r="AZ62" s="419">
        <v>0</v>
      </c>
      <c r="BA62" s="419">
        <v>0</v>
      </c>
      <c r="BB62" s="419">
        <f>0.18+2.53+0.19</f>
        <v>2.9</v>
      </c>
      <c r="BC62" s="419">
        <v>0</v>
      </c>
      <c r="BD62" s="419">
        <v>0</v>
      </c>
      <c r="BE62" s="419">
        <v>0</v>
      </c>
      <c r="BF62" s="419">
        <f t="shared" si="88"/>
        <v>0</v>
      </c>
      <c r="BG62" s="419">
        <f t="shared" si="89"/>
        <v>2.9</v>
      </c>
      <c r="BH62" s="421">
        <f t="shared" si="90"/>
        <v>2.9</v>
      </c>
      <c r="BI62" s="780">
        <f t="shared" si="91"/>
        <v>3934786</v>
      </c>
      <c r="BJ62" s="418">
        <f t="shared" si="92"/>
        <v>2900794</v>
      </c>
      <c r="BK62" s="418">
        <f t="shared" si="93"/>
        <v>0</v>
      </c>
      <c r="BL62" s="418">
        <f t="shared" si="93"/>
        <v>2900794</v>
      </c>
      <c r="BM62" s="418">
        <f t="shared" si="94"/>
        <v>0</v>
      </c>
      <c r="BN62" s="418">
        <f t="shared" si="95"/>
        <v>0</v>
      </c>
      <c r="BO62" s="418">
        <f t="shared" si="95"/>
        <v>0</v>
      </c>
      <c r="BP62" s="418">
        <f t="shared" si="96"/>
        <v>980468</v>
      </c>
      <c r="BQ62" s="418">
        <f t="shared" si="96"/>
        <v>29008</v>
      </c>
      <c r="BR62" s="418">
        <f t="shared" si="97"/>
        <v>24516</v>
      </c>
      <c r="BS62" s="419">
        <f t="shared" si="98"/>
        <v>8.7000000000000011</v>
      </c>
      <c r="BT62" s="419">
        <f t="shared" si="99"/>
        <v>0</v>
      </c>
      <c r="BU62" s="421">
        <f t="shared" si="99"/>
        <v>8.7000000000000011</v>
      </c>
      <c r="BV62" s="420"/>
      <c r="BW62" s="415"/>
      <c r="BX62" s="415"/>
      <c r="BY62" s="415"/>
      <c r="BZ62" s="415"/>
      <c r="CA62" s="510"/>
    </row>
    <row r="63" spans="1:79" ht="12.95" customHeight="1" x14ac:dyDescent="0.25">
      <c r="A63" s="280">
        <v>12</v>
      </c>
      <c r="B63" s="281">
        <v>4451</v>
      </c>
      <c r="C63" s="281">
        <v>600074927</v>
      </c>
      <c r="D63" s="281">
        <v>49864653</v>
      </c>
      <c r="E63" s="283" t="s">
        <v>329</v>
      </c>
      <c r="F63" s="281">
        <v>3143</v>
      </c>
      <c r="G63" s="284" t="s">
        <v>595</v>
      </c>
      <c r="H63" s="284" t="s">
        <v>271</v>
      </c>
      <c r="I63" s="565">
        <v>2335790</v>
      </c>
      <c r="J63" s="415">
        <v>1732782</v>
      </c>
      <c r="K63" s="415">
        <v>1732782</v>
      </c>
      <c r="L63" s="415">
        <v>0</v>
      </c>
      <c r="M63" s="415">
        <v>0</v>
      </c>
      <c r="N63" s="415">
        <v>0</v>
      </c>
      <c r="O63" s="415">
        <v>0</v>
      </c>
      <c r="P63" s="68">
        <v>585680</v>
      </c>
      <c r="Q63" s="68">
        <v>17328</v>
      </c>
      <c r="R63" s="415">
        <v>0</v>
      </c>
      <c r="S63" s="416">
        <v>3.5259</v>
      </c>
      <c r="T63" s="417">
        <v>3.5259</v>
      </c>
      <c r="U63" s="770">
        <v>0</v>
      </c>
      <c r="V63" s="424">
        <f t="shared" si="75"/>
        <v>0</v>
      </c>
      <c r="W63" s="418">
        <f t="shared" si="75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76"/>
        <v>0</v>
      </c>
      <c r="AE63" s="418">
        <f t="shared" si="77"/>
        <v>0</v>
      </c>
      <c r="AF63" s="418">
        <f t="shared" si="78"/>
        <v>0</v>
      </c>
      <c r="AG63" s="418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79"/>
        <v>0</v>
      </c>
      <c r="AM63" s="418">
        <f t="shared" si="80"/>
        <v>0</v>
      </c>
      <c r="AN63" s="418">
        <f t="shared" si="81"/>
        <v>0</v>
      </c>
      <c r="AO63" s="418">
        <f t="shared" si="82"/>
        <v>0</v>
      </c>
      <c r="AP63" s="418">
        <f t="shared" si="82"/>
        <v>0</v>
      </c>
      <c r="AQ63" s="418">
        <f t="shared" si="83"/>
        <v>0</v>
      </c>
      <c r="AR63" s="68">
        <f t="shared" si="84"/>
        <v>0</v>
      </c>
      <c r="AS63" s="68">
        <f t="shared" si="85"/>
        <v>0</v>
      </c>
      <c r="AT63" s="418">
        <v>0</v>
      </c>
      <c r="AU63" s="418">
        <v>0</v>
      </c>
      <c r="AV63" s="418">
        <f t="shared" si="86"/>
        <v>0</v>
      </c>
      <c r="AW63" s="418">
        <f t="shared" si="87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88"/>
        <v>0</v>
      </c>
      <c r="BG63" s="419">
        <f t="shared" si="89"/>
        <v>0</v>
      </c>
      <c r="BH63" s="421">
        <f t="shared" si="90"/>
        <v>0</v>
      </c>
      <c r="BI63" s="780">
        <f t="shared" si="91"/>
        <v>2335790</v>
      </c>
      <c r="BJ63" s="418">
        <f t="shared" si="92"/>
        <v>1732782</v>
      </c>
      <c r="BK63" s="418">
        <f t="shared" si="93"/>
        <v>1732782</v>
      </c>
      <c r="BL63" s="418">
        <f t="shared" si="93"/>
        <v>0</v>
      </c>
      <c r="BM63" s="418">
        <f t="shared" si="94"/>
        <v>0</v>
      </c>
      <c r="BN63" s="418">
        <f t="shared" si="95"/>
        <v>0</v>
      </c>
      <c r="BO63" s="418">
        <f t="shared" si="95"/>
        <v>0</v>
      </c>
      <c r="BP63" s="418">
        <f t="shared" si="96"/>
        <v>585680</v>
      </c>
      <c r="BQ63" s="418">
        <f t="shared" si="96"/>
        <v>17328</v>
      </c>
      <c r="BR63" s="418">
        <f t="shared" si="97"/>
        <v>0</v>
      </c>
      <c r="BS63" s="419">
        <f t="shared" si="98"/>
        <v>3.5259</v>
      </c>
      <c r="BT63" s="419">
        <f t="shared" si="99"/>
        <v>3.5259</v>
      </c>
      <c r="BU63" s="421">
        <f t="shared" si="99"/>
        <v>0</v>
      </c>
      <c r="BV63" s="420"/>
      <c r="BW63" s="415"/>
      <c r="BX63" s="415"/>
      <c r="BY63" s="415"/>
      <c r="BZ63" s="415"/>
      <c r="CA63" s="510"/>
    </row>
    <row r="64" spans="1:79" ht="12.95" customHeight="1" x14ac:dyDescent="0.25">
      <c r="A64" s="280">
        <v>12</v>
      </c>
      <c r="B64" s="281">
        <v>4451</v>
      </c>
      <c r="C64" s="281">
        <v>600074927</v>
      </c>
      <c r="D64" s="281">
        <v>49864653</v>
      </c>
      <c r="E64" s="283" t="s">
        <v>329</v>
      </c>
      <c r="F64" s="281">
        <v>3143</v>
      </c>
      <c r="G64" s="284" t="s">
        <v>596</v>
      </c>
      <c r="H64" s="284" t="s">
        <v>272</v>
      </c>
      <c r="I64" s="565">
        <v>46104</v>
      </c>
      <c r="J64" s="415">
        <v>33000</v>
      </c>
      <c r="K64" s="415">
        <v>0</v>
      </c>
      <c r="L64" s="415">
        <v>33000</v>
      </c>
      <c r="M64" s="415">
        <v>0</v>
      </c>
      <c r="N64" s="415">
        <v>0</v>
      </c>
      <c r="O64" s="415">
        <v>0</v>
      </c>
      <c r="P64" s="68">
        <v>11154</v>
      </c>
      <c r="Q64" s="68">
        <v>330</v>
      </c>
      <c r="R64" s="415">
        <v>1620</v>
      </c>
      <c r="S64" s="416">
        <v>0.125</v>
      </c>
      <c r="T64" s="417">
        <v>0</v>
      </c>
      <c r="U64" s="770">
        <v>0.125</v>
      </c>
      <c r="V64" s="424">
        <f t="shared" si="75"/>
        <v>0</v>
      </c>
      <c r="W64" s="418">
        <f t="shared" si="75"/>
        <v>0</v>
      </c>
      <c r="X64" s="418">
        <v>0</v>
      </c>
      <c r="Y64" s="418">
        <v>0</v>
      </c>
      <c r="Z64" s="418">
        <v>0</v>
      </c>
      <c r="AA64" s="418">
        <v>16500</v>
      </c>
      <c r="AB64" s="418">
        <v>0</v>
      </c>
      <c r="AC64" s="418">
        <v>0</v>
      </c>
      <c r="AD64" s="418">
        <f t="shared" si="76"/>
        <v>0</v>
      </c>
      <c r="AE64" s="418">
        <f t="shared" si="77"/>
        <v>16500</v>
      </c>
      <c r="AF64" s="418">
        <f t="shared" si="78"/>
        <v>16500</v>
      </c>
      <c r="AG64" s="418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79"/>
        <v>0</v>
      </c>
      <c r="AM64" s="418">
        <f t="shared" si="80"/>
        <v>0</v>
      </c>
      <c r="AN64" s="418">
        <f t="shared" si="81"/>
        <v>0</v>
      </c>
      <c r="AO64" s="418">
        <f t="shared" si="82"/>
        <v>0</v>
      </c>
      <c r="AP64" s="418">
        <f t="shared" si="82"/>
        <v>16500</v>
      </c>
      <c r="AQ64" s="418">
        <f t="shared" si="83"/>
        <v>16500</v>
      </c>
      <c r="AR64" s="68">
        <f t="shared" si="84"/>
        <v>5577</v>
      </c>
      <c r="AS64" s="68">
        <f t="shared" si="85"/>
        <v>165</v>
      </c>
      <c r="AT64" s="418">
        <v>0</v>
      </c>
      <c r="AU64" s="418">
        <v>810</v>
      </c>
      <c r="AV64" s="418">
        <f t="shared" si="86"/>
        <v>810</v>
      </c>
      <c r="AW64" s="418">
        <f t="shared" si="87"/>
        <v>23052</v>
      </c>
      <c r="AX64" s="419">
        <v>0</v>
      </c>
      <c r="AY64" s="419">
        <v>0</v>
      </c>
      <c r="AZ64" s="419">
        <v>0</v>
      </c>
      <c r="BA64" s="419">
        <v>0</v>
      </c>
      <c r="BB64" s="419">
        <v>0.06</v>
      </c>
      <c r="BC64" s="419">
        <v>0</v>
      </c>
      <c r="BD64" s="419">
        <v>0</v>
      </c>
      <c r="BE64" s="419">
        <v>0</v>
      </c>
      <c r="BF64" s="419">
        <f t="shared" si="88"/>
        <v>0</v>
      </c>
      <c r="BG64" s="419">
        <f t="shared" si="89"/>
        <v>0.06</v>
      </c>
      <c r="BH64" s="421">
        <f t="shared" si="90"/>
        <v>0.06</v>
      </c>
      <c r="BI64" s="780">
        <f t="shared" si="91"/>
        <v>69156</v>
      </c>
      <c r="BJ64" s="418">
        <f t="shared" si="92"/>
        <v>49500</v>
      </c>
      <c r="BK64" s="418">
        <f t="shared" si="93"/>
        <v>0</v>
      </c>
      <c r="BL64" s="418">
        <f t="shared" si="93"/>
        <v>49500</v>
      </c>
      <c r="BM64" s="418">
        <f t="shared" si="94"/>
        <v>0</v>
      </c>
      <c r="BN64" s="418">
        <f t="shared" si="95"/>
        <v>0</v>
      </c>
      <c r="BO64" s="418">
        <f t="shared" si="95"/>
        <v>0</v>
      </c>
      <c r="BP64" s="418">
        <f t="shared" si="96"/>
        <v>16731</v>
      </c>
      <c r="BQ64" s="418">
        <f t="shared" si="96"/>
        <v>495</v>
      </c>
      <c r="BR64" s="418">
        <f t="shared" si="97"/>
        <v>2430</v>
      </c>
      <c r="BS64" s="419">
        <f t="shared" si="98"/>
        <v>0.185</v>
      </c>
      <c r="BT64" s="419">
        <f t="shared" si="99"/>
        <v>0</v>
      </c>
      <c r="BU64" s="421">
        <f t="shared" si="99"/>
        <v>0.185</v>
      </c>
      <c r="BV64" s="420"/>
      <c r="BW64" s="415"/>
      <c r="BX64" s="415"/>
      <c r="BY64" s="415"/>
      <c r="BZ64" s="415"/>
      <c r="CA64" s="510"/>
    </row>
    <row r="65" spans="1:79" ht="12.95" customHeight="1" x14ac:dyDescent="0.25">
      <c r="A65" s="273">
        <v>12</v>
      </c>
      <c r="B65" s="275">
        <v>4451</v>
      </c>
      <c r="C65" s="275">
        <v>600074927</v>
      </c>
      <c r="D65" s="275">
        <v>49864653</v>
      </c>
      <c r="E65" s="288" t="s">
        <v>330</v>
      </c>
      <c r="F65" s="291"/>
      <c r="G65" s="292"/>
      <c r="H65" s="292"/>
      <c r="I65" s="466">
        <v>46940461</v>
      </c>
      <c r="J65" s="463">
        <v>34299165</v>
      </c>
      <c r="K65" s="463">
        <v>30498263</v>
      </c>
      <c r="L65" s="463">
        <v>3800902</v>
      </c>
      <c r="M65" s="463">
        <v>227000</v>
      </c>
      <c r="N65" s="463">
        <v>99000</v>
      </c>
      <c r="O65" s="463">
        <v>128000</v>
      </c>
      <c r="P65" s="463">
        <v>11669843</v>
      </c>
      <c r="Q65" s="463">
        <v>342992</v>
      </c>
      <c r="R65" s="463">
        <v>401461</v>
      </c>
      <c r="S65" s="464">
        <v>64.562600000000003</v>
      </c>
      <c r="T65" s="464">
        <v>52.8247</v>
      </c>
      <c r="U65" s="534">
        <v>11.7379</v>
      </c>
      <c r="V65" s="466">
        <f t="shared" ref="V65:CA65" si="100">SUM(V59:V64)</f>
        <v>0</v>
      </c>
      <c r="W65" s="463">
        <f t="shared" si="100"/>
        <v>0</v>
      </c>
      <c r="X65" s="463">
        <f t="shared" si="100"/>
        <v>0</v>
      </c>
      <c r="Y65" s="463">
        <f t="shared" si="100"/>
        <v>0</v>
      </c>
      <c r="Z65" s="463">
        <f t="shared" si="100"/>
        <v>0</v>
      </c>
      <c r="AA65" s="463">
        <f t="shared" si="100"/>
        <v>983110</v>
      </c>
      <c r="AB65" s="463">
        <f t="shared" si="100"/>
        <v>0</v>
      </c>
      <c r="AC65" s="463">
        <f t="shared" si="100"/>
        <v>0</v>
      </c>
      <c r="AD65" s="463">
        <f t="shared" si="100"/>
        <v>0</v>
      </c>
      <c r="AE65" s="463">
        <f t="shared" si="100"/>
        <v>983110</v>
      </c>
      <c r="AF65" s="463">
        <f t="shared" si="100"/>
        <v>983110</v>
      </c>
      <c r="AG65" s="463">
        <f t="shared" si="100"/>
        <v>0</v>
      </c>
      <c r="AH65" s="463">
        <f t="shared" si="100"/>
        <v>0</v>
      </c>
      <c r="AI65" s="463">
        <f t="shared" si="100"/>
        <v>0</v>
      </c>
      <c r="AJ65" s="463">
        <f t="shared" si="100"/>
        <v>0</v>
      </c>
      <c r="AK65" s="463">
        <f t="shared" si="100"/>
        <v>0</v>
      </c>
      <c r="AL65" s="463">
        <f t="shared" si="100"/>
        <v>0</v>
      </c>
      <c r="AM65" s="463">
        <f t="shared" si="100"/>
        <v>0</v>
      </c>
      <c r="AN65" s="463">
        <f t="shared" si="100"/>
        <v>0</v>
      </c>
      <c r="AO65" s="463">
        <f t="shared" si="100"/>
        <v>0</v>
      </c>
      <c r="AP65" s="463">
        <f t="shared" si="100"/>
        <v>983110</v>
      </c>
      <c r="AQ65" s="463">
        <f t="shared" si="100"/>
        <v>983110</v>
      </c>
      <c r="AR65" s="463">
        <f t="shared" si="100"/>
        <v>332291</v>
      </c>
      <c r="AS65" s="463">
        <f t="shared" si="100"/>
        <v>9831</v>
      </c>
      <c r="AT65" s="463">
        <f t="shared" si="100"/>
        <v>0</v>
      </c>
      <c r="AU65" s="463">
        <f t="shared" si="100"/>
        <v>8799</v>
      </c>
      <c r="AV65" s="463">
        <f t="shared" si="100"/>
        <v>8799</v>
      </c>
      <c r="AW65" s="463">
        <f t="shared" si="100"/>
        <v>1334031</v>
      </c>
      <c r="AX65" s="464">
        <f t="shared" si="100"/>
        <v>0</v>
      </c>
      <c r="AY65" s="464">
        <f t="shared" si="100"/>
        <v>0</v>
      </c>
      <c r="AZ65" s="464">
        <f t="shared" si="100"/>
        <v>0</v>
      </c>
      <c r="BA65" s="464">
        <f t="shared" si="100"/>
        <v>0</v>
      </c>
      <c r="BB65" s="464">
        <f t="shared" ref="BB65" si="101">SUM(BB59:BB64)</f>
        <v>2.96</v>
      </c>
      <c r="BC65" s="464">
        <f t="shared" si="100"/>
        <v>0</v>
      </c>
      <c r="BD65" s="464">
        <f t="shared" si="100"/>
        <v>0</v>
      </c>
      <c r="BE65" s="464">
        <f t="shared" ref="BE65" si="102">SUM(BE59:BE64)</f>
        <v>0</v>
      </c>
      <c r="BF65" s="464">
        <f t="shared" si="100"/>
        <v>0</v>
      </c>
      <c r="BG65" s="464">
        <f t="shared" si="100"/>
        <v>2.96</v>
      </c>
      <c r="BH65" s="290">
        <f t="shared" si="100"/>
        <v>2.96</v>
      </c>
      <c r="BI65" s="787">
        <f t="shared" si="100"/>
        <v>48274492</v>
      </c>
      <c r="BJ65" s="463">
        <f t="shared" si="100"/>
        <v>35282275</v>
      </c>
      <c r="BK65" s="463">
        <f t="shared" si="100"/>
        <v>30498263</v>
      </c>
      <c r="BL65" s="463">
        <f t="shared" si="100"/>
        <v>4784012</v>
      </c>
      <c r="BM65" s="463">
        <f t="shared" si="100"/>
        <v>227000</v>
      </c>
      <c r="BN65" s="463">
        <f t="shared" si="100"/>
        <v>99000</v>
      </c>
      <c r="BO65" s="463">
        <f t="shared" si="100"/>
        <v>128000</v>
      </c>
      <c r="BP65" s="463">
        <f t="shared" si="100"/>
        <v>12002134</v>
      </c>
      <c r="BQ65" s="463">
        <f t="shared" si="100"/>
        <v>352823</v>
      </c>
      <c r="BR65" s="463">
        <f t="shared" si="100"/>
        <v>410260</v>
      </c>
      <c r="BS65" s="464">
        <f t="shared" si="100"/>
        <v>67.522600000000011</v>
      </c>
      <c r="BT65" s="464">
        <f t="shared" si="100"/>
        <v>52.8247</v>
      </c>
      <c r="BU65" s="290">
        <f t="shared" si="100"/>
        <v>14.697900000000002</v>
      </c>
      <c r="BV65" s="852">
        <f t="shared" si="100"/>
        <v>0</v>
      </c>
      <c r="BW65" s="722">
        <f t="shared" si="100"/>
        <v>0</v>
      </c>
      <c r="BX65" s="722">
        <f t="shared" si="100"/>
        <v>0</v>
      </c>
      <c r="BY65" s="722">
        <f t="shared" si="100"/>
        <v>0</v>
      </c>
      <c r="BZ65" s="722">
        <f t="shared" si="100"/>
        <v>0</v>
      </c>
      <c r="CA65" s="853">
        <f t="shared" si="100"/>
        <v>0</v>
      </c>
    </row>
    <row r="66" spans="1:79" ht="12.95" customHeight="1" x14ac:dyDescent="0.25">
      <c r="A66" s="280">
        <v>13</v>
      </c>
      <c r="B66" s="281">
        <v>4450</v>
      </c>
      <c r="C66" s="281">
        <v>650033841</v>
      </c>
      <c r="D66" s="281">
        <v>72744995</v>
      </c>
      <c r="E66" s="283" t="s">
        <v>331</v>
      </c>
      <c r="F66" s="281">
        <v>3111</v>
      </c>
      <c r="G66" s="284" t="s">
        <v>332</v>
      </c>
      <c r="H66" s="284" t="s">
        <v>271</v>
      </c>
      <c r="I66" s="565">
        <v>1593324</v>
      </c>
      <c r="J66" s="415">
        <v>1160163</v>
      </c>
      <c r="K66" s="415">
        <v>1106259</v>
      </c>
      <c r="L66" s="415">
        <v>53904</v>
      </c>
      <c r="M66" s="415">
        <v>18000</v>
      </c>
      <c r="N66" s="415">
        <v>12000</v>
      </c>
      <c r="O66" s="415">
        <v>6000</v>
      </c>
      <c r="P66" s="68">
        <v>398219</v>
      </c>
      <c r="Q66" s="68">
        <v>11602</v>
      </c>
      <c r="R66" s="415">
        <v>5340</v>
      </c>
      <c r="S66" s="416">
        <v>2.1755</v>
      </c>
      <c r="T66" s="417">
        <v>1.9355</v>
      </c>
      <c r="U66" s="770">
        <v>0.24</v>
      </c>
      <c r="V66" s="424">
        <f t="shared" ref="V66:W71" si="103">AG66*-1</f>
        <v>0</v>
      </c>
      <c r="W66" s="418">
        <f t="shared" si="103"/>
        <v>0</v>
      </c>
      <c r="X66" s="418">
        <v>0</v>
      </c>
      <c r="Y66" s="418">
        <v>0</v>
      </c>
      <c r="Z66" s="418">
        <v>0</v>
      </c>
      <c r="AA66" s="418">
        <v>0</v>
      </c>
      <c r="AB66" s="418">
        <v>0</v>
      </c>
      <c r="AC66" s="418">
        <v>0</v>
      </c>
      <c r="AD66" s="418">
        <f t="shared" ref="AD66:AD71" si="104">V66+X66+Y66+Z66+AB66</f>
        <v>0</v>
      </c>
      <c r="AE66" s="418">
        <f t="shared" ref="AE66:AE71" si="105">W66+AA66+AC66</f>
        <v>0</v>
      </c>
      <c r="AF66" s="418">
        <f t="shared" ref="AF66:AF71" si="106">SUM(AD66:AE66)</f>
        <v>0</v>
      </c>
      <c r="AG66" s="418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ref="AL66:AL71" si="107">AG66+AI66+AJ66</f>
        <v>0</v>
      </c>
      <c r="AM66" s="418">
        <f t="shared" ref="AM66:AM71" si="108">AH66+AK66</f>
        <v>0</v>
      </c>
      <c r="AN66" s="418">
        <f t="shared" ref="AN66:AN71" si="109">SUM(AL66:AM66)</f>
        <v>0</v>
      </c>
      <c r="AO66" s="418">
        <f t="shared" ref="AO66:AP71" si="110">AD66+AL66</f>
        <v>0</v>
      </c>
      <c r="AP66" s="418">
        <f t="shared" si="110"/>
        <v>0</v>
      </c>
      <c r="AQ66" s="418">
        <f t="shared" ref="AQ66:AQ71" si="111">SUM(AO66:AP66)</f>
        <v>0</v>
      </c>
      <c r="AR66" s="68">
        <f t="shared" ref="AR66:AR71" si="112">ROUND((AF66+AG66+AH66+AI66)*33.8%,0)</f>
        <v>0</v>
      </c>
      <c r="AS66" s="68">
        <f t="shared" ref="AS66:AS71" si="113">ROUND(AF66*1%,0)</f>
        <v>0</v>
      </c>
      <c r="AT66" s="418">
        <v>0</v>
      </c>
      <c r="AU66" s="418">
        <v>0</v>
      </c>
      <c r="AV66" s="418">
        <f t="shared" ref="AV66:AV71" si="114">AT66+AU66</f>
        <v>0</v>
      </c>
      <c r="AW66" s="418">
        <f t="shared" ref="AW66:AW71" si="115">AQ66+AR66+AS66+AV66</f>
        <v>0</v>
      </c>
      <c r="AX66" s="419">
        <v>0</v>
      </c>
      <c r="AY66" s="419">
        <v>0</v>
      </c>
      <c r="AZ66" s="419">
        <v>0</v>
      </c>
      <c r="BA66" s="419">
        <v>0</v>
      </c>
      <c r="BB66" s="419">
        <v>0</v>
      </c>
      <c r="BC66" s="419">
        <v>0</v>
      </c>
      <c r="BD66" s="419">
        <v>0</v>
      </c>
      <c r="BE66" s="419">
        <v>0</v>
      </c>
      <c r="BF66" s="419">
        <f t="shared" ref="BF66:BF71" si="116">AX66+AZ66+BA66+BC66+BD66</f>
        <v>0</v>
      </c>
      <c r="BG66" s="419">
        <f t="shared" ref="BG66:BG71" si="117">AY66+BB66+BE66</f>
        <v>0</v>
      </c>
      <c r="BH66" s="421">
        <f t="shared" ref="BH66:BH71" si="118">SUM(BF66:BG66)</f>
        <v>0</v>
      </c>
      <c r="BI66" s="780">
        <f t="shared" ref="BI66:BI71" si="119">I66+AW66</f>
        <v>1593324</v>
      </c>
      <c r="BJ66" s="418">
        <f t="shared" ref="BJ66:BJ71" si="120">J66+AF66</f>
        <v>1160163</v>
      </c>
      <c r="BK66" s="418">
        <f t="shared" ref="BK66:BL71" si="121">K66+AD66</f>
        <v>1106259</v>
      </c>
      <c r="BL66" s="418">
        <f t="shared" si="121"/>
        <v>53904</v>
      </c>
      <c r="BM66" s="418">
        <f t="shared" ref="BM66:BM71" si="122">M66+AN66</f>
        <v>18000</v>
      </c>
      <c r="BN66" s="418">
        <f t="shared" ref="BN66:BO71" si="123">N66+AL66</f>
        <v>12000</v>
      </c>
      <c r="BO66" s="418">
        <f t="shared" si="123"/>
        <v>6000</v>
      </c>
      <c r="BP66" s="418">
        <f t="shared" ref="BP66:BQ71" si="124">P66+AR66</f>
        <v>398219</v>
      </c>
      <c r="BQ66" s="418">
        <f t="shared" si="124"/>
        <v>11602</v>
      </c>
      <c r="BR66" s="418">
        <f t="shared" ref="BR66:BR71" si="125">R66+AV66</f>
        <v>5340</v>
      </c>
      <c r="BS66" s="419">
        <f t="shared" ref="BS66:BS71" si="126">S66+BH66</f>
        <v>2.1755</v>
      </c>
      <c r="BT66" s="419">
        <f t="shared" ref="BT66:BU71" si="127">T66+BF66</f>
        <v>1.9355</v>
      </c>
      <c r="BU66" s="421">
        <f t="shared" si="127"/>
        <v>0.24</v>
      </c>
      <c r="BV66" s="420"/>
      <c r="BW66" s="415"/>
      <c r="BX66" s="415"/>
      <c r="BY66" s="415"/>
      <c r="BZ66" s="415"/>
      <c r="CA66" s="510"/>
    </row>
    <row r="67" spans="1:79" ht="12.95" customHeight="1" x14ac:dyDescent="0.25">
      <c r="A67" s="280">
        <v>13</v>
      </c>
      <c r="B67" s="281">
        <v>4450</v>
      </c>
      <c r="C67" s="281">
        <v>650033841</v>
      </c>
      <c r="D67" s="281">
        <v>72744995</v>
      </c>
      <c r="E67" s="283" t="s">
        <v>331</v>
      </c>
      <c r="F67" s="281">
        <v>3117</v>
      </c>
      <c r="G67" s="284" t="s">
        <v>308</v>
      </c>
      <c r="H67" s="284" t="s">
        <v>271</v>
      </c>
      <c r="I67" s="565">
        <v>3390200</v>
      </c>
      <c r="J67" s="415">
        <v>2473909</v>
      </c>
      <c r="K67" s="415">
        <v>2195886</v>
      </c>
      <c r="L67" s="415">
        <v>278023</v>
      </c>
      <c r="M67" s="415">
        <v>5000</v>
      </c>
      <c r="N67" s="415">
        <v>1800</v>
      </c>
      <c r="O67" s="415">
        <v>3200</v>
      </c>
      <c r="P67" s="68">
        <v>837872</v>
      </c>
      <c r="Q67" s="68">
        <v>24739</v>
      </c>
      <c r="R67" s="415">
        <v>48680</v>
      </c>
      <c r="S67" s="416">
        <v>4.2465999999999999</v>
      </c>
      <c r="T67" s="417">
        <v>3.5182000000000002</v>
      </c>
      <c r="U67" s="770">
        <v>0.72839999999999994</v>
      </c>
      <c r="V67" s="424">
        <f t="shared" si="103"/>
        <v>0</v>
      </c>
      <c r="W67" s="418">
        <f t="shared" si="103"/>
        <v>0</v>
      </c>
      <c r="X67" s="418">
        <v>0</v>
      </c>
      <c r="Y67" s="418">
        <v>0</v>
      </c>
      <c r="Z67" s="418">
        <v>0</v>
      </c>
      <c r="AA67" s="418">
        <v>0</v>
      </c>
      <c r="AB67" s="418">
        <v>0</v>
      </c>
      <c r="AC67" s="418">
        <v>0</v>
      </c>
      <c r="AD67" s="418">
        <f t="shared" si="104"/>
        <v>0</v>
      </c>
      <c r="AE67" s="418">
        <f t="shared" si="105"/>
        <v>0</v>
      </c>
      <c r="AF67" s="418">
        <f t="shared" si="106"/>
        <v>0</v>
      </c>
      <c r="AG67" s="418">
        <v>0</v>
      </c>
      <c r="AH67" s="418">
        <v>0</v>
      </c>
      <c r="AI67" s="418">
        <v>0</v>
      </c>
      <c r="AJ67" s="418">
        <v>0</v>
      </c>
      <c r="AK67" s="418">
        <v>0</v>
      </c>
      <c r="AL67" s="418">
        <f t="shared" si="107"/>
        <v>0</v>
      </c>
      <c r="AM67" s="418">
        <f t="shared" si="108"/>
        <v>0</v>
      </c>
      <c r="AN67" s="418">
        <f t="shared" si="109"/>
        <v>0</v>
      </c>
      <c r="AO67" s="418">
        <f t="shared" si="110"/>
        <v>0</v>
      </c>
      <c r="AP67" s="418">
        <f t="shared" si="110"/>
        <v>0</v>
      </c>
      <c r="AQ67" s="418">
        <f t="shared" si="111"/>
        <v>0</v>
      </c>
      <c r="AR67" s="68">
        <f t="shared" si="112"/>
        <v>0</v>
      </c>
      <c r="AS67" s="68">
        <f t="shared" si="113"/>
        <v>0</v>
      </c>
      <c r="AT67" s="418">
        <v>0</v>
      </c>
      <c r="AU67" s="418">
        <v>0</v>
      </c>
      <c r="AV67" s="418">
        <f t="shared" si="114"/>
        <v>0</v>
      </c>
      <c r="AW67" s="418">
        <f t="shared" si="115"/>
        <v>0</v>
      </c>
      <c r="AX67" s="419">
        <v>0</v>
      </c>
      <c r="AY67" s="419">
        <v>0</v>
      </c>
      <c r="AZ67" s="419">
        <v>0</v>
      </c>
      <c r="BA67" s="419">
        <v>0</v>
      </c>
      <c r="BB67" s="419">
        <v>0</v>
      </c>
      <c r="BC67" s="419">
        <v>0</v>
      </c>
      <c r="BD67" s="419">
        <v>0</v>
      </c>
      <c r="BE67" s="419">
        <v>0</v>
      </c>
      <c r="BF67" s="419">
        <f t="shared" si="116"/>
        <v>0</v>
      </c>
      <c r="BG67" s="419">
        <f t="shared" si="117"/>
        <v>0</v>
      </c>
      <c r="BH67" s="421">
        <f t="shared" si="118"/>
        <v>0</v>
      </c>
      <c r="BI67" s="780">
        <f t="shared" si="119"/>
        <v>3390200</v>
      </c>
      <c r="BJ67" s="418">
        <f t="shared" si="120"/>
        <v>2473909</v>
      </c>
      <c r="BK67" s="418">
        <f t="shared" si="121"/>
        <v>2195886</v>
      </c>
      <c r="BL67" s="418">
        <f t="shared" si="121"/>
        <v>278023</v>
      </c>
      <c r="BM67" s="418">
        <f t="shared" si="122"/>
        <v>5000</v>
      </c>
      <c r="BN67" s="418">
        <f t="shared" si="123"/>
        <v>1800</v>
      </c>
      <c r="BO67" s="418">
        <f t="shared" si="123"/>
        <v>3200</v>
      </c>
      <c r="BP67" s="418">
        <f t="shared" si="124"/>
        <v>837872</v>
      </c>
      <c r="BQ67" s="418">
        <f t="shared" si="124"/>
        <v>24739</v>
      </c>
      <c r="BR67" s="418">
        <f t="shared" si="125"/>
        <v>48680</v>
      </c>
      <c r="BS67" s="419">
        <f t="shared" si="126"/>
        <v>4.2465999999999999</v>
      </c>
      <c r="BT67" s="419">
        <f t="shared" si="127"/>
        <v>3.5182000000000002</v>
      </c>
      <c r="BU67" s="421">
        <f t="shared" si="127"/>
        <v>0.72839999999999994</v>
      </c>
      <c r="BV67" s="420"/>
      <c r="BW67" s="415"/>
      <c r="BX67" s="415"/>
      <c r="BY67" s="415"/>
      <c r="BZ67" s="415"/>
      <c r="CA67" s="510"/>
    </row>
    <row r="68" spans="1:79" ht="12.95" customHeight="1" x14ac:dyDescent="0.25">
      <c r="A68" s="280">
        <v>13</v>
      </c>
      <c r="B68" s="281">
        <v>4450</v>
      </c>
      <c r="C68" s="281">
        <v>650033841</v>
      </c>
      <c r="D68" s="281">
        <v>72744995</v>
      </c>
      <c r="E68" s="283" t="s">
        <v>331</v>
      </c>
      <c r="F68" s="281">
        <v>3117</v>
      </c>
      <c r="G68" s="284" t="s">
        <v>298</v>
      </c>
      <c r="H68" s="284" t="s">
        <v>272</v>
      </c>
      <c r="I68" s="565">
        <v>1007181</v>
      </c>
      <c r="J68" s="415">
        <v>741603</v>
      </c>
      <c r="K68" s="415">
        <v>741603</v>
      </c>
      <c r="L68" s="415">
        <v>0</v>
      </c>
      <c r="M68" s="415">
        <v>0</v>
      </c>
      <c r="N68" s="415">
        <v>0</v>
      </c>
      <c r="O68" s="415">
        <v>0</v>
      </c>
      <c r="P68" s="68">
        <v>250662</v>
      </c>
      <c r="Q68" s="68">
        <v>7416</v>
      </c>
      <c r="R68" s="415">
        <v>7500</v>
      </c>
      <c r="S68" s="416">
        <v>2</v>
      </c>
      <c r="T68" s="417">
        <v>2</v>
      </c>
      <c r="U68" s="770">
        <v>0</v>
      </c>
      <c r="V68" s="424">
        <f t="shared" si="103"/>
        <v>0</v>
      </c>
      <c r="W68" s="418">
        <f t="shared" si="103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si="104"/>
        <v>0</v>
      </c>
      <c r="AE68" s="418">
        <f t="shared" si="105"/>
        <v>0</v>
      </c>
      <c r="AF68" s="418">
        <f t="shared" si="106"/>
        <v>0</v>
      </c>
      <c r="AG68" s="418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si="107"/>
        <v>0</v>
      </c>
      <c r="AM68" s="418">
        <f t="shared" si="108"/>
        <v>0</v>
      </c>
      <c r="AN68" s="418">
        <f t="shared" si="109"/>
        <v>0</v>
      </c>
      <c r="AO68" s="418">
        <f t="shared" si="110"/>
        <v>0</v>
      </c>
      <c r="AP68" s="418">
        <f t="shared" si="110"/>
        <v>0</v>
      </c>
      <c r="AQ68" s="418">
        <f t="shared" si="111"/>
        <v>0</v>
      </c>
      <c r="AR68" s="68">
        <f t="shared" si="112"/>
        <v>0</v>
      </c>
      <c r="AS68" s="68">
        <f t="shared" si="113"/>
        <v>0</v>
      </c>
      <c r="AT68" s="418">
        <v>0</v>
      </c>
      <c r="AU68" s="418">
        <v>0</v>
      </c>
      <c r="AV68" s="418">
        <f t="shared" si="114"/>
        <v>0</v>
      </c>
      <c r="AW68" s="418">
        <f t="shared" si="115"/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si="116"/>
        <v>0</v>
      </c>
      <c r="BG68" s="419">
        <f t="shared" si="117"/>
        <v>0</v>
      </c>
      <c r="BH68" s="421">
        <f t="shared" si="118"/>
        <v>0</v>
      </c>
      <c r="BI68" s="780">
        <f t="shared" si="119"/>
        <v>1007181</v>
      </c>
      <c r="BJ68" s="418">
        <f t="shared" si="120"/>
        <v>741603</v>
      </c>
      <c r="BK68" s="418">
        <f t="shared" si="121"/>
        <v>741603</v>
      </c>
      <c r="BL68" s="418">
        <f t="shared" si="121"/>
        <v>0</v>
      </c>
      <c r="BM68" s="418">
        <f t="shared" si="122"/>
        <v>0</v>
      </c>
      <c r="BN68" s="418">
        <f t="shared" si="123"/>
        <v>0</v>
      </c>
      <c r="BO68" s="418">
        <f t="shared" si="123"/>
        <v>0</v>
      </c>
      <c r="BP68" s="418">
        <f t="shared" si="124"/>
        <v>250662</v>
      </c>
      <c r="BQ68" s="418">
        <f t="shared" si="124"/>
        <v>7416</v>
      </c>
      <c r="BR68" s="418">
        <f t="shared" si="125"/>
        <v>7500</v>
      </c>
      <c r="BS68" s="419">
        <f t="shared" si="126"/>
        <v>2</v>
      </c>
      <c r="BT68" s="419">
        <f t="shared" si="127"/>
        <v>2</v>
      </c>
      <c r="BU68" s="421">
        <f t="shared" si="127"/>
        <v>0</v>
      </c>
      <c r="BV68" s="420"/>
      <c r="BW68" s="415"/>
      <c r="BX68" s="415"/>
      <c r="BY68" s="415"/>
      <c r="BZ68" s="415"/>
      <c r="CA68" s="510"/>
    </row>
    <row r="69" spans="1:79" ht="12.95" customHeight="1" x14ac:dyDescent="0.25">
      <c r="A69" s="280">
        <v>13</v>
      </c>
      <c r="B69" s="281">
        <v>4450</v>
      </c>
      <c r="C69" s="281">
        <v>650033841</v>
      </c>
      <c r="D69" s="281">
        <v>72744995</v>
      </c>
      <c r="E69" s="283" t="s">
        <v>331</v>
      </c>
      <c r="F69" s="281">
        <v>3141</v>
      </c>
      <c r="G69" s="284" t="s">
        <v>294</v>
      </c>
      <c r="H69" s="284" t="s">
        <v>272</v>
      </c>
      <c r="I69" s="565">
        <v>201866</v>
      </c>
      <c r="J69" s="415">
        <v>132966</v>
      </c>
      <c r="K69" s="415">
        <v>0</v>
      </c>
      <c r="L69" s="415">
        <v>132966</v>
      </c>
      <c r="M69" s="415">
        <v>16000</v>
      </c>
      <c r="N69" s="415">
        <v>0</v>
      </c>
      <c r="O69" s="415">
        <v>16000</v>
      </c>
      <c r="P69" s="68">
        <v>50351</v>
      </c>
      <c r="Q69" s="68">
        <v>1330</v>
      </c>
      <c r="R69" s="415">
        <v>1219</v>
      </c>
      <c r="S69" s="416">
        <v>0.41669999999999996</v>
      </c>
      <c r="T69" s="417">
        <v>0</v>
      </c>
      <c r="U69" s="770">
        <v>0.41669999999999996</v>
      </c>
      <c r="V69" s="424">
        <f t="shared" si="103"/>
        <v>0</v>
      </c>
      <c r="W69" s="418">
        <f t="shared" si="103"/>
        <v>0</v>
      </c>
      <c r="X69" s="418">
        <v>0</v>
      </c>
      <c r="Y69" s="418">
        <v>0</v>
      </c>
      <c r="Z69" s="418">
        <v>0</v>
      </c>
      <c r="AA69" s="418">
        <v>73237</v>
      </c>
      <c r="AB69" s="418">
        <v>0</v>
      </c>
      <c r="AC69" s="418">
        <v>0</v>
      </c>
      <c r="AD69" s="418">
        <f t="shared" si="104"/>
        <v>0</v>
      </c>
      <c r="AE69" s="418">
        <f t="shared" si="105"/>
        <v>73237</v>
      </c>
      <c r="AF69" s="418">
        <f t="shared" si="106"/>
        <v>73237</v>
      </c>
      <c r="AG69" s="418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07"/>
        <v>0</v>
      </c>
      <c r="AM69" s="418">
        <f t="shared" si="108"/>
        <v>0</v>
      </c>
      <c r="AN69" s="418">
        <f t="shared" si="109"/>
        <v>0</v>
      </c>
      <c r="AO69" s="418">
        <f t="shared" si="110"/>
        <v>0</v>
      </c>
      <c r="AP69" s="418">
        <f t="shared" si="110"/>
        <v>73237</v>
      </c>
      <c r="AQ69" s="418">
        <f t="shared" si="111"/>
        <v>73237</v>
      </c>
      <c r="AR69" s="68">
        <f t="shared" si="112"/>
        <v>24754</v>
      </c>
      <c r="AS69" s="68">
        <f t="shared" si="113"/>
        <v>732</v>
      </c>
      <c r="AT69" s="418">
        <v>0</v>
      </c>
      <c r="AU69" s="418">
        <v>583</v>
      </c>
      <c r="AV69" s="418">
        <f t="shared" si="114"/>
        <v>583</v>
      </c>
      <c r="AW69" s="418">
        <f t="shared" si="115"/>
        <v>99306</v>
      </c>
      <c r="AX69" s="419">
        <v>0</v>
      </c>
      <c r="AY69" s="419">
        <v>0</v>
      </c>
      <c r="AZ69" s="419">
        <v>0</v>
      </c>
      <c r="BA69" s="419">
        <v>0</v>
      </c>
      <c r="BB69" s="419">
        <v>0.22</v>
      </c>
      <c r="BC69" s="419">
        <v>0</v>
      </c>
      <c r="BD69" s="419">
        <v>0</v>
      </c>
      <c r="BE69" s="419">
        <v>0</v>
      </c>
      <c r="BF69" s="419">
        <f t="shared" si="116"/>
        <v>0</v>
      </c>
      <c r="BG69" s="419">
        <f t="shared" si="117"/>
        <v>0.22</v>
      </c>
      <c r="BH69" s="421">
        <f t="shared" si="118"/>
        <v>0.22</v>
      </c>
      <c r="BI69" s="780">
        <f t="shared" si="119"/>
        <v>301172</v>
      </c>
      <c r="BJ69" s="418">
        <f t="shared" si="120"/>
        <v>206203</v>
      </c>
      <c r="BK69" s="418">
        <f t="shared" si="121"/>
        <v>0</v>
      </c>
      <c r="BL69" s="418">
        <f t="shared" si="121"/>
        <v>206203</v>
      </c>
      <c r="BM69" s="418">
        <f t="shared" si="122"/>
        <v>16000</v>
      </c>
      <c r="BN69" s="418">
        <f t="shared" si="123"/>
        <v>0</v>
      </c>
      <c r="BO69" s="418">
        <f t="shared" si="123"/>
        <v>16000</v>
      </c>
      <c r="BP69" s="418">
        <f t="shared" si="124"/>
        <v>75105</v>
      </c>
      <c r="BQ69" s="418">
        <f t="shared" si="124"/>
        <v>2062</v>
      </c>
      <c r="BR69" s="418">
        <f t="shared" si="125"/>
        <v>1802</v>
      </c>
      <c r="BS69" s="419">
        <f t="shared" si="126"/>
        <v>0.63669999999999993</v>
      </c>
      <c r="BT69" s="419">
        <f t="shared" si="127"/>
        <v>0</v>
      </c>
      <c r="BU69" s="421">
        <f t="shared" si="127"/>
        <v>0.63669999999999993</v>
      </c>
      <c r="BV69" s="420"/>
      <c r="BW69" s="415"/>
      <c r="BX69" s="415"/>
      <c r="BY69" s="415"/>
      <c r="BZ69" s="415"/>
      <c r="CA69" s="510"/>
    </row>
    <row r="70" spans="1:79" ht="12.95" customHeight="1" x14ac:dyDescent="0.25">
      <c r="A70" s="280">
        <v>13</v>
      </c>
      <c r="B70" s="281">
        <v>4450</v>
      </c>
      <c r="C70" s="281">
        <v>650033841</v>
      </c>
      <c r="D70" s="281">
        <v>72744995</v>
      </c>
      <c r="E70" s="283" t="s">
        <v>331</v>
      </c>
      <c r="F70" s="281">
        <v>3143</v>
      </c>
      <c r="G70" s="284" t="s">
        <v>595</v>
      </c>
      <c r="H70" s="284" t="s">
        <v>271</v>
      </c>
      <c r="I70" s="565">
        <v>434878</v>
      </c>
      <c r="J70" s="415">
        <v>322610</v>
      </c>
      <c r="K70" s="415">
        <v>322610</v>
      </c>
      <c r="L70" s="415">
        <v>0</v>
      </c>
      <c r="M70" s="415">
        <v>0</v>
      </c>
      <c r="N70" s="415">
        <v>0</v>
      </c>
      <c r="O70" s="415">
        <v>0</v>
      </c>
      <c r="P70" s="68">
        <v>109042</v>
      </c>
      <c r="Q70" s="68">
        <v>3226</v>
      </c>
      <c r="R70" s="415">
        <v>0</v>
      </c>
      <c r="S70" s="416">
        <v>0.66659999999999997</v>
      </c>
      <c r="T70" s="417">
        <v>0.66659999999999997</v>
      </c>
      <c r="U70" s="770">
        <v>0</v>
      </c>
      <c r="V70" s="424">
        <f t="shared" si="103"/>
        <v>0</v>
      </c>
      <c r="W70" s="418">
        <f t="shared" si="103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04"/>
        <v>0</v>
      </c>
      <c r="AE70" s="418">
        <f t="shared" si="105"/>
        <v>0</v>
      </c>
      <c r="AF70" s="418">
        <f t="shared" si="106"/>
        <v>0</v>
      </c>
      <c r="AG70" s="418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07"/>
        <v>0</v>
      </c>
      <c r="AM70" s="418">
        <f t="shared" si="108"/>
        <v>0</v>
      </c>
      <c r="AN70" s="418">
        <f t="shared" si="109"/>
        <v>0</v>
      </c>
      <c r="AO70" s="418">
        <f t="shared" si="110"/>
        <v>0</v>
      </c>
      <c r="AP70" s="418">
        <f t="shared" si="110"/>
        <v>0</v>
      </c>
      <c r="AQ70" s="418">
        <f t="shared" si="111"/>
        <v>0</v>
      </c>
      <c r="AR70" s="68">
        <f t="shared" si="112"/>
        <v>0</v>
      </c>
      <c r="AS70" s="68">
        <f t="shared" si="113"/>
        <v>0</v>
      </c>
      <c r="AT70" s="418">
        <v>0</v>
      </c>
      <c r="AU70" s="418">
        <v>0</v>
      </c>
      <c r="AV70" s="418">
        <f t="shared" si="114"/>
        <v>0</v>
      </c>
      <c r="AW70" s="418">
        <f t="shared" si="115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16"/>
        <v>0</v>
      </c>
      <c r="BG70" s="419">
        <f t="shared" si="117"/>
        <v>0</v>
      </c>
      <c r="BH70" s="421">
        <f t="shared" si="118"/>
        <v>0</v>
      </c>
      <c r="BI70" s="780">
        <f t="shared" si="119"/>
        <v>434878</v>
      </c>
      <c r="BJ70" s="418">
        <f t="shared" si="120"/>
        <v>322610</v>
      </c>
      <c r="BK70" s="418">
        <f t="shared" si="121"/>
        <v>322610</v>
      </c>
      <c r="BL70" s="418">
        <f t="shared" si="121"/>
        <v>0</v>
      </c>
      <c r="BM70" s="418">
        <f t="shared" si="122"/>
        <v>0</v>
      </c>
      <c r="BN70" s="418">
        <f t="shared" si="123"/>
        <v>0</v>
      </c>
      <c r="BO70" s="418">
        <f t="shared" si="123"/>
        <v>0</v>
      </c>
      <c r="BP70" s="418">
        <f t="shared" si="124"/>
        <v>109042</v>
      </c>
      <c r="BQ70" s="418">
        <f t="shared" si="124"/>
        <v>3226</v>
      </c>
      <c r="BR70" s="418">
        <f t="shared" si="125"/>
        <v>0</v>
      </c>
      <c r="BS70" s="419">
        <f t="shared" si="126"/>
        <v>0.66659999999999997</v>
      </c>
      <c r="BT70" s="419">
        <f t="shared" si="127"/>
        <v>0.66659999999999997</v>
      </c>
      <c r="BU70" s="421">
        <f t="shared" si="127"/>
        <v>0</v>
      </c>
      <c r="BV70" s="420"/>
      <c r="BW70" s="415"/>
      <c r="BX70" s="415"/>
      <c r="BY70" s="415"/>
      <c r="BZ70" s="415"/>
      <c r="CA70" s="510"/>
    </row>
    <row r="71" spans="1:79" ht="12.95" customHeight="1" x14ac:dyDescent="0.25">
      <c r="A71" s="280">
        <v>13</v>
      </c>
      <c r="B71" s="281">
        <v>4450</v>
      </c>
      <c r="C71" s="281">
        <v>650033841</v>
      </c>
      <c r="D71" s="281">
        <v>72744995</v>
      </c>
      <c r="E71" s="283" t="s">
        <v>331</v>
      </c>
      <c r="F71" s="281">
        <v>3143</v>
      </c>
      <c r="G71" s="284" t="s">
        <v>596</v>
      </c>
      <c r="H71" s="284" t="s">
        <v>272</v>
      </c>
      <c r="I71" s="565">
        <v>10770</v>
      </c>
      <c r="J71" s="415">
        <v>7709</v>
      </c>
      <c r="K71" s="415">
        <v>0</v>
      </c>
      <c r="L71" s="415">
        <v>7709</v>
      </c>
      <c r="M71" s="415">
        <v>0</v>
      </c>
      <c r="N71" s="415">
        <v>0</v>
      </c>
      <c r="O71" s="415">
        <v>0</v>
      </c>
      <c r="P71" s="68">
        <v>2606</v>
      </c>
      <c r="Q71" s="68">
        <v>77</v>
      </c>
      <c r="R71" s="415">
        <v>378</v>
      </c>
      <c r="S71" s="416">
        <v>2.92E-2</v>
      </c>
      <c r="T71" s="417">
        <v>0</v>
      </c>
      <c r="U71" s="770">
        <v>2.92E-2</v>
      </c>
      <c r="V71" s="424">
        <f t="shared" si="103"/>
        <v>0</v>
      </c>
      <c r="W71" s="418">
        <f t="shared" si="103"/>
        <v>0</v>
      </c>
      <c r="X71" s="418">
        <v>0</v>
      </c>
      <c r="Y71" s="418">
        <v>0</v>
      </c>
      <c r="Z71" s="418">
        <v>0</v>
      </c>
      <c r="AA71" s="418">
        <v>3841</v>
      </c>
      <c r="AB71" s="418">
        <v>0</v>
      </c>
      <c r="AC71" s="418">
        <v>0</v>
      </c>
      <c r="AD71" s="418">
        <f t="shared" si="104"/>
        <v>0</v>
      </c>
      <c r="AE71" s="418">
        <f t="shared" si="105"/>
        <v>3841</v>
      </c>
      <c r="AF71" s="418">
        <f t="shared" si="106"/>
        <v>3841</v>
      </c>
      <c r="AG71" s="418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07"/>
        <v>0</v>
      </c>
      <c r="AM71" s="418">
        <f t="shared" si="108"/>
        <v>0</v>
      </c>
      <c r="AN71" s="418">
        <f t="shared" si="109"/>
        <v>0</v>
      </c>
      <c r="AO71" s="418">
        <f t="shared" si="110"/>
        <v>0</v>
      </c>
      <c r="AP71" s="418">
        <f t="shared" si="110"/>
        <v>3841</v>
      </c>
      <c r="AQ71" s="418">
        <f t="shared" si="111"/>
        <v>3841</v>
      </c>
      <c r="AR71" s="68">
        <f t="shared" si="112"/>
        <v>1298</v>
      </c>
      <c r="AS71" s="68">
        <f t="shared" si="113"/>
        <v>38</v>
      </c>
      <c r="AT71" s="418">
        <v>0</v>
      </c>
      <c r="AU71" s="418">
        <v>189</v>
      </c>
      <c r="AV71" s="418">
        <f t="shared" si="114"/>
        <v>189</v>
      </c>
      <c r="AW71" s="418">
        <f t="shared" si="115"/>
        <v>5366</v>
      </c>
      <c r="AX71" s="419">
        <v>0</v>
      </c>
      <c r="AY71" s="419">
        <v>0</v>
      </c>
      <c r="AZ71" s="419">
        <v>0</v>
      </c>
      <c r="BA71" s="419">
        <v>0</v>
      </c>
      <c r="BB71" s="419">
        <v>0.01</v>
      </c>
      <c r="BC71" s="419">
        <v>0</v>
      </c>
      <c r="BD71" s="419">
        <v>0</v>
      </c>
      <c r="BE71" s="419">
        <v>0</v>
      </c>
      <c r="BF71" s="419">
        <f t="shared" si="116"/>
        <v>0</v>
      </c>
      <c r="BG71" s="419">
        <f t="shared" si="117"/>
        <v>0.01</v>
      </c>
      <c r="BH71" s="421">
        <f t="shared" si="118"/>
        <v>0.01</v>
      </c>
      <c r="BI71" s="780">
        <f t="shared" si="119"/>
        <v>16136</v>
      </c>
      <c r="BJ71" s="418">
        <f t="shared" si="120"/>
        <v>11550</v>
      </c>
      <c r="BK71" s="418">
        <f t="shared" si="121"/>
        <v>0</v>
      </c>
      <c r="BL71" s="418">
        <f t="shared" si="121"/>
        <v>11550</v>
      </c>
      <c r="BM71" s="418">
        <f t="shared" si="122"/>
        <v>0</v>
      </c>
      <c r="BN71" s="418">
        <f t="shared" si="123"/>
        <v>0</v>
      </c>
      <c r="BO71" s="418">
        <f t="shared" si="123"/>
        <v>0</v>
      </c>
      <c r="BP71" s="418">
        <f t="shared" si="124"/>
        <v>3904</v>
      </c>
      <c r="BQ71" s="418">
        <f t="shared" si="124"/>
        <v>115</v>
      </c>
      <c r="BR71" s="418">
        <f t="shared" si="125"/>
        <v>567</v>
      </c>
      <c r="BS71" s="419">
        <f t="shared" si="126"/>
        <v>3.9199999999999999E-2</v>
      </c>
      <c r="BT71" s="419">
        <f t="shared" si="127"/>
        <v>0</v>
      </c>
      <c r="BU71" s="421">
        <f t="shared" si="127"/>
        <v>3.9199999999999999E-2</v>
      </c>
      <c r="BV71" s="420"/>
      <c r="BW71" s="415"/>
      <c r="BX71" s="415"/>
      <c r="BY71" s="415"/>
      <c r="BZ71" s="415"/>
      <c r="CA71" s="510"/>
    </row>
    <row r="72" spans="1:79" ht="12.95" customHeight="1" x14ac:dyDescent="0.25">
      <c r="A72" s="273">
        <v>13</v>
      </c>
      <c r="B72" s="275">
        <v>4450</v>
      </c>
      <c r="C72" s="275">
        <v>650033841</v>
      </c>
      <c r="D72" s="275">
        <v>72744995</v>
      </c>
      <c r="E72" s="288" t="s">
        <v>333</v>
      </c>
      <c r="F72" s="291"/>
      <c r="G72" s="292"/>
      <c r="H72" s="292"/>
      <c r="I72" s="466">
        <v>6638219</v>
      </c>
      <c r="J72" s="463">
        <v>4838960</v>
      </c>
      <c r="K72" s="463">
        <v>4366358</v>
      </c>
      <c r="L72" s="463">
        <v>472602</v>
      </c>
      <c r="M72" s="463">
        <v>39000</v>
      </c>
      <c r="N72" s="463">
        <v>13800</v>
      </c>
      <c r="O72" s="463">
        <v>25200</v>
      </c>
      <c r="P72" s="463">
        <v>1648752</v>
      </c>
      <c r="Q72" s="463">
        <v>48390</v>
      </c>
      <c r="R72" s="463">
        <v>63117</v>
      </c>
      <c r="S72" s="464">
        <v>9.5346000000000011</v>
      </c>
      <c r="T72" s="464">
        <v>8.1203000000000003</v>
      </c>
      <c r="U72" s="534">
        <v>1.4142999999999999</v>
      </c>
      <c r="V72" s="466">
        <f t="shared" ref="V72:CA72" si="128">SUM(V66:V71)</f>
        <v>0</v>
      </c>
      <c r="W72" s="463">
        <f t="shared" si="128"/>
        <v>0</v>
      </c>
      <c r="X72" s="463">
        <f t="shared" si="128"/>
        <v>0</v>
      </c>
      <c r="Y72" s="463">
        <f t="shared" si="128"/>
        <v>0</v>
      </c>
      <c r="Z72" s="463">
        <f t="shared" si="128"/>
        <v>0</v>
      </c>
      <c r="AA72" s="463">
        <f t="shared" si="128"/>
        <v>77078</v>
      </c>
      <c r="AB72" s="463">
        <f t="shared" si="128"/>
        <v>0</v>
      </c>
      <c r="AC72" s="463">
        <f t="shared" si="128"/>
        <v>0</v>
      </c>
      <c r="AD72" s="463">
        <f t="shared" si="128"/>
        <v>0</v>
      </c>
      <c r="AE72" s="463">
        <f t="shared" si="128"/>
        <v>77078</v>
      </c>
      <c r="AF72" s="463">
        <f t="shared" si="128"/>
        <v>77078</v>
      </c>
      <c r="AG72" s="463">
        <f t="shared" si="128"/>
        <v>0</v>
      </c>
      <c r="AH72" s="463">
        <f t="shared" si="128"/>
        <v>0</v>
      </c>
      <c r="AI72" s="463">
        <f t="shared" si="128"/>
        <v>0</v>
      </c>
      <c r="AJ72" s="463">
        <f t="shared" si="128"/>
        <v>0</v>
      </c>
      <c r="AK72" s="463">
        <f t="shared" si="128"/>
        <v>0</v>
      </c>
      <c r="AL72" s="463">
        <f t="shared" si="128"/>
        <v>0</v>
      </c>
      <c r="AM72" s="463">
        <f t="shared" si="128"/>
        <v>0</v>
      </c>
      <c r="AN72" s="463">
        <f t="shared" si="128"/>
        <v>0</v>
      </c>
      <c r="AO72" s="463">
        <f t="shared" si="128"/>
        <v>0</v>
      </c>
      <c r="AP72" s="463">
        <f t="shared" si="128"/>
        <v>77078</v>
      </c>
      <c r="AQ72" s="463">
        <f t="shared" si="128"/>
        <v>77078</v>
      </c>
      <c r="AR72" s="463">
        <f t="shared" si="128"/>
        <v>26052</v>
      </c>
      <c r="AS72" s="463">
        <f t="shared" si="128"/>
        <v>770</v>
      </c>
      <c r="AT72" s="463">
        <f t="shared" si="128"/>
        <v>0</v>
      </c>
      <c r="AU72" s="463">
        <f t="shared" si="128"/>
        <v>772</v>
      </c>
      <c r="AV72" s="463">
        <f t="shared" si="128"/>
        <v>772</v>
      </c>
      <c r="AW72" s="463">
        <f t="shared" si="128"/>
        <v>104672</v>
      </c>
      <c r="AX72" s="464">
        <f t="shared" si="128"/>
        <v>0</v>
      </c>
      <c r="AY72" s="464">
        <f t="shared" si="128"/>
        <v>0</v>
      </c>
      <c r="AZ72" s="464">
        <f t="shared" si="128"/>
        <v>0</v>
      </c>
      <c r="BA72" s="464">
        <f t="shared" si="128"/>
        <v>0</v>
      </c>
      <c r="BB72" s="464">
        <f t="shared" ref="BB72" si="129">SUM(BB66:BB71)</f>
        <v>0.23</v>
      </c>
      <c r="BC72" s="464">
        <f t="shared" si="128"/>
        <v>0</v>
      </c>
      <c r="BD72" s="464">
        <f t="shared" si="128"/>
        <v>0</v>
      </c>
      <c r="BE72" s="464">
        <f t="shared" ref="BE72" si="130">SUM(BE66:BE71)</f>
        <v>0</v>
      </c>
      <c r="BF72" s="464">
        <f t="shared" si="128"/>
        <v>0</v>
      </c>
      <c r="BG72" s="464">
        <f t="shared" si="128"/>
        <v>0.23</v>
      </c>
      <c r="BH72" s="290">
        <f t="shared" si="128"/>
        <v>0.23</v>
      </c>
      <c r="BI72" s="787">
        <f t="shared" si="128"/>
        <v>6742891</v>
      </c>
      <c r="BJ72" s="463">
        <f t="shared" si="128"/>
        <v>4916038</v>
      </c>
      <c r="BK72" s="463">
        <f t="shared" si="128"/>
        <v>4366358</v>
      </c>
      <c r="BL72" s="463">
        <f t="shared" si="128"/>
        <v>549680</v>
      </c>
      <c r="BM72" s="463">
        <f t="shared" si="128"/>
        <v>39000</v>
      </c>
      <c r="BN72" s="463">
        <f t="shared" si="128"/>
        <v>13800</v>
      </c>
      <c r="BO72" s="463">
        <f t="shared" si="128"/>
        <v>25200</v>
      </c>
      <c r="BP72" s="463">
        <f t="shared" si="128"/>
        <v>1674804</v>
      </c>
      <c r="BQ72" s="463">
        <f t="shared" si="128"/>
        <v>49160</v>
      </c>
      <c r="BR72" s="463">
        <f t="shared" si="128"/>
        <v>63889</v>
      </c>
      <c r="BS72" s="464">
        <f t="shared" si="128"/>
        <v>9.7645999999999997</v>
      </c>
      <c r="BT72" s="464">
        <f t="shared" si="128"/>
        <v>8.1203000000000003</v>
      </c>
      <c r="BU72" s="290">
        <f t="shared" si="128"/>
        <v>1.6442999999999997</v>
      </c>
      <c r="BV72" s="852">
        <f t="shared" si="128"/>
        <v>0</v>
      </c>
      <c r="BW72" s="722">
        <f t="shared" si="128"/>
        <v>0</v>
      </c>
      <c r="BX72" s="722">
        <f t="shared" si="128"/>
        <v>0</v>
      </c>
      <c r="BY72" s="722">
        <f t="shared" si="128"/>
        <v>0</v>
      </c>
      <c r="BZ72" s="722">
        <f t="shared" si="128"/>
        <v>0</v>
      </c>
      <c r="CA72" s="853">
        <f t="shared" si="128"/>
        <v>0</v>
      </c>
    </row>
    <row r="73" spans="1:79" ht="12.95" customHeight="1" x14ac:dyDescent="0.25">
      <c r="A73" s="280">
        <v>14</v>
      </c>
      <c r="B73" s="281">
        <v>4430</v>
      </c>
      <c r="C73" s="281">
        <v>600074862</v>
      </c>
      <c r="D73" s="281">
        <v>70695024</v>
      </c>
      <c r="E73" s="283" t="s">
        <v>334</v>
      </c>
      <c r="F73" s="281">
        <v>3111</v>
      </c>
      <c r="G73" s="284" t="s">
        <v>332</v>
      </c>
      <c r="H73" s="284" t="s">
        <v>271</v>
      </c>
      <c r="I73" s="565">
        <v>1638518</v>
      </c>
      <c r="J73" s="415">
        <v>1210764</v>
      </c>
      <c r="K73" s="415">
        <v>1144196</v>
      </c>
      <c r="L73" s="415">
        <v>66568</v>
      </c>
      <c r="M73" s="415">
        <v>0</v>
      </c>
      <c r="N73" s="415">
        <v>0</v>
      </c>
      <c r="O73" s="415">
        <v>0</v>
      </c>
      <c r="P73" s="68">
        <v>409238</v>
      </c>
      <c r="Q73" s="68">
        <v>12108</v>
      </c>
      <c r="R73" s="415">
        <v>6408</v>
      </c>
      <c r="S73" s="416">
        <v>2.2667000000000002</v>
      </c>
      <c r="T73" s="417">
        <v>2</v>
      </c>
      <c r="U73" s="770">
        <v>0.26669999999999999</v>
      </c>
      <c r="V73" s="424">
        <f t="shared" ref="V73:W78" si="131">AG73*-1</f>
        <v>0</v>
      </c>
      <c r="W73" s="418">
        <f t="shared" si="131"/>
        <v>0</v>
      </c>
      <c r="X73" s="418">
        <v>0</v>
      </c>
      <c r="Y73" s="418">
        <v>0</v>
      </c>
      <c r="Z73" s="418">
        <v>0</v>
      </c>
      <c r="AA73" s="418">
        <v>0</v>
      </c>
      <c r="AB73" s="418">
        <v>0</v>
      </c>
      <c r="AC73" s="418">
        <v>0</v>
      </c>
      <c r="AD73" s="418">
        <f t="shared" ref="AD73:AD78" si="132">V73+X73+Y73+Z73+AB73</f>
        <v>0</v>
      </c>
      <c r="AE73" s="418">
        <f t="shared" ref="AE73:AE78" si="133">W73+AA73+AC73</f>
        <v>0</v>
      </c>
      <c r="AF73" s="418">
        <f t="shared" ref="AF73:AF78" si="134">SUM(AD73:AE73)</f>
        <v>0</v>
      </c>
      <c r="AG73" s="418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ref="AL73:AL78" si="135">AG73+AI73+AJ73</f>
        <v>0</v>
      </c>
      <c r="AM73" s="418">
        <f t="shared" ref="AM73:AM78" si="136">AH73+AK73</f>
        <v>0</v>
      </c>
      <c r="AN73" s="418">
        <f t="shared" ref="AN73:AN78" si="137">SUM(AL73:AM73)</f>
        <v>0</v>
      </c>
      <c r="AO73" s="418">
        <f t="shared" ref="AO73:AP78" si="138">AD73+AL73</f>
        <v>0</v>
      </c>
      <c r="AP73" s="418">
        <f t="shared" si="138"/>
        <v>0</v>
      </c>
      <c r="AQ73" s="418">
        <f t="shared" ref="AQ73:AQ78" si="139">SUM(AO73:AP73)</f>
        <v>0</v>
      </c>
      <c r="AR73" s="68">
        <f t="shared" ref="AR73:AR78" si="140">ROUND((AF73+AG73+AH73+AI73)*33.8%,0)</f>
        <v>0</v>
      </c>
      <c r="AS73" s="68">
        <f t="shared" ref="AS73:AS78" si="141">ROUND(AF73*1%,0)</f>
        <v>0</v>
      </c>
      <c r="AT73" s="418">
        <v>0</v>
      </c>
      <c r="AU73" s="418">
        <v>0</v>
      </c>
      <c r="AV73" s="418">
        <f t="shared" ref="AV73:AV78" si="142">AT73+AU73</f>
        <v>0</v>
      </c>
      <c r="AW73" s="418">
        <f t="shared" ref="AW73:AW78" si="143">AQ73+AR73+AS73+AV73</f>
        <v>0</v>
      </c>
      <c r="AX73" s="419">
        <v>0</v>
      </c>
      <c r="AY73" s="419">
        <v>0</v>
      </c>
      <c r="AZ73" s="419">
        <v>0</v>
      </c>
      <c r="BA73" s="419">
        <v>0</v>
      </c>
      <c r="BB73" s="419">
        <v>0</v>
      </c>
      <c r="BC73" s="419">
        <v>0</v>
      </c>
      <c r="BD73" s="419">
        <v>0</v>
      </c>
      <c r="BE73" s="419">
        <v>0</v>
      </c>
      <c r="BF73" s="419">
        <f t="shared" ref="BF73:BF78" si="144">AX73+AZ73+BA73+BC73+BD73</f>
        <v>0</v>
      </c>
      <c r="BG73" s="419">
        <f t="shared" ref="BG73:BG78" si="145">AY73+BB73+BE73</f>
        <v>0</v>
      </c>
      <c r="BH73" s="421">
        <f t="shared" ref="BH73:BH78" si="146">SUM(BF73:BG73)</f>
        <v>0</v>
      </c>
      <c r="BI73" s="780">
        <f t="shared" ref="BI73:BI78" si="147">I73+AW73</f>
        <v>1638518</v>
      </c>
      <c r="BJ73" s="418">
        <f t="shared" ref="BJ73:BJ78" si="148">J73+AF73</f>
        <v>1210764</v>
      </c>
      <c r="BK73" s="418">
        <f t="shared" ref="BK73:BL78" si="149">K73+AD73</f>
        <v>1144196</v>
      </c>
      <c r="BL73" s="418">
        <f t="shared" si="149"/>
        <v>66568</v>
      </c>
      <c r="BM73" s="418">
        <f t="shared" ref="BM73:BM78" si="150">M73+AN73</f>
        <v>0</v>
      </c>
      <c r="BN73" s="418">
        <f t="shared" ref="BN73:BO78" si="151">N73+AL73</f>
        <v>0</v>
      </c>
      <c r="BO73" s="418">
        <f t="shared" si="151"/>
        <v>0</v>
      </c>
      <c r="BP73" s="418">
        <f t="shared" ref="BP73:BQ78" si="152">P73+AR73</f>
        <v>409238</v>
      </c>
      <c r="BQ73" s="418">
        <f t="shared" si="152"/>
        <v>12108</v>
      </c>
      <c r="BR73" s="418">
        <f t="shared" ref="BR73:BR78" si="153">R73+AV73</f>
        <v>6408</v>
      </c>
      <c r="BS73" s="419">
        <f t="shared" ref="BS73:BS78" si="154">S73+BH73</f>
        <v>2.2667000000000002</v>
      </c>
      <c r="BT73" s="419">
        <f t="shared" ref="BT73:BU78" si="155">T73+BF73</f>
        <v>2</v>
      </c>
      <c r="BU73" s="421">
        <f t="shared" si="155"/>
        <v>0.26669999999999999</v>
      </c>
      <c r="BV73" s="420"/>
      <c r="BW73" s="415"/>
      <c r="BX73" s="415"/>
      <c r="BY73" s="415"/>
      <c r="BZ73" s="415"/>
      <c r="CA73" s="510"/>
    </row>
    <row r="74" spans="1:79" ht="12.95" customHeight="1" x14ac:dyDescent="0.25">
      <c r="A74" s="280">
        <v>14</v>
      </c>
      <c r="B74" s="281">
        <v>4430</v>
      </c>
      <c r="C74" s="281">
        <v>600074862</v>
      </c>
      <c r="D74" s="281">
        <v>70695024</v>
      </c>
      <c r="E74" s="283" t="s">
        <v>334</v>
      </c>
      <c r="F74" s="281">
        <v>3117</v>
      </c>
      <c r="G74" s="284" t="s">
        <v>293</v>
      </c>
      <c r="H74" s="284" t="s">
        <v>271</v>
      </c>
      <c r="I74" s="565">
        <v>2778151</v>
      </c>
      <c r="J74" s="415">
        <v>2038372</v>
      </c>
      <c r="K74" s="415">
        <v>1833077</v>
      </c>
      <c r="L74" s="415">
        <v>205295</v>
      </c>
      <c r="M74" s="415">
        <v>0</v>
      </c>
      <c r="N74" s="415">
        <v>0</v>
      </c>
      <c r="O74" s="415">
        <v>0</v>
      </c>
      <c r="P74" s="68">
        <v>688970</v>
      </c>
      <c r="Q74" s="68">
        <v>20384</v>
      </c>
      <c r="R74" s="415">
        <v>30425</v>
      </c>
      <c r="S74" s="416">
        <v>3.5137</v>
      </c>
      <c r="T74" s="417">
        <v>2.9805000000000001</v>
      </c>
      <c r="U74" s="770">
        <v>0.53320000000000001</v>
      </c>
      <c r="V74" s="424">
        <f t="shared" si="131"/>
        <v>0</v>
      </c>
      <c r="W74" s="418">
        <f t="shared" si="131"/>
        <v>0</v>
      </c>
      <c r="X74" s="418">
        <v>0</v>
      </c>
      <c r="Y74" s="418">
        <v>0</v>
      </c>
      <c r="Z74" s="418">
        <v>0</v>
      </c>
      <c r="AA74" s="418">
        <v>0</v>
      </c>
      <c r="AB74" s="418">
        <v>0</v>
      </c>
      <c r="AC74" s="418">
        <v>0</v>
      </c>
      <c r="AD74" s="418">
        <f t="shared" si="132"/>
        <v>0</v>
      </c>
      <c r="AE74" s="418">
        <f t="shared" si="133"/>
        <v>0</v>
      </c>
      <c r="AF74" s="418">
        <f t="shared" si="134"/>
        <v>0</v>
      </c>
      <c r="AG74" s="418">
        <v>0</v>
      </c>
      <c r="AH74" s="418">
        <v>0</v>
      </c>
      <c r="AI74" s="418">
        <v>0</v>
      </c>
      <c r="AJ74" s="418">
        <v>0</v>
      </c>
      <c r="AK74" s="418">
        <v>0</v>
      </c>
      <c r="AL74" s="418">
        <f t="shared" si="135"/>
        <v>0</v>
      </c>
      <c r="AM74" s="418">
        <f t="shared" si="136"/>
        <v>0</v>
      </c>
      <c r="AN74" s="418">
        <f t="shared" si="137"/>
        <v>0</v>
      </c>
      <c r="AO74" s="418">
        <f t="shared" si="138"/>
        <v>0</v>
      </c>
      <c r="AP74" s="418">
        <f t="shared" si="138"/>
        <v>0</v>
      </c>
      <c r="AQ74" s="418">
        <f t="shared" si="139"/>
        <v>0</v>
      </c>
      <c r="AR74" s="68">
        <f t="shared" si="140"/>
        <v>0</v>
      </c>
      <c r="AS74" s="68">
        <f t="shared" si="141"/>
        <v>0</v>
      </c>
      <c r="AT74" s="418">
        <v>0</v>
      </c>
      <c r="AU74" s="418">
        <v>0</v>
      </c>
      <c r="AV74" s="418">
        <f t="shared" si="142"/>
        <v>0</v>
      </c>
      <c r="AW74" s="418">
        <f t="shared" si="143"/>
        <v>0</v>
      </c>
      <c r="AX74" s="419">
        <v>0</v>
      </c>
      <c r="AY74" s="419">
        <v>0</v>
      </c>
      <c r="AZ74" s="419">
        <v>0</v>
      </c>
      <c r="BA74" s="419">
        <v>0</v>
      </c>
      <c r="BB74" s="419">
        <v>0</v>
      </c>
      <c r="BC74" s="419">
        <v>0</v>
      </c>
      <c r="BD74" s="419">
        <v>0</v>
      </c>
      <c r="BE74" s="419">
        <v>0</v>
      </c>
      <c r="BF74" s="419">
        <f t="shared" si="144"/>
        <v>0</v>
      </c>
      <c r="BG74" s="419">
        <f t="shared" si="145"/>
        <v>0</v>
      </c>
      <c r="BH74" s="421">
        <f t="shared" si="146"/>
        <v>0</v>
      </c>
      <c r="BI74" s="780">
        <f t="shared" si="147"/>
        <v>2778151</v>
      </c>
      <c r="BJ74" s="418">
        <f t="shared" si="148"/>
        <v>2038372</v>
      </c>
      <c r="BK74" s="418">
        <f t="shared" si="149"/>
        <v>1833077</v>
      </c>
      <c r="BL74" s="418">
        <f t="shared" si="149"/>
        <v>205295</v>
      </c>
      <c r="BM74" s="418">
        <f t="shared" si="150"/>
        <v>0</v>
      </c>
      <c r="BN74" s="418">
        <f t="shared" si="151"/>
        <v>0</v>
      </c>
      <c r="BO74" s="418">
        <f t="shared" si="151"/>
        <v>0</v>
      </c>
      <c r="BP74" s="418">
        <f t="shared" si="152"/>
        <v>688970</v>
      </c>
      <c r="BQ74" s="418">
        <f t="shared" si="152"/>
        <v>20384</v>
      </c>
      <c r="BR74" s="418">
        <f t="shared" si="153"/>
        <v>30425</v>
      </c>
      <c r="BS74" s="419">
        <f t="shared" si="154"/>
        <v>3.5137</v>
      </c>
      <c r="BT74" s="419">
        <f t="shared" si="155"/>
        <v>2.9805000000000001</v>
      </c>
      <c r="BU74" s="421">
        <f t="shared" si="155"/>
        <v>0.53320000000000001</v>
      </c>
      <c r="BV74" s="420"/>
      <c r="BW74" s="415"/>
      <c r="BX74" s="415"/>
      <c r="BY74" s="415"/>
      <c r="BZ74" s="415"/>
      <c r="CA74" s="510"/>
    </row>
    <row r="75" spans="1:79" ht="12.95" customHeight="1" x14ac:dyDescent="0.25">
      <c r="A75" s="280">
        <v>14</v>
      </c>
      <c r="B75" s="281">
        <v>4430</v>
      </c>
      <c r="C75" s="281">
        <v>600074862</v>
      </c>
      <c r="D75" s="281">
        <v>70695024</v>
      </c>
      <c r="E75" s="283" t="s">
        <v>334</v>
      </c>
      <c r="F75" s="281">
        <v>3117</v>
      </c>
      <c r="G75" s="284" t="s">
        <v>298</v>
      </c>
      <c r="H75" s="284" t="s">
        <v>272</v>
      </c>
      <c r="I75" s="565">
        <v>178190</v>
      </c>
      <c r="J75" s="415">
        <v>132188</v>
      </c>
      <c r="K75" s="415">
        <v>132188</v>
      </c>
      <c r="L75" s="415">
        <v>0</v>
      </c>
      <c r="M75" s="415">
        <v>0</v>
      </c>
      <c r="N75" s="415">
        <v>0</v>
      </c>
      <c r="O75" s="415">
        <v>0</v>
      </c>
      <c r="P75" s="68">
        <v>44680</v>
      </c>
      <c r="Q75" s="68">
        <v>1322</v>
      </c>
      <c r="R75" s="415">
        <v>0</v>
      </c>
      <c r="S75" s="416">
        <v>0.36</v>
      </c>
      <c r="T75" s="417">
        <v>0.36</v>
      </c>
      <c r="U75" s="770">
        <v>0</v>
      </c>
      <c r="V75" s="424">
        <f t="shared" si="131"/>
        <v>0</v>
      </c>
      <c r="W75" s="418">
        <f t="shared" si="131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si="132"/>
        <v>0</v>
      </c>
      <c r="AE75" s="418">
        <f t="shared" si="133"/>
        <v>0</v>
      </c>
      <c r="AF75" s="418">
        <f t="shared" si="134"/>
        <v>0</v>
      </c>
      <c r="AG75" s="418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si="135"/>
        <v>0</v>
      </c>
      <c r="AM75" s="418">
        <f t="shared" si="136"/>
        <v>0</v>
      </c>
      <c r="AN75" s="418">
        <f t="shared" si="137"/>
        <v>0</v>
      </c>
      <c r="AO75" s="418">
        <f t="shared" si="138"/>
        <v>0</v>
      </c>
      <c r="AP75" s="418">
        <f t="shared" si="138"/>
        <v>0</v>
      </c>
      <c r="AQ75" s="418">
        <f t="shared" si="139"/>
        <v>0</v>
      </c>
      <c r="AR75" s="68">
        <f t="shared" si="140"/>
        <v>0</v>
      </c>
      <c r="AS75" s="68">
        <f t="shared" si="141"/>
        <v>0</v>
      </c>
      <c r="AT75" s="418">
        <v>0</v>
      </c>
      <c r="AU75" s="418">
        <v>0</v>
      </c>
      <c r="AV75" s="418">
        <f t="shared" si="142"/>
        <v>0</v>
      </c>
      <c r="AW75" s="418">
        <f t="shared" si="143"/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si="144"/>
        <v>0</v>
      </c>
      <c r="BG75" s="419">
        <f t="shared" si="145"/>
        <v>0</v>
      </c>
      <c r="BH75" s="421">
        <f t="shared" si="146"/>
        <v>0</v>
      </c>
      <c r="BI75" s="780">
        <f t="shared" si="147"/>
        <v>178190</v>
      </c>
      <c r="BJ75" s="418">
        <f t="shared" si="148"/>
        <v>132188</v>
      </c>
      <c r="BK75" s="418">
        <f t="shared" si="149"/>
        <v>132188</v>
      </c>
      <c r="BL75" s="418">
        <f t="shared" si="149"/>
        <v>0</v>
      </c>
      <c r="BM75" s="418">
        <f t="shared" si="150"/>
        <v>0</v>
      </c>
      <c r="BN75" s="418">
        <f t="shared" si="151"/>
        <v>0</v>
      </c>
      <c r="BO75" s="418">
        <f t="shared" si="151"/>
        <v>0</v>
      </c>
      <c r="BP75" s="418">
        <f t="shared" si="152"/>
        <v>44680</v>
      </c>
      <c r="BQ75" s="418">
        <f t="shared" si="152"/>
        <v>1322</v>
      </c>
      <c r="BR75" s="418">
        <f t="shared" si="153"/>
        <v>0</v>
      </c>
      <c r="BS75" s="419">
        <f t="shared" si="154"/>
        <v>0.36</v>
      </c>
      <c r="BT75" s="419">
        <f t="shared" si="155"/>
        <v>0.36</v>
      </c>
      <c r="BU75" s="421">
        <f t="shared" si="155"/>
        <v>0</v>
      </c>
      <c r="BV75" s="420"/>
      <c r="BW75" s="415"/>
      <c r="BX75" s="415"/>
      <c r="BY75" s="415"/>
      <c r="BZ75" s="415"/>
      <c r="CA75" s="510"/>
    </row>
    <row r="76" spans="1:79" ht="12.95" customHeight="1" x14ac:dyDescent="0.25">
      <c r="A76" s="280">
        <v>14</v>
      </c>
      <c r="B76" s="281">
        <v>4430</v>
      </c>
      <c r="C76" s="281">
        <v>600074862</v>
      </c>
      <c r="D76" s="281">
        <v>70695024</v>
      </c>
      <c r="E76" s="283" t="s">
        <v>334</v>
      </c>
      <c r="F76" s="281">
        <v>3141</v>
      </c>
      <c r="G76" s="284" t="s">
        <v>294</v>
      </c>
      <c r="H76" s="284" t="s">
        <v>272</v>
      </c>
      <c r="I76" s="565">
        <v>418050</v>
      </c>
      <c r="J76" s="415">
        <v>309036</v>
      </c>
      <c r="K76" s="415">
        <v>0</v>
      </c>
      <c r="L76" s="415">
        <v>309036</v>
      </c>
      <c r="M76" s="415">
        <v>0</v>
      </c>
      <c r="N76" s="415">
        <v>0</v>
      </c>
      <c r="O76" s="415">
        <v>0</v>
      </c>
      <c r="P76" s="68">
        <v>104454</v>
      </c>
      <c r="Q76" s="68">
        <v>3090</v>
      </c>
      <c r="R76" s="415">
        <v>1470</v>
      </c>
      <c r="S76" s="416">
        <v>0.92669999999999997</v>
      </c>
      <c r="T76" s="417">
        <v>0</v>
      </c>
      <c r="U76" s="770">
        <v>0.92669999999999997</v>
      </c>
      <c r="V76" s="424">
        <f t="shared" si="131"/>
        <v>0</v>
      </c>
      <c r="W76" s="418">
        <f t="shared" si="131"/>
        <v>0</v>
      </c>
      <c r="X76" s="418">
        <v>0</v>
      </c>
      <c r="Y76" s="418">
        <v>0</v>
      </c>
      <c r="Z76" s="418">
        <v>0</v>
      </c>
      <c r="AA76" s="418">
        <v>155968</v>
      </c>
      <c r="AB76" s="418">
        <v>0</v>
      </c>
      <c r="AC76" s="418">
        <v>0</v>
      </c>
      <c r="AD76" s="418">
        <f t="shared" si="132"/>
        <v>0</v>
      </c>
      <c r="AE76" s="418">
        <f t="shared" si="133"/>
        <v>155968</v>
      </c>
      <c r="AF76" s="418">
        <f t="shared" si="134"/>
        <v>155968</v>
      </c>
      <c r="AG76" s="418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35"/>
        <v>0</v>
      </c>
      <c r="AM76" s="418">
        <f t="shared" si="136"/>
        <v>0</v>
      </c>
      <c r="AN76" s="418">
        <f t="shared" si="137"/>
        <v>0</v>
      </c>
      <c r="AO76" s="418">
        <f t="shared" si="138"/>
        <v>0</v>
      </c>
      <c r="AP76" s="418">
        <f t="shared" si="138"/>
        <v>155968</v>
      </c>
      <c r="AQ76" s="418">
        <f t="shared" si="139"/>
        <v>155968</v>
      </c>
      <c r="AR76" s="68">
        <f t="shared" si="140"/>
        <v>52717</v>
      </c>
      <c r="AS76" s="68">
        <f t="shared" si="141"/>
        <v>1560</v>
      </c>
      <c r="AT76" s="418">
        <v>0</v>
      </c>
      <c r="AU76" s="418">
        <v>714</v>
      </c>
      <c r="AV76" s="418">
        <f t="shared" si="142"/>
        <v>714</v>
      </c>
      <c r="AW76" s="418">
        <f t="shared" si="143"/>
        <v>210959</v>
      </c>
      <c r="AX76" s="419">
        <v>0</v>
      </c>
      <c r="AY76" s="419">
        <v>0</v>
      </c>
      <c r="AZ76" s="419">
        <v>0</v>
      </c>
      <c r="BA76" s="419">
        <v>0</v>
      </c>
      <c r="BB76" s="419">
        <v>0.46</v>
      </c>
      <c r="BC76" s="419">
        <v>0</v>
      </c>
      <c r="BD76" s="419">
        <v>0</v>
      </c>
      <c r="BE76" s="419">
        <v>0</v>
      </c>
      <c r="BF76" s="419">
        <f t="shared" si="144"/>
        <v>0</v>
      </c>
      <c r="BG76" s="419">
        <f t="shared" si="145"/>
        <v>0.46</v>
      </c>
      <c r="BH76" s="421">
        <f t="shared" si="146"/>
        <v>0.46</v>
      </c>
      <c r="BI76" s="780">
        <f t="shared" si="147"/>
        <v>629009</v>
      </c>
      <c r="BJ76" s="418">
        <f t="shared" si="148"/>
        <v>465004</v>
      </c>
      <c r="BK76" s="418">
        <f t="shared" si="149"/>
        <v>0</v>
      </c>
      <c r="BL76" s="418">
        <f t="shared" si="149"/>
        <v>465004</v>
      </c>
      <c r="BM76" s="418">
        <f t="shared" si="150"/>
        <v>0</v>
      </c>
      <c r="BN76" s="418">
        <f t="shared" si="151"/>
        <v>0</v>
      </c>
      <c r="BO76" s="418">
        <f t="shared" si="151"/>
        <v>0</v>
      </c>
      <c r="BP76" s="418">
        <f t="shared" si="152"/>
        <v>157171</v>
      </c>
      <c r="BQ76" s="418">
        <f t="shared" si="152"/>
        <v>4650</v>
      </c>
      <c r="BR76" s="418">
        <f t="shared" si="153"/>
        <v>2184</v>
      </c>
      <c r="BS76" s="419">
        <f t="shared" si="154"/>
        <v>1.3867</v>
      </c>
      <c r="BT76" s="419">
        <f t="shared" si="155"/>
        <v>0</v>
      </c>
      <c r="BU76" s="421">
        <f t="shared" si="155"/>
        <v>1.3867</v>
      </c>
      <c r="BV76" s="420"/>
      <c r="BW76" s="415"/>
      <c r="BX76" s="415"/>
      <c r="BY76" s="415"/>
      <c r="BZ76" s="415"/>
      <c r="CA76" s="510"/>
    </row>
    <row r="77" spans="1:79" ht="12.95" customHeight="1" x14ac:dyDescent="0.25">
      <c r="A77" s="280">
        <v>14</v>
      </c>
      <c r="B77" s="281">
        <v>4430</v>
      </c>
      <c r="C77" s="281">
        <v>600074862</v>
      </c>
      <c r="D77" s="281">
        <v>70695024</v>
      </c>
      <c r="E77" s="283" t="s">
        <v>334</v>
      </c>
      <c r="F77" s="281">
        <v>3143</v>
      </c>
      <c r="G77" s="284" t="s">
        <v>595</v>
      </c>
      <c r="H77" s="284" t="s">
        <v>271</v>
      </c>
      <c r="I77" s="565">
        <v>630230</v>
      </c>
      <c r="J77" s="415">
        <v>467530</v>
      </c>
      <c r="K77" s="415">
        <v>467530</v>
      </c>
      <c r="L77" s="415">
        <v>0</v>
      </c>
      <c r="M77" s="415">
        <v>0</v>
      </c>
      <c r="N77" s="415">
        <v>0</v>
      </c>
      <c r="O77" s="415">
        <v>0</v>
      </c>
      <c r="P77" s="68">
        <v>158025</v>
      </c>
      <c r="Q77" s="68">
        <v>4675</v>
      </c>
      <c r="R77" s="415">
        <v>0</v>
      </c>
      <c r="S77" s="416">
        <v>1</v>
      </c>
      <c r="T77" s="417">
        <v>1</v>
      </c>
      <c r="U77" s="770">
        <v>0</v>
      </c>
      <c r="V77" s="424">
        <f t="shared" si="131"/>
        <v>0</v>
      </c>
      <c r="W77" s="418">
        <f t="shared" si="131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32"/>
        <v>0</v>
      </c>
      <c r="AE77" s="418">
        <f t="shared" si="133"/>
        <v>0</v>
      </c>
      <c r="AF77" s="418">
        <f t="shared" si="134"/>
        <v>0</v>
      </c>
      <c r="AG77" s="418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35"/>
        <v>0</v>
      </c>
      <c r="AM77" s="418">
        <f t="shared" si="136"/>
        <v>0</v>
      </c>
      <c r="AN77" s="418">
        <f t="shared" si="137"/>
        <v>0</v>
      </c>
      <c r="AO77" s="418">
        <f t="shared" si="138"/>
        <v>0</v>
      </c>
      <c r="AP77" s="418">
        <f t="shared" si="138"/>
        <v>0</v>
      </c>
      <c r="AQ77" s="418">
        <f t="shared" si="139"/>
        <v>0</v>
      </c>
      <c r="AR77" s="68">
        <f t="shared" si="140"/>
        <v>0</v>
      </c>
      <c r="AS77" s="68">
        <f t="shared" si="141"/>
        <v>0</v>
      </c>
      <c r="AT77" s="418">
        <v>0</v>
      </c>
      <c r="AU77" s="418">
        <v>0</v>
      </c>
      <c r="AV77" s="418">
        <f t="shared" si="142"/>
        <v>0</v>
      </c>
      <c r="AW77" s="418">
        <f t="shared" si="143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144"/>
        <v>0</v>
      </c>
      <c r="BG77" s="419">
        <f t="shared" si="145"/>
        <v>0</v>
      </c>
      <c r="BH77" s="421">
        <f t="shared" si="146"/>
        <v>0</v>
      </c>
      <c r="BI77" s="780">
        <f t="shared" si="147"/>
        <v>630230</v>
      </c>
      <c r="BJ77" s="418">
        <f t="shared" si="148"/>
        <v>467530</v>
      </c>
      <c r="BK77" s="418">
        <f t="shared" si="149"/>
        <v>467530</v>
      </c>
      <c r="BL77" s="418">
        <f t="shared" si="149"/>
        <v>0</v>
      </c>
      <c r="BM77" s="418">
        <f t="shared" si="150"/>
        <v>0</v>
      </c>
      <c r="BN77" s="418">
        <f t="shared" si="151"/>
        <v>0</v>
      </c>
      <c r="BO77" s="418">
        <f t="shared" si="151"/>
        <v>0</v>
      </c>
      <c r="BP77" s="418">
        <f t="shared" si="152"/>
        <v>158025</v>
      </c>
      <c r="BQ77" s="418">
        <f t="shared" si="152"/>
        <v>4675</v>
      </c>
      <c r="BR77" s="418">
        <f t="shared" si="153"/>
        <v>0</v>
      </c>
      <c r="BS77" s="419">
        <f t="shared" si="154"/>
        <v>1</v>
      </c>
      <c r="BT77" s="419">
        <f t="shared" si="155"/>
        <v>1</v>
      </c>
      <c r="BU77" s="421">
        <f t="shared" si="155"/>
        <v>0</v>
      </c>
      <c r="BV77" s="420"/>
      <c r="BW77" s="415"/>
      <c r="BX77" s="415"/>
      <c r="BY77" s="415"/>
      <c r="BZ77" s="415"/>
      <c r="CA77" s="510"/>
    </row>
    <row r="78" spans="1:79" ht="12.95" customHeight="1" x14ac:dyDescent="0.25">
      <c r="A78" s="280">
        <v>14</v>
      </c>
      <c r="B78" s="281">
        <v>4430</v>
      </c>
      <c r="C78" s="281">
        <v>600074862</v>
      </c>
      <c r="D78" s="281">
        <v>70695024</v>
      </c>
      <c r="E78" s="283" t="s">
        <v>334</v>
      </c>
      <c r="F78" s="281">
        <v>3143</v>
      </c>
      <c r="G78" s="284" t="s">
        <v>596</v>
      </c>
      <c r="H78" s="284" t="s">
        <v>272</v>
      </c>
      <c r="I78" s="565">
        <v>11285</v>
      </c>
      <c r="J78" s="415">
        <v>8078</v>
      </c>
      <c r="K78" s="415">
        <v>0</v>
      </c>
      <c r="L78" s="415">
        <v>8078</v>
      </c>
      <c r="M78" s="415">
        <v>0</v>
      </c>
      <c r="N78" s="415">
        <v>0</v>
      </c>
      <c r="O78" s="415">
        <v>0</v>
      </c>
      <c r="P78" s="68">
        <v>2730</v>
      </c>
      <c r="Q78" s="68">
        <v>81</v>
      </c>
      <c r="R78" s="415">
        <v>396</v>
      </c>
      <c r="S78" s="416">
        <v>3.0599999999999999E-2</v>
      </c>
      <c r="T78" s="417">
        <v>0</v>
      </c>
      <c r="U78" s="770">
        <v>3.0599999999999999E-2</v>
      </c>
      <c r="V78" s="424">
        <f t="shared" si="131"/>
        <v>0</v>
      </c>
      <c r="W78" s="418">
        <f t="shared" si="131"/>
        <v>0</v>
      </c>
      <c r="X78" s="418">
        <v>0</v>
      </c>
      <c r="Y78" s="418">
        <v>0</v>
      </c>
      <c r="Z78" s="418">
        <v>0</v>
      </c>
      <c r="AA78" s="418">
        <v>4022</v>
      </c>
      <c r="AB78" s="418">
        <v>0</v>
      </c>
      <c r="AC78" s="418">
        <v>0</v>
      </c>
      <c r="AD78" s="418">
        <f t="shared" si="132"/>
        <v>0</v>
      </c>
      <c r="AE78" s="418">
        <f t="shared" si="133"/>
        <v>4022</v>
      </c>
      <c r="AF78" s="418">
        <f t="shared" si="134"/>
        <v>4022</v>
      </c>
      <c r="AG78" s="418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35"/>
        <v>0</v>
      </c>
      <c r="AM78" s="418">
        <f t="shared" si="136"/>
        <v>0</v>
      </c>
      <c r="AN78" s="418">
        <f t="shared" si="137"/>
        <v>0</v>
      </c>
      <c r="AO78" s="418">
        <f t="shared" si="138"/>
        <v>0</v>
      </c>
      <c r="AP78" s="418">
        <f t="shared" si="138"/>
        <v>4022</v>
      </c>
      <c r="AQ78" s="418">
        <f t="shared" si="139"/>
        <v>4022</v>
      </c>
      <c r="AR78" s="68">
        <f t="shared" si="140"/>
        <v>1359</v>
      </c>
      <c r="AS78" s="68">
        <f t="shared" si="141"/>
        <v>40</v>
      </c>
      <c r="AT78" s="418">
        <v>0</v>
      </c>
      <c r="AU78" s="418">
        <v>198</v>
      </c>
      <c r="AV78" s="418">
        <f t="shared" si="142"/>
        <v>198</v>
      </c>
      <c r="AW78" s="418">
        <f t="shared" si="143"/>
        <v>5619</v>
      </c>
      <c r="AX78" s="419">
        <v>0</v>
      </c>
      <c r="AY78" s="419">
        <v>0</v>
      </c>
      <c r="AZ78" s="419">
        <v>0</v>
      </c>
      <c r="BA78" s="419">
        <v>0</v>
      </c>
      <c r="BB78" s="419">
        <v>0.02</v>
      </c>
      <c r="BC78" s="419">
        <v>0</v>
      </c>
      <c r="BD78" s="419">
        <v>0</v>
      </c>
      <c r="BE78" s="419">
        <v>0</v>
      </c>
      <c r="BF78" s="419">
        <f t="shared" si="144"/>
        <v>0</v>
      </c>
      <c r="BG78" s="419">
        <f t="shared" si="145"/>
        <v>0.02</v>
      </c>
      <c r="BH78" s="421">
        <f t="shared" si="146"/>
        <v>0.02</v>
      </c>
      <c r="BI78" s="780">
        <f t="shared" si="147"/>
        <v>16904</v>
      </c>
      <c r="BJ78" s="418">
        <f t="shared" si="148"/>
        <v>12100</v>
      </c>
      <c r="BK78" s="418">
        <f t="shared" si="149"/>
        <v>0</v>
      </c>
      <c r="BL78" s="418">
        <f t="shared" si="149"/>
        <v>12100</v>
      </c>
      <c r="BM78" s="418">
        <f t="shared" si="150"/>
        <v>0</v>
      </c>
      <c r="BN78" s="418">
        <f t="shared" si="151"/>
        <v>0</v>
      </c>
      <c r="BO78" s="418">
        <f t="shared" si="151"/>
        <v>0</v>
      </c>
      <c r="BP78" s="418">
        <f t="shared" si="152"/>
        <v>4089</v>
      </c>
      <c r="BQ78" s="418">
        <f t="shared" si="152"/>
        <v>121</v>
      </c>
      <c r="BR78" s="418">
        <f t="shared" si="153"/>
        <v>594</v>
      </c>
      <c r="BS78" s="419">
        <f t="shared" si="154"/>
        <v>5.0599999999999999E-2</v>
      </c>
      <c r="BT78" s="419">
        <f t="shared" si="155"/>
        <v>0</v>
      </c>
      <c r="BU78" s="421">
        <f t="shared" si="155"/>
        <v>5.0599999999999999E-2</v>
      </c>
      <c r="BV78" s="420"/>
      <c r="BW78" s="415"/>
      <c r="BX78" s="415"/>
      <c r="BY78" s="415"/>
      <c r="BZ78" s="415"/>
      <c r="CA78" s="510"/>
    </row>
    <row r="79" spans="1:79" ht="12.95" customHeight="1" x14ac:dyDescent="0.25">
      <c r="A79" s="273">
        <v>14</v>
      </c>
      <c r="B79" s="275">
        <v>4430</v>
      </c>
      <c r="C79" s="275">
        <v>600074862</v>
      </c>
      <c r="D79" s="275">
        <v>70695024</v>
      </c>
      <c r="E79" s="288" t="s">
        <v>335</v>
      </c>
      <c r="F79" s="291"/>
      <c r="G79" s="292"/>
      <c r="H79" s="292"/>
      <c r="I79" s="466">
        <v>5654424</v>
      </c>
      <c r="J79" s="463">
        <v>4165968</v>
      </c>
      <c r="K79" s="463">
        <v>3576991</v>
      </c>
      <c r="L79" s="463">
        <v>588977</v>
      </c>
      <c r="M79" s="463">
        <v>0</v>
      </c>
      <c r="N79" s="463">
        <v>0</v>
      </c>
      <c r="O79" s="463">
        <v>0</v>
      </c>
      <c r="P79" s="463">
        <v>1408097</v>
      </c>
      <c r="Q79" s="463">
        <v>41660</v>
      </c>
      <c r="R79" s="463">
        <v>38699</v>
      </c>
      <c r="S79" s="464">
        <v>8.0976999999999997</v>
      </c>
      <c r="T79" s="464">
        <v>6.3405000000000005</v>
      </c>
      <c r="U79" s="534">
        <v>1.7571999999999999</v>
      </c>
      <c r="V79" s="466">
        <f t="shared" ref="V79:CA79" si="156">SUM(V73:V78)</f>
        <v>0</v>
      </c>
      <c r="W79" s="463">
        <f t="shared" si="156"/>
        <v>0</v>
      </c>
      <c r="X79" s="463">
        <f t="shared" si="156"/>
        <v>0</v>
      </c>
      <c r="Y79" s="463">
        <f t="shared" si="156"/>
        <v>0</v>
      </c>
      <c r="Z79" s="463">
        <f t="shared" si="156"/>
        <v>0</v>
      </c>
      <c r="AA79" s="463">
        <f t="shared" si="156"/>
        <v>159990</v>
      </c>
      <c r="AB79" s="463">
        <f t="shared" si="156"/>
        <v>0</v>
      </c>
      <c r="AC79" s="463">
        <f t="shared" si="156"/>
        <v>0</v>
      </c>
      <c r="AD79" s="463">
        <f t="shared" si="156"/>
        <v>0</v>
      </c>
      <c r="AE79" s="463">
        <f t="shared" si="156"/>
        <v>159990</v>
      </c>
      <c r="AF79" s="463">
        <f t="shared" si="156"/>
        <v>159990</v>
      </c>
      <c r="AG79" s="463">
        <f t="shared" si="156"/>
        <v>0</v>
      </c>
      <c r="AH79" s="463">
        <f t="shared" si="156"/>
        <v>0</v>
      </c>
      <c r="AI79" s="463">
        <f t="shared" si="156"/>
        <v>0</v>
      </c>
      <c r="AJ79" s="463">
        <f t="shared" si="156"/>
        <v>0</v>
      </c>
      <c r="AK79" s="463">
        <f t="shared" si="156"/>
        <v>0</v>
      </c>
      <c r="AL79" s="463">
        <f t="shared" si="156"/>
        <v>0</v>
      </c>
      <c r="AM79" s="463">
        <f t="shared" si="156"/>
        <v>0</v>
      </c>
      <c r="AN79" s="463">
        <f t="shared" si="156"/>
        <v>0</v>
      </c>
      <c r="AO79" s="463">
        <f t="shared" si="156"/>
        <v>0</v>
      </c>
      <c r="AP79" s="463">
        <f t="shared" si="156"/>
        <v>159990</v>
      </c>
      <c r="AQ79" s="463">
        <f t="shared" si="156"/>
        <v>159990</v>
      </c>
      <c r="AR79" s="463">
        <f t="shared" si="156"/>
        <v>54076</v>
      </c>
      <c r="AS79" s="463">
        <f t="shared" si="156"/>
        <v>1600</v>
      </c>
      <c r="AT79" s="463">
        <f t="shared" si="156"/>
        <v>0</v>
      </c>
      <c r="AU79" s="463">
        <f t="shared" si="156"/>
        <v>912</v>
      </c>
      <c r="AV79" s="463">
        <f t="shared" si="156"/>
        <v>912</v>
      </c>
      <c r="AW79" s="463">
        <f t="shared" si="156"/>
        <v>216578</v>
      </c>
      <c r="AX79" s="464">
        <f t="shared" si="156"/>
        <v>0</v>
      </c>
      <c r="AY79" s="464">
        <f t="shared" si="156"/>
        <v>0</v>
      </c>
      <c r="AZ79" s="464">
        <f t="shared" si="156"/>
        <v>0</v>
      </c>
      <c r="BA79" s="464">
        <f t="shared" si="156"/>
        <v>0</v>
      </c>
      <c r="BB79" s="464">
        <f t="shared" ref="BB79" si="157">SUM(BB73:BB78)</f>
        <v>0.48000000000000004</v>
      </c>
      <c r="BC79" s="464">
        <f t="shared" si="156"/>
        <v>0</v>
      </c>
      <c r="BD79" s="464">
        <f t="shared" si="156"/>
        <v>0</v>
      </c>
      <c r="BE79" s="464">
        <f t="shared" ref="BE79" si="158">SUM(BE73:BE78)</f>
        <v>0</v>
      </c>
      <c r="BF79" s="464">
        <f t="shared" si="156"/>
        <v>0</v>
      </c>
      <c r="BG79" s="464">
        <f t="shared" si="156"/>
        <v>0.48000000000000004</v>
      </c>
      <c r="BH79" s="290">
        <f t="shared" si="156"/>
        <v>0.48000000000000004</v>
      </c>
      <c r="BI79" s="787">
        <f t="shared" si="156"/>
        <v>5871002</v>
      </c>
      <c r="BJ79" s="463">
        <f t="shared" si="156"/>
        <v>4325958</v>
      </c>
      <c r="BK79" s="463">
        <f t="shared" si="156"/>
        <v>3576991</v>
      </c>
      <c r="BL79" s="463">
        <f t="shared" si="156"/>
        <v>748967</v>
      </c>
      <c r="BM79" s="463">
        <f t="shared" si="156"/>
        <v>0</v>
      </c>
      <c r="BN79" s="463">
        <f t="shared" si="156"/>
        <v>0</v>
      </c>
      <c r="BO79" s="463">
        <f t="shared" si="156"/>
        <v>0</v>
      </c>
      <c r="BP79" s="463">
        <f t="shared" si="156"/>
        <v>1462173</v>
      </c>
      <c r="BQ79" s="463">
        <f t="shared" si="156"/>
        <v>43260</v>
      </c>
      <c r="BR79" s="463">
        <f t="shared" si="156"/>
        <v>39611</v>
      </c>
      <c r="BS79" s="464">
        <f t="shared" si="156"/>
        <v>8.5777000000000001</v>
      </c>
      <c r="BT79" s="464">
        <f t="shared" si="156"/>
        <v>6.3405000000000005</v>
      </c>
      <c r="BU79" s="290">
        <f t="shared" si="156"/>
        <v>2.2372000000000005</v>
      </c>
      <c r="BV79" s="852">
        <f t="shared" si="156"/>
        <v>0</v>
      </c>
      <c r="BW79" s="722">
        <f t="shared" si="156"/>
        <v>0</v>
      </c>
      <c r="BX79" s="722">
        <f t="shared" si="156"/>
        <v>0</v>
      </c>
      <c r="BY79" s="722">
        <f t="shared" si="156"/>
        <v>0</v>
      </c>
      <c r="BZ79" s="722">
        <f t="shared" si="156"/>
        <v>0</v>
      </c>
      <c r="CA79" s="853">
        <f t="shared" si="156"/>
        <v>0</v>
      </c>
    </row>
    <row r="80" spans="1:79" ht="12.95" customHeight="1" x14ac:dyDescent="0.25">
      <c r="A80" s="280">
        <v>15</v>
      </c>
      <c r="B80" s="281">
        <v>4433</v>
      </c>
      <c r="C80" s="281">
        <v>600075001</v>
      </c>
      <c r="D80" s="281">
        <v>70695440</v>
      </c>
      <c r="E80" s="283" t="s">
        <v>336</v>
      </c>
      <c r="F80" s="281">
        <v>3111</v>
      </c>
      <c r="G80" s="284" t="s">
        <v>304</v>
      </c>
      <c r="H80" s="284" t="s">
        <v>271</v>
      </c>
      <c r="I80" s="565">
        <v>1599149</v>
      </c>
      <c r="J80" s="415">
        <v>1183539</v>
      </c>
      <c r="K80" s="415">
        <v>1123635</v>
      </c>
      <c r="L80" s="415">
        <v>59904</v>
      </c>
      <c r="M80" s="415">
        <v>0</v>
      </c>
      <c r="N80" s="415">
        <v>0</v>
      </c>
      <c r="O80" s="415">
        <v>0</v>
      </c>
      <c r="P80" s="68">
        <v>400036</v>
      </c>
      <c r="Q80" s="68">
        <v>11836</v>
      </c>
      <c r="R80" s="415">
        <v>3738</v>
      </c>
      <c r="S80" s="416">
        <v>2.2400000000000002</v>
      </c>
      <c r="T80" s="417">
        <v>2</v>
      </c>
      <c r="U80" s="770">
        <v>0.24</v>
      </c>
      <c r="V80" s="424">
        <f t="shared" ref="V80:W85" si="159">AG80*-1</f>
        <v>0</v>
      </c>
      <c r="W80" s="418">
        <f t="shared" si="159"/>
        <v>0</v>
      </c>
      <c r="X80" s="418">
        <v>0</v>
      </c>
      <c r="Y80" s="418">
        <v>0</v>
      </c>
      <c r="Z80" s="418">
        <v>0</v>
      </c>
      <c r="AA80" s="418">
        <v>0</v>
      </c>
      <c r="AB80" s="418">
        <v>0</v>
      </c>
      <c r="AC80" s="418">
        <v>0</v>
      </c>
      <c r="AD80" s="418">
        <f t="shared" ref="AD80:AD85" si="160">V80+X80+Y80+Z80+AB80</f>
        <v>0</v>
      </c>
      <c r="AE80" s="418">
        <f t="shared" ref="AE80:AE85" si="161">W80+AA80+AC80</f>
        <v>0</v>
      </c>
      <c r="AF80" s="418">
        <f t="shared" ref="AF80:AF85" si="162">SUM(AD80:AE80)</f>
        <v>0</v>
      </c>
      <c r="AG80" s="418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ref="AL80:AL85" si="163">AG80+AI80+AJ80</f>
        <v>0</v>
      </c>
      <c r="AM80" s="418">
        <f t="shared" ref="AM80:AM85" si="164">AH80+AK80</f>
        <v>0</v>
      </c>
      <c r="AN80" s="418">
        <f t="shared" ref="AN80:AN85" si="165">SUM(AL80:AM80)</f>
        <v>0</v>
      </c>
      <c r="AO80" s="418">
        <f t="shared" ref="AO80:AP85" si="166">AD80+AL80</f>
        <v>0</v>
      </c>
      <c r="AP80" s="418">
        <f t="shared" si="166"/>
        <v>0</v>
      </c>
      <c r="AQ80" s="418">
        <f t="shared" ref="AQ80:AQ85" si="167">SUM(AO80:AP80)</f>
        <v>0</v>
      </c>
      <c r="AR80" s="68">
        <f t="shared" ref="AR80:AR85" si="168">ROUND((AF80+AG80+AH80+AI80)*33.8%,0)</f>
        <v>0</v>
      </c>
      <c r="AS80" s="68">
        <f t="shared" ref="AS80:AS85" si="169">ROUND(AF80*1%,0)</f>
        <v>0</v>
      </c>
      <c r="AT80" s="418">
        <v>0</v>
      </c>
      <c r="AU80" s="418">
        <v>0</v>
      </c>
      <c r="AV80" s="418">
        <f t="shared" ref="AV80:AV85" si="170">AT80+AU80</f>
        <v>0</v>
      </c>
      <c r="AW80" s="418">
        <f t="shared" ref="AW80:AW85" si="171">AQ80+AR80+AS80+AV80</f>
        <v>0</v>
      </c>
      <c r="AX80" s="419">
        <v>0</v>
      </c>
      <c r="AY80" s="419">
        <v>0</v>
      </c>
      <c r="AZ80" s="419">
        <v>0</v>
      </c>
      <c r="BA80" s="419">
        <v>0</v>
      </c>
      <c r="BB80" s="419">
        <v>0</v>
      </c>
      <c r="BC80" s="419">
        <v>0</v>
      </c>
      <c r="BD80" s="419">
        <v>0</v>
      </c>
      <c r="BE80" s="419">
        <v>0</v>
      </c>
      <c r="BF80" s="419">
        <f t="shared" ref="BF80:BF85" si="172">AX80+AZ80+BA80+BC80+BD80</f>
        <v>0</v>
      </c>
      <c r="BG80" s="419">
        <f t="shared" ref="BG80:BG85" si="173">AY80+BB80+BE80</f>
        <v>0</v>
      </c>
      <c r="BH80" s="421">
        <f t="shared" ref="BH80:BH85" si="174">SUM(BF80:BG80)</f>
        <v>0</v>
      </c>
      <c r="BI80" s="780">
        <f t="shared" ref="BI80:BI85" si="175">I80+AW80</f>
        <v>1599149</v>
      </c>
      <c r="BJ80" s="418">
        <f t="shared" ref="BJ80:BJ85" si="176">J80+AF80</f>
        <v>1183539</v>
      </c>
      <c r="BK80" s="418">
        <f t="shared" ref="BK80:BL85" si="177">K80+AD80</f>
        <v>1123635</v>
      </c>
      <c r="BL80" s="418">
        <f t="shared" si="177"/>
        <v>59904</v>
      </c>
      <c r="BM80" s="418">
        <f t="shared" ref="BM80:BM85" si="178">M80+AN80</f>
        <v>0</v>
      </c>
      <c r="BN80" s="418">
        <f t="shared" ref="BN80:BO85" si="179">N80+AL80</f>
        <v>0</v>
      </c>
      <c r="BO80" s="418">
        <f t="shared" si="179"/>
        <v>0</v>
      </c>
      <c r="BP80" s="418">
        <f t="shared" ref="BP80:BQ85" si="180">P80+AR80</f>
        <v>400036</v>
      </c>
      <c r="BQ80" s="418">
        <f t="shared" si="180"/>
        <v>11836</v>
      </c>
      <c r="BR80" s="418">
        <f t="shared" ref="BR80:BR85" si="181">R80+AV80</f>
        <v>3738</v>
      </c>
      <c r="BS80" s="419">
        <f t="shared" ref="BS80:BS85" si="182">S80+BH80</f>
        <v>2.2400000000000002</v>
      </c>
      <c r="BT80" s="419">
        <f t="shared" ref="BT80:BU85" si="183">T80+BF80</f>
        <v>2</v>
      </c>
      <c r="BU80" s="421">
        <f t="shared" si="183"/>
        <v>0.24</v>
      </c>
      <c r="BV80" s="420"/>
      <c r="BW80" s="415"/>
      <c r="BX80" s="415"/>
      <c r="BY80" s="415"/>
      <c r="BZ80" s="415"/>
      <c r="CA80" s="510"/>
    </row>
    <row r="81" spans="1:79" ht="12.95" customHeight="1" x14ac:dyDescent="0.25">
      <c r="A81" s="280">
        <v>15</v>
      </c>
      <c r="B81" s="281">
        <v>4433</v>
      </c>
      <c r="C81" s="281">
        <v>600075001</v>
      </c>
      <c r="D81" s="281">
        <v>70695440</v>
      </c>
      <c r="E81" s="283" t="s">
        <v>336</v>
      </c>
      <c r="F81" s="281">
        <v>3117</v>
      </c>
      <c r="G81" s="284" t="s">
        <v>308</v>
      </c>
      <c r="H81" s="284" t="s">
        <v>271</v>
      </c>
      <c r="I81" s="565">
        <v>1485827</v>
      </c>
      <c r="J81" s="415">
        <v>1090509</v>
      </c>
      <c r="K81" s="415">
        <v>962316</v>
      </c>
      <c r="L81" s="415">
        <v>128193</v>
      </c>
      <c r="M81" s="415">
        <v>0</v>
      </c>
      <c r="N81" s="415">
        <v>0</v>
      </c>
      <c r="O81" s="415">
        <v>0</v>
      </c>
      <c r="P81" s="68">
        <v>368592</v>
      </c>
      <c r="Q81" s="68">
        <v>10905</v>
      </c>
      <c r="R81" s="415">
        <v>15821</v>
      </c>
      <c r="S81" s="416">
        <v>1.8789</v>
      </c>
      <c r="T81" s="417">
        <v>1.5455000000000001</v>
      </c>
      <c r="U81" s="770">
        <v>0.33339999999999997</v>
      </c>
      <c r="V81" s="424">
        <f t="shared" si="159"/>
        <v>0</v>
      </c>
      <c r="W81" s="418">
        <f t="shared" si="159"/>
        <v>0</v>
      </c>
      <c r="X81" s="418">
        <v>0</v>
      </c>
      <c r="Y81" s="418">
        <v>0</v>
      </c>
      <c r="Z81" s="418">
        <v>0</v>
      </c>
      <c r="AA81" s="418">
        <v>0</v>
      </c>
      <c r="AB81" s="418">
        <v>0</v>
      </c>
      <c r="AC81" s="418">
        <v>0</v>
      </c>
      <c r="AD81" s="418">
        <f t="shared" si="160"/>
        <v>0</v>
      </c>
      <c r="AE81" s="418">
        <f t="shared" si="161"/>
        <v>0</v>
      </c>
      <c r="AF81" s="418">
        <f t="shared" si="162"/>
        <v>0</v>
      </c>
      <c r="AG81" s="418">
        <v>0</v>
      </c>
      <c r="AH81" s="418">
        <v>0</v>
      </c>
      <c r="AI81" s="418">
        <v>0</v>
      </c>
      <c r="AJ81" s="418">
        <v>0</v>
      </c>
      <c r="AK81" s="418">
        <v>0</v>
      </c>
      <c r="AL81" s="418">
        <f t="shared" si="163"/>
        <v>0</v>
      </c>
      <c r="AM81" s="418">
        <f t="shared" si="164"/>
        <v>0</v>
      </c>
      <c r="AN81" s="418">
        <f t="shared" si="165"/>
        <v>0</v>
      </c>
      <c r="AO81" s="418">
        <f t="shared" si="166"/>
        <v>0</v>
      </c>
      <c r="AP81" s="418">
        <f t="shared" si="166"/>
        <v>0</v>
      </c>
      <c r="AQ81" s="418">
        <f t="shared" si="167"/>
        <v>0</v>
      </c>
      <c r="AR81" s="68">
        <f t="shared" si="168"/>
        <v>0</v>
      </c>
      <c r="AS81" s="68">
        <f t="shared" si="169"/>
        <v>0</v>
      </c>
      <c r="AT81" s="418">
        <v>0</v>
      </c>
      <c r="AU81" s="418">
        <v>0</v>
      </c>
      <c r="AV81" s="418">
        <f t="shared" si="170"/>
        <v>0</v>
      </c>
      <c r="AW81" s="418">
        <f t="shared" si="171"/>
        <v>0</v>
      </c>
      <c r="AX81" s="419">
        <v>0</v>
      </c>
      <c r="AY81" s="419">
        <v>0</v>
      </c>
      <c r="AZ81" s="419">
        <v>0</v>
      </c>
      <c r="BA81" s="419">
        <v>0</v>
      </c>
      <c r="BB81" s="419">
        <v>0</v>
      </c>
      <c r="BC81" s="419">
        <v>0</v>
      </c>
      <c r="BD81" s="419">
        <v>0</v>
      </c>
      <c r="BE81" s="419">
        <v>0</v>
      </c>
      <c r="BF81" s="419">
        <f t="shared" si="172"/>
        <v>0</v>
      </c>
      <c r="BG81" s="419">
        <f t="shared" si="173"/>
        <v>0</v>
      </c>
      <c r="BH81" s="421">
        <f t="shared" si="174"/>
        <v>0</v>
      </c>
      <c r="BI81" s="780">
        <f t="shared" si="175"/>
        <v>1485827</v>
      </c>
      <c r="BJ81" s="418">
        <f t="shared" si="176"/>
        <v>1090509</v>
      </c>
      <c r="BK81" s="418">
        <f t="shared" si="177"/>
        <v>962316</v>
      </c>
      <c r="BL81" s="418">
        <f t="shared" si="177"/>
        <v>128193</v>
      </c>
      <c r="BM81" s="418">
        <f t="shared" si="178"/>
        <v>0</v>
      </c>
      <c r="BN81" s="418">
        <f t="shared" si="179"/>
        <v>0</v>
      </c>
      <c r="BO81" s="418">
        <f t="shared" si="179"/>
        <v>0</v>
      </c>
      <c r="BP81" s="418">
        <f t="shared" si="180"/>
        <v>368592</v>
      </c>
      <c r="BQ81" s="418">
        <f t="shared" si="180"/>
        <v>10905</v>
      </c>
      <c r="BR81" s="418">
        <f t="shared" si="181"/>
        <v>15821</v>
      </c>
      <c r="BS81" s="419">
        <f t="shared" si="182"/>
        <v>1.8789</v>
      </c>
      <c r="BT81" s="419">
        <f t="shared" si="183"/>
        <v>1.5455000000000001</v>
      </c>
      <c r="BU81" s="421">
        <f t="shared" si="183"/>
        <v>0.33339999999999997</v>
      </c>
      <c r="BV81" s="420"/>
      <c r="BW81" s="415"/>
      <c r="BX81" s="415"/>
      <c r="BY81" s="415"/>
      <c r="BZ81" s="415"/>
      <c r="CA81" s="510"/>
    </row>
    <row r="82" spans="1:79" ht="12.95" customHeight="1" x14ac:dyDescent="0.25">
      <c r="A82" s="280">
        <v>15</v>
      </c>
      <c r="B82" s="281">
        <v>4433</v>
      </c>
      <c r="C82" s="281">
        <v>600075001</v>
      </c>
      <c r="D82" s="281">
        <v>70695440</v>
      </c>
      <c r="E82" s="283" t="s">
        <v>336</v>
      </c>
      <c r="F82" s="281">
        <v>3117</v>
      </c>
      <c r="G82" s="284" t="s">
        <v>298</v>
      </c>
      <c r="H82" s="284" t="s">
        <v>272</v>
      </c>
      <c r="I82" s="565">
        <v>249921</v>
      </c>
      <c r="J82" s="415">
        <v>185401</v>
      </c>
      <c r="K82" s="415">
        <v>185401</v>
      </c>
      <c r="L82" s="415">
        <v>0</v>
      </c>
      <c r="M82" s="415">
        <v>0</v>
      </c>
      <c r="N82" s="415">
        <v>0</v>
      </c>
      <c r="O82" s="415">
        <v>0</v>
      </c>
      <c r="P82" s="68">
        <v>62666</v>
      </c>
      <c r="Q82" s="68">
        <v>1854</v>
      </c>
      <c r="R82" s="415">
        <v>0</v>
      </c>
      <c r="S82" s="416">
        <v>0.5</v>
      </c>
      <c r="T82" s="417">
        <v>0.5</v>
      </c>
      <c r="U82" s="770">
        <v>0</v>
      </c>
      <c r="V82" s="424">
        <f t="shared" si="159"/>
        <v>0</v>
      </c>
      <c r="W82" s="418">
        <f t="shared" si="159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si="160"/>
        <v>0</v>
      </c>
      <c r="AE82" s="418">
        <f t="shared" si="161"/>
        <v>0</v>
      </c>
      <c r="AF82" s="418">
        <f t="shared" si="162"/>
        <v>0</v>
      </c>
      <c r="AG82" s="418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si="163"/>
        <v>0</v>
      </c>
      <c r="AM82" s="418">
        <f t="shared" si="164"/>
        <v>0</v>
      </c>
      <c r="AN82" s="418">
        <f t="shared" si="165"/>
        <v>0</v>
      </c>
      <c r="AO82" s="418">
        <f t="shared" si="166"/>
        <v>0</v>
      </c>
      <c r="AP82" s="418">
        <f t="shared" si="166"/>
        <v>0</v>
      </c>
      <c r="AQ82" s="418">
        <f t="shared" si="167"/>
        <v>0</v>
      </c>
      <c r="AR82" s="68">
        <f t="shared" si="168"/>
        <v>0</v>
      </c>
      <c r="AS82" s="68">
        <f t="shared" si="169"/>
        <v>0</v>
      </c>
      <c r="AT82" s="418">
        <v>0</v>
      </c>
      <c r="AU82" s="418">
        <v>0</v>
      </c>
      <c r="AV82" s="418">
        <f t="shared" si="170"/>
        <v>0</v>
      </c>
      <c r="AW82" s="418">
        <f t="shared" si="171"/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si="172"/>
        <v>0</v>
      </c>
      <c r="BG82" s="419">
        <f t="shared" si="173"/>
        <v>0</v>
      </c>
      <c r="BH82" s="421">
        <f t="shared" si="174"/>
        <v>0</v>
      </c>
      <c r="BI82" s="780">
        <f t="shared" si="175"/>
        <v>249921</v>
      </c>
      <c r="BJ82" s="418">
        <f t="shared" si="176"/>
        <v>185401</v>
      </c>
      <c r="BK82" s="418">
        <f t="shared" si="177"/>
        <v>185401</v>
      </c>
      <c r="BL82" s="418">
        <f t="shared" si="177"/>
        <v>0</v>
      </c>
      <c r="BM82" s="418">
        <f t="shared" si="178"/>
        <v>0</v>
      </c>
      <c r="BN82" s="418">
        <f t="shared" si="179"/>
        <v>0</v>
      </c>
      <c r="BO82" s="418">
        <f t="shared" si="179"/>
        <v>0</v>
      </c>
      <c r="BP82" s="418">
        <f t="shared" si="180"/>
        <v>62666</v>
      </c>
      <c r="BQ82" s="418">
        <f t="shared" si="180"/>
        <v>1854</v>
      </c>
      <c r="BR82" s="418">
        <f t="shared" si="181"/>
        <v>0</v>
      </c>
      <c r="BS82" s="419">
        <f t="shared" si="182"/>
        <v>0.5</v>
      </c>
      <c r="BT82" s="419">
        <f t="shared" si="183"/>
        <v>0.5</v>
      </c>
      <c r="BU82" s="421">
        <f t="shared" si="183"/>
        <v>0</v>
      </c>
      <c r="BV82" s="420"/>
      <c r="BW82" s="415"/>
      <c r="BX82" s="415"/>
      <c r="BY82" s="415"/>
      <c r="BZ82" s="415"/>
      <c r="CA82" s="510"/>
    </row>
    <row r="83" spans="1:79" ht="12.95" customHeight="1" x14ac:dyDescent="0.25">
      <c r="A83" s="280">
        <v>15</v>
      </c>
      <c r="B83" s="281">
        <v>4433</v>
      </c>
      <c r="C83" s="281">
        <v>600075001</v>
      </c>
      <c r="D83" s="281">
        <v>70695440</v>
      </c>
      <c r="E83" s="283" t="s">
        <v>336</v>
      </c>
      <c r="F83" s="281">
        <v>3141</v>
      </c>
      <c r="G83" s="284" t="s">
        <v>294</v>
      </c>
      <c r="H83" s="284" t="s">
        <v>272</v>
      </c>
      <c r="I83" s="565">
        <v>282666</v>
      </c>
      <c r="J83" s="415">
        <v>208992</v>
      </c>
      <c r="K83" s="415">
        <v>0</v>
      </c>
      <c r="L83" s="415">
        <v>208992</v>
      </c>
      <c r="M83" s="415">
        <v>0</v>
      </c>
      <c r="N83" s="415">
        <v>0</v>
      </c>
      <c r="O83" s="415">
        <v>0</v>
      </c>
      <c r="P83" s="68">
        <v>70639</v>
      </c>
      <c r="Q83" s="68">
        <v>2090</v>
      </c>
      <c r="R83" s="415">
        <v>945</v>
      </c>
      <c r="S83" s="416">
        <v>0.62670000000000003</v>
      </c>
      <c r="T83" s="417">
        <v>0</v>
      </c>
      <c r="U83" s="770">
        <v>0.62670000000000003</v>
      </c>
      <c r="V83" s="424">
        <f t="shared" si="159"/>
        <v>0</v>
      </c>
      <c r="W83" s="418">
        <f t="shared" si="159"/>
        <v>0</v>
      </c>
      <c r="X83" s="418">
        <v>0</v>
      </c>
      <c r="Y83" s="418">
        <v>0</v>
      </c>
      <c r="Z83" s="418">
        <v>0</v>
      </c>
      <c r="AA83" s="418">
        <v>105527</v>
      </c>
      <c r="AB83" s="418">
        <v>0</v>
      </c>
      <c r="AC83" s="418">
        <v>0</v>
      </c>
      <c r="AD83" s="418">
        <f t="shared" si="160"/>
        <v>0</v>
      </c>
      <c r="AE83" s="418">
        <f t="shared" si="161"/>
        <v>105527</v>
      </c>
      <c r="AF83" s="418">
        <f t="shared" si="162"/>
        <v>105527</v>
      </c>
      <c r="AG83" s="418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163"/>
        <v>0</v>
      </c>
      <c r="AM83" s="418">
        <f t="shared" si="164"/>
        <v>0</v>
      </c>
      <c r="AN83" s="418">
        <f t="shared" si="165"/>
        <v>0</v>
      </c>
      <c r="AO83" s="418">
        <f t="shared" si="166"/>
        <v>0</v>
      </c>
      <c r="AP83" s="418">
        <f t="shared" si="166"/>
        <v>105527</v>
      </c>
      <c r="AQ83" s="418">
        <f t="shared" si="167"/>
        <v>105527</v>
      </c>
      <c r="AR83" s="68">
        <f t="shared" si="168"/>
        <v>35668</v>
      </c>
      <c r="AS83" s="68">
        <f t="shared" si="169"/>
        <v>1055</v>
      </c>
      <c r="AT83" s="418">
        <v>0</v>
      </c>
      <c r="AU83" s="418">
        <v>459</v>
      </c>
      <c r="AV83" s="418">
        <f t="shared" si="170"/>
        <v>459</v>
      </c>
      <c r="AW83" s="418">
        <f t="shared" si="171"/>
        <v>142709</v>
      </c>
      <c r="AX83" s="419">
        <v>0</v>
      </c>
      <c r="AY83" s="419">
        <v>0</v>
      </c>
      <c r="AZ83" s="419">
        <v>0</v>
      </c>
      <c r="BA83" s="419">
        <v>0</v>
      </c>
      <c r="BB83" s="419">
        <v>0.31</v>
      </c>
      <c r="BC83" s="419">
        <v>0</v>
      </c>
      <c r="BD83" s="419">
        <v>0</v>
      </c>
      <c r="BE83" s="419">
        <v>0</v>
      </c>
      <c r="BF83" s="419">
        <f t="shared" si="172"/>
        <v>0</v>
      </c>
      <c r="BG83" s="419">
        <f t="shared" si="173"/>
        <v>0.31</v>
      </c>
      <c r="BH83" s="421">
        <f t="shared" si="174"/>
        <v>0.31</v>
      </c>
      <c r="BI83" s="780">
        <f t="shared" si="175"/>
        <v>425375</v>
      </c>
      <c r="BJ83" s="418">
        <f t="shared" si="176"/>
        <v>314519</v>
      </c>
      <c r="BK83" s="418">
        <f t="shared" si="177"/>
        <v>0</v>
      </c>
      <c r="BL83" s="418">
        <f t="shared" si="177"/>
        <v>314519</v>
      </c>
      <c r="BM83" s="418">
        <f t="shared" si="178"/>
        <v>0</v>
      </c>
      <c r="BN83" s="418">
        <f t="shared" si="179"/>
        <v>0</v>
      </c>
      <c r="BO83" s="418">
        <f t="shared" si="179"/>
        <v>0</v>
      </c>
      <c r="BP83" s="418">
        <f t="shared" si="180"/>
        <v>106307</v>
      </c>
      <c r="BQ83" s="418">
        <f t="shared" si="180"/>
        <v>3145</v>
      </c>
      <c r="BR83" s="418">
        <f t="shared" si="181"/>
        <v>1404</v>
      </c>
      <c r="BS83" s="419">
        <f t="shared" si="182"/>
        <v>0.93670000000000009</v>
      </c>
      <c r="BT83" s="419">
        <f t="shared" si="183"/>
        <v>0</v>
      </c>
      <c r="BU83" s="421">
        <f t="shared" si="183"/>
        <v>0.93670000000000009</v>
      </c>
      <c r="BV83" s="420"/>
      <c r="BW83" s="415"/>
      <c r="BX83" s="415"/>
      <c r="BY83" s="415"/>
      <c r="BZ83" s="415"/>
      <c r="CA83" s="510"/>
    </row>
    <row r="84" spans="1:79" ht="12.95" customHeight="1" x14ac:dyDescent="0.25">
      <c r="A84" s="280">
        <v>15</v>
      </c>
      <c r="B84" s="281">
        <v>4433</v>
      </c>
      <c r="C84" s="281">
        <v>600075001</v>
      </c>
      <c r="D84" s="281">
        <v>70695440</v>
      </c>
      <c r="E84" s="283" t="s">
        <v>336</v>
      </c>
      <c r="F84" s="281">
        <v>3143</v>
      </c>
      <c r="G84" s="284" t="s">
        <v>595</v>
      </c>
      <c r="H84" s="284" t="s">
        <v>271</v>
      </c>
      <c r="I84" s="565">
        <v>625383</v>
      </c>
      <c r="J84" s="415">
        <v>463934</v>
      </c>
      <c r="K84" s="415">
        <v>463934</v>
      </c>
      <c r="L84" s="415">
        <v>0</v>
      </c>
      <c r="M84" s="415">
        <v>0</v>
      </c>
      <c r="N84" s="415">
        <v>0</v>
      </c>
      <c r="O84" s="415">
        <v>0</v>
      </c>
      <c r="P84" s="68">
        <v>156810</v>
      </c>
      <c r="Q84" s="68">
        <v>4639</v>
      </c>
      <c r="R84" s="415">
        <v>0</v>
      </c>
      <c r="S84" s="416">
        <v>1</v>
      </c>
      <c r="T84" s="417">
        <v>1</v>
      </c>
      <c r="U84" s="770">
        <v>0</v>
      </c>
      <c r="V84" s="424">
        <f t="shared" si="159"/>
        <v>0</v>
      </c>
      <c r="W84" s="418">
        <f t="shared" si="159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160"/>
        <v>0</v>
      </c>
      <c r="AE84" s="418">
        <f t="shared" si="161"/>
        <v>0</v>
      </c>
      <c r="AF84" s="418">
        <f t="shared" si="162"/>
        <v>0</v>
      </c>
      <c r="AG84" s="418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163"/>
        <v>0</v>
      </c>
      <c r="AM84" s="418">
        <f t="shared" si="164"/>
        <v>0</v>
      </c>
      <c r="AN84" s="418">
        <f t="shared" si="165"/>
        <v>0</v>
      </c>
      <c r="AO84" s="418">
        <f t="shared" si="166"/>
        <v>0</v>
      </c>
      <c r="AP84" s="418">
        <f t="shared" si="166"/>
        <v>0</v>
      </c>
      <c r="AQ84" s="418">
        <f t="shared" si="167"/>
        <v>0</v>
      </c>
      <c r="AR84" s="68">
        <f t="shared" si="168"/>
        <v>0</v>
      </c>
      <c r="AS84" s="68">
        <f t="shared" si="169"/>
        <v>0</v>
      </c>
      <c r="AT84" s="418">
        <v>0</v>
      </c>
      <c r="AU84" s="418">
        <v>0</v>
      </c>
      <c r="AV84" s="418">
        <f t="shared" si="170"/>
        <v>0</v>
      </c>
      <c r="AW84" s="418">
        <f t="shared" si="171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172"/>
        <v>0</v>
      </c>
      <c r="BG84" s="419">
        <f t="shared" si="173"/>
        <v>0</v>
      </c>
      <c r="BH84" s="421">
        <f t="shared" si="174"/>
        <v>0</v>
      </c>
      <c r="BI84" s="780">
        <f t="shared" si="175"/>
        <v>625383</v>
      </c>
      <c r="BJ84" s="418">
        <f t="shared" si="176"/>
        <v>463934</v>
      </c>
      <c r="BK84" s="418">
        <f t="shared" si="177"/>
        <v>463934</v>
      </c>
      <c r="BL84" s="418">
        <f t="shared" si="177"/>
        <v>0</v>
      </c>
      <c r="BM84" s="418">
        <f t="shared" si="178"/>
        <v>0</v>
      </c>
      <c r="BN84" s="418">
        <f t="shared" si="179"/>
        <v>0</v>
      </c>
      <c r="BO84" s="418">
        <f t="shared" si="179"/>
        <v>0</v>
      </c>
      <c r="BP84" s="418">
        <f t="shared" si="180"/>
        <v>156810</v>
      </c>
      <c r="BQ84" s="418">
        <f t="shared" si="180"/>
        <v>4639</v>
      </c>
      <c r="BR84" s="418">
        <f t="shared" si="181"/>
        <v>0</v>
      </c>
      <c r="BS84" s="419">
        <f t="shared" si="182"/>
        <v>1</v>
      </c>
      <c r="BT84" s="419">
        <f t="shared" si="183"/>
        <v>1</v>
      </c>
      <c r="BU84" s="421">
        <f t="shared" si="183"/>
        <v>0</v>
      </c>
      <c r="BV84" s="420"/>
      <c r="BW84" s="415"/>
      <c r="BX84" s="415"/>
      <c r="BY84" s="415"/>
      <c r="BZ84" s="415"/>
      <c r="CA84" s="510"/>
    </row>
    <row r="85" spans="1:79" ht="12.95" customHeight="1" x14ac:dyDescent="0.25">
      <c r="A85" s="280">
        <v>15</v>
      </c>
      <c r="B85" s="281">
        <v>4433</v>
      </c>
      <c r="C85" s="281">
        <v>600075001</v>
      </c>
      <c r="D85" s="281">
        <v>70695440</v>
      </c>
      <c r="E85" s="283" t="s">
        <v>336</v>
      </c>
      <c r="F85" s="281">
        <v>3143</v>
      </c>
      <c r="G85" s="284" t="s">
        <v>596</v>
      </c>
      <c r="H85" s="284" t="s">
        <v>272</v>
      </c>
      <c r="I85" s="565">
        <v>6675</v>
      </c>
      <c r="J85" s="415">
        <v>4778</v>
      </c>
      <c r="K85" s="415">
        <v>0</v>
      </c>
      <c r="L85" s="415">
        <v>4778</v>
      </c>
      <c r="M85" s="415">
        <v>0</v>
      </c>
      <c r="N85" s="415">
        <v>0</v>
      </c>
      <c r="O85" s="415">
        <v>0</v>
      </c>
      <c r="P85" s="68">
        <v>1615</v>
      </c>
      <c r="Q85" s="68">
        <v>48</v>
      </c>
      <c r="R85" s="415">
        <v>234</v>
      </c>
      <c r="S85" s="416">
        <v>1.8100000000000002E-2</v>
      </c>
      <c r="T85" s="417">
        <v>0</v>
      </c>
      <c r="U85" s="770">
        <v>1.8100000000000002E-2</v>
      </c>
      <c r="V85" s="424">
        <f t="shared" si="159"/>
        <v>0</v>
      </c>
      <c r="W85" s="418">
        <f t="shared" si="159"/>
        <v>0</v>
      </c>
      <c r="X85" s="418">
        <v>0</v>
      </c>
      <c r="Y85" s="418">
        <v>0</v>
      </c>
      <c r="Z85" s="418">
        <v>0</v>
      </c>
      <c r="AA85" s="418">
        <v>2372</v>
      </c>
      <c r="AB85" s="418">
        <v>0</v>
      </c>
      <c r="AC85" s="418">
        <v>0</v>
      </c>
      <c r="AD85" s="418">
        <f t="shared" si="160"/>
        <v>0</v>
      </c>
      <c r="AE85" s="418">
        <f t="shared" si="161"/>
        <v>2372</v>
      </c>
      <c r="AF85" s="418">
        <f t="shared" si="162"/>
        <v>2372</v>
      </c>
      <c r="AG85" s="418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163"/>
        <v>0</v>
      </c>
      <c r="AM85" s="418">
        <f t="shared" si="164"/>
        <v>0</v>
      </c>
      <c r="AN85" s="418">
        <f t="shared" si="165"/>
        <v>0</v>
      </c>
      <c r="AO85" s="418">
        <f t="shared" si="166"/>
        <v>0</v>
      </c>
      <c r="AP85" s="418">
        <f t="shared" si="166"/>
        <v>2372</v>
      </c>
      <c r="AQ85" s="418">
        <f t="shared" si="167"/>
        <v>2372</v>
      </c>
      <c r="AR85" s="68">
        <f t="shared" si="168"/>
        <v>802</v>
      </c>
      <c r="AS85" s="68">
        <f t="shared" si="169"/>
        <v>24</v>
      </c>
      <c r="AT85" s="418">
        <v>0</v>
      </c>
      <c r="AU85" s="418">
        <v>117</v>
      </c>
      <c r="AV85" s="418">
        <f t="shared" si="170"/>
        <v>117</v>
      </c>
      <c r="AW85" s="418">
        <f t="shared" si="171"/>
        <v>3315</v>
      </c>
      <c r="AX85" s="419">
        <v>0</v>
      </c>
      <c r="AY85" s="419">
        <v>0</v>
      </c>
      <c r="AZ85" s="419">
        <v>0</v>
      </c>
      <c r="BA85" s="419">
        <v>0</v>
      </c>
      <c r="BB85" s="419">
        <v>0.01</v>
      </c>
      <c r="BC85" s="419">
        <v>0</v>
      </c>
      <c r="BD85" s="419">
        <v>0</v>
      </c>
      <c r="BE85" s="419">
        <v>0</v>
      </c>
      <c r="BF85" s="419">
        <f t="shared" si="172"/>
        <v>0</v>
      </c>
      <c r="BG85" s="419">
        <f t="shared" si="173"/>
        <v>0.01</v>
      </c>
      <c r="BH85" s="421">
        <f t="shared" si="174"/>
        <v>0.01</v>
      </c>
      <c r="BI85" s="780">
        <f t="shared" si="175"/>
        <v>9990</v>
      </c>
      <c r="BJ85" s="418">
        <f t="shared" si="176"/>
        <v>7150</v>
      </c>
      <c r="BK85" s="418">
        <f t="shared" si="177"/>
        <v>0</v>
      </c>
      <c r="BL85" s="418">
        <f t="shared" si="177"/>
        <v>7150</v>
      </c>
      <c r="BM85" s="418">
        <f t="shared" si="178"/>
        <v>0</v>
      </c>
      <c r="BN85" s="418">
        <f t="shared" si="179"/>
        <v>0</v>
      </c>
      <c r="BO85" s="418">
        <f t="shared" si="179"/>
        <v>0</v>
      </c>
      <c r="BP85" s="418">
        <f t="shared" si="180"/>
        <v>2417</v>
      </c>
      <c r="BQ85" s="418">
        <f t="shared" si="180"/>
        <v>72</v>
      </c>
      <c r="BR85" s="418">
        <f t="shared" si="181"/>
        <v>351</v>
      </c>
      <c r="BS85" s="419">
        <f t="shared" si="182"/>
        <v>2.81E-2</v>
      </c>
      <c r="BT85" s="419">
        <f t="shared" si="183"/>
        <v>0</v>
      </c>
      <c r="BU85" s="421">
        <f t="shared" si="183"/>
        <v>2.81E-2</v>
      </c>
      <c r="BV85" s="420"/>
      <c r="BW85" s="415"/>
      <c r="BX85" s="415"/>
      <c r="BY85" s="415"/>
      <c r="BZ85" s="415"/>
      <c r="CA85" s="510"/>
    </row>
    <row r="86" spans="1:79" ht="12.95" customHeight="1" x14ac:dyDescent="0.25">
      <c r="A86" s="273">
        <v>15</v>
      </c>
      <c r="B86" s="275">
        <v>4433</v>
      </c>
      <c r="C86" s="275">
        <v>600075001</v>
      </c>
      <c r="D86" s="275">
        <v>70695440</v>
      </c>
      <c r="E86" s="288" t="s">
        <v>337</v>
      </c>
      <c r="F86" s="291"/>
      <c r="G86" s="292"/>
      <c r="H86" s="292"/>
      <c r="I86" s="466">
        <v>4249621</v>
      </c>
      <c r="J86" s="463">
        <v>3137153</v>
      </c>
      <c r="K86" s="463">
        <v>2735286</v>
      </c>
      <c r="L86" s="463">
        <v>401867</v>
      </c>
      <c r="M86" s="463">
        <v>0</v>
      </c>
      <c r="N86" s="463">
        <v>0</v>
      </c>
      <c r="O86" s="463">
        <v>0</v>
      </c>
      <c r="P86" s="463">
        <v>1060358</v>
      </c>
      <c r="Q86" s="463">
        <v>31372</v>
      </c>
      <c r="R86" s="463">
        <v>20738</v>
      </c>
      <c r="S86" s="464">
        <v>6.2636999999999992</v>
      </c>
      <c r="T86" s="464">
        <v>5.0455000000000005</v>
      </c>
      <c r="U86" s="534">
        <v>1.2181999999999999</v>
      </c>
      <c r="V86" s="466">
        <f t="shared" ref="V86:CA86" si="184">SUM(V80:V85)</f>
        <v>0</v>
      </c>
      <c r="W86" s="463">
        <f t="shared" si="184"/>
        <v>0</v>
      </c>
      <c r="X86" s="463">
        <f t="shared" si="184"/>
        <v>0</v>
      </c>
      <c r="Y86" s="463">
        <f t="shared" si="184"/>
        <v>0</v>
      </c>
      <c r="Z86" s="463">
        <f t="shared" si="184"/>
        <v>0</v>
      </c>
      <c r="AA86" s="463">
        <f t="shared" si="184"/>
        <v>107899</v>
      </c>
      <c r="AB86" s="463">
        <f t="shared" si="184"/>
        <v>0</v>
      </c>
      <c r="AC86" s="463">
        <f t="shared" si="184"/>
        <v>0</v>
      </c>
      <c r="AD86" s="463">
        <f t="shared" si="184"/>
        <v>0</v>
      </c>
      <c r="AE86" s="463">
        <f t="shared" si="184"/>
        <v>107899</v>
      </c>
      <c r="AF86" s="463">
        <f t="shared" si="184"/>
        <v>107899</v>
      </c>
      <c r="AG86" s="463">
        <f t="shared" si="184"/>
        <v>0</v>
      </c>
      <c r="AH86" s="463">
        <f t="shared" si="184"/>
        <v>0</v>
      </c>
      <c r="AI86" s="463">
        <f t="shared" si="184"/>
        <v>0</v>
      </c>
      <c r="AJ86" s="463">
        <f t="shared" si="184"/>
        <v>0</v>
      </c>
      <c r="AK86" s="463">
        <f t="shared" si="184"/>
        <v>0</v>
      </c>
      <c r="AL86" s="463">
        <f t="shared" si="184"/>
        <v>0</v>
      </c>
      <c r="AM86" s="463">
        <f t="shared" si="184"/>
        <v>0</v>
      </c>
      <c r="AN86" s="463">
        <f t="shared" si="184"/>
        <v>0</v>
      </c>
      <c r="AO86" s="463">
        <f t="shared" si="184"/>
        <v>0</v>
      </c>
      <c r="AP86" s="463">
        <f t="shared" si="184"/>
        <v>107899</v>
      </c>
      <c r="AQ86" s="463">
        <f t="shared" si="184"/>
        <v>107899</v>
      </c>
      <c r="AR86" s="463">
        <f t="shared" si="184"/>
        <v>36470</v>
      </c>
      <c r="AS86" s="463">
        <f t="shared" si="184"/>
        <v>1079</v>
      </c>
      <c r="AT86" s="463">
        <f t="shared" si="184"/>
        <v>0</v>
      </c>
      <c r="AU86" s="463">
        <f t="shared" si="184"/>
        <v>576</v>
      </c>
      <c r="AV86" s="463">
        <f t="shared" si="184"/>
        <v>576</v>
      </c>
      <c r="AW86" s="463">
        <f t="shared" si="184"/>
        <v>146024</v>
      </c>
      <c r="AX86" s="464">
        <f t="shared" si="184"/>
        <v>0</v>
      </c>
      <c r="AY86" s="464">
        <f t="shared" si="184"/>
        <v>0</v>
      </c>
      <c r="AZ86" s="464">
        <f t="shared" si="184"/>
        <v>0</v>
      </c>
      <c r="BA86" s="464">
        <f t="shared" si="184"/>
        <v>0</v>
      </c>
      <c r="BB86" s="464">
        <f t="shared" ref="BB86" si="185">SUM(BB80:BB85)</f>
        <v>0.32</v>
      </c>
      <c r="BC86" s="464">
        <f t="shared" si="184"/>
        <v>0</v>
      </c>
      <c r="BD86" s="464">
        <f t="shared" si="184"/>
        <v>0</v>
      </c>
      <c r="BE86" s="464">
        <f t="shared" ref="BE86" si="186">SUM(BE80:BE85)</f>
        <v>0</v>
      </c>
      <c r="BF86" s="464">
        <f t="shared" si="184"/>
        <v>0</v>
      </c>
      <c r="BG86" s="464">
        <f t="shared" si="184"/>
        <v>0.32</v>
      </c>
      <c r="BH86" s="290">
        <f t="shared" si="184"/>
        <v>0.32</v>
      </c>
      <c r="BI86" s="787">
        <f t="shared" si="184"/>
        <v>4395645</v>
      </c>
      <c r="BJ86" s="463">
        <f t="shared" si="184"/>
        <v>3245052</v>
      </c>
      <c r="BK86" s="463">
        <f t="shared" si="184"/>
        <v>2735286</v>
      </c>
      <c r="BL86" s="463">
        <f t="shared" si="184"/>
        <v>509766</v>
      </c>
      <c r="BM86" s="463">
        <f t="shared" si="184"/>
        <v>0</v>
      </c>
      <c r="BN86" s="463">
        <f t="shared" si="184"/>
        <v>0</v>
      </c>
      <c r="BO86" s="463">
        <f t="shared" si="184"/>
        <v>0</v>
      </c>
      <c r="BP86" s="463">
        <f t="shared" si="184"/>
        <v>1096828</v>
      </c>
      <c r="BQ86" s="463">
        <f t="shared" si="184"/>
        <v>32451</v>
      </c>
      <c r="BR86" s="463">
        <f t="shared" si="184"/>
        <v>21314</v>
      </c>
      <c r="BS86" s="464">
        <f t="shared" si="184"/>
        <v>6.5837000000000003</v>
      </c>
      <c r="BT86" s="464">
        <f t="shared" si="184"/>
        <v>5.0455000000000005</v>
      </c>
      <c r="BU86" s="290">
        <f t="shared" si="184"/>
        <v>1.5382</v>
      </c>
      <c r="BV86" s="852">
        <f t="shared" si="184"/>
        <v>0</v>
      </c>
      <c r="BW86" s="722">
        <f t="shared" si="184"/>
        <v>0</v>
      </c>
      <c r="BX86" s="722">
        <f t="shared" si="184"/>
        <v>0</v>
      </c>
      <c r="BY86" s="722">
        <f t="shared" si="184"/>
        <v>0</v>
      </c>
      <c r="BZ86" s="722">
        <f t="shared" si="184"/>
        <v>0</v>
      </c>
      <c r="CA86" s="853">
        <f t="shared" si="184"/>
        <v>0</v>
      </c>
    </row>
    <row r="87" spans="1:79" ht="12.95" customHeight="1" x14ac:dyDescent="0.25">
      <c r="A87" s="280">
        <v>16</v>
      </c>
      <c r="B87" s="281">
        <v>4487</v>
      </c>
      <c r="C87" s="281">
        <v>600074854</v>
      </c>
      <c r="D87" s="281">
        <v>70698503</v>
      </c>
      <c r="E87" s="283" t="s">
        <v>338</v>
      </c>
      <c r="F87" s="281">
        <v>3111</v>
      </c>
      <c r="G87" s="284" t="s">
        <v>304</v>
      </c>
      <c r="H87" s="284" t="s">
        <v>271</v>
      </c>
      <c r="I87" s="565">
        <v>2359418</v>
      </c>
      <c r="J87" s="415">
        <v>1745754</v>
      </c>
      <c r="K87" s="415">
        <v>1635531</v>
      </c>
      <c r="L87" s="415">
        <v>110223</v>
      </c>
      <c r="M87" s="415">
        <v>0</v>
      </c>
      <c r="N87" s="415">
        <v>0</v>
      </c>
      <c r="O87" s="415">
        <v>0</v>
      </c>
      <c r="P87" s="68">
        <v>590065</v>
      </c>
      <c r="Q87" s="68">
        <v>17458</v>
      </c>
      <c r="R87" s="415">
        <v>6141</v>
      </c>
      <c r="S87" s="416">
        <v>3.4496000000000002</v>
      </c>
      <c r="T87" s="417">
        <v>3.008</v>
      </c>
      <c r="U87" s="770">
        <v>0.44159999999999999</v>
      </c>
      <c r="V87" s="424">
        <f t="shared" ref="V87:W92" si="187">AG87*-1</f>
        <v>0</v>
      </c>
      <c r="W87" s="418">
        <f t="shared" si="187"/>
        <v>0</v>
      </c>
      <c r="X87" s="418">
        <v>0</v>
      </c>
      <c r="Y87" s="418">
        <v>0</v>
      </c>
      <c r="Z87" s="418">
        <v>0</v>
      </c>
      <c r="AA87" s="418">
        <v>0</v>
      </c>
      <c r="AB87" s="418">
        <v>0</v>
      </c>
      <c r="AC87" s="418">
        <v>0</v>
      </c>
      <c r="AD87" s="418">
        <f t="shared" ref="AD87:AD92" si="188">V87+X87+Y87+Z87+AB87</f>
        <v>0</v>
      </c>
      <c r="AE87" s="418">
        <f t="shared" ref="AE87:AE92" si="189">W87+AA87+AC87</f>
        <v>0</v>
      </c>
      <c r="AF87" s="418">
        <f t="shared" ref="AF87:AF92" si="190">SUM(AD87:AE87)</f>
        <v>0</v>
      </c>
      <c r="AG87" s="418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ref="AL87:AL92" si="191">AG87+AI87+AJ87</f>
        <v>0</v>
      </c>
      <c r="AM87" s="418">
        <f t="shared" ref="AM87:AM92" si="192">AH87+AK87</f>
        <v>0</v>
      </c>
      <c r="AN87" s="418">
        <f t="shared" ref="AN87:AN92" si="193">SUM(AL87:AM87)</f>
        <v>0</v>
      </c>
      <c r="AO87" s="418">
        <f t="shared" ref="AO87:AP92" si="194">AD87+AL87</f>
        <v>0</v>
      </c>
      <c r="AP87" s="418">
        <f t="shared" si="194"/>
        <v>0</v>
      </c>
      <c r="AQ87" s="418">
        <f t="shared" ref="AQ87:AQ92" si="195">SUM(AO87:AP87)</f>
        <v>0</v>
      </c>
      <c r="AR87" s="68">
        <f t="shared" ref="AR87:AR92" si="196">ROUND((AF87+AG87+AH87+AI87)*33.8%,0)</f>
        <v>0</v>
      </c>
      <c r="AS87" s="68">
        <f t="shared" ref="AS87:AS92" si="197">ROUND(AF87*1%,0)</f>
        <v>0</v>
      </c>
      <c r="AT87" s="418">
        <v>0</v>
      </c>
      <c r="AU87" s="418">
        <v>0</v>
      </c>
      <c r="AV87" s="418">
        <f t="shared" ref="AV87:AV92" si="198">AT87+AU87</f>
        <v>0</v>
      </c>
      <c r="AW87" s="418">
        <f t="shared" ref="AW87:AW92" si="199">AQ87+AR87+AS87+AV87</f>
        <v>0</v>
      </c>
      <c r="AX87" s="419">
        <v>0</v>
      </c>
      <c r="AY87" s="419">
        <v>0</v>
      </c>
      <c r="AZ87" s="419">
        <v>0</v>
      </c>
      <c r="BA87" s="419">
        <v>0</v>
      </c>
      <c r="BB87" s="419">
        <v>0</v>
      </c>
      <c r="BC87" s="419">
        <v>0</v>
      </c>
      <c r="BD87" s="419">
        <v>0</v>
      </c>
      <c r="BE87" s="419">
        <v>0</v>
      </c>
      <c r="BF87" s="419">
        <f t="shared" ref="BF87:BF92" si="200">AX87+AZ87+BA87+BC87+BD87</f>
        <v>0</v>
      </c>
      <c r="BG87" s="419">
        <f t="shared" ref="BG87:BG92" si="201">AY87+BB87+BE87</f>
        <v>0</v>
      </c>
      <c r="BH87" s="421">
        <f t="shared" ref="BH87:BH92" si="202">SUM(BF87:BG87)</f>
        <v>0</v>
      </c>
      <c r="BI87" s="780">
        <f t="shared" ref="BI87:BI92" si="203">I87+AW87</f>
        <v>2359418</v>
      </c>
      <c r="BJ87" s="418">
        <f t="shared" ref="BJ87:BJ92" si="204">J87+AF87</f>
        <v>1745754</v>
      </c>
      <c r="BK87" s="418">
        <f t="shared" ref="BK87:BL92" si="205">K87+AD87</f>
        <v>1635531</v>
      </c>
      <c r="BL87" s="418">
        <f t="shared" si="205"/>
        <v>110223</v>
      </c>
      <c r="BM87" s="418">
        <f t="shared" ref="BM87:BM92" si="206">M87+AN87</f>
        <v>0</v>
      </c>
      <c r="BN87" s="418">
        <f t="shared" ref="BN87:BO92" si="207">N87+AL87</f>
        <v>0</v>
      </c>
      <c r="BO87" s="418">
        <f t="shared" si="207"/>
        <v>0</v>
      </c>
      <c r="BP87" s="418">
        <f t="shared" ref="BP87:BQ92" si="208">P87+AR87</f>
        <v>590065</v>
      </c>
      <c r="BQ87" s="418">
        <f t="shared" si="208"/>
        <v>17458</v>
      </c>
      <c r="BR87" s="418">
        <f t="shared" ref="BR87:BR92" si="209">R87+AV87</f>
        <v>6141</v>
      </c>
      <c r="BS87" s="419">
        <f t="shared" ref="BS87:BS92" si="210">S87+BH87</f>
        <v>3.4496000000000002</v>
      </c>
      <c r="BT87" s="419">
        <f t="shared" ref="BT87:BU92" si="211">T87+BF87</f>
        <v>3.008</v>
      </c>
      <c r="BU87" s="421">
        <f t="shared" si="211"/>
        <v>0.44159999999999999</v>
      </c>
      <c r="BV87" s="420"/>
      <c r="BW87" s="415"/>
      <c r="BX87" s="415"/>
      <c r="BY87" s="415"/>
      <c r="BZ87" s="415"/>
      <c r="CA87" s="510"/>
    </row>
    <row r="88" spans="1:79" ht="12.95" customHeight="1" x14ac:dyDescent="0.25">
      <c r="A88" s="280">
        <v>16</v>
      </c>
      <c r="B88" s="281">
        <v>4487</v>
      </c>
      <c r="C88" s="281">
        <v>600074854</v>
      </c>
      <c r="D88" s="281">
        <v>70698503</v>
      </c>
      <c r="E88" s="283" t="s">
        <v>338</v>
      </c>
      <c r="F88" s="281">
        <v>3117</v>
      </c>
      <c r="G88" s="284" t="s">
        <v>308</v>
      </c>
      <c r="H88" s="284" t="s">
        <v>271</v>
      </c>
      <c r="I88" s="565">
        <v>3985453</v>
      </c>
      <c r="J88" s="415">
        <v>2697563</v>
      </c>
      <c r="K88" s="415">
        <v>2514702</v>
      </c>
      <c r="L88" s="415">
        <v>182861</v>
      </c>
      <c r="M88" s="415">
        <v>200000</v>
      </c>
      <c r="N88" s="415">
        <v>0</v>
      </c>
      <c r="O88" s="415">
        <v>200000</v>
      </c>
      <c r="P88" s="68">
        <v>979376</v>
      </c>
      <c r="Q88" s="68">
        <v>26975</v>
      </c>
      <c r="R88" s="415">
        <v>81539</v>
      </c>
      <c r="S88" s="416">
        <v>4.6776999999999997</v>
      </c>
      <c r="T88" s="417">
        <v>4.2954999999999997</v>
      </c>
      <c r="U88" s="770">
        <v>0.3822000000000001</v>
      </c>
      <c r="V88" s="424">
        <f t="shared" si="187"/>
        <v>0</v>
      </c>
      <c r="W88" s="418">
        <f t="shared" si="187"/>
        <v>0</v>
      </c>
      <c r="X88" s="418">
        <v>0</v>
      </c>
      <c r="Y88" s="418">
        <v>0</v>
      </c>
      <c r="Z88" s="418">
        <v>0</v>
      </c>
      <c r="AA88" s="418">
        <v>0</v>
      </c>
      <c r="AB88" s="418">
        <v>0</v>
      </c>
      <c r="AC88" s="418">
        <v>0</v>
      </c>
      <c r="AD88" s="418">
        <f t="shared" si="188"/>
        <v>0</v>
      </c>
      <c r="AE88" s="418">
        <f t="shared" si="189"/>
        <v>0</v>
      </c>
      <c r="AF88" s="418">
        <f t="shared" si="190"/>
        <v>0</v>
      </c>
      <c r="AG88" s="418">
        <v>0</v>
      </c>
      <c r="AH88" s="418">
        <v>0</v>
      </c>
      <c r="AI88" s="418">
        <v>0</v>
      </c>
      <c r="AJ88" s="418">
        <v>0</v>
      </c>
      <c r="AK88" s="418">
        <v>0</v>
      </c>
      <c r="AL88" s="418">
        <f t="shared" si="191"/>
        <v>0</v>
      </c>
      <c r="AM88" s="418">
        <f t="shared" si="192"/>
        <v>0</v>
      </c>
      <c r="AN88" s="418">
        <f t="shared" si="193"/>
        <v>0</v>
      </c>
      <c r="AO88" s="418">
        <f t="shared" si="194"/>
        <v>0</v>
      </c>
      <c r="AP88" s="418">
        <f t="shared" si="194"/>
        <v>0</v>
      </c>
      <c r="AQ88" s="418">
        <f t="shared" si="195"/>
        <v>0</v>
      </c>
      <c r="AR88" s="68">
        <f t="shared" si="196"/>
        <v>0</v>
      </c>
      <c r="AS88" s="68">
        <f t="shared" si="197"/>
        <v>0</v>
      </c>
      <c r="AT88" s="418">
        <v>0</v>
      </c>
      <c r="AU88" s="418">
        <v>0</v>
      </c>
      <c r="AV88" s="418">
        <f t="shared" si="198"/>
        <v>0</v>
      </c>
      <c r="AW88" s="418">
        <f t="shared" si="199"/>
        <v>0</v>
      </c>
      <c r="AX88" s="419">
        <v>0</v>
      </c>
      <c r="AY88" s="419">
        <v>0</v>
      </c>
      <c r="AZ88" s="419">
        <v>0</v>
      </c>
      <c r="BA88" s="419">
        <v>0</v>
      </c>
      <c r="BB88" s="419">
        <v>0</v>
      </c>
      <c r="BC88" s="419">
        <v>0</v>
      </c>
      <c r="BD88" s="419">
        <v>0</v>
      </c>
      <c r="BE88" s="419">
        <v>0</v>
      </c>
      <c r="BF88" s="419">
        <f t="shared" si="200"/>
        <v>0</v>
      </c>
      <c r="BG88" s="419">
        <f t="shared" si="201"/>
        <v>0</v>
      </c>
      <c r="BH88" s="421">
        <f t="shared" si="202"/>
        <v>0</v>
      </c>
      <c r="BI88" s="780">
        <f t="shared" si="203"/>
        <v>3985453</v>
      </c>
      <c r="BJ88" s="418">
        <f t="shared" si="204"/>
        <v>2697563</v>
      </c>
      <c r="BK88" s="418">
        <f t="shared" si="205"/>
        <v>2514702</v>
      </c>
      <c r="BL88" s="418">
        <f t="shared" si="205"/>
        <v>182861</v>
      </c>
      <c r="BM88" s="418">
        <f t="shared" si="206"/>
        <v>200000</v>
      </c>
      <c r="BN88" s="418">
        <f t="shared" si="207"/>
        <v>0</v>
      </c>
      <c r="BO88" s="418">
        <f t="shared" si="207"/>
        <v>200000</v>
      </c>
      <c r="BP88" s="418">
        <f t="shared" si="208"/>
        <v>979376</v>
      </c>
      <c r="BQ88" s="418">
        <f t="shared" si="208"/>
        <v>26975</v>
      </c>
      <c r="BR88" s="418">
        <f t="shared" si="209"/>
        <v>81539</v>
      </c>
      <c r="BS88" s="419">
        <f t="shared" si="210"/>
        <v>4.6776999999999997</v>
      </c>
      <c r="BT88" s="419">
        <f t="shared" si="211"/>
        <v>4.2954999999999997</v>
      </c>
      <c r="BU88" s="421">
        <f t="shared" si="211"/>
        <v>0.3822000000000001</v>
      </c>
      <c r="BV88" s="420"/>
      <c r="BW88" s="415"/>
      <c r="BX88" s="415"/>
      <c r="BY88" s="415"/>
      <c r="BZ88" s="415"/>
      <c r="CA88" s="510"/>
    </row>
    <row r="89" spans="1:79" ht="12.95" customHeight="1" x14ac:dyDescent="0.25">
      <c r="A89" s="280">
        <v>16</v>
      </c>
      <c r="B89" s="281">
        <v>4487</v>
      </c>
      <c r="C89" s="281">
        <v>600074854</v>
      </c>
      <c r="D89" s="281">
        <v>70698503</v>
      </c>
      <c r="E89" s="283" t="s">
        <v>338</v>
      </c>
      <c r="F89" s="281">
        <v>3117</v>
      </c>
      <c r="G89" s="284" t="s">
        <v>298</v>
      </c>
      <c r="H89" s="284" t="s">
        <v>272</v>
      </c>
      <c r="I89" s="565">
        <v>2007111</v>
      </c>
      <c r="J89" s="415">
        <v>1483205</v>
      </c>
      <c r="K89" s="415">
        <v>1483205</v>
      </c>
      <c r="L89" s="415">
        <v>0</v>
      </c>
      <c r="M89" s="415">
        <v>0</v>
      </c>
      <c r="N89" s="415">
        <v>0</v>
      </c>
      <c r="O89" s="415">
        <v>0</v>
      </c>
      <c r="P89" s="68">
        <v>501324</v>
      </c>
      <c r="Q89" s="68">
        <v>14832</v>
      </c>
      <c r="R89" s="415">
        <v>7750</v>
      </c>
      <c r="S89" s="416">
        <v>4</v>
      </c>
      <c r="T89" s="417">
        <v>4</v>
      </c>
      <c r="U89" s="770">
        <v>0</v>
      </c>
      <c r="V89" s="424">
        <f t="shared" si="187"/>
        <v>0</v>
      </c>
      <c r="W89" s="418">
        <f t="shared" si="187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 t="shared" si="188"/>
        <v>0</v>
      </c>
      <c r="AE89" s="418">
        <f t="shared" si="189"/>
        <v>0</v>
      </c>
      <c r="AF89" s="418">
        <f t="shared" si="190"/>
        <v>0</v>
      </c>
      <c r="AG89" s="418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 t="shared" si="191"/>
        <v>0</v>
      </c>
      <c r="AM89" s="418">
        <f t="shared" si="192"/>
        <v>0</v>
      </c>
      <c r="AN89" s="418">
        <f t="shared" si="193"/>
        <v>0</v>
      </c>
      <c r="AO89" s="418">
        <f t="shared" si="194"/>
        <v>0</v>
      </c>
      <c r="AP89" s="418">
        <f t="shared" si="194"/>
        <v>0</v>
      </c>
      <c r="AQ89" s="418">
        <f t="shared" si="195"/>
        <v>0</v>
      </c>
      <c r="AR89" s="68">
        <f t="shared" si="196"/>
        <v>0</v>
      </c>
      <c r="AS89" s="68">
        <f t="shared" si="197"/>
        <v>0</v>
      </c>
      <c r="AT89" s="418">
        <v>0</v>
      </c>
      <c r="AU89" s="418">
        <v>0</v>
      </c>
      <c r="AV89" s="418">
        <f t="shared" si="198"/>
        <v>0</v>
      </c>
      <c r="AW89" s="418">
        <f t="shared" si="199"/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 t="shared" si="200"/>
        <v>0</v>
      </c>
      <c r="BG89" s="419">
        <f t="shared" si="201"/>
        <v>0</v>
      </c>
      <c r="BH89" s="421">
        <f t="shared" si="202"/>
        <v>0</v>
      </c>
      <c r="BI89" s="780">
        <f t="shared" si="203"/>
        <v>2007111</v>
      </c>
      <c r="BJ89" s="418">
        <f t="shared" si="204"/>
        <v>1483205</v>
      </c>
      <c r="BK89" s="418">
        <f t="shared" si="205"/>
        <v>1483205</v>
      </c>
      <c r="BL89" s="418">
        <f t="shared" si="205"/>
        <v>0</v>
      </c>
      <c r="BM89" s="418">
        <f t="shared" si="206"/>
        <v>0</v>
      </c>
      <c r="BN89" s="418">
        <f t="shared" si="207"/>
        <v>0</v>
      </c>
      <c r="BO89" s="418">
        <f t="shared" si="207"/>
        <v>0</v>
      </c>
      <c r="BP89" s="418">
        <f t="shared" si="208"/>
        <v>501324</v>
      </c>
      <c r="BQ89" s="418">
        <f t="shared" si="208"/>
        <v>14832</v>
      </c>
      <c r="BR89" s="418">
        <f t="shared" si="209"/>
        <v>7750</v>
      </c>
      <c r="BS89" s="419">
        <f t="shared" si="210"/>
        <v>4</v>
      </c>
      <c r="BT89" s="419">
        <f t="shared" si="211"/>
        <v>4</v>
      </c>
      <c r="BU89" s="421">
        <f t="shared" si="211"/>
        <v>0</v>
      </c>
      <c r="BV89" s="420"/>
      <c r="BW89" s="415"/>
      <c r="BX89" s="415"/>
      <c r="BY89" s="415"/>
      <c r="BZ89" s="415"/>
      <c r="CA89" s="510"/>
    </row>
    <row r="90" spans="1:79" ht="12.95" customHeight="1" x14ac:dyDescent="0.25">
      <c r="A90" s="280">
        <v>16</v>
      </c>
      <c r="B90" s="281">
        <v>4487</v>
      </c>
      <c r="C90" s="281">
        <v>600074854</v>
      </c>
      <c r="D90" s="281">
        <v>70698503</v>
      </c>
      <c r="E90" s="283" t="s">
        <v>338</v>
      </c>
      <c r="F90" s="281">
        <v>3141</v>
      </c>
      <c r="G90" s="284" t="s">
        <v>294</v>
      </c>
      <c r="H90" s="284" t="s">
        <v>272</v>
      </c>
      <c r="I90" s="565">
        <v>532581</v>
      </c>
      <c r="J90" s="415">
        <v>393506</v>
      </c>
      <c r="K90" s="415">
        <v>0</v>
      </c>
      <c r="L90" s="415">
        <v>393506</v>
      </c>
      <c r="M90" s="415">
        <v>0</v>
      </c>
      <c r="N90" s="415">
        <v>0</v>
      </c>
      <c r="O90" s="415">
        <v>0</v>
      </c>
      <c r="P90" s="68">
        <v>133005</v>
      </c>
      <c r="Q90" s="68">
        <v>3935</v>
      </c>
      <c r="R90" s="415">
        <v>2135</v>
      </c>
      <c r="S90" s="416">
        <v>1.18</v>
      </c>
      <c r="T90" s="417">
        <v>0</v>
      </c>
      <c r="U90" s="770">
        <v>1.18</v>
      </c>
      <c r="V90" s="424">
        <f t="shared" si="187"/>
        <v>0</v>
      </c>
      <c r="W90" s="418">
        <f t="shared" si="187"/>
        <v>0</v>
      </c>
      <c r="X90" s="418">
        <v>0</v>
      </c>
      <c r="Y90" s="418">
        <v>0</v>
      </c>
      <c r="Z90" s="418">
        <v>0</v>
      </c>
      <c r="AA90" s="418">
        <v>195473</v>
      </c>
      <c r="AB90" s="418">
        <v>0</v>
      </c>
      <c r="AC90" s="418">
        <v>0</v>
      </c>
      <c r="AD90" s="418">
        <f t="shared" si="188"/>
        <v>0</v>
      </c>
      <c r="AE90" s="418">
        <f t="shared" si="189"/>
        <v>195473</v>
      </c>
      <c r="AF90" s="418">
        <f t="shared" si="190"/>
        <v>195473</v>
      </c>
      <c r="AG90" s="418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 t="shared" si="191"/>
        <v>0</v>
      </c>
      <c r="AM90" s="418">
        <f t="shared" si="192"/>
        <v>0</v>
      </c>
      <c r="AN90" s="418">
        <f t="shared" si="193"/>
        <v>0</v>
      </c>
      <c r="AO90" s="418">
        <f t="shared" si="194"/>
        <v>0</v>
      </c>
      <c r="AP90" s="418">
        <f t="shared" si="194"/>
        <v>195473</v>
      </c>
      <c r="AQ90" s="418">
        <f t="shared" si="195"/>
        <v>195473</v>
      </c>
      <c r="AR90" s="68">
        <f t="shared" si="196"/>
        <v>66070</v>
      </c>
      <c r="AS90" s="68">
        <f t="shared" si="197"/>
        <v>1955</v>
      </c>
      <c r="AT90" s="418">
        <v>0</v>
      </c>
      <c r="AU90" s="418">
        <v>1037</v>
      </c>
      <c r="AV90" s="418">
        <f t="shared" si="198"/>
        <v>1037</v>
      </c>
      <c r="AW90" s="418">
        <f t="shared" si="199"/>
        <v>264535</v>
      </c>
      <c r="AX90" s="419">
        <v>0</v>
      </c>
      <c r="AY90" s="419">
        <v>0</v>
      </c>
      <c r="AZ90" s="419">
        <v>0</v>
      </c>
      <c r="BA90" s="419">
        <v>0</v>
      </c>
      <c r="BB90" s="419">
        <v>0.59</v>
      </c>
      <c r="BC90" s="419">
        <v>0</v>
      </c>
      <c r="BD90" s="419">
        <v>0</v>
      </c>
      <c r="BE90" s="419">
        <v>0</v>
      </c>
      <c r="BF90" s="419">
        <f t="shared" si="200"/>
        <v>0</v>
      </c>
      <c r="BG90" s="419">
        <f t="shared" si="201"/>
        <v>0.59</v>
      </c>
      <c r="BH90" s="421">
        <f t="shared" si="202"/>
        <v>0.59</v>
      </c>
      <c r="BI90" s="780">
        <f t="shared" si="203"/>
        <v>797116</v>
      </c>
      <c r="BJ90" s="418">
        <f t="shared" si="204"/>
        <v>588979</v>
      </c>
      <c r="BK90" s="418">
        <f t="shared" si="205"/>
        <v>0</v>
      </c>
      <c r="BL90" s="418">
        <f t="shared" si="205"/>
        <v>588979</v>
      </c>
      <c r="BM90" s="418">
        <f t="shared" si="206"/>
        <v>0</v>
      </c>
      <c r="BN90" s="418">
        <f t="shared" si="207"/>
        <v>0</v>
      </c>
      <c r="BO90" s="418">
        <f t="shared" si="207"/>
        <v>0</v>
      </c>
      <c r="BP90" s="418">
        <f t="shared" si="208"/>
        <v>199075</v>
      </c>
      <c r="BQ90" s="418">
        <f t="shared" si="208"/>
        <v>5890</v>
      </c>
      <c r="BR90" s="418">
        <f t="shared" si="209"/>
        <v>3172</v>
      </c>
      <c r="BS90" s="419">
        <f t="shared" si="210"/>
        <v>1.77</v>
      </c>
      <c r="BT90" s="419">
        <f t="shared" si="211"/>
        <v>0</v>
      </c>
      <c r="BU90" s="421">
        <f t="shared" si="211"/>
        <v>1.77</v>
      </c>
      <c r="BV90" s="420"/>
      <c r="BW90" s="415"/>
      <c r="BX90" s="415"/>
      <c r="BY90" s="415"/>
      <c r="BZ90" s="415"/>
      <c r="CA90" s="510"/>
    </row>
    <row r="91" spans="1:79" ht="12.95" customHeight="1" x14ac:dyDescent="0.25">
      <c r="A91" s="280">
        <v>16</v>
      </c>
      <c r="B91" s="281">
        <v>4487</v>
      </c>
      <c r="C91" s="281">
        <v>600074854</v>
      </c>
      <c r="D91" s="281">
        <v>70698503</v>
      </c>
      <c r="E91" s="283" t="s">
        <v>338</v>
      </c>
      <c r="F91" s="281">
        <v>3143</v>
      </c>
      <c r="G91" s="284" t="s">
        <v>595</v>
      </c>
      <c r="H91" s="284" t="s">
        <v>271</v>
      </c>
      <c r="I91" s="565">
        <v>1152012</v>
      </c>
      <c r="J91" s="415">
        <v>854608</v>
      </c>
      <c r="K91" s="415">
        <v>854608</v>
      </c>
      <c r="L91" s="415">
        <v>0</v>
      </c>
      <c r="M91" s="415">
        <v>0</v>
      </c>
      <c r="N91" s="415">
        <v>0</v>
      </c>
      <c r="O91" s="415">
        <v>0</v>
      </c>
      <c r="P91" s="68">
        <v>288858</v>
      </c>
      <c r="Q91" s="68">
        <v>8546</v>
      </c>
      <c r="R91" s="415">
        <v>0</v>
      </c>
      <c r="S91" s="416">
        <v>2</v>
      </c>
      <c r="T91" s="417">
        <v>2</v>
      </c>
      <c r="U91" s="770">
        <v>0</v>
      </c>
      <c r="V91" s="424">
        <f t="shared" si="187"/>
        <v>0</v>
      </c>
      <c r="W91" s="418">
        <f t="shared" si="187"/>
        <v>0</v>
      </c>
      <c r="X91" s="418">
        <v>0</v>
      </c>
      <c r="Y91" s="418">
        <v>0</v>
      </c>
      <c r="Z91" s="418">
        <v>0</v>
      </c>
      <c r="AA91" s="418">
        <v>0</v>
      </c>
      <c r="AB91" s="418">
        <v>0</v>
      </c>
      <c r="AC91" s="418">
        <v>0</v>
      </c>
      <c r="AD91" s="418">
        <f t="shared" si="188"/>
        <v>0</v>
      </c>
      <c r="AE91" s="418">
        <f t="shared" si="189"/>
        <v>0</v>
      </c>
      <c r="AF91" s="418">
        <f t="shared" si="190"/>
        <v>0</v>
      </c>
      <c r="AG91" s="418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 t="shared" si="191"/>
        <v>0</v>
      </c>
      <c r="AM91" s="418">
        <f t="shared" si="192"/>
        <v>0</v>
      </c>
      <c r="AN91" s="418">
        <f t="shared" si="193"/>
        <v>0</v>
      </c>
      <c r="AO91" s="418">
        <f t="shared" si="194"/>
        <v>0</v>
      </c>
      <c r="AP91" s="418">
        <f t="shared" si="194"/>
        <v>0</v>
      </c>
      <c r="AQ91" s="418">
        <f t="shared" si="195"/>
        <v>0</v>
      </c>
      <c r="AR91" s="68">
        <f t="shared" si="196"/>
        <v>0</v>
      </c>
      <c r="AS91" s="68">
        <f t="shared" si="197"/>
        <v>0</v>
      </c>
      <c r="AT91" s="418">
        <v>0</v>
      </c>
      <c r="AU91" s="418">
        <v>0</v>
      </c>
      <c r="AV91" s="418">
        <f t="shared" si="198"/>
        <v>0</v>
      </c>
      <c r="AW91" s="418">
        <f t="shared" si="199"/>
        <v>0</v>
      </c>
      <c r="AX91" s="419">
        <v>0</v>
      </c>
      <c r="AY91" s="419">
        <v>0</v>
      </c>
      <c r="AZ91" s="419">
        <v>0</v>
      </c>
      <c r="BA91" s="419">
        <v>0</v>
      </c>
      <c r="BB91" s="419">
        <v>0</v>
      </c>
      <c r="BC91" s="419">
        <v>0</v>
      </c>
      <c r="BD91" s="419">
        <v>0</v>
      </c>
      <c r="BE91" s="419">
        <v>0</v>
      </c>
      <c r="BF91" s="419">
        <f t="shared" si="200"/>
        <v>0</v>
      </c>
      <c r="BG91" s="419">
        <f t="shared" si="201"/>
        <v>0</v>
      </c>
      <c r="BH91" s="421">
        <f t="shared" si="202"/>
        <v>0</v>
      </c>
      <c r="BI91" s="780">
        <f t="shared" si="203"/>
        <v>1152012</v>
      </c>
      <c r="BJ91" s="418">
        <f t="shared" si="204"/>
        <v>854608</v>
      </c>
      <c r="BK91" s="418">
        <f t="shared" si="205"/>
        <v>854608</v>
      </c>
      <c r="BL91" s="418">
        <f t="shared" si="205"/>
        <v>0</v>
      </c>
      <c r="BM91" s="418">
        <f t="shared" si="206"/>
        <v>0</v>
      </c>
      <c r="BN91" s="418">
        <f t="shared" si="207"/>
        <v>0</v>
      </c>
      <c r="BO91" s="418">
        <f t="shared" si="207"/>
        <v>0</v>
      </c>
      <c r="BP91" s="418">
        <f t="shared" si="208"/>
        <v>288858</v>
      </c>
      <c r="BQ91" s="418">
        <f t="shared" si="208"/>
        <v>8546</v>
      </c>
      <c r="BR91" s="418">
        <f t="shared" si="209"/>
        <v>0</v>
      </c>
      <c r="BS91" s="419">
        <f t="shared" si="210"/>
        <v>2</v>
      </c>
      <c r="BT91" s="419">
        <f t="shared" si="211"/>
        <v>2</v>
      </c>
      <c r="BU91" s="421">
        <f t="shared" si="211"/>
        <v>0</v>
      </c>
      <c r="BV91" s="420"/>
      <c r="BW91" s="415"/>
      <c r="BX91" s="415"/>
      <c r="BY91" s="415"/>
      <c r="BZ91" s="415"/>
      <c r="CA91" s="510"/>
    </row>
    <row r="92" spans="1:79" ht="12.95" customHeight="1" x14ac:dyDescent="0.25">
      <c r="A92" s="280">
        <v>16</v>
      </c>
      <c r="B92" s="281">
        <v>4487</v>
      </c>
      <c r="C92" s="281">
        <v>600074854</v>
      </c>
      <c r="D92" s="281">
        <v>70698503</v>
      </c>
      <c r="E92" s="283" t="s">
        <v>338</v>
      </c>
      <c r="F92" s="281">
        <v>3143</v>
      </c>
      <c r="G92" s="284" t="s">
        <v>596</v>
      </c>
      <c r="H92" s="284" t="s">
        <v>272</v>
      </c>
      <c r="I92" s="565">
        <v>22020</v>
      </c>
      <c r="J92" s="415">
        <v>15761</v>
      </c>
      <c r="K92" s="415">
        <v>0</v>
      </c>
      <c r="L92" s="415">
        <v>15761</v>
      </c>
      <c r="M92" s="415">
        <v>0</v>
      </c>
      <c r="N92" s="415">
        <v>0</v>
      </c>
      <c r="O92" s="415">
        <v>0</v>
      </c>
      <c r="P92" s="68">
        <v>5327</v>
      </c>
      <c r="Q92" s="68">
        <v>158</v>
      </c>
      <c r="R92" s="415">
        <v>774</v>
      </c>
      <c r="S92" s="416">
        <v>5.9700000000000003E-2</v>
      </c>
      <c r="T92" s="417">
        <v>0</v>
      </c>
      <c r="U92" s="770">
        <v>5.9700000000000003E-2</v>
      </c>
      <c r="V92" s="424">
        <f t="shared" si="187"/>
        <v>0</v>
      </c>
      <c r="W92" s="418">
        <f t="shared" si="187"/>
        <v>0</v>
      </c>
      <c r="X92" s="418">
        <v>0</v>
      </c>
      <c r="Y92" s="418">
        <v>0</v>
      </c>
      <c r="Z92" s="418">
        <v>0</v>
      </c>
      <c r="AA92" s="418">
        <v>7889</v>
      </c>
      <c r="AB92" s="418">
        <v>0</v>
      </c>
      <c r="AC92" s="418">
        <v>0</v>
      </c>
      <c r="AD92" s="418">
        <f t="shared" si="188"/>
        <v>0</v>
      </c>
      <c r="AE92" s="418">
        <f t="shared" si="189"/>
        <v>7889</v>
      </c>
      <c r="AF92" s="418">
        <f t="shared" si="190"/>
        <v>7889</v>
      </c>
      <c r="AG92" s="418">
        <v>0</v>
      </c>
      <c r="AH92" s="418">
        <v>0</v>
      </c>
      <c r="AI92" s="418">
        <v>0</v>
      </c>
      <c r="AJ92" s="418">
        <v>0</v>
      </c>
      <c r="AK92" s="418">
        <v>0</v>
      </c>
      <c r="AL92" s="418">
        <f t="shared" si="191"/>
        <v>0</v>
      </c>
      <c r="AM92" s="418">
        <f t="shared" si="192"/>
        <v>0</v>
      </c>
      <c r="AN92" s="418">
        <f t="shared" si="193"/>
        <v>0</v>
      </c>
      <c r="AO92" s="418">
        <f t="shared" si="194"/>
        <v>0</v>
      </c>
      <c r="AP92" s="418">
        <f t="shared" si="194"/>
        <v>7889</v>
      </c>
      <c r="AQ92" s="418">
        <f t="shared" si="195"/>
        <v>7889</v>
      </c>
      <c r="AR92" s="68">
        <f t="shared" si="196"/>
        <v>2666</v>
      </c>
      <c r="AS92" s="68">
        <f t="shared" si="197"/>
        <v>79</v>
      </c>
      <c r="AT92" s="418">
        <v>0</v>
      </c>
      <c r="AU92" s="418">
        <v>387</v>
      </c>
      <c r="AV92" s="418">
        <f t="shared" si="198"/>
        <v>387</v>
      </c>
      <c r="AW92" s="418">
        <f t="shared" si="199"/>
        <v>11021</v>
      </c>
      <c r="AX92" s="419">
        <v>0</v>
      </c>
      <c r="AY92" s="419">
        <v>0</v>
      </c>
      <c r="AZ92" s="419">
        <v>0</v>
      </c>
      <c r="BA92" s="419">
        <v>0</v>
      </c>
      <c r="BB92" s="419">
        <v>0.03</v>
      </c>
      <c r="BC92" s="419">
        <v>0</v>
      </c>
      <c r="BD92" s="419">
        <v>0</v>
      </c>
      <c r="BE92" s="419">
        <v>0</v>
      </c>
      <c r="BF92" s="419">
        <f t="shared" si="200"/>
        <v>0</v>
      </c>
      <c r="BG92" s="419">
        <f t="shared" si="201"/>
        <v>0.03</v>
      </c>
      <c r="BH92" s="421">
        <f t="shared" si="202"/>
        <v>0.03</v>
      </c>
      <c r="BI92" s="780">
        <f t="shared" si="203"/>
        <v>33041</v>
      </c>
      <c r="BJ92" s="418">
        <f t="shared" si="204"/>
        <v>23650</v>
      </c>
      <c r="BK92" s="418">
        <f t="shared" si="205"/>
        <v>0</v>
      </c>
      <c r="BL92" s="418">
        <f t="shared" si="205"/>
        <v>23650</v>
      </c>
      <c r="BM92" s="418">
        <f t="shared" si="206"/>
        <v>0</v>
      </c>
      <c r="BN92" s="418">
        <f t="shared" si="207"/>
        <v>0</v>
      </c>
      <c r="BO92" s="418">
        <f t="shared" si="207"/>
        <v>0</v>
      </c>
      <c r="BP92" s="418">
        <f t="shared" si="208"/>
        <v>7993</v>
      </c>
      <c r="BQ92" s="418">
        <f t="shared" si="208"/>
        <v>237</v>
      </c>
      <c r="BR92" s="418">
        <f t="shared" si="209"/>
        <v>1161</v>
      </c>
      <c r="BS92" s="419">
        <f t="shared" si="210"/>
        <v>8.9700000000000002E-2</v>
      </c>
      <c r="BT92" s="419">
        <f t="shared" si="211"/>
        <v>0</v>
      </c>
      <c r="BU92" s="421">
        <f t="shared" si="211"/>
        <v>8.9700000000000002E-2</v>
      </c>
      <c r="BV92" s="420"/>
      <c r="BW92" s="415"/>
      <c r="BX92" s="415"/>
      <c r="BY92" s="415"/>
      <c r="BZ92" s="415"/>
      <c r="CA92" s="510"/>
    </row>
    <row r="93" spans="1:79" ht="12.95" customHeight="1" x14ac:dyDescent="0.25">
      <c r="A93" s="273">
        <v>16</v>
      </c>
      <c r="B93" s="275">
        <v>4487</v>
      </c>
      <c r="C93" s="275">
        <v>600074854</v>
      </c>
      <c r="D93" s="275">
        <v>70698503</v>
      </c>
      <c r="E93" s="288" t="s">
        <v>339</v>
      </c>
      <c r="F93" s="291"/>
      <c r="G93" s="292"/>
      <c r="H93" s="292"/>
      <c r="I93" s="466">
        <v>10058595</v>
      </c>
      <c r="J93" s="463">
        <v>7190397</v>
      </c>
      <c r="K93" s="463">
        <v>6488046</v>
      </c>
      <c r="L93" s="463">
        <v>702351</v>
      </c>
      <c r="M93" s="463">
        <v>200000</v>
      </c>
      <c r="N93" s="463">
        <v>0</v>
      </c>
      <c r="O93" s="463">
        <v>200000</v>
      </c>
      <c r="P93" s="463">
        <v>2497955</v>
      </c>
      <c r="Q93" s="463">
        <v>71904</v>
      </c>
      <c r="R93" s="463">
        <v>98339</v>
      </c>
      <c r="S93" s="464">
        <v>15.366999999999999</v>
      </c>
      <c r="T93" s="464">
        <v>13.3035</v>
      </c>
      <c r="U93" s="534">
        <v>2.0634999999999999</v>
      </c>
      <c r="V93" s="466">
        <f t="shared" ref="V93:CA93" si="212">SUM(V87:V92)</f>
        <v>0</v>
      </c>
      <c r="W93" s="463">
        <f t="shared" si="212"/>
        <v>0</v>
      </c>
      <c r="X93" s="463">
        <f t="shared" si="212"/>
        <v>0</v>
      </c>
      <c r="Y93" s="463">
        <f t="shared" si="212"/>
        <v>0</v>
      </c>
      <c r="Z93" s="463">
        <f t="shared" si="212"/>
        <v>0</v>
      </c>
      <c r="AA93" s="463">
        <f t="shared" si="212"/>
        <v>203362</v>
      </c>
      <c r="AB93" s="463">
        <f t="shared" si="212"/>
        <v>0</v>
      </c>
      <c r="AC93" s="463">
        <f t="shared" si="212"/>
        <v>0</v>
      </c>
      <c r="AD93" s="463">
        <f t="shared" si="212"/>
        <v>0</v>
      </c>
      <c r="AE93" s="463">
        <f t="shared" si="212"/>
        <v>203362</v>
      </c>
      <c r="AF93" s="463">
        <f t="shared" si="212"/>
        <v>203362</v>
      </c>
      <c r="AG93" s="463">
        <f t="shared" si="212"/>
        <v>0</v>
      </c>
      <c r="AH93" s="463">
        <f t="shared" si="212"/>
        <v>0</v>
      </c>
      <c r="AI93" s="463">
        <f t="shared" si="212"/>
        <v>0</v>
      </c>
      <c r="AJ93" s="463">
        <f t="shared" si="212"/>
        <v>0</v>
      </c>
      <c r="AK93" s="463">
        <f t="shared" si="212"/>
        <v>0</v>
      </c>
      <c r="AL93" s="463">
        <f t="shared" si="212"/>
        <v>0</v>
      </c>
      <c r="AM93" s="463">
        <f t="shared" si="212"/>
        <v>0</v>
      </c>
      <c r="AN93" s="463">
        <f t="shared" si="212"/>
        <v>0</v>
      </c>
      <c r="AO93" s="463">
        <f t="shared" si="212"/>
        <v>0</v>
      </c>
      <c r="AP93" s="463">
        <f t="shared" si="212"/>
        <v>203362</v>
      </c>
      <c r="AQ93" s="463">
        <f t="shared" si="212"/>
        <v>203362</v>
      </c>
      <c r="AR93" s="463">
        <f t="shared" si="212"/>
        <v>68736</v>
      </c>
      <c r="AS93" s="463">
        <f t="shared" si="212"/>
        <v>2034</v>
      </c>
      <c r="AT93" s="463">
        <f t="shared" si="212"/>
        <v>0</v>
      </c>
      <c r="AU93" s="463">
        <f t="shared" si="212"/>
        <v>1424</v>
      </c>
      <c r="AV93" s="463">
        <f t="shared" si="212"/>
        <v>1424</v>
      </c>
      <c r="AW93" s="463">
        <f t="shared" si="212"/>
        <v>275556</v>
      </c>
      <c r="AX93" s="464">
        <f t="shared" si="212"/>
        <v>0</v>
      </c>
      <c r="AY93" s="464">
        <f t="shared" si="212"/>
        <v>0</v>
      </c>
      <c r="AZ93" s="464">
        <f t="shared" si="212"/>
        <v>0</v>
      </c>
      <c r="BA93" s="464">
        <f t="shared" si="212"/>
        <v>0</v>
      </c>
      <c r="BB93" s="464">
        <f t="shared" ref="BB93" si="213">SUM(BB87:BB92)</f>
        <v>0.62</v>
      </c>
      <c r="BC93" s="464">
        <f t="shared" si="212"/>
        <v>0</v>
      </c>
      <c r="BD93" s="464">
        <f t="shared" si="212"/>
        <v>0</v>
      </c>
      <c r="BE93" s="464">
        <f t="shared" ref="BE93" si="214">SUM(BE87:BE92)</f>
        <v>0</v>
      </c>
      <c r="BF93" s="464">
        <f t="shared" si="212"/>
        <v>0</v>
      </c>
      <c r="BG93" s="464">
        <f t="shared" si="212"/>
        <v>0.62</v>
      </c>
      <c r="BH93" s="290">
        <f t="shared" si="212"/>
        <v>0.62</v>
      </c>
      <c r="BI93" s="787">
        <f t="shared" si="212"/>
        <v>10334151</v>
      </c>
      <c r="BJ93" s="463">
        <f t="shared" si="212"/>
        <v>7393759</v>
      </c>
      <c r="BK93" s="463">
        <f t="shared" si="212"/>
        <v>6488046</v>
      </c>
      <c r="BL93" s="463">
        <f t="shared" si="212"/>
        <v>905713</v>
      </c>
      <c r="BM93" s="463">
        <f t="shared" si="212"/>
        <v>200000</v>
      </c>
      <c r="BN93" s="463">
        <f t="shared" si="212"/>
        <v>0</v>
      </c>
      <c r="BO93" s="463">
        <f t="shared" si="212"/>
        <v>200000</v>
      </c>
      <c r="BP93" s="463">
        <f t="shared" si="212"/>
        <v>2566691</v>
      </c>
      <c r="BQ93" s="463">
        <f t="shared" si="212"/>
        <v>73938</v>
      </c>
      <c r="BR93" s="463">
        <f t="shared" si="212"/>
        <v>99763</v>
      </c>
      <c r="BS93" s="464">
        <f t="shared" si="212"/>
        <v>15.987</v>
      </c>
      <c r="BT93" s="464">
        <f t="shared" si="212"/>
        <v>13.3035</v>
      </c>
      <c r="BU93" s="290">
        <f t="shared" si="212"/>
        <v>2.6835</v>
      </c>
      <c r="BV93" s="852">
        <f t="shared" si="212"/>
        <v>0</v>
      </c>
      <c r="BW93" s="722">
        <f t="shared" si="212"/>
        <v>0</v>
      </c>
      <c r="BX93" s="722">
        <f t="shared" si="212"/>
        <v>0</v>
      </c>
      <c r="BY93" s="722">
        <f t="shared" si="212"/>
        <v>0</v>
      </c>
      <c r="BZ93" s="722">
        <f t="shared" si="212"/>
        <v>0</v>
      </c>
      <c r="CA93" s="853">
        <f t="shared" si="212"/>
        <v>0</v>
      </c>
    </row>
    <row r="94" spans="1:79" ht="12.95" customHeight="1" x14ac:dyDescent="0.25">
      <c r="A94" s="280">
        <v>17</v>
      </c>
      <c r="B94" s="281">
        <v>4488</v>
      </c>
      <c r="C94" s="281">
        <v>600074803</v>
      </c>
      <c r="D94" s="281">
        <v>72742089</v>
      </c>
      <c r="E94" s="283" t="s">
        <v>340</v>
      </c>
      <c r="F94" s="281">
        <v>3111</v>
      </c>
      <c r="G94" s="284" t="s">
        <v>304</v>
      </c>
      <c r="H94" s="284" t="s">
        <v>271</v>
      </c>
      <c r="I94" s="565">
        <v>1626927</v>
      </c>
      <c r="J94" s="415">
        <v>1202561</v>
      </c>
      <c r="K94" s="415">
        <v>1135993</v>
      </c>
      <c r="L94" s="415">
        <v>66568</v>
      </c>
      <c r="M94" s="415">
        <v>0</v>
      </c>
      <c r="N94" s="415">
        <v>0</v>
      </c>
      <c r="O94" s="415">
        <v>0</v>
      </c>
      <c r="P94" s="68">
        <v>406466</v>
      </c>
      <c r="Q94" s="68">
        <v>12026</v>
      </c>
      <c r="R94" s="415">
        <v>5874</v>
      </c>
      <c r="S94" s="416">
        <v>2.2667000000000002</v>
      </c>
      <c r="T94" s="417">
        <v>2</v>
      </c>
      <c r="U94" s="770">
        <v>0.26669999999999999</v>
      </c>
      <c r="V94" s="424">
        <f t="shared" ref="V94:W99" si="215">AG94*-1</f>
        <v>0</v>
      </c>
      <c r="W94" s="418">
        <f t="shared" si="215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 t="shared" ref="AD94:AD99" si="216">V94+X94+Y94+Z94+AB94</f>
        <v>0</v>
      </c>
      <c r="AE94" s="418">
        <f t="shared" ref="AE94:AE99" si="217">W94+AA94+AC94</f>
        <v>0</v>
      </c>
      <c r="AF94" s="418">
        <f t="shared" ref="AF94:AF99" si="218">SUM(AD94:AE94)</f>
        <v>0</v>
      </c>
      <c r="AG94" s="418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 t="shared" ref="AL94:AL99" si="219">AG94+AI94+AJ94</f>
        <v>0</v>
      </c>
      <c r="AM94" s="418">
        <f t="shared" ref="AM94:AM99" si="220">AH94+AK94</f>
        <v>0</v>
      </c>
      <c r="AN94" s="418">
        <f t="shared" ref="AN94:AN99" si="221">SUM(AL94:AM94)</f>
        <v>0</v>
      </c>
      <c r="AO94" s="418">
        <f t="shared" ref="AO94:AP99" si="222">AD94+AL94</f>
        <v>0</v>
      </c>
      <c r="AP94" s="418">
        <f t="shared" si="222"/>
        <v>0</v>
      </c>
      <c r="AQ94" s="418">
        <f t="shared" ref="AQ94:AQ99" si="223">SUM(AO94:AP94)</f>
        <v>0</v>
      </c>
      <c r="AR94" s="68">
        <f t="shared" ref="AR94:AR99" si="224">ROUND((AF94+AG94+AH94+AI94)*33.8%,0)</f>
        <v>0</v>
      </c>
      <c r="AS94" s="68">
        <f t="shared" ref="AS94:AS99" si="225">ROUND(AF94*1%,0)</f>
        <v>0</v>
      </c>
      <c r="AT94" s="418">
        <v>0</v>
      </c>
      <c r="AU94" s="418">
        <v>0</v>
      </c>
      <c r="AV94" s="418">
        <f t="shared" ref="AV94:AV99" si="226">AT94+AU94</f>
        <v>0</v>
      </c>
      <c r="AW94" s="418">
        <f t="shared" ref="AW94:AW99" si="227"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 t="shared" ref="BF94:BF99" si="228">AX94+AZ94+BA94+BC94+BD94</f>
        <v>0</v>
      </c>
      <c r="BG94" s="419">
        <f t="shared" ref="BG94:BG99" si="229">AY94+BB94+BE94</f>
        <v>0</v>
      </c>
      <c r="BH94" s="421">
        <f t="shared" ref="BH94:BH99" si="230">SUM(BF94:BG94)</f>
        <v>0</v>
      </c>
      <c r="BI94" s="780">
        <f t="shared" ref="BI94:BI99" si="231">I94+AW94</f>
        <v>1626927</v>
      </c>
      <c r="BJ94" s="418">
        <f t="shared" ref="BJ94:BJ99" si="232">J94+AF94</f>
        <v>1202561</v>
      </c>
      <c r="BK94" s="418">
        <f t="shared" ref="BK94:BL99" si="233">K94+AD94</f>
        <v>1135993</v>
      </c>
      <c r="BL94" s="418">
        <f t="shared" si="233"/>
        <v>66568</v>
      </c>
      <c r="BM94" s="418">
        <f t="shared" ref="BM94:BM99" si="234">M94+AN94</f>
        <v>0</v>
      </c>
      <c r="BN94" s="418">
        <f t="shared" ref="BN94:BO99" si="235">N94+AL94</f>
        <v>0</v>
      </c>
      <c r="BO94" s="418">
        <f t="shared" si="235"/>
        <v>0</v>
      </c>
      <c r="BP94" s="418">
        <f t="shared" ref="BP94:BQ99" si="236">P94+AR94</f>
        <v>406466</v>
      </c>
      <c r="BQ94" s="418">
        <f t="shared" si="236"/>
        <v>12026</v>
      </c>
      <c r="BR94" s="418">
        <f t="shared" ref="BR94:BR99" si="237">R94+AV94</f>
        <v>5874</v>
      </c>
      <c r="BS94" s="419">
        <f t="shared" ref="BS94:BS99" si="238">S94+BH94</f>
        <v>2.2667000000000002</v>
      </c>
      <c r="BT94" s="419">
        <f t="shared" ref="BT94:BU99" si="239">T94+BF94</f>
        <v>2</v>
      </c>
      <c r="BU94" s="421">
        <f t="shared" si="239"/>
        <v>0.26669999999999999</v>
      </c>
      <c r="BV94" s="420"/>
      <c r="BW94" s="415"/>
      <c r="BX94" s="415"/>
      <c r="BY94" s="415"/>
      <c r="BZ94" s="415"/>
      <c r="CA94" s="510"/>
    </row>
    <row r="95" spans="1:79" ht="12.95" customHeight="1" x14ac:dyDescent="0.25">
      <c r="A95" s="280">
        <v>17</v>
      </c>
      <c r="B95" s="281">
        <v>4488</v>
      </c>
      <c r="C95" s="281">
        <v>600074803</v>
      </c>
      <c r="D95" s="281">
        <v>72742089</v>
      </c>
      <c r="E95" s="283" t="s">
        <v>340</v>
      </c>
      <c r="F95" s="281">
        <v>3117</v>
      </c>
      <c r="G95" s="284" t="s">
        <v>308</v>
      </c>
      <c r="H95" s="284" t="s">
        <v>271</v>
      </c>
      <c r="I95" s="565">
        <v>3105956</v>
      </c>
      <c r="J95" s="415">
        <v>2276135</v>
      </c>
      <c r="K95" s="415">
        <v>2053228</v>
      </c>
      <c r="L95" s="415">
        <v>222907</v>
      </c>
      <c r="M95" s="415">
        <v>0</v>
      </c>
      <c r="N95" s="415">
        <v>0</v>
      </c>
      <c r="O95" s="415">
        <v>0</v>
      </c>
      <c r="P95" s="68">
        <v>769333</v>
      </c>
      <c r="Q95" s="68">
        <v>22761</v>
      </c>
      <c r="R95" s="415">
        <v>37727</v>
      </c>
      <c r="S95" s="416">
        <v>3.6</v>
      </c>
      <c r="T95" s="417">
        <v>3</v>
      </c>
      <c r="U95" s="770">
        <v>0.6</v>
      </c>
      <c r="V95" s="424">
        <f t="shared" si="215"/>
        <v>0</v>
      </c>
      <c r="W95" s="418">
        <f t="shared" si="215"/>
        <v>0</v>
      </c>
      <c r="X95" s="418">
        <v>0</v>
      </c>
      <c r="Y95" s="418">
        <v>0</v>
      </c>
      <c r="Z95" s="418">
        <v>0</v>
      </c>
      <c r="AA95" s="418">
        <v>0</v>
      </c>
      <c r="AB95" s="418">
        <v>0</v>
      </c>
      <c r="AC95" s="418">
        <v>0</v>
      </c>
      <c r="AD95" s="418">
        <f t="shared" si="216"/>
        <v>0</v>
      </c>
      <c r="AE95" s="418">
        <f t="shared" si="217"/>
        <v>0</v>
      </c>
      <c r="AF95" s="418">
        <f t="shared" si="218"/>
        <v>0</v>
      </c>
      <c r="AG95" s="418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 t="shared" si="219"/>
        <v>0</v>
      </c>
      <c r="AM95" s="418">
        <f t="shared" si="220"/>
        <v>0</v>
      </c>
      <c r="AN95" s="418">
        <f t="shared" si="221"/>
        <v>0</v>
      </c>
      <c r="AO95" s="418">
        <f t="shared" si="222"/>
        <v>0</v>
      </c>
      <c r="AP95" s="418">
        <f t="shared" si="222"/>
        <v>0</v>
      </c>
      <c r="AQ95" s="418">
        <f t="shared" si="223"/>
        <v>0</v>
      </c>
      <c r="AR95" s="68">
        <f t="shared" si="224"/>
        <v>0</v>
      </c>
      <c r="AS95" s="68">
        <f t="shared" si="225"/>
        <v>0</v>
      </c>
      <c r="AT95" s="418">
        <v>0</v>
      </c>
      <c r="AU95" s="418">
        <v>0</v>
      </c>
      <c r="AV95" s="418">
        <f t="shared" si="226"/>
        <v>0</v>
      </c>
      <c r="AW95" s="418">
        <f t="shared" si="227"/>
        <v>0</v>
      </c>
      <c r="AX95" s="419">
        <v>0</v>
      </c>
      <c r="AY95" s="419">
        <v>0</v>
      </c>
      <c r="AZ95" s="419">
        <v>0</v>
      </c>
      <c r="BA95" s="419">
        <v>0</v>
      </c>
      <c r="BB95" s="419">
        <v>0</v>
      </c>
      <c r="BC95" s="419">
        <v>0</v>
      </c>
      <c r="BD95" s="419">
        <v>0</v>
      </c>
      <c r="BE95" s="419">
        <v>0</v>
      </c>
      <c r="BF95" s="419">
        <f t="shared" si="228"/>
        <v>0</v>
      </c>
      <c r="BG95" s="419">
        <f t="shared" si="229"/>
        <v>0</v>
      </c>
      <c r="BH95" s="421">
        <f t="shared" si="230"/>
        <v>0</v>
      </c>
      <c r="BI95" s="780">
        <f t="shared" si="231"/>
        <v>3105956</v>
      </c>
      <c r="BJ95" s="418">
        <f t="shared" si="232"/>
        <v>2276135</v>
      </c>
      <c r="BK95" s="418">
        <f t="shared" si="233"/>
        <v>2053228</v>
      </c>
      <c r="BL95" s="418">
        <f t="shared" si="233"/>
        <v>222907</v>
      </c>
      <c r="BM95" s="418">
        <f t="shared" si="234"/>
        <v>0</v>
      </c>
      <c r="BN95" s="418">
        <f t="shared" si="235"/>
        <v>0</v>
      </c>
      <c r="BO95" s="418">
        <f t="shared" si="235"/>
        <v>0</v>
      </c>
      <c r="BP95" s="418">
        <f t="shared" si="236"/>
        <v>769333</v>
      </c>
      <c r="BQ95" s="418">
        <f t="shared" si="236"/>
        <v>22761</v>
      </c>
      <c r="BR95" s="418">
        <f t="shared" si="237"/>
        <v>37727</v>
      </c>
      <c r="BS95" s="419">
        <f t="shared" si="238"/>
        <v>3.6</v>
      </c>
      <c r="BT95" s="419">
        <f t="shared" si="239"/>
        <v>3</v>
      </c>
      <c r="BU95" s="421">
        <f t="shared" si="239"/>
        <v>0.6</v>
      </c>
      <c r="BV95" s="420"/>
      <c r="BW95" s="415"/>
      <c r="BX95" s="415"/>
      <c r="BY95" s="415"/>
      <c r="BZ95" s="415"/>
      <c r="CA95" s="510"/>
    </row>
    <row r="96" spans="1:79" ht="12.95" customHeight="1" x14ac:dyDescent="0.25">
      <c r="A96" s="280">
        <v>17</v>
      </c>
      <c r="B96" s="281">
        <v>4488</v>
      </c>
      <c r="C96" s="281">
        <v>600074803</v>
      </c>
      <c r="D96" s="281">
        <v>72742089</v>
      </c>
      <c r="E96" s="283" t="s">
        <v>340</v>
      </c>
      <c r="F96" s="281">
        <v>3117</v>
      </c>
      <c r="G96" s="284" t="s">
        <v>298</v>
      </c>
      <c r="H96" s="284" t="s">
        <v>272</v>
      </c>
      <c r="I96" s="565">
        <v>937036</v>
      </c>
      <c r="J96" s="415">
        <v>692163</v>
      </c>
      <c r="K96" s="415">
        <v>692163</v>
      </c>
      <c r="L96" s="415">
        <v>0</v>
      </c>
      <c r="M96" s="415">
        <v>0</v>
      </c>
      <c r="N96" s="415">
        <v>0</v>
      </c>
      <c r="O96" s="415">
        <v>0</v>
      </c>
      <c r="P96" s="68">
        <v>233951</v>
      </c>
      <c r="Q96" s="68">
        <v>6922</v>
      </c>
      <c r="R96" s="415">
        <v>4000</v>
      </c>
      <c r="S96" s="416">
        <v>2</v>
      </c>
      <c r="T96" s="417">
        <v>2</v>
      </c>
      <c r="U96" s="770">
        <v>0</v>
      </c>
      <c r="V96" s="424">
        <f t="shared" si="215"/>
        <v>0</v>
      </c>
      <c r="W96" s="418">
        <f t="shared" si="215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 t="shared" si="216"/>
        <v>0</v>
      </c>
      <c r="AE96" s="418">
        <f t="shared" si="217"/>
        <v>0</v>
      </c>
      <c r="AF96" s="418">
        <f t="shared" si="218"/>
        <v>0</v>
      </c>
      <c r="AG96" s="418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 t="shared" si="219"/>
        <v>0</v>
      </c>
      <c r="AM96" s="418">
        <f t="shared" si="220"/>
        <v>0</v>
      </c>
      <c r="AN96" s="418">
        <f t="shared" si="221"/>
        <v>0</v>
      </c>
      <c r="AO96" s="418">
        <f t="shared" si="222"/>
        <v>0</v>
      </c>
      <c r="AP96" s="418">
        <f t="shared" si="222"/>
        <v>0</v>
      </c>
      <c r="AQ96" s="418">
        <f t="shared" si="223"/>
        <v>0</v>
      </c>
      <c r="AR96" s="68">
        <f t="shared" si="224"/>
        <v>0</v>
      </c>
      <c r="AS96" s="68">
        <f t="shared" si="225"/>
        <v>0</v>
      </c>
      <c r="AT96" s="418">
        <v>0</v>
      </c>
      <c r="AU96" s="418">
        <v>0</v>
      </c>
      <c r="AV96" s="418">
        <f t="shared" si="226"/>
        <v>0</v>
      </c>
      <c r="AW96" s="418">
        <f t="shared" si="227"/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 t="shared" si="228"/>
        <v>0</v>
      </c>
      <c r="BG96" s="419">
        <f t="shared" si="229"/>
        <v>0</v>
      </c>
      <c r="BH96" s="421">
        <f t="shared" si="230"/>
        <v>0</v>
      </c>
      <c r="BI96" s="780">
        <f t="shared" si="231"/>
        <v>937036</v>
      </c>
      <c r="BJ96" s="418">
        <f t="shared" si="232"/>
        <v>692163</v>
      </c>
      <c r="BK96" s="418">
        <f t="shared" si="233"/>
        <v>692163</v>
      </c>
      <c r="BL96" s="418">
        <f t="shared" si="233"/>
        <v>0</v>
      </c>
      <c r="BM96" s="418">
        <f t="shared" si="234"/>
        <v>0</v>
      </c>
      <c r="BN96" s="418">
        <f t="shared" si="235"/>
        <v>0</v>
      </c>
      <c r="BO96" s="418">
        <f t="shared" si="235"/>
        <v>0</v>
      </c>
      <c r="BP96" s="418">
        <f t="shared" si="236"/>
        <v>233951</v>
      </c>
      <c r="BQ96" s="418">
        <f t="shared" si="236"/>
        <v>6922</v>
      </c>
      <c r="BR96" s="418">
        <f t="shared" si="237"/>
        <v>4000</v>
      </c>
      <c r="BS96" s="419">
        <f t="shared" si="238"/>
        <v>2</v>
      </c>
      <c r="BT96" s="419">
        <f t="shared" si="239"/>
        <v>2</v>
      </c>
      <c r="BU96" s="421">
        <f t="shared" si="239"/>
        <v>0</v>
      </c>
      <c r="BV96" s="420"/>
      <c r="BW96" s="415"/>
      <c r="BX96" s="415"/>
      <c r="BY96" s="415"/>
      <c r="BZ96" s="415"/>
      <c r="CA96" s="510"/>
    </row>
    <row r="97" spans="1:79" ht="12.95" customHeight="1" x14ac:dyDescent="0.25">
      <c r="A97" s="280">
        <v>17</v>
      </c>
      <c r="B97" s="281">
        <v>4488</v>
      </c>
      <c r="C97" s="281">
        <v>600074803</v>
      </c>
      <c r="D97" s="281">
        <v>72742089</v>
      </c>
      <c r="E97" s="283" t="s">
        <v>340</v>
      </c>
      <c r="F97" s="281">
        <v>3141</v>
      </c>
      <c r="G97" s="284" t="s">
        <v>294</v>
      </c>
      <c r="H97" s="284" t="s">
        <v>272</v>
      </c>
      <c r="I97" s="565">
        <v>198989</v>
      </c>
      <c r="J97" s="415">
        <v>146731</v>
      </c>
      <c r="K97" s="415">
        <v>0</v>
      </c>
      <c r="L97" s="415">
        <v>146731</v>
      </c>
      <c r="M97" s="415">
        <v>0</v>
      </c>
      <c r="N97" s="415">
        <v>0</v>
      </c>
      <c r="O97" s="415">
        <v>0</v>
      </c>
      <c r="P97" s="68">
        <v>49595</v>
      </c>
      <c r="Q97" s="68">
        <v>1467</v>
      </c>
      <c r="R97" s="415">
        <v>1196</v>
      </c>
      <c r="S97" s="416">
        <v>0.44</v>
      </c>
      <c r="T97" s="417">
        <v>0</v>
      </c>
      <c r="U97" s="770">
        <v>0.44</v>
      </c>
      <c r="V97" s="424">
        <f t="shared" si="215"/>
        <v>0</v>
      </c>
      <c r="W97" s="418">
        <f t="shared" si="215"/>
        <v>0</v>
      </c>
      <c r="X97" s="418">
        <v>0</v>
      </c>
      <c r="Y97" s="418">
        <v>0</v>
      </c>
      <c r="Z97" s="418">
        <v>0</v>
      </c>
      <c r="AA97" s="418">
        <v>74670</v>
      </c>
      <c r="AB97" s="418">
        <v>0</v>
      </c>
      <c r="AC97" s="418">
        <v>0</v>
      </c>
      <c r="AD97" s="418">
        <f t="shared" si="216"/>
        <v>0</v>
      </c>
      <c r="AE97" s="418">
        <f t="shared" si="217"/>
        <v>74670</v>
      </c>
      <c r="AF97" s="418">
        <f t="shared" si="218"/>
        <v>74670</v>
      </c>
      <c r="AG97" s="418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 t="shared" si="219"/>
        <v>0</v>
      </c>
      <c r="AM97" s="418">
        <f t="shared" si="220"/>
        <v>0</v>
      </c>
      <c r="AN97" s="418">
        <f t="shared" si="221"/>
        <v>0</v>
      </c>
      <c r="AO97" s="418">
        <f t="shared" si="222"/>
        <v>0</v>
      </c>
      <c r="AP97" s="418">
        <f t="shared" si="222"/>
        <v>74670</v>
      </c>
      <c r="AQ97" s="418">
        <f t="shared" si="223"/>
        <v>74670</v>
      </c>
      <c r="AR97" s="68">
        <f t="shared" si="224"/>
        <v>25238</v>
      </c>
      <c r="AS97" s="68">
        <f t="shared" si="225"/>
        <v>747</v>
      </c>
      <c r="AT97" s="418">
        <v>0</v>
      </c>
      <c r="AU97" s="418">
        <v>572</v>
      </c>
      <c r="AV97" s="418">
        <f t="shared" si="226"/>
        <v>572</v>
      </c>
      <c r="AW97" s="418">
        <f t="shared" si="227"/>
        <v>101227</v>
      </c>
      <c r="AX97" s="419">
        <v>0</v>
      </c>
      <c r="AY97" s="419">
        <v>0</v>
      </c>
      <c r="AZ97" s="419">
        <v>0</v>
      </c>
      <c r="BA97" s="419">
        <v>0</v>
      </c>
      <c r="BB97" s="419">
        <v>0.22</v>
      </c>
      <c r="BC97" s="419">
        <v>0</v>
      </c>
      <c r="BD97" s="419">
        <v>0</v>
      </c>
      <c r="BE97" s="419">
        <v>0</v>
      </c>
      <c r="BF97" s="419">
        <f t="shared" si="228"/>
        <v>0</v>
      </c>
      <c r="BG97" s="419">
        <f t="shared" si="229"/>
        <v>0.22</v>
      </c>
      <c r="BH97" s="421">
        <f t="shared" si="230"/>
        <v>0.22</v>
      </c>
      <c r="BI97" s="780">
        <f t="shared" si="231"/>
        <v>300216</v>
      </c>
      <c r="BJ97" s="418">
        <f t="shared" si="232"/>
        <v>221401</v>
      </c>
      <c r="BK97" s="418">
        <f t="shared" si="233"/>
        <v>0</v>
      </c>
      <c r="BL97" s="418">
        <f t="shared" si="233"/>
        <v>221401</v>
      </c>
      <c r="BM97" s="418">
        <f t="shared" si="234"/>
        <v>0</v>
      </c>
      <c r="BN97" s="418">
        <f t="shared" si="235"/>
        <v>0</v>
      </c>
      <c r="BO97" s="418">
        <f t="shared" si="235"/>
        <v>0</v>
      </c>
      <c r="BP97" s="418">
        <f t="shared" si="236"/>
        <v>74833</v>
      </c>
      <c r="BQ97" s="418">
        <f t="shared" si="236"/>
        <v>2214</v>
      </c>
      <c r="BR97" s="418">
        <f t="shared" si="237"/>
        <v>1768</v>
      </c>
      <c r="BS97" s="419">
        <f t="shared" si="238"/>
        <v>0.66</v>
      </c>
      <c r="BT97" s="419">
        <f t="shared" si="239"/>
        <v>0</v>
      </c>
      <c r="BU97" s="421">
        <f t="shared" si="239"/>
        <v>0.66</v>
      </c>
      <c r="BV97" s="420"/>
      <c r="BW97" s="415"/>
      <c r="BX97" s="415"/>
      <c r="BY97" s="415"/>
      <c r="BZ97" s="415"/>
      <c r="CA97" s="510"/>
    </row>
    <row r="98" spans="1:79" ht="12.95" customHeight="1" x14ac:dyDescent="0.25">
      <c r="A98" s="280">
        <v>17</v>
      </c>
      <c r="B98" s="281">
        <v>4488</v>
      </c>
      <c r="C98" s="281">
        <v>600074803</v>
      </c>
      <c r="D98" s="281">
        <v>72742089</v>
      </c>
      <c r="E98" s="283" t="s">
        <v>340</v>
      </c>
      <c r="F98" s="281">
        <v>3143</v>
      </c>
      <c r="G98" s="284" t="s">
        <v>595</v>
      </c>
      <c r="H98" s="284" t="s">
        <v>271</v>
      </c>
      <c r="I98" s="565">
        <v>664923</v>
      </c>
      <c r="J98" s="415">
        <v>493266</v>
      </c>
      <c r="K98" s="415">
        <v>493266</v>
      </c>
      <c r="L98" s="415">
        <v>0</v>
      </c>
      <c r="M98" s="415">
        <v>0</v>
      </c>
      <c r="N98" s="415">
        <v>0</v>
      </c>
      <c r="O98" s="415">
        <v>0</v>
      </c>
      <c r="P98" s="68">
        <v>166724</v>
      </c>
      <c r="Q98" s="68">
        <v>4933</v>
      </c>
      <c r="R98" s="415">
        <v>0</v>
      </c>
      <c r="S98" s="416">
        <v>1.0287999999999999</v>
      </c>
      <c r="T98" s="417">
        <v>1.0287999999999999</v>
      </c>
      <c r="U98" s="770">
        <v>0</v>
      </c>
      <c r="V98" s="424">
        <f t="shared" si="215"/>
        <v>0</v>
      </c>
      <c r="W98" s="418">
        <f t="shared" si="215"/>
        <v>0</v>
      </c>
      <c r="X98" s="418">
        <v>0</v>
      </c>
      <c r="Y98" s="418">
        <v>0</v>
      </c>
      <c r="Z98" s="418">
        <v>0</v>
      </c>
      <c r="AA98" s="418">
        <v>0</v>
      </c>
      <c r="AB98" s="418">
        <v>0</v>
      </c>
      <c r="AC98" s="418">
        <v>0</v>
      </c>
      <c r="AD98" s="418">
        <f t="shared" si="216"/>
        <v>0</v>
      </c>
      <c r="AE98" s="418">
        <f t="shared" si="217"/>
        <v>0</v>
      </c>
      <c r="AF98" s="418">
        <f t="shared" si="218"/>
        <v>0</v>
      </c>
      <c r="AG98" s="418">
        <v>0</v>
      </c>
      <c r="AH98" s="418">
        <v>0</v>
      </c>
      <c r="AI98" s="418">
        <v>0</v>
      </c>
      <c r="AJ98" s="418">
        <v>0</v>
      </c>
      <c r="AK98" s="418">
        <v>0</v>
      </c>
      <c r="AL98" s="418">
        <f t="shared" si="219"/>
        <v>0</v>
      </c>
      <c r="AM98" s="418">
        <f t="shared" si="220"/>
        <v>0</v>
      </c>
      <c r="AN98" s="418">
        <f t="shared" si="221"/>
        <v>0</v>
      </c>
      <c r="AO98" s="418">
        <f t="shared" si="222"/>
        <v>0</v>
      </c>
      <c r="AP98" s="418">
        <f t="shared" si="222"/>
        <v>0</v>
      </c>
      <c r="AQ98" s="418">
        <f t="shared" si="223"/>
        <v>0</v>
      </c>
      <c r="AR98" s="68">
        <f t="shared" si="224"/>
        <v>0</v>
      </c>
      <c r="AS98" s="68">
        <f t="shared" si="225"/>
        <v>0</v>
      </c>
      <c r="AT98" s="418">
        <v>0</v>
      </c>
      <c r="AU98" s="418">
        <v>0</v>
      </c>
      <c r="AV98" s="418">
        <f t="shared" si="226"/>
        <v>0</v>
      </c>
      <c r="AW98" s="418">
        <f t="shared" si="227"/>
        <v>0</v>
      </c>
      <c r="AX98" s="419">
        <v>0</v>
      </c>
      <c r="AY98" s="419">
        <v>0</v>
      </c>
      <c r="AZ98" s="419">
        <v>0</v>
      </c>
      <c r="BA98" s="419">
        <v>0</v>
      </c>
      <c r="BB98" s="419">
        <v>0</v>
      </c>
      <c r="BC98" s="419">
        <v>0</v>
      </c>
      <c r="BD98" s="419">
        <v>0</v>
      </c>
      <c r="BE98" s="419">
        <v>0</v>
      </c>
      <c r="BF98" s="419">
        <f t="shared" si="228"/>
        <v>0</v>
      </c>
      <c r="BG98" s="419">
        <f t="shared" si="229"/>
        <v>0</v>
      </c>
      <c r="BH98" s="421">
        <f t="shared" si="230"/>
        <v>0</v>
      </c>
      <c r="BI98" s="780">
        <f t="shared" si="231"/>
        <v>664923</v>
      </c>
      <c r="BJ98" s="418">
        <f t="shared" si="232"/>
        <v>493266</v>
      </c>
      <c r="BK98" s="418">
        <f t="shared" si="233"/>
        <v>493266</v>
      </c>
      <c r="BL98" s="418">
        <f t="shared" si="233"/>
        <v>0</v>
      </c>
      <c r="BM98" s="418">
        <f t="shared" si="234"/>
        <v>0</v>
      </c>
      <c r="BN98" s="418">
        <f t="shared" si="235"/>
        <v>0</v>
      </c>
      <c r="BO98" s="418">
        <f t="shared" si="235"/>
        <v>0</v>
      </c>
      <c r="BP98" s="418">
        <f t="shared" si="236"/>
        <v>166724</v>
      </c>
      <c r="BQ98" s="418">
        <f t="shared" si="236"/>
        <v>4933</v>
      </c>
      <c r="BR98" s="418">
        <f t="shared" si="237"/>
        <v>0</v>
      </c>
      <c r="BS98" s="419">
        <f t="shared" si="238"/>
        <v>1.0287999999999999</v>
      </c>
      <c r="BT98" s="419">
        <f t="shared" si="239"/>
        <v>1.0287999999999999</v>
      </c>
      <c r="BU98" s="421">
        <f t="shared" si="239"/>
        <v>0</v>
      </c>
      <c r="BV98" s="420"/>
      <c r="BW98" s="415"/>
      <c r="BX98" s="415"/>
      <c r="BY98" s="415"/>
      <c r="BZ98" s="415"/>
      <c r="CA98" s="510"/>
    </row>
    <row r="99" spans="1:79" ht="12.95" customHeight="1" x14ac:dyDescent="0.25">
      <c r="A99" s="280">
        <v>17</v>
      </c>
      <c r="B99" s="281">
        <v>4488</v>
      </c>
      <c r="C99" s="281">
        <v>600074803</v>
      </c>
      <c r="D99" s="281">
        <v>72742089</v>
      </c>
      <c r="E99" s="283" t="s">
        <v>340</v>
      </c>
      <c r="F99" s="281">
        <v>3143</v>
      </c>
      <c r="G99" s="284" t="s">
        <v>596</v>
      </c>
      <c r="H99" s="284" t="s">
        <v>272</v>
      </c>
      <c r="I99" s="565">
        <v>12799</v>
      </c>
      <c r="J99" s="415">
        <v>9161</v>
      </c>
      <c r="K99" s="415">
        <v>0</v>
      </c>
      <c r="L99" s="415">
        <v>9161</v>
      </c>
      <c r="M99" s="415">
        <v>0</v>
      </c>
      <c r="N99" s="415">
        <v>0</v>
      </c>
      <c r="O99" s="415">
        <v>0</v>
      </c>
      <c r="P99" s="68">
        <v>3096</v>
      </c>
      <c r="Q99" s="68">
        <v>92</v>
      </c>
      <c r="R99" s="415">
        <v>450</v>
      </c>
      <c r="S99" s="416">
        <v>3.4700000000000002E-2</v>
      </c>
      <c r="T99" s="417">
        <v>0</v>
      </c>
      <c r="U99" s="770">
        <v>3.4700000000000002E-2</v>
      </c>
      <c r="V99" s="424">
        <f t="shared" si="215"/>
        <v>0</v>
      </c>
      <c r="W99" s="418">
        <f t="shared" si="215"/>
        <v>0</v>
      </c>
      <c r="X99" s="418">
        <v>0</v>
      </c>
      <c r="Y99" s="418">
        <v>0</v>
      </c>
      <c r="Z99" s="418">
        <v>0</v>
      </c>
      <c r="AA99" s="418">
        <v>4589</v>
      </c>
      <c r="AB99" s="418">
        <v>0</v>
      </c>
      <c r="AC99" s="418">
        <v>0</v>
      </c>
      <c r="AD99" s="418">
        <f t="shared" si="216"/>
        <v>0</v>
      </c>
      <c r="AE99" s="418">
        <f t="shared" si="217"/>
        <v>4589</v>
      </c>
      <c r="AF99" s="418">
        <f t="shared" si="218"/>
        <v>4589</v>
      </c>
      <c r="AG99" s="418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 t="shared" si="219"/>
        <v>0</v>
      </c>
      <c r="AM99" s="418">
        <f t="shared" si="220"/>
        <v>0</v>
      </c>
      <c r="AN99" s="418">
        <f t="shared" si="221"/>
        <v>0</v>
      </c>
      <c r="AO99" s="418">
        <f t="shared" si="222"/>
        <v>0</v>
      </c>
      <c r="AP99" s="418">
        <f t="shared" si="222"/>
        <v>4589</v>
      </c>
      <c r="AQ99" s="418">
        <f t="shared" si="223"/>
        <v>4589</v>
      </c>
      <c r="AR99" s="68">
        <f t="shared" si="224"/>
        <v>1551</v>
      </c>
      <c r="AS99" s="68">
        <f t="shared" si="225"/>
        <v>46</v>
      </c>
      <c r="AT99" s="418">
        <v>0</v>
      </c>
      <c r="AU99" s="418">
        <v>225</v>
      </c>
      <c r="AV99" s="418">
        <f t="shared" si="226"/>
        <v>225</v>
      </c>
      <c r="AW99" s="418">
        <f t="shared" si="227"/>
        <v>6411</v>
      </c>
      <c r="AX99" s="419">
        <v>0</v>
      </c>
      <c r="AY99" s="419">
        <v>0</v>
      </c>
      <c r="AZ99" s="419">
        <v>0</v>
      </c>
      <c r="BA99" s="419">
        <v>0</v>
      </c>
      <c r="BB99" s="419">
        <v>0.02</v>
      </c>
      <c r="BC99" s="419">
        <v>0</v>
      </c>
      <c r="BD99" s="419">
        <v>0</v>
      </c>
      <c r="BE99" s="419">
        <v>0</v>
      </c>
      <c r="BF99" s="419">
        <f t="shared" si="228"/>
        <v>0</v>
      </c>
      <c r="BG99" s="419">
        <f t="shared" si="229"/>
        <v>0.02</v>
      </c>
      <c r="BH99" s="421">
        <f t="shared" si="230"/>
        <v>0.02</v>
      </c>
      <c r="BI99" s="780">
        <f t="shared" si="231"/>
        <v>19210</v>
      </c>
      <c r="BJ99" s="418">
        <f t="shared" si="232"/>
        <v>13750</v>
      </c>
      <c r="BK99" s="418">
        <f t="shared" si="233"/>
        <v>0</v>
      </c>
      <c r="BL99" s="418">
        <f t="shared" si="233"/>
        <v>13750</v>
      </c>
      <c r="BM99" s="418">
        <f t="shared" si="234"/>
        <v>0</v>
      </c>
      <c r="BN99" s="418">
        <f t="shared" si="235"/>
        <v>0</v>
      </c>
      <c r="BO99" s="418">
        <f t="shared" si="235"/>
        <v>0</v>
      </c>
      <c r="BP99" s="418">
        <f t="shared" si="236"/>
        <v>4647</v>
      </c>
      <c r="BQ99" s="418">
        <f t="shared" si="236"/>
        <v>138</v>
      </c>
      <c r="BR99" s="418">
        <f t="shared" si="237"/>
        <v>675</v>
      </c>
      <c r="BS99" s="419">
        <f t="shared" si="238"/>
        <v>5.4699999999999999E-2</v>
      </c>
      <c r="BT99" s="419">
        <f t="shared" si="239"/>
        <v>0</v>
      </c>
      <c r="BU99" s="421">
        <f t="shared" si="239"/>
        <v>5.4699999999999999E-2</v>
      </c>
      <c r="BV99" s="420"/>
      <c r="BW99" s="415"/>
      <c r="BX99" s="415"/>
      <c r="BY99" s="415"/>
      <c r="BZ99" s="415"/>
      <c r="CA99" s="510"/>
    </row>
    <row r="100" spans="1:79" ht="12.95" customHeight="1" x14ac:dyDescent="0.25">
      <c r="A100" s="273">
        <v>17</v>
      </c>
      <c r="B100" s="275">
        <v>4488</v>
      </c>
      <c r="C100" s="275">
        <v>600074803</v>
      </c>
      <c r="D100" s="275">
        <v>72742089</v>
      </c>
      <c r="E100" s="288" t="s">
        <v>341</v>
      </c>
      <c r="F100" s="291"/>
      <c r="G100" s="292"/>
      <c r="H100" s="292"/>
      <c r="I100" s="466">
        <v>6546630</v>
      </c>
      <c r="J100" s="463">
        <v>4820017</v>
      </c>
      <c r="K100" s="463">
        <v>4374650</v>
      </c>
      <c r="L100" s="463">
        <v>445367</v>
      </c>
      <c r="M100" s="463">
        <v>0</v>
      </c>
      <c r="N100" s="463">
        <v>0</v>
      </c>
      <c r="O100" s="463">
        <v>0</v>
      </c>
      <c r="P100" s="463">
        <v>1629165</v>
      </c>
      <c r="Q100" s="463">
        <v>48201</v>
      </c>
      <c r="R100" s="463">
        <v>49247</v>
      </c>
      <c r="S100" s="464">
        <v>9.3702000000000005</v>
      </c>
      <c r="T100" s="464">
        <v>8.0288000000000004</v>
      </c>
      <c r="U100" s="534">
        <v>1.3413999999999999</v>
      </c>
      <c r="V100" s="466">
        <f t="shared" ref="V100:CA100" si="240">SUM(V94:V99)</f>
        <v>0</v>
      </c>
      <c r="W100" s="463">
        <f t="shared" si="240"/>
        <v>0</v>
      </c>
      <c r="X100" s="463">
        <f t="shared" si="240"/>
        <v>0</v>
      </c>
      <c r="Y100" s="463">
        <f t="shared" si="240"/>
        <v>0</v>
      </c>
      <c r="Z100" s="463">
        <f t="shared" si="240"/>
        <v>0</v>
      </c>
      <c r="AA100" s="463">
        <f t="shared" si="240"/>
        <v>79259</v>
      </c>
      <c r="AB100" s="463">
        <f t="shared" si="240"/>
        <v>0</v>
      </c>
      <c r="AC100" s="463">
        <f t="shared" si="240"/>
        <v>0</v>
      </c>
      <c r="AD100" s="463">
        <f t="shared" si="240"/>
        <v>0</v>
      </c>
      <c r="AE100" s="463">
        <f t="shared" si="240"/>
        <v>79259</v>
      </c>
      <c r="AF100" s="463">
        <f t="shared" si="240"/>
        <v>79259</v>
      </c>
      <c r="AG100" s="463">
        <f t="shared" si="240"/>
        <v>0</v>
      </c>
      <c r="AH100" s="463">
        <f t="shared" si="240"/>
        <v>0</v>
      </c>
      <c r="AI100" s="463">
        <f t="shared" si="240"/>
        <v>0</v>
      </c>
      <c r="AJ100" s="463">
        <f t="shared" si="240"/>
        <v>0</v>
      </c>
      <c r="AK100" s="463">
        <f t="shared" si="240"/>
        <v>0</v>
      </c>
      <c r="AL100" s="463">
        <f t="shared" si="240"/>
        <v>0</v>
      </c>
      <c r="AM100" s="463">
        <f t="shared" si="240"/>
        <v>0</v>
      </c>
      <c r="AN100" s="463">
        <f t="shared" si="240"/>
        <v>0</v>
      </c>
      <c r="AO100" s="463">
        <f t="shared" si="240"/>
        <v>0</v>
      </c>
      <c r="AP100" s="463">
        <f t="shared" si="240"/>
        <v>79259</v>
      </c>
      <c r="AQ100" s="463">
        <f t="shared" si="240"/>
        <v>79259</v>
      </c>
      <c r="AR100" s="463">
        <f t="shared" si="240"/>
        <v>26789</v>
      </c>
      <c r="AS100" s="463">
        <f t="shared" si="240"/>
        <v>793</v>
      </c>
      <c r="AT100" s="463">
        <f t="shared" si="240"/>
        <v>0</v>
      </c>
      <c r="AU100" s="463">
        <f t="shared" si="240"/>
        <v>797</v>
      </c>
      <c r="AV100" s="463">
        <f t="shared" si="240"/>
        <v>797</v>
      </c>
      <c r="AW100" s="463">
        <f t="shared" si="240"/>
        <v>107638</v>
      </c>
      <c r="AX100" s="464">
        <f t="shared" si="240"/>
        <v>0</v>
      </c>
      <c r="AY100" s="464">
        <f t="shared" si="240"/>
        <v>0</v>
      </c>
      <c r="AZ100" s="464">
        <f t="shared" si="240"/>
        <v>0</v>
      </c>
      <c r="BA100" s="464">
        <f t="shared" si="240"/>
        <v>0</v>
      </c>
      <c r="BB100" s="464">
        <f t="shared" ref="BB100" si="241">SUM(BB94:BB99)</f>
        <v>0.24</v>
      </c>
      <c r="BC100" s="464">
        <f t="shared" si="240"/>
        <v>0</v>
      </c>
      <c r="BD100" s="464">
        <f t="shared" si="240"/>
        <v>0</v>
      </c>
      <c r="BE100" s="464">
        <f t="shared" ref="BE100" si="242">SUM(BE94:BE99)</f>
        <v>0</v>
      </c>
      <c r="BF100" s="464">
        <f t="shared" si="240"/>
        <v>0</v>
      </c>
      <c r="BG100" s="464">
        <f t="shared" si="240"/>
        <v>0.24</v>
      </c>
      <c r="BH100" s="290">
        <f t="shared" si="240"/>
        <v>0.24</v>
      </c>
      <c r="BI100" s="787">
        <f t="shared" si="240"/>
        <v>6654268</v>
      </c>
      <c r="BJ100" s="463">
        <f t="shared" si="240"/>
        <v>4899276</v>
      </c>
      <c r="BK100" s="463">
        <f t="shared" si="240"/>
        <v>4374650</v>
      </c>
      <c r="BL100" s="463">
        <f t="shared" si="240"/>
        <v>524626</v>
      </c>
      <c r="BM100" s="463">
        <f t="shared" si="240"/>
        <v>0</v>
      </c>
      <c r="BN100" s="463">
        <f t="shared" si="240"/>
        <v>0</v>
      </c>
      <c r="BO100" s="463">
        <f t="shared" si="240"/>
        <v>0</v>
      </c>
      <c r="BP100" s="463">
        <f t="shared" si="240"/>
        <v>1655954</v>
      </c>
      <c r="BQ100" s="463">
        <f t="shared" si="240"/>
        <v>48994</v>
      </c>
      <c r="BR100" s="463">
        <f t="shared" si="240"/>
        <v>50044</v>
      </c>
      <c r="BS100" s="464">
        <f t="shared" si="240"/>
        <v>9.6102000000000007</v>
      </c>
      <c r="BT100" s="464">
        <f t="shared" si="240"/>
        <v>8.0288000000000004</v>
      </c>
      <c r="BU100" s="290">
        <f t="shared" si="240"/>
        <v>1.5813999999999999</v>
      </c>
      <c r="BV100" s="852">
        <f t="shared" si="240"/>
        <v>0</v>
      </c>
      <c r="BW100" s="722">
        <f t="shared" si="240"/>
        <v>0</v>
      </c>
      <c r="BX100" s="722">
        <f t="shared" si="240"/>
        <v>0</v>
      </c>
      <c r="BY100" s="722">
        <f t="shared" si="240"/>
        <v>0</v>
      </c>
      <c r="BZ100" s="722">
        <f t="shared" si="240"/>
        <v>0</v>
      </c>
      <c r="CA100" s="853">
        <f t="shared" si="240"/>
        <v>0</v>
      </c>
    </row>
    <row r="101" spans="1:79" ht="12.95" customHeight="1" x14ac:dyDescent="0.25">
      <c r="A101" s="280">
        <v>18</v>
      </c>
      <c r="B101" s="281">
        <v>4434</v>
      </c>
      <c r="C101" s="281">
        <v>650025768</v>
      </c>
      <c r="D101" s="281">
        <v>72744481</v>
      </c>
      <c r="E101" s="283" t="s">
        <v>342</v>
      </c>
      <c r="F101" s="281">
        <v>3111</v>
      </c>
      <c r="G101" s="284" t="s">
        <v>304</v>
      </c>
      <c r="H101" s="284" t="s">
        <v>271</v>
      </c>
      <c r="I101" s="565">
        <v>4659313</v>
      </c>
      <c r="J101" s="415">
        <v>3426114</v>
      </c>
      <c r="K101" s="415">
        <v>3246402</v>
      </c>
      <c r="L101" s="415">
        <v>179712</v>
      </c>
      <c r="M101" s="415">
        <v>20000</v>
      </c>
      <c r="N101" s="415">
        <v>20000</v>
      </c>
      <c r="O101" s="415">
        <v>0</v>
      </c>
      <c r="P101" s="68">
        <v>1164787</v>
      </c>
      <c r="Q101" s="68">
        <v>34261</v>
      </c>
      <c r="R101" s="415">
        <v>14151</v>
      </c>
      <c r="S101" s="416">
        <v>6.5716000000000001</v>
      </c>
      <c r="T101" s="417">
        <v>5.8516000000000004</v>
      </c>
      <c r="U101" s="770">
        <v>0.72</v>
      </c>
      <c r="V101" s="424">
        <f t="shared" ref="V101:W106" si="243">AG101*-1</f>
        <v>0</v>
      </c>
      <c r="W101" s="418">
        <f t="shared" si="243"/>
        <v>0</v>
      </c>
      <c r="X101" s="418">
        <v>0</v>
      </c>
      <c r="Y101" s="418">
        <v>0</v>
      </c>
      <c r="Z101" s="418">
        <v>0</v>
      </c>
      <c r="AA101" s="418">
        <v>0</v>
      </c>
      <c r="AB101" s="418">
        <v>0</v>
      </c>
      <c r="AC101" s="418">
        <v>0</v>
      </c>
      <c r="AD101" s="418">
        <f t="shared" ref="AD101:AD106" si="244">V101+X101+Y101+Z101+AB101</f>
        <v>0</v>
      </c>
      <c r="AE101" s="418">
        <f t="shared" ref="AE101:AE106" si="245">W101+AA101+AC101</f>
        <v>0</v>
      </c>
      <c r="AF101" s="418">
        <f t="shared" ref="AF101:AF106" si="246">SUM(AD101:AE101)</f>
        <v>0</v>
      </c>
      <c r="AG101" s="418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 t="shared" ref="AL101:AL106" si="247">AG101+AI101+AJ101</f>
        <v>0</v>
      </c>
      <c r="AM101" s="418">
        <f t="shared" ref="AM101:AM106" si="248">AH101+AK101</f>
        <v>0</v>
      </c>
      <c r="AN101" s="418">
        <f t="shared" ref="AN101:AN106" si="249">SUM(AL101:AM101)</f>
        <v>0</v>
      </c>
      <c r="AO101" s="418">
        <f t="shared" ref="AO101:AP106" si="250">AD101+AL101</f>
        <v>0</v>
      </c>
      <c r="AP101" s="418">
        <f t="shared" si="250"/>
        <v>0</v>
      </c>
      <c r="AQ101" s="418">
        <f t="shared" ref="AQ101:AQ106" si="251">SUM(AO101:AP101)</f>
        <v>0</v>
      </c>
      <c r="AR101" s="68">
        <f t="shared" ref="AR101:AR106" si="252">ROUND((AF101+AG101+AH101+AI101)*33.8%,0)</f>
        <v>0</v>
      </c>
      <c r="AS101" s="68">
        <f t="shared" ref="AS101:AS106" si="253">ROUND(AF101*1%,0)</f>
        <v>0</v>
      </c>
      <c r="AT101" s="418">
        <v>0</v>
      </c>
      <c r="AU101" s="418">
        <v>0</v>
      </c>
      <c r="AV101" s="418">
        <f t="shared" ref="AV101:AV106" si="254">AT101+AU101</f>
        <v>0</v>
      </c>
      <c r="AW101" s="418">
        <f t="shared" ref="AW101:AW106" si="255">AQ101+AR101+AS101+AV101</f>
        <v>0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</v>
      </c>
      <c r="BC101" s="419">
        <v>0</v>
      </c>
      <c r="BD101" s="419">
        <v>0</v>
      </c>
      <c r="BE101" s="419">
        <v>0</v>
      </c>
      <c r="BF101" s="419">
        <f t="shared" ref="BF101:BF106" si="256">AX101+AZ101+BA101+BC101+BD101</f>
        <v>0</v>
      </c>
      <c r="BG101" s="419">
        <f t="shared" ref="BG101:BG106" si="257">AY101+BB101+BE101</f>
        <v>0</v>
      </c>
      <c r="BH101" s="421">
        <f t="shared" ref="BH101:BH106" si="258">SUM(BF101:BG101)</f>
        <v>0</v>
      </c>
      <c r="BI101" s="780">
        <f t="shared" ref="BI101:BI106" si="259">I101+AW101</f>
        <v>4659313</v>
      </c>
      <c r="BJ101" s="418">
        <f t="shared" ref="BJ101:BJ106" si="260">J101+AF101</f>
        <v>3426114</v>
      </c>
      <c r="BK101" s="418">
        <f t="shared" ref="BK101:BL106" si="261">K101+AD101</f>
        <v>3246402</v>
      </c>
      <c r="BL101" s="418">
        <f t="shared" si="261"/>
        <v>179712</v>
      </c>
      <c r="BM101" s="418">
        <f t="shared" ref="BM101:BM106" si="262">M101+AN101</f>
        <v>20000</v>
      </c>
      <c r="BN101" s="418">
        <f t="shared" ref="BN101:BO106" si="263">N101+AL101</f>
        <v>20000</v>
      </c>
      <c r="BO101" s="418">
        <f t="shared" si="263"/>
        <v>0</v>
      </c>
      <c r="BP101" s="418">
        <f t="shared" ref="BP101:BQ106" si="264">P101+AR101</f>
        <v>1164787</v>
      </c>
      <c r="BQ101" s="418">
        <f t="shared" si="264"/>
        <v>34261</v>
      </c>
      <c r="BR101" s="418">
        <f t="shared" ref="BR101:BR106" si="265">R101+AV101</f>
        <v>14151</v>
      </c>
      <c r="BS101" s="419">
        <f t="shared" ref="BS101:BS106" si="266">S101+BH101</f>
        <v>6.5716000000000001</v>
      </c>
      <c r="BT101" s="419">
        <f t="shared" ref="BT101:BU106" si="267">T101+BF101</f>
        <v>5.8516000000000004</v>
      </c>
      <c r="BU101" s="421">
        <f t="shared" si="267"/>
        <v>0.72</v>
      </c>
      <c r="BV101" s="420"/>
      <c r="BW101" s="415"/>
      <c r="BX101" s="415"/>
      <c r="BY101" s="415"/>
      <c r="BZ101" s="415"/>
      <c r="CA101" s="510"/>
    </row>
    <row r="102" spans="1:79" ht="12.95" customHeight="1" x14ac:dyDescent="0.25">
      <c r="A102" s="280">
        <v>18</v>
      </c>
      <c r="B102" s="281">
        <v>4434</v>
      </c>
      <c r="C102" s="281">
        <v>650025768</v>
      </c>
      <c r="D102" s="281">
        <v>72744481</v>
      </c>
      <c r="E102" s="283" t="s">
        <v>342</v>
      </c>
      <c r="F102" s="281">
        <v>3113</v>
      </c>
      <c r="G102" s="284" t="s">
        <v>308</v>
      </c>
      <c r="H102" s="284" t="s">
        <v>271</v>
      </c>
      <c r="I102" s="565">
        <v>13101806</v>
      </c>
      <c r="J102" s="415">
        <v>9479360</v>
      </c>
      <c r="K102" s="415">
        <v>8545075</v>
      </c>
      <c r="L102" s="415">
        <v>934285</v>
      </c>
      <c r="M102" s="415">
        <v>112000</v>
      </c>
      <c r="N102" s="415">
        <v>50920</v>
      </c>
      <c r="O102" s="415">
        <v>61080</v>
      </c>
      <c r="P102" s="68">
        <v>3241879</v>
      </c>
      <c r="Q102" s="68">
        <v>94793</v>
      </c>
      <c r="R102" s="415">
        <v>173774</v>
      </c>
      <c r="S102" s="416">
        <v>15.393599999999999</v>
      </c>
      <c r="T102" s="417">
        <v>12.7273</v>
      </c>
      <c r="U102" s="770">
        <v>2.6663000000000001</v>
      </c>
      <c r="V102" s="424">
        <f t="shared" si="243"/>
        <v>0</v>
      </c>
      <c r="W102" s="418">
        <f t="shared" si="243"/>
        <v>0</v>
      </c>
      <c r="X102" s="418">
        <v>0</v>
      </c>
      <c r="Y102" s="418">
        <v>0</v>
      </c>
      <c r="Z102" s="418">
        <v>0</v>
      </c>
      <c r="AA102" s="418">
        <v>0</v>
      </c>
      <c r="AB102" s="418">
        <v>0</v>
      </c>
      <c r="AC102" s="418">
        <v>0</v>
      </c>
      <c r="AD102" s="418">
        <f t="shared" si="244"/>
        <v>0</v>
      </c>
      <c r="AE102" s="418">
        <f t="shared" si="245"/>
        <v>0</v>
      </c>
      <c r="AF102" s="418">
        <f t="shared" si="246"/>
        <v>0</v>
      </c>
      <c r="AG102" s="418">
        <v>0</v>
      </c>
      <c r="AH102" s="418">
        <v>0</v>
      </c>
      <c r="AI102" s="418">
        <v>0</v>
      </c>
      <c r="AJ102" s="418">
        <v>0</v>
      </c>
      <c r="AK102" s="418">
        <v>0</v>
      </c>
      <c r="AL102" s="418">
        <f t="shared" si="247"/>
        <v>0</v>
      </c>
      <c r="AM102" s="418">
        <f t="shared" si="248"/>
        <v>0</v>
      </c>
      <c r="AN102" s="418">
        <f t="shared" si="249"/>
        <v>0</v>
      </c>
      <c r="AO102" s="418">
        <f t="shared" si="250"/>
        <v>0</v>
      </c>
      <c r="AP102" s="418">
        <f t="shared" si="250"/>
        <v>0</v>
      </c>
      <c r="AQ102" s="418">
        <f t="shared" si="251"/>
        <v>0</v>
      </c>
      <c r="AR102" s="68">
        <f t="shared" si="252"/>
        <v>0</v>
      </c>
      <c r="AS102" s="68">
        <f t="shared" si="253"/>
        <v>0</v>
      </c>
      <c r="AT102" s="418">
        <v>0</v>
      </c>
      <c r="AU102" s="418">
        <v>0</v>
      </c>
      <c r="AV102" s="418">
        <f t="shared" si="254"/>
        <v>0</v>
      </c>
      <c r="AW102" s="418">
        <f t="shared" si="255"/>
        <v>0</v>
      </c>
      <c r="AX102" s="419">
        <v>0</v>
      </c>
      <c r="AY102" s="419">
        <v>0</v>
      </c>
      <c r="AZ102" s="419">
        <v>0</v>
      </c>
      <c r="BA102" s="419">
        <v>0</v>
      </c>
      <c r="BB102" s="419">
        <v>0</v>
      </c>
      <c r="BC102" s="419">
        <v>0</v>
      </c>
      <c r="BD102" s="419">
        <v>0</v>
      </c>
      <c r="BE102" s="419">
        <v>0</v>
      </c>
      <c r="BF102" s="419">
        <f t="shared" si="256"/>
        <v>0</v>
      </c>
      <c r="BG102" s="419">
        <f t="shared" si="257"/>
        <v>0</v>
      </c>
      <c r="BH102" s="421">
        <f t="shared" si="258"/>
        <v>0</v>
      </c>
      <c r="BI102" s="780">
        <f t="shared" si="259"/>
        <v>13101806</v>
      </c>
      <c r="BJ102" s="418">
        <f t="shared" si="260"/>
        <v>9479360</v>
      </c>
      <c r="BK102" s="418">
        <f t="shared" si="261"/>
        <v>8545075</v>
      </c>
      <c r="BL102" s="418">
        <f t="shared" si="261"/>
        <v>934285</v>
      </c>
      <c r="BM102" s="418">
        <f t="shared" si="262"/>
        <v>112000</v>
      </c>
      <c r="BN102" s="418">
        <f t="shared" si="263"/>
        <v>50920</v>
      </c>
      <c r="BO102" s="418">
        <f t="shared" si="263"/>
        <v>61080</v>
      </c>
      <c r="BP102" s="418">
        <f t="shared" si="264"/>
        <v>3241879</v>
      </c>
      <c r="BQ102" s="418">
        <f t="shared" si="264"/>
        <v>94793</v>
      </c>
      <c r="BR102" s="418">
        <f t="shared" si="265"/>
        <v>173774</v>
      </c>
      <c r="BS102" s="419">
        <f t="shared" si="266"/>
        <v>15.393599999999999</v>
      </c>
      <c r="BT102" s="419">
        <f t="shared" si="267"/>
        <v>12.7273</v>
      </c>
      <c r="BU102" s="421">
        <f t="shared" si="267"/>
        <v>2.6663000000000001</v>
      </c>
      <c r="BV102" s="420"/>
      <c r="BW102" s="415"/>
      <c r="BX102" s="415"/>
      <c r="BY102" s="415"/>
      <c r="BZ102" s="415"/>
      <c r="CA102" s="510"/>
    </row>
    <row r="103" spans="1:79" ht="12.95" customHeight="1" x14ac:dyDescent="0.25">
      <c r="A103" s="280">
        <v>18</v>
      </c>
      <c r="B103" s="281">
        <v>4434</v>
      </c>
      <c r="C103" s="281">
        <v>650025768</v>
      </c>
      <c r="D103" s="281">
        <v>72744481</v>
      </c>
      <c r="E103" s="283" t="s">
        <v>342</v>
      </c>
      <c r="F103" s="281">
        <v>3113</v>
      </c>
      <c r="G103" s="284" t="s">
        <v>298</v>
      </c>
      <c r="H103" s="284" t="s">
        <v>272</v>
      </c>
      <c r="I103" s="565">
        <v>1843162</v>
      </c>
      <c r="J103" s="415">
        <v>1367331</v>
      </c>
      <c r="K103" s="415">
        <v>1367331</v>
      </c>
      <c r="L103" s="415">
        <v>0</v>
      </c>
      <c r="M103" s="415">
        <v>0</v>
      </c>
      <c r="N103" s="415">
        <v>0</v>
      </c>
      <c r="O103" s="415">
        <v>0</v>
      </c>
      <c r="P103" s="68">
        <v>462158</v>
      </c>
      <c r="Q103" s="68">
        <v>13673</v>
      </c>
      <c r="R103" s="415">
        <v>0</v>
      </c>
      <c r="S103" s="416">
        <v>3.69</v>
      </c>
      <c r="T103" s="417">
        <v>3.69</v>
      </c>
      <c r="U103" s="770">
        <v>0</v>
      </c>
      <c r="V103" s="424">
        <f t="shared" si="243"/>
        <v>0</v>
      </c>
      <c r="W103" s="418">
        <f t="shared" si="243"/>
        <v>0</v>
      </c>
      <c r="X103" s="418">
        <v>-185401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 t="shared" si="244"/>
        <v>-185401</v>
      </c>
      <c r="AE103" s="418">
        <f t="shared" si="245"/>
        <v>0</v>
      </c>
      <c r="AF103" s="418">
        <f t="shared" si="246"/>
        <v>-185401</v>
      </c>
      <c r="AG103" s="418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 t="shared" si="247"/>
        <v>0</v>
      </c>
      <c r="AM103" s="418">
        <f t="shared" si="248"/>
        <v>0</v>
      </c>
      <c r="AN103" s="418">
        <f t="shared" si="249"/>
        <v>0</v>
      </c>
      <c r="AO103" s="418">
        <f t="shared" si="250"/>
        <v>-185401</v>
      </c>
      <c r="AP103" s="418">
        <f t="shared" si="250"/>
        <v>0</v>
      </c>
      <c r="AQ103" s="418">
        <f t="shared" si="251"/>
        <v>-185401</v>
      </c>
      <c r="AR103" s="68">
        <f t="shared" si="252"/>
        <v>-62666</v>
      </c>
      <c r="AS103" s="68">
        <f t="shared" si="253"/>
        <v>-1854</v>
      </c>
      <c r="AT103" s="418">
        <v>0</v>
      </c>
      <c r="AU103" s="418">
        <v>0</v>
      </c>
      <c r="AV103" s="418">
        <f t="shared" si="254"/>
        <v>0</v>
      </c>
      <c r="AW103" s="418">
        <f t="shared" si="255"/>
        <v>-249921</v>
      </c>
      <c r="AX103" s="419">
        <v>0</v>
      </c>
      <c r="AY103" s="419">
        <v>0</v>
      </c>
      <c r="AZ103" s="419">
        <v>-0.51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 t="shared" si="256"/>
        <v>-0.51</v>
      </c>
      <c r="BG103" s="419">
        <f t="shared" si="257"/>
        <v>0</v>
      </c>
      <c r="BH103" s="421">
        <f t="shared" si="258"/>
        <v>-0.51</v>
      </c>
      <c r="BI103" s="780">
        <f t="shared" si="259"/>
        <v>1593241</v>
      </c>
      <c r="BJ103" s="418">
        <f t="shared" si="260"/>
        <v>1181930</v>
      </c>
      <c r="BK103" s="418">
        <f t="shared" si="261"/>
        <v>1181930</v>
      </c>
      <c r="BL103" s="418">
        <f t="shared" si="261"/>
        <v>0</v>
      </c>
      <c r="BM103" s="418">
        <f t="shared" si="262"/>
        <v>0</v>
      </c>
      <c r="BN103" s="418">
        <f t="shared" si="263"/>
        <v>0</v>
      </c>
      <c r="BO103" s="418">
        <f t="shared" si="263"/>
        <v>0</v>
      </c>
      <c r="BP103" s="418">
        <f t="shared" si="264"/>
        <v>399492</v>
      </c>
      <c r="BQ103" s="418">
        <f t="shared" si="264"/>
        <v>11819</v>
      </c>
      <c r="BR103" s="418">
        <f t="shared" si="265"/>
        <v>0</v>
      </c>
      <c r="BS103" s="419">
        <f t="shared" si="266"/>
        <v>3.1799999999999997</v>
      </c>
      <c r="BT103" s="419">
        <f t="shared" si="267"/>
        <v>3.1799999999999997</v>
      </c>
      <c r="BU103" s="421">
        <f t="shared" si="267"/>
        <v>0</v>
      </c>
      <c r="BV103" s="420"/>
      <c r="BW103" s="415"/>
      <c r="BX103" s="415"/>
      <c r="BY103" s="415"/>
      <c r="BZ103" s="415"/>
      <c r="CA103" s="510"/>
    </row>
    <row r="104" spans="1:79" ht="12.95" customHeight="1" x14ac:dyDescent="0.25">
      <c r="A104" s="280">
        <v>18</v>
      </c>
      <c r="B104" s="281">
        <v>4434</v>
      </c>
      <c r="C104" s="281">
        <v>650025768</v>
      </c>
      <c r="D104" s="281">
        <v>72744481</v>
      </c>
      <c r="E104" s="283" t="s">
        <v>342</v>
      </c>
      <c r="F104" s="281">
        <v>3141</v>
      </c>
      <c r="G104" s="284" t="s">
        <v>294</v>
      </c>
      <c r="H104" s="284" t="s">
        <v>272</v>
      </c>
      <c r="I104" s="565">
        <v>1235147</v>
      </c>
      <c r="J104" s="415">
        <v>886534</v>
      </c>
      <c r="K104" s="415">
        <v>0</v>
      </c>
      <c r="L104" s="415">
        <v>886534</v>
      </c>
      <c r="M104" s="415">
        <v>25000</v>
      </c>
      <c r="N104" s="415">
        <v>0</v>
      </c>
      <c r="O104" s="415">
        <v>25000</v>
      </c>
      <c r="P104" s="68">
        <v>308098</v>
      </c>
      <c r="Q104" s="68">
        <v>8865</v>
      </c>
      <c r="R104" s="415">
        <v>6650</v>
      </c>
      <c r="S104" s="416">
        <v>2.7334000000000001</v>
      </c>
      <c r="T104" s="417">
        <v>0</v>
      </c>
      <c r="U104" s="770">
        <v>2.7334000000000001</v>
      </c>
      <c r="V104" s="424">
        <f t="shared" si="243"/>
        <v>0</v>
      </c>
      <c r="W104" s="418">
        <f t="shared" si="243"/>
        <v>0</v>
      </c>
      <c r="X104" s="418">
        <v>0</v>
      </c>
      <c r="Y104" s="418">
        <v>0</v>
      </c>
      <c r="Z104" s="418">
        <v>0</v>
      </c>
      <c r="AA104" s="418">
        <v>456292</v>
      </c>
      <c r="AB104" s="418">
        <v>0</v>
      </c>
      <c r="AC104" s="418">
        <v>0</v>
      </c>
      <c r="AD104" s="418">
        <f t="shared" si="244"/>
        <v>0</v>
      </c>
      <c r="AE104" s="418">
        <f t="shared" si="245"/>
        <v>456292</v>
      </c>
      <c r="AF104" s="418">
        <f t="shared" si="246"/>
        <v>456292</v>
      </c>
      <c r="AG104" s="418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 t="shared" si="247"/>
        <v>0</v>
      </c>
      <c r="AM104" s="418">
        <f t="shared" si="248"/>
        <v>0</v>
      </c>
      <c r="AN104" s="418">
        <f t="shared" si="249"/>
        <v>0</v>
      </c>
      <c r="AO104" s="418">
        <f t="shared" si="250"/>
        <v>0</v>
      </c>
      <c r="AP104" s="418">
        <f t="shared" si="250"/>
        <v>456292</v>
      </c>
      <c r="AQ104" s="418">
        <f t="shared" si="251"/>
        <v>456292</v>
      </c>
      <c r="AR104" s="68">
        <f t="shared" si="252"/>
        <v>154227</v>
      </c>
      <c r="AS104" s="68">
        <f t="shared" si="253"/>
        <v>4563</v>
      </c>
      <c r="AT104" s="418">
        <v>0</v>
      </c>
      <c r="AU104" s="418">
        <v>3230</v>
      </c>
      <c r="AV104" s="418">
        <f t="shared" si="254"/>
        <v>3230</v>
      </c>
      <c r="AW104" s="418">
        <f t="shared" si="255"/>
        <v>618312</v>
      </c>
      <c r="AX104" s="419">
        <v>0</v>
      </c>
      <c r="AY104" s="419">
        <v>0</v>
      </c>
      <c r="AZ104" s="419">
        <v>0</v>
      </c>
      <c r="BA104" s="419">
        <v>0</v>
      </c>
      <c r="BB104" s="419">
        <v>1.37</v>
      </c>
      <c r="BC104" s="419">
        <v>0</v>
      </c>
      <c r="BD104" s="419">
        <v>0</v>
      </c>
      <c r="BE104" s="419">
        <v>0</v>
      </c>
      <c r="BF104" s="419">
        <f t="shared" si="256"/>
        <v>0</v>
      </c>
      <c r="BG104" s="419">
        <f t="shared" si="257"/>
        <v>1.37</v>
      </c>
      <c r="BH104" s="421">
        <f t="shared" si="258"/>
        <v>1.37</v>
      </c>
      <c r="BI104" s="780">
        <f t="shared" si="259"/>
        <v>1853459</v>
      </c>
      <c r="BJ104" s="418">
        <f t="shared" si="260"/>
        <v>1342826</v>
      </c>
      <c r="BK104" s="418">
        <f t="shared" si="261"/>
        <v>0</v>
      </c>
      <c r="BL104" s="418">
        <f t="shared" si="261"/>
        <v>1342826</v>
      </c>
      <c r="BM104" s="418">
        <f t="shared" si="262"/>
        <v>25000</v>
      </c>
      <c r="BN104" s="418">
        <f t="shared" si="263"/>
        <v>0</v>
      </c>
      <c r="BO104" s="418">
        <f t="shared" si="263"/>
        <v>25000</v>
      </c>
      <c r="BP104" s="418">
        <f t="shared" si="264"/>
        <v>462325</v>
      </c>
      <c r="BQ104" s="418">
        <f t="shared" si="264"/>
        <v>13428</v>
      </c>
      <c r="BR104" s="418">
        <f t="shared" si="265"/>
        <v>9880</v>
      </c>
      <c r="BS104" s="419">
        <f t="shared" si="266"/>
        <v>4.1034000000000006</v>
      </c>
      <c r="BT104" s="419">
        <f t="shared" si="267"/>
        <v>0</v>
      </c>
      <c r="BU104" s="421">
        <f t="shared" si="267"/>
        <v>4.1034000000000006</v>
      </c>
      <c r="BV104" s="420"/>
      <c r="BW104" s="415"/>
      <c r="BX104" s="415"/>
      <c r="BY104" s="415"/>
      <c r="BZ104" s="415"/>
      <c r="CA104" s="510"/>
    </row>
    <row r="105" spans="1:79" ht="12.95" customHeight="1" x14ac:dyDescent="0.25">
      <c r="A105" s="280">
        <v>18</v>
      </c>
      <c r="B105" s="281">
        <v>4434</v>
      </c>
      <c r="C105" s="281">
        <v>650025768</v>
      </c>
      <c r="D105" s="281">
        <v>72744481</v>
      </c>
      <c r="E105" s="283" t="s">
        <v>342</v>
      </c>
      <c r="F105" s="281">
        <v>3143</v>
      </c>
      <c r="G105" s="284" t="s">
        <v>595</v>
      </c>
      <c r="H105" s="284" t="s">
        <v>271</v>
      </c>
      <c r="I105" s="565">
        <v>1396243</v>
      </c>
      <c r="J105" s="415">
        <v>1010974</v>
      </c>
      <c r="K105" s="415">
        <v>1010974</v>
      </c>
      <c r="L105" s="415">
        <v>0</v>
      </c>
      <c r="M105" s="415">
        <v>25000</v>
      </c>
      <c r="N105" s="415">
        <v>25000</v>
      </c>
      <c r="O105" s="415">
        <v>0</v>
      </c>
      <c r="P105" s="68">
        <v>350159</v>
      </c>
      <c r="Q105" s="68">
        <v>10110</v>
      </c>
      <c r="R105" s="415">
        <v>0</v>
      </c>
      <c r="S105" s="416">
        <v>2</v>
      </c>
      <c r="T105" s="417">
        <v>2</v>
      </c>
      <c r="U105" s="770">
        <v>0</v>
      </c>
      <c r="V105" s="424">
        <f t="shared" si="243"/>
        <v>0</v>
      </c>
      <c r="W105" s="418">
        <f t="shared" si="243"/>
        <v>0</v>
      </c>
      <c r="X105" s="418">
        <v>0</v>
      </c>
      <c r="Y105" s="418">
        <v>0</v>
      </c>
      <c r="Z105" s="418">
        <v>0</v>
      </c>
      <c r="AA105" s="418">
        <v>0</v>
      </c>
      <c r="AB105" s="418">
        <v>0</v>
      </c>
      <c r="AC105" s="418">
        <v>0</v>
      </c>
      <c r="AD105" s="418">
        <f t="shared" si="244"/>
        <v>0</v>
      </c>
      <c r="AE105" s="418">
        <f t="shared" si="245"/>
        <v>0</v>
      </c>
      <c r="AF105" s="418">
        <f t="shared" si="246"/>
        <v>0</v>
      </c>
      <c r="AG105" s="418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 t="shared" si="247"/>
        <v>0</v>
      </c>
      <c r="AM105" s="418">
        <f t="shared" si="248"/>
        <v>0</v>
      </c>
      <c r="AN105" s="418">
        <f t="shared" si="249"/>
        <v>0</v>
      </c>
      <c r="AO105" s="418">
        <f t="shared" si="250"/>
        <v>0</v>
      </c>
      <c r="AP105" s="418">
        <f t="shared" si="250"/>
        <v>0</v>
      </c>
      <c r="AQ105" s="418">
        <f t="shared" si="251"/>
        <v>0</v>
      </c>
      <c r="AR105" s="68">
        <f t="shared" si="252"/>
        <v>0</v>
      </c>
      <c r="AS105" s="68">
        <f t="shared" si="253"/>
        <v>0</v>
      </c>
      <c r="AT105" s="418">
        <v>0</v>
      </c>
      <c r="AU105" s="418">
        <v>0</v>
      </c>
      <c r="AV105" s="418">
        <f t="shared" si="254"/>
        <v>0</v>
      </c>
      <c r="AW105" s="418">
        <f t="shared" si="255"/>
        <v>0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</v>
      </c>
      <c r="BC105" s="419">
        <v>0</v>
      </c>
      <c r="BD105" s="419">
        <v>0</v>
      </c>
      <c r="BE105" s="419">
        <v>0</v>
      </c>
      <c r="BF105" s="419">
        <f t="shared" si="256"/>
        <v>0</v>
      </c>
      <c r="BG105" s="419">
        <f t="shared" si="257"/>
        <v>0</v>
      </c>
      <c r="BH105" s="421">
        <f t="shared" si="258"/>
        <v>0</v>
      </c>
      <c r="BI105" s="780">
        <f t="shared" si="259"/>
        <v>1396243</v>
      </c>
      <c r="BJ105" s="418">
        <f t="shared" si="260"/>
        <v>1010974</v>
      </c>
      <c r="BK105" s="418">
        <f t="shared" si="261"/>
        <v>1010974</v>
      </c>
      <c r="BL105" s="418">
        <f t="shared" si="261"/>
        <v>0</v>
      </c>
      <c r="BM105" s="418">
        <f t="shared" si="262"/>
        <v>25000</v>
      </c>
      <c r="BN105" s="418">
        <f t="shared" si="263"/>
        <v>25000</v>
      </c>
      <c r="BO105" s="418">
        <f t="shared" si="263"/>
        <v>0</v>
      </c>
      <c r="BP105" s="418">
        <f t="shared" si="264"/>
        <v>350159</v>
      </c>
      <c r="BQ105" s="418">
        <f t="shared" si="264"/>
        <v>10110</v>
      </c>
      <c r="BR105" s="418">
        <f t="shared" si="265"/>
        <v>0</v>
      </c>
      <c r="BS105" s="419">
        <f t="shared" si="266"/>
        <v>2</v>
      </c>
      <c r="BT105" s="419">
        <f t="shared" si="267"/>
        <v>2</v>
      </c>
      <c r="BU105" s="421">
        <f t="shared" si="267"/>
        <v>0</v>
      </c>
      <c r="BV105" s="420"/>
      <c r="BW105" s="415"/>
      <c r="BX105" s="415"/>
      <c r="BY105" s="415"/>
      <c r="BZ105" s="415"/>
      <c r="CA105" s="510"/>
    </row>
    <row r="106" spans="1:79" ht="12.95" customHeight="1" x14ac:dyDescent="0.25">
      <c r="A106" s="280">
        <v>18</v>
      </c>
      <c r="B106" s="281">
        <v>4434</v>
      </c>
      <c r="C106" s="281">
        <v>650025768</v>
      </c>
      <c r="D106" s="281">
        <v>72744481</v>
      </c>
      <c r="E106" s="283" t="s">
        <v>342</v>
      </c>
      <c r="F106" s="281">
        <v>3143</v>
      </c>
      <c r="G106" s="284" t="s">
        <v>596</v>
      </c>
      <c r="H106" s="284" t="s">
        <v>272</v>
      </c>
      <c r="I106" s="565">
        <v>21503</v>
      </c>
      <c r="J106" s="415">
        <v>15391</v>
      </c>
      <c r="K106" s="415">
        <v>0</v>
      </c>
      <c r="L106" s="415">
        <v>15391</v>
      </c>
      <c r="M106" s="415">
        <v>0</v>
      </c>
      <c r="N106" s="415">
        <v>0</v>
      </c>
      <c r="O106" s="415">
        <v>0</v>
      </c>
      <c r="P106" s="68">
        <v>5202</v>
      </c>
      <c r="Q106" s="68">
        <v>154</v>
      </c>
      <c r="R106" s="415">
        <v>756</v>
      </c>
      <c r="S106" s="416">
        <v>5.8299999999999998E-2</v>
      </c>
      <c r="T106" s="417">
        <v>0</v>
      </c>
      <c r="U106" s="770">
        <v>5.8299999999999998E-2</v>
      </c>
      <c r="V106" s="424">
        <f t="shared" si="243"/>
        <v>0</v>
      </c>
      <c r="W106" s="418">
        <f t="shared" si="243"/>
        <v>0</v>
      </c>
      <c r="X106" s="418">
        <v>0</v>
      </c>
      <c r="Y106" s="418">
        <v>0</v>
      </c>
      <c r="Z106" s="418">
        <v>0</v>
      </c>
      <c r="AA106" s="908">
        <v>7709</v>
      </c>
      <c r="AB106" s="418">
        <v>0</v>
      </c>
      <c r="AC106" s="418">
        <v>0</v>
      </c>
      <c r="AD106" s="418">
        <f t="shared" si="244"/>
        <v>0</v>
      </c>
      <c r="AE106" s="418">
        <f t="shared" si="245"/>
        <v>7709</v>
      </c>
      <c r="AF106" s="418">
        <f t="shared" si="246"/>
        <v>7709</v>
      </c>
      <c r="AG106" s="418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 t="shared" si="247"/>
        <v>0</v>
      </c>
      <c r="AM106" s="418">
        <f t="shared" si="248"/>
        <v>0</v>
      </c>
      <c r="AN106" s="418">
        <f t="shared" si="249"/>
        <v>0</v>
      </c>
      <c r="AO106" s="418">
        <f t="shared" si="250"/>
        <v>0</v>
      </c>
      <c r="AP106" s="418">
        <f t="shared" si="250"/>
        <v>7709</v>
      </c>
      <c r="AQ106" s="418">
        <f t="shared" si="251"/>
        <v>7709</v>
      </c>
      <c r="AR106" s="68">
        <f t="shared" si="252"/>
        <v>2606</v>
      </c>
      <c r="AS106" s="68">
        <f t="shared" si="253"/>
        <v>77</v>
      </c>
      <c r="AT106" s="418">
        <v>0</v>
      </c>
      <c r="AU106" s="908">
        <v>378</v>
      </c>
      <c r="AV106" s="418">
        <f t="shared" si="254"/>
        <v>378</v>
      </c>
      <c r="AW106" s="418">
        <f t="shared" si="255"/>
        <v>10770</v>
      </c>
      <c r="AX106" s="419">
        <v>0</v>
      </c>
      <c r="AY106" s="419">
        <v>0</v>
      </c>
      <c r="AZ106" s="419">
        <v>0</v>
      </c>
      <c r="BA106" s="419">
        <v>0</v>
      </c>
      <c r="BB106" s="909">
        <v>0.03</v>
      </c>
      <c r="BC106" s="419">
        <v>0</v>
      </c>
      <c r="BD106" s="419">
        <v>0</v>
      </c>
      <c r="BE106" s="419">
        <v>0</v>
      </c>
      <c r="BF106" s="419">
        <f t="shared" si="256"/>
        <v>0</v>
      </c>
      <c r="BG106" s="419">
        <f t="shared" si="257"/>
        <v>0.03</v>
      </c>
      <c r="BH106" s="421">
        <f t="shared" si="258"/>
        <v>0.03</v>
      </c>
      <c r="BI106" s="780">
        <f t="shared" si="259"/>
        <v>32273</v>
      </c>
      <c r="BJ106" s="418">
        <f t="shared" si="260"/>
        <v>23100</v>
      </c>
      <c r="BK106" s="418">
        <f t="shared" si="261"/>
        <v>0</v>
      </c>
      <c r="BL106" s="418">
        <f t="shared" si="261"/>
        <v>23100</v>
      </c>
      <c r="BM106" s="418">
        <f t="shared" si="262"/>
        <v>0</v>
      </c>
      <c r="BN106" s="418">
        <f t="shared" si="263"/>
        <v>0</v>
      </c>
      <c r="BO106" s="418">
        <f t="shared" si="263"/>
        <v>0</v>
      </c>
      <c r="BP106" s="418">
        <f t="shared" si="264"/>
        <v>7808</v>
      </c>
      <c r="BQ106" s="418">
        <f t="shared" si="264"/>
        <v>231</v>
      </c>
      <c r="BR106" s="418">
        <f t="shared" si="265"/>
        <v>1134</v>
      </c>
      <c r="BS106" s="419">
        <f t="shared" si="266"/>
        <v>8.829999999999999E-2</v>
      </c>
      <c r="BT106" s="419">
        <f t="shared" si="267"/>
        <v>0</v>
      </c>
      <c r="BU106" s="421">
        <f t="shared" si="267"/>
        <v>8.829999999999999E-2</v>
      </c>
      <c r="BV106" s="420"/>
      <c r="BW106" s="415"/>
      <c r="BX106" s="415"/>
      <c r="BY106" s="415"/>
      <c r="BZ106" s="415"/>
      <c r="CA106" s="510"/>
    </row>
    <row r="107" spans="1:79" ht="12.95" customHeight="1" x14ac:dyDescent="0.25">
      <c r="A107" s="273">
        <v>18</v>
      </c>
      <c r="B107" s="275">
        <v>4434</v>
      </c>
      <c r="C107" s="275">
        <v>650025768</v>
      </c>
      <c r="D107" s="275">
        <v>72744481</v>
      </c>
      <c r="E107" s="294" t="s">
        <v>343</v>
      </c>
      <c r="F107" s="295"/>
      <c r="G107" s="296"/>
      <c r="H107" s="296"/>
      <c r="I107" s="466">
        <v>22257174</v>
      </c>
      <c r="J107" s="463">
        <v>16185704</v>
      </c>
      <c r="K107" s="463">
        <v>14169782</v>
      </c>
      <c r="L107" s="463">
        <v>2015922</v>
      </c>
      <c r="M107" s="463">
        <v>182000</v>
      </c>
      <c r="N107" s="463">
        <v>95920</v>
      </c>
      <c r="O107" s="463">
        <v>86080</v>
      </c>
      <c r="P107" s="463">
        <v>5532283</v>
      </c>
      <c r="Q107" s="463">
        <v>161856</v>
      </c>
      <c r="R107" s="463">
        <v>195331</v>
      </c>
      <c r="S107" s="464">
        <v>30.446899999999999</v>
      </c>
      <c r="T107" s="464">
        <v>24.268900000000002</v>
      </c>
      <c r="U107" s="534">
        <v>6.1779999999999999</v>
      </c>
      <c r="V107" s="466">
        <f t="shared" ref="V107:CA107" si="268">SUM(V101:V106)</f>
        <v>0</v>
      </c>
      <c r="W107" s="463">
        <f t="shared" si="268"/>
        <v>0</v>
      </c>
      <c r="X107" s="463">
        <f t="shared" si="268"/>
        <v>-185401</v>
      </c>
      <c r="Y107" s="463">
        <f t="shared" si="268"/>
        <v>0</v>
      </c>
      <c r="Z107" s="463">
        <f t="shared" si="268"/>
        <v>0</v>
      </c>
      <c r="AA107" s="463">
        <f t="shared" si="268"/>
        <v>464001</v>
      </c>
      <c r="AB107" s="463">
        <f t="shared" si="268"/>
        <v>0</v>
      </c>
      <c r="AC107" s="463">
        <f t="shared" si="268"/>
        <v>0</v>
      </c>
      <c r="AD107" s="463">
        <f t="shared" si="268"/>
        <v>-185401</v>
      </c>
      <c r="AE107" s="463">
        <f t="shared" si="268"/>
        <v>464001</v>
      </c>
      <c r="AF107" s="463">
        <f t="shared" si="268"/>
        <v>278600</v>
      </c>
      <c r="AG107" s="463">
        <f t="shared" si="268"/>
        <v>0</v>
      </c>
      <c r="AH107" s="463">
        <f t="shared" si="268"/>
        <v>0</v>
      </c>
      <c r="AI107" s="463">
        <f t="shared" si="268"/>
        <v>0</v>
      </c>
      <c r="AJ107" s="463">
        <f t="shared" si="268"/>
        <v>0</v>
      </c>
      <c r="AK107" s="463">
        <f t="shared" si="268"/>
        <v>0</v>
      </c>
      <c r="AL107" s="463">
        <f t="shared" si="268"/>
        <v>0</v>
      </c>
      <c r="AM107" s="463">
        <f t="shared" si="268"/>
        <v>0</v>
      </c>
      <c r="AN107" s="463">
        <f t="shared" si="268"/>
        <v>0</v>
      </c>
      <c r="AO107" s="463">
        <f t="shared" si="268"/>
        <v>-185401</v>
      </c>
      <c r="AP107" s="463">
        <f t="shared" si="268"/>
        <v>464001</v>
      </c>
      <c r="AQ107" s="463">
        <f t="shared" si="268"/>
        <v>278600</v>
      </c>
      <c r="AR107" s="463">
        <f t="shared" si="268"/>
        <v>94167</v>
      </c>
      <c r="AS107" s="463">
        <f t="shared" si="268"/>
        <v>2786</v>
      </c>
      <c r="AT107" s="463">
        <f t="shared" si="268"/>
        <v>0</v>
      </c>
      <c r="AU107" s="463">
        <f t="shared" si="268"/>
        <v>3608</v>
      </c>
      <c r="AV107" s="463">
        <f t="shared" si="268"/>
        <v>3608</v>
      </c>
      <c r="AW107" s="463">
        <f t="shared" si="268"/>
        <v>379161</v>
      </c>
      <c r="AX107" s="464">
        <f t="shared" si="268"/>
        <v>0</v>
      </c>
      <c r="AY107" s="464">
        <f t="shared" si="268"/>
        <v>0</v>
      </c>
      <c r="AZ107" s="464">
        <f t="shared" si="268"/>
        <v>-0.51</v>
      </c>
      <c r="BA107" s="464">
        <f t="shared" si="268"/>
        <v>0</v>
      </c>
      <c r="BB107" s="464">
        <f t="shared" ref="BB107" si="269">SUM(BB101:BB106)</f>
        <v>1.4000000000000001</v>
      </c>
      <c r="BC107" s="464">
        <f t="shared" si="268"/>
        <v>0</v>
      </c>
      <c r="BD107" s="464">
        <f t="shared" si="268"/>
        <v>0</v>
      </c>
      <c r="BE107" s="464">
        <f t="shared" ref="BE107" si="270">SUM(BE101:BE106)</f>
        <v>0</v>
      </c>
      <c r="BF107" s="464">
        <f t="shared" si="268"/>
        <v>-0.51</v>
      </c>
      <c r="BG107" s="464">
        <f t="shared" si="268"/>
        <v>1.4000000000000001</v>
      </c>
      <c r="BH107" s="290">
        <f t="shared" si="268"/>
        <v>0.89000000000000012</v>
      </c>
      <c r="BI107" s="787">
        <f t="shared" si="268"/>
        <v>22636335</v>
      </c>
      <c r="BJ107" s="463">
        <f t="shared" si="268"/>
        <v>16464304</v>
      </c>
      <c r="BK107" s="463">
        <f t="shared" si="268"/>
        <v>13984381</v>
      </c>
      <c r="BL107" s="463">
        <f t="shared" si="268"/>
        <v>2479923</v>
      </c>
      <c r="BM107" s="463">
        <f t="shared" si="268"/>
        <v>182000</v>
      </c>
      <c r="BN107" s="463">
        <f t="shared" si="268"/>
        <v>95920</v>
      </c>
      <c r="BO107" s="463">
        <f t="shared" si="268"/>
        <v>86080</v>
      </c>
      <c r="BP107" s="463">
        <f t="shared" si="268"/>
        <v>5626450</v>
      </c>
      <c r="BQ107" s="463">
        <f t="shared" si="268"/>
        <v>164642</v>
      </c>
      <c r="BR107" s="463">
        <f t="shared" si="268"/>
        <v>198939</v>
      </c>
      <c r="BS107" s="464">
        <f t="shared" si="268"/>
        <v>31.3369</v>
      </c>
      <c r="BT107" s="464">
        <f t="shared" si="268"/>
        <v>23.758900000000001</v>
      </c>
      <c r="BU107" s="290">
        <f t="shared" si="268"/>
        <v>7.5780000000000012</v>
      </c>
      <c r="BV107" s="852">
        <f t="shared" si="268"/>
        <v>0</v>
      </c>
      <c r="BW107" s="722">
        <f t="shared" si="268"/>
        <v>0</v>
      </c>
      <c r="BX107" s="722">
        <f t="shared" si="268"/>
        <v>0</v>
      </c>
      <c r="BY107" s="722">
        <f t="shared" si="268"/>
        <v>0</v>
      </c>
      <c r="BZ107" s="722">
        <f t="shared" si="268"/>
        <v>0</v>
      </c>
      <c r="CA107" s="853">
        <f t="shared" si="268"/>
        <v>0</v>
      </c>
    </row>
    <row r="108" spans="1:79" ht="12.95" customHeight="1" x14ac:dyDescent="0.25">
      <c r="A108" s="280">
        <v>19</v>
      </c>
      <c r="B108" s="281">
        <v>4441</v>
      </c>
      <c r="C108" s="281">
        <v>600074668</v>
      </c>
      <c r="D108" s="281">
        <v>46750495</v>
      </c>
      <c r="E108" s="297" t="s">
        <v>344</v>
      </c>
      <c r="F108" s="298">
        <v>3111</v>
      </c>
      <c r="G108" s="284" t="s">
        <v>304</v>
      </c>
      <c r="H108" s="284" t="s">
        <v>271</v>
      </c>
      <c r="I108" s="565">
        <v>4498637</v>
      </c>
      <c r="J108" s="415">
        <v>3326770</v>
      </c>
      <c r="K108" s="415">
        <v>3147058</v>
      </c>
      <c r="L108" s="415">
        <v>179712</v>
      </c>
      <c r="M108" s="415">
        <v>0</v>
      </c>
      <c r="N108" s="415">
        <v>0</v>
      </c>
      <c r="O108" s="415">
        <v>0</v>
      </c>
      <c r="P108" s="68">
        <v>1124448</v>
      </c>
      <c r="Q108" s="68">
        <v>33268</v>
      </c>
      <c r="R108" s="415">
        <v>14151</v>
      </c>
      <c r="S108" s="416">
        <v>6.3651999999999997</v>
      </c>
      <c r="T108" s="417">
        <v>5.6452</v>
      </c>
      <c r="U108" s="770">
        <v>0.72</v>
      </c>
      <c r="V108" s="424">
        <f t="shared" ref="V108:W117" si="271">AG108*-1</f>
        <v>0</v>
      </c>
      <c r="W108" s="418">
        <f t="shared" si="271"/>
        <v>0</v>
      </c>
      <c r="X108" s="418">
        <v>0</v>
      </c>
      <c r="Y108" s="418">
        <v>0</v>
      </c>
      <c r="Z108" s="418">
        <v>0</v>
      </c>
      <c r="AA108" s="418">
        <v>0</v>
      </c>
      <c r="AB108" s="418">
        <v>0</v>
      </c>
      <c r="AC108" s="418">
        <v>0</v>
      </c>
      <c r="AD108" s="418">
        <f t="shared" ref="AD108:AD113" si="272">V108+X108+Y108+Z108+AB108</f>
        <v>0</v>
      </c>
      <c r="AE108" s="418">
        <f t="shared" ref="AE108:AE113" si="273">W108+AA108+AC108</f>
        <v>0</v>
      </c>
      <c r="AF108" s="418">
        <f t="shared" ref="AF108:AF113" si="274">SUM(AD108:AE108)</f>
        <v>0</v>
      </c>
      <c r="AG108" s="418">
        <v>0</v>
      </c>
      <c r="AH108" s="418">
        <v>0</v>
      </c>
      <c r="AI108" s="418">
        <v>0</v>
      </c>
      <c r="AJ108" s="418">
        <v>0</v>
      </c>
      <c r="AK108" s="418">
        <v>0</v>
      </c>
      <c r="AL108" s="418">
        <f t="shared" ref="AL108:AL113" si="275">AG108+AI108+AJ108</f>
        <v>0</v>
      </c>
      <c r="AM108" s="418">
        <f t="shared" ref="AM108:AM113" si="276">AH108+AK108</f>
        <v>0</v>
      </c>
      <c r="AN108" s="418">
        <f t="shared" ref="AN108:AN113" si="277">SUM(AL108:AM108)</f>
        <v>0</v>
      </c>
      <c r="AO108" s="418">
        <f t="shared" ref="AO108:AP113" si="278">AD108+AL108</f>
        <v>0</v>
      </c>
      <c r="AP108" s="418">
        <f t="shared" si="278"/>
        <v>0</v>
      </c>
      <c r="AQ108" s="418">
        <f t="shared" ref="AQ108:AQ113" si="279">SUM(AO108:AP108)</f>
        <v>0</v>
      </c>
      <c r="AR108" s="68">
        <f t="shared" ref="AR108:AR113" si="280">ROUND((AF108+AG108+AH108+AI108)*33.8%,0)</f>
        <v>0</v>
      </c>
      <c r="AS108" s="68">
        <f t="shared" ref="AS108:AS113" si="281">ROUND(AF108*1%,0)</f>
        <v>0</v>
      </c>
      <c r="AT108" s="418">
        <v>0</v>
      </c>
      <c r="AU108" s="418">
        <v>0</v>
      </c>
      <c r="AV108" s="418">
        <f t="shared" ref="AV108:AV113" si="282">AT108+AU108</f>
        <v>0</v>
      </c>
      <c r="AW108" s="418">
        <f t="shared" ref="AW108:AW113" si="283">AQ108+AR108+AS108+AV108</f>
        <v>0</v>
      </c>
      <c r="AX108" s="419">
        <v>0</v>
      </c>
      <c r="AY108" s="419">
        <v>0</v>
      </c>
      <c r="AZ108" s="419">
        <v>0</v>
      </c>
      <c r="BA108" s="419">
        <v>0</v>
      </c>
      <c r="BB108" s="419">
        <v>0</v>
      </c>
      <c r="BC108" s="419">
        <v>0</v>
      </c>
      <c r="BD108" s="419">
        <v>0</v>
      </c>
      <c r="BE108" s="419">
        <v>0</v>
      </c>
      <c r="BF108" s="419">
        <f t="shared" ref="BF108:BF113" si="284">AX108+AZ108+BA108+BC108+BD108</f>
        <v>0</v>
      </c>
      <c r="BG108" s="419">
        <f t="shared" ref="BG108:BG113" si="285">AY108+BB108+BE108</f>
        <v>0</v>
      </c>
      <c r="BH108" s="421">
        <f t="shared" ref="BH108:BH113" si="286">SUM(BF108:BG108)</f>
        <v>0</v>
      </c>
      <c r="BI108" s="780">
        <f t="shared" ref="BI108:BI113" si="287">I108+AW108</f>
        <v>4498637</v>
      </c>
      <c r="BJ108" s="418">
        <f t="shared" ref="BJ108:BJ113" si="288">J108+AF108</f>
        <v>3326770</v>
      </c>
      <c r="BK108" s="418">
        <f t="shared" ref="BK108:BL113" si="289">K108+AD108</f>
        <v>3147058</v>
      </c>
      <c r="BL108" s="418">
        <f t="shared" si="289"/>
        <v>179712</v>
      </c>
      <c r="BM108" s="418">
        <f t="shared" ref="BM108:BM113" si="290">M108+AN108</f>
        <v>0</v>
      </c>
      <c r="BN108" s="418">
        <f t="shared" ref="BN108:BO113" si="291">N108+AL108</f>
        <v>0</v>
      </c>
      <c r="BO108" s="418">
        <f t="shared" si="291"/>
        <v>0</v>
      </c>
      <c r="BP108" s="418">
        <f t="shared" ref="BP108:BQ113" si="292">P108+AR108</f>
        <v>1124448</v>
      </c>
      <c r="BQ108" s="418">
        <f t="shared" si="292"/>
        <v>33268</v>
      </c>
      <c r="BR108" s="418">
        <f t="shared" ref="BR108:BR113" si="293">R108+AV108</f>
        <v>14151</v>
      </c>
      <c r="BS108" s="419">
        <f t="shared" ref="BS108:BS113" si="294">S108+BH108</f>
        <v>6.3651999999999997</v>
      </c>
      <c r="BT108" s="419">
        <f t="shared" ref="BT108:BU113" si="295">T108+BF108</f>
        <v>5.6452</v>
      </c>
      <c r="BU108" s="421">
        <f t="shared" si="295"/>
        <v>0.72</v>
      </c>
      <c r="BV108" s="420"/>
      <c r="BW108" s="415"/>
      <c r="BX108" s="415"/>
      <c r="BY108" s="415"/>
      <c r="BZ108" s="415"/>
      <c r="CA108" s="510"/>
    </row>
    <row r="109" spans="1:79" ht="12.95" customHeight="1" x14ac:dyDescent="0.25">
      <c r="A109" s="280">
        <v>19</v>
      </c>
      <c r="B109" s="281">
        <v>4441</v>
      </c>
      <c r="C109" s="281">
        <v>600074668</v>
      </c>
      <c r="D109" s="281">
        <v>46750495</v>
      </c>
      <c r="E109" s="297" t="s">
        <v>344</v>
      </c>
      <c r="F109" s="298">
        <v>3117</v>
      </c>
      <c r="G109" s="284" t="s">
        <v>308</v>
      </c>
      <c r="H109" s="284" t="s">
        <v>271</v>
      </c>
      <c r="I109" s="565">
        <v>4149497</v>
      </c>
      <c r="J109" s="415">
        <v>3020307</v>
      </c>
      <c r="K109" s="415">
        <v>2639286</v>
      </c>
      <c r="L109" s="415">
        <v>381021</v>
      </c>
      <c r="M109" s="415">
        <v>12000</v>
      </c>
      <c r="N109" s="415">
        <v>0</v>
      </c>
      <c r="O109" s="415">
        <v>12000</v>
      </c>
      <c r="P109" s="68">
        <v>1024920</v>
      </c>
      <c r="Q109" s="68">
        <v>30203</v>
      </c>
      <c r="R109" s="415">
        <v>62067</v>
      </c>
      <c r="S109" s="416">
        <v>5.0689000000000002</v>
      </c>
      <c r="T109" s="417">
        <v>4.0454999999999997</v>
      </c>
      <c r="U109" s="770">
        <v>1.0233999999999999</v>
      </c>
      <c r="V109" s="424">
        <f t="shared" si="271"/>
        <v>0</v>
      </c>
      <c r="W109" s="418">
        <f t="shared" si="271"/>
        <v>0</v>
      </c>
      <c r="X109" s="418">
        <v>0</v>
      </c>
      <c r="Y109" s="418">
        <v>0</v>
      </c>
      <c r="Z109" s="418">
        <v>0</v>
      </c>
      <c r="AA109" s="418">
        <v>0</v>
      </c>
      <c r="AB109" s="418">
        <v>0</v>
      </c>
      <c r="AC109" s="418">
        <v>0</v>
      </c>
      <c r="AD109" s="418">
        <f t="shared" si="272"/>
        <v>0</v>
      </c>
      <c r="AE109" s="418">
        <f t="shared" si="273"/>
        <v>0</v>
      </c>
      <c r="AF109" s="418">
        <f t="shared" si="274"/>
        <v>0</v>
      </c>
      <c r="AG109" s="418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 t="shared" si="275"/>
        <v>0</v>
      </c>
      <c r="AM109" s="418">
        <f t="shared" si="276"/>
        <v>0</v>
      </c>
      <c r="AN109" s="418">
        <f t="shared" si="277"/>
        <v>0</v>
      </c>
      <c r="AO109" s="418">
        <f t="shared" si="278"/>
        <v>0</v>
      </c>
      <c r="AP109" s="418">
        <f t="shared" si="278"/>
        <v>0</v>
      </c>
      <c r="AQ109" s="418">
        <f t="shared" si="279"/>
        <v>0</v>
      </c>
      <c r="AR109" s="68">
        <f t="shared" si="280"/>
        <v>0</v>
      </c>
      <c r="AS109" s="68">
        <f t="shared" si="281"/>
        <v>0</v>
      </c>
      <c r="AT109" s="418">
        <v>0</v>
      </c>
      <c r="AU109" s="418">
        <v>0</v>
      </c>
      <c r="AV109" s="418">
        <f t="shared" si="282"/>
        <v>0</v>
      </c>
      <c r="AW109" s="418">
        <f t="shared" si="283"/>
        <v>0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</v>
      </c>
      <c r="BC109" s="419">
        <v>0</v>
      </c>
      <c r="BD109" s="419">
        <v>0</v>
      </c>
      <c r="BE109" s="419">
        <v>0</v>
      </c>
      <c r="BF109" s="419">
        <f t="shared" si="284"/>
        <v>0</v>
      </c>
      <c r="BG109" s="419">
        <f t="shared" si="285"/>
        <v>0</v>
      </c>
      <c r="BH109" s="421">
        <f t="shared" si="286"/>
        <v>0</v>
      </c>
      <c r="BI109" s="780">
        <f t="shared" si="287"/>
        <v>4149497</v>
      </c>
      <c r="BJ109" s="418">
        <f t="shared" si="288"/>
        <v>3020307</v>
      </c>
      <c r="BK109" s="418">
        <f t="shared" si="289"/>
        <v>2639286</v>
      </c>
      <c r="BL109" s="418">
        <f t="shared" si="289"/>
        <v>381021</v>
      </c>
      <c r="BM109" s="418">
        <f t="shared" si="290"/>
        <v>12000</v>
      </c>
      <c r="BN109" s="418">
        <f t="shared" si="291"/>
        <v>0</v>
      </c>
      <c r="BO109" s="418">
        <f t="shared" si="291"/>
        <v>12000</v>
      </c>
      <c r="BP109" s="418">
        <f t="shared" si="292"/>
        <v>1024920</v>
      </c>
      <c r="BQ109" s="418">
        <f t="shared" si="292"/>
        <v>30203</v>
      </c>
      <c r="BR109" s="418">
        <f t="shared" si="293"/>
        <v>62067</v>
      </c>
      <c r="BS109" s="419">
        <f t="shared" si="294"/>
        <v>5.0689000000000002</v>
      </c>
      <c r="BT109" s="419">
        <f t="shared" si="295"/>
        <v>4.0454999999999997</v>
      </c>
      <c r="BU109" s="421">
        <f t="shared" si="295"/>
        <v>1.0233999999999999</v>
      </c>
      <c r="BV109" s="420"/>
      <c r="BW109" s="415"/>
      <c r="BX109" s="415"/>
      <c r="BY109" s="415"/>
      <c r="BZ109" s="415"/>
      <c r="CA109" s="510"/>
    </row>
    <row r="110" spans="1:79" ht="12.95" customHeight="1" x14ac:dyDescent="0.25">
      <c r="A110" s="280">
        <v>19</v>
      </c>
      <c r="B110" s="281">
        <v>4441</v>
      </c>
      <c r="C110" s="281">
        <v>600074668</v>
      </c>
      <c r="D110" s="281">
        <v>46750495</v>
      </c>
      <c r="E110" s="297" t="s">
        <v>344</v>
      </c>
      <c r="F110" s="298">
        <v>3117</v>
      </c>
      <c r="G110" s="284" t="s">
        <v>298</v>
      </c>
      <c r="H110" s="284" t="s">
        <v>272</v>
      </c>
      <c r="I110" s="565">
        <v>541495</v>
      </c>
      <c r="J110" s="415">
        <v>401702</v>
      </c>
      <c r="K110" s="415">
        <v>401702</v>
      </c>
      <c r="L110" s="415">
        <v>0</v>
      </c>
      <c r="M110" s="415">
        <v>0</v>
      </c>
      <c r="N110" s="415">
        <v>0</v>
      </c>
      <c r="O110" s="415">
        <v>0</v>
      </c>
      <c r="P110" s="68">
        <v>135776</v>
      </c>
      <c r="Q110" s="68">
        <v>4017</v>
      </c>
      <c r="R110" s="415">
        <v>0</v>
      </c>
      <c r="S110" s="416">
        <v>1.08</v>
      </c>
      <c r="T110" s="417">
        <v>1.08</v>
      </c>
      <c r="U110" s="770">
        <v>0</v>
      </c>
      <c r="V110" s="424">
        <f t="shared" si="271"/>
        <v>0</v>
      </c>
      <c r="W110" s="418">
        <f t="shared" si="271"/>
        <v>0</v>
      </c>
      <c r="X110" s="418">
        <v>0</v>
      </c>
      <c r="Y110" s="418">
        <v>0</v>
      </c>
      <c r="Z110" s="418">
        <v>0</v>
      </c>
      <c r="AA110" s="418">
        <v>0</v>
      </c>
      <c r="AB110" s="418">
        <v>0</v>
      </c>
      <c r="AC110" s="418">
        <v>0</v>
      </c>
      <c r="AD110" s="418">
        <f t="shared" si="272"/>
        <v>0</v>
      </c>
      <c r="AE110" s="418">
        <f t="shared" si="273"/>
        <v>0</v>
      </c>
      <c r="AF110" s="418">
        <f t="shared" si="274"/>
        <v>0</v>
      </c>
      <c r="AG110" s="418">
        <v>0</v>
      </c>
      <c r="AH110" s="418">
        <v>0</v>
      </c>
      <c r="AI110" s="418">
        <v>0</v>
      </c>
      <c r="AJ110" s="418">
        <v>0</v>
      </c>
      <c r="AK110" s="418">
        <v>0</v>
      </c>
      <c r="AL110" s="418">
        <f t="shared" si="275"/>
        <v>0</v>
      </c>
      <c r="AM110" s="418">
        <f t="shared" si="276"/>
        <v>0</v>
      </c>
      <c r="AN110" s="418">
        <f t="shared" si="277"/>
        <v>0</v>
      </c>
      <c r="AO110" s="418">
        <f t="shared" si="278"/>
        <v>0</v>
      </c>
      <c r="AP110" s="418">
        <f t="shared" si="278"/>
        <v>0</v>
      </c>
      <c r="AQ110" s="418">
        <f t="shared" si="279"/>
        <v>0</v>
      </c>
      <c r="AR110" s="68">
        <f t="shared" si="280"/>
        <v>0</v>
      </c>
      <c r="AS110" s="68">
        <f t="shared" si="281"/>
        <v>0</v>
      </c>
      <c r="AT110" s="418">
        <v>0</v>
      </c>
      <c r="AU110" s="418">
        <v>0</v>
      </c>
      <c r="AV110" s="418">
        <f t="shared" si="282"/>
        <v>0</v>
      </c>
      <c r="AW110" s="418">
        <f t="shared" si="283"/>
        <v>0</v>
      </c>
      <c r="AX110" s="419">
        <v>0</v>
      </c>
      <c r="AY110" s="419">
        <v>0</v>
      </c>
      <c r="AZ110" s="419">
        <v>0</v>
      </c>
      <c r="BA110" s="419">
        <v>0</v>
      </c>
      <c r="BB110" s="419">
        <v>0</v>
      </c>
      <c r="BC110" s="419">
        <v>0</v>
      </c>
      <c r="BD110" s="419">
        <v>0</v>
      </c>
      <c r="BE110" s="419">
        <v>0</v>
      </c>
      <c r="BF110" s="419">
        <f t="shared" si="284"/>
        <v>0</v>
      </c>
      <c r="BG110" s="419">
        <f t="shared" si="285"/>
        <v>0</v>
      </c>
      <c r="BH110" s="421">
        <f t="shared" si="286"/>
        <v>0</v>
      </c>
      <c r="BI110" s="780">
        <f t="shared" si="287"/>
        <v>541495</v>
      </c>
      <c r="BJ110" s="418">
        <f t="shared" si="288"/>
        <v>401702</v>
      </c>
      <c r="BK110" s="418">
        <f t="shared" si="289"/>
        <v>401702</v>
      </c>
      <c r="BL110" s="418">
        <f t="shared" si="289"/>
        <v>0</v>
      </c>
      <c r="BM110" s="418">
        <f t="shared" si="290"/>
        <v>0</v>
      </c>
      <c r="BN110" s="418">
        <f t="shared" si="291"/>
        <v>0</v>
      </c>
      <c r="BO110" s="418">
        <f t="shared" si="291"/>
        <v>0</v>
      </c>
      <c r="BP110" s="418">
        <f t="shared" si="292"/>
        <v>135776</v>
      </c>
      <c r="BQ110" s="418">
        <f t="shared" si="292"/>
        <v>4017</v>
      </c>
      <c r="BR110" s="418">
        <f t="shared" si="293"/>
        <v>0</v>
      </c>
      <c r="BS110" s="419">
        <f t="shared" si="294"/>
        <v>1.08</v>
      </c>
      <c r="BT110" s="419">
        <f t="shared" si="295"/>
        <v>1.08</v>
      </c>
      <c r="BU110" s="421">
        <f t="shared" si="295"/>
        <v>0</v>
      </c>
      <c r="BV110" s="420"/>
      <c r="BW110" s="415"/>
      <c r="BX110" s="415"/>
      <c r="BY110" s="415"/>
      <c r="BZ110" s="415"/>
      <c r="CA110" s="510"/>
    </row>
    <row r="111" spans="1:79" ht="12.95" customHeight="1" x14ac:dyDescent="0.25">
      <c r="A111" s="280">
        <v>19</v>
      </c>
      <c r="B111" s="281">
        <v>4441</v>
      </c>
      <c r="C111" s="281">
        <v>600074668</v>
      </c>
      <c r="D111" s="281">
        <v>46750495</v>
      </c>
      <c r="E111" s="297" t="s">
        <v>344</v>
      </c>
      <c r="F111" s="298">
        <v>3141</v>
      </c>
      <c r="G111" s="284" t="s">
        <v>294</v>
      </c>
      <c r="H111" s="284" t="s">
        <v>272</v>
      </c>
      <c r="I111" s="565">
        <v>800514</v>
      </c>
      <c r="J111" s="415">
        <v>591360</v>
      </c>
      <c r="K111" s="415">
        <v>0</v>
      </c>
      <c r="L111" s="415">
        <v>591360</v>
      </c>
      <c r="M111" s="415">
        <v>0</v>
      </c>
      <c r="N111" s="415">
        <v>0</v>
      </c>
      <c r="O111" s="415">
        <v>0</v>
      </c>
      <c r="P111" s="68">
        <v>199880</v>
      </c>
      <c r="Q111" s="68">
        <v>5914</v>
      </c>
      <c r="R111" s="415">
        <v>3360</v>
      </c>
      <c r="S111" s="416">
        <v>1.7733000000000001</v>
      </c>
      <c r="T111" s="417">
        <v>0</v>
      </c>
      <c r="U111" s="770">
        <v>1.7733000000000001</v>
      </c>
      <c r="V111" s="424">
        <f t="shared" si="271"/>
        <v>0</v>
      </c>
      <c r="W111" s="418">
        <f t="shared" si="271"/>
        <v>0</v>
      </c>
      <c r="X111" s="418">
        <v>0</v>
      </c>
      <c r="Y111" s="418">
        <v>0</v>
      </c>
      <c r="Z111" s="418">
        <v>0</v>
      </c>
      <c r="AA111" s="418">
        <v>295202</v>
      </c>
      <c r="AB111" s="418">
        <v>0</v>
      </c>
      <c r="AC111" s="418">
        <v>0</v>
      </c>
      <c r="AD111" s="418">
        <f t="shared" si="272"/>
        <v>0</v>
      </c>
      <c r="AE111" s="418">
        <f t="shared" si="273"/>
        <v>295202</v>
      </c>
      <c r="AF111" s="418">
        <f t="shared" si="274"/>
        <v>295202</v>
      </c>
      <c r="AG111" s="418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 t="shared" si="275"/>
        <v>0</v>
      </c>
      <c r="AM111" s="418">
        <f t="shared" si="276"/>
        <v>0</v>
      </c>
      <c r="AN111" s="418">
        <f t="shared" si="277"/>
        <v>0</v>
      </c>
      <c r="AO111" s="418">
        <f t="shared" si="278"/>
        <v>0</v>
      </c>
      <c r="AP111" s="418">
        <f t="shared" si="278"/>
        <v>295202</v>
      </c>
      <c r="AQ111" s="418">
        <f t="shared" si="279"/>
        <v>295202</v>
      </c>
      <c r="AR111" s="68">
        <f t="shared" si="280"/>
        <v>99778</v>
      </c>
      <c r="AS111" s="68">
        <f t="shared" si="281"/>
        <v>2952</v>
      </c>
      <c r="AT111" s="418">
        <v>0</v>
      </c>
      <c r="AU111" s="418">
        <v>1632</v>
      </c>
      <c r="AV111" s="418">
        <f t="shared" si="282"/>
        <v>1632</v>
      </c>
      <c r="AW111" s="418">
        <f t="shared" si="283"/>
        <v>399564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0.89</v>
      </c>
      <c r="BC111" s="419">
        <v>0</v>
      </c>
      <c r="BD111" s="419">
        <v>0</v>
      </c>
      <c r="BE111" s="419">
        <v>0</v>
      </c>
      <c r="BF111" s="419">
        <f t="shared" si="284"/>
        <v>0</v>
      </c>
      <c r="BG111" s="419">
        <f t="shared" si="285"/>
        <v>0.89</v>
      </c>
      <c r="BH111" s="421">
        <f t="shared" si="286"/>
        <v>0.89</v>
      </c>
      <c r="BI111" s="780">
        <f t="shared" si="287"/>
        <v>1200078</v>
      </c>
      <c r="BJ111" s="418">
        <f t="shared" si="288"/>
        <v>886562</v>
      </c>
      <c r="BK111" s="418">
        <f t="shared" si="289"/>
        <v>0</v>
      </c>
      <c r="BL111" s="418">
        <f t="shared" si="289"/>
        <v>886562</v>
      </c>
      <c r="BM111" s="418">
        <f t="shared" si="290"/>
        <v>0</v>
      </c>
      <c r="BN111" s="418">
        <f t="shared" si="291"/>
        <v>0</v>
      </c>
      <c r="BO111" s="418">
        <f t="shared" si="291"/>
        <v>0</v>
      </c>
      <c r="BP111" s="418">
        <f t="shared" si="292"/>
        <v>299658</v>
      </c>
      <c r="BQ111" s="418">
        <f t="shared" si="292"/>
        <v>8866</v>
      </c>
      <c r="BR111" s="418">
        <f t="shared" si="293"/>
        <v>4992</v>
      </c>
      <c r="BS111" s="419">
        <f t="shared" si="294"/>
        <v>2.6633</v>
      </c>
      <c r="BT111" s="419">
        <f t="shared" si="295"/>
        <v>0</v>
      </c>
      <c r="BU111" s="421">
        <f t="shared" si="295"/>
        <v>2.6633</v>
      </c>
      <c r="BV111" s="420"/>
      <c r="BW111" s="415"/>
      <c r="BX111" s="415"/>
      <c r="BY111" s="415"/>
      <c r="BZ111" s="415"/>
      <c r="CA111" s="510"/>
    </row>
    <row r="112" spans="1:79" ht="12.95" customHeight="1" x14ac:dyDescent="0.25">
      <c r="A112" s="280">
        <v>19</v>
      </c>
      <c r="B112" s="281">
        <v>4441</v>
      </c>
      <c r="C112" s="281">
        <v>600074668</v>
      </c>
      <c r="D112" s="281">
        <v>46750495</v>
      </c>
      <c r="E112" s="297" t="s">
        <v>344</v>
      </c>
      <c r="F112" s="298">
        <v>3143</v>
      </c>
      <c r="G112" s="284" t="s">
        <v>595</v>
      </c>
      <c r="H112" s="284" t="s">
        <v>271</v>
      </c>
      <c r="I112" s="565">
        <v>1250701</v>
      </c>
      <c r="J112" s="415">
        <v>927820</v>
      </c>
      <c r="K112" s="415">
        <v>927820</v>
      </c>
      <c r="L112" s="415">
        <v>0</v>
      </c>
      <c r="M112" s="415">
        <v>0</v>
      </c>
      <c r="N112" s="415">
        <v>0</v>
      </c>
      <c r="O112" s="415">
        <v>0</v>
      </c>
      <c r="P112" s="68">
        <v>313603</v>
      </c>
      <c r="Q112" s="68">
        <v>9278</v>
      </c>
      <c r="R112" s="415">
        <v>0</v>
      </c>
      <c r="S112" s="416">
        <v>1.8929</v>
      </c>
      <c r="T112" s="417">
        <v>1.8929</v>
      </c>
      <c r="U112" s="770">
        <v>0</v>
      </c>
      <c r="V112" s="424">
        <f t="shared" si="271"/>
        <v>0</v>
      </c>
      <c r="W112" s="418">
        <f t="shared" si="271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 t="shared" si="272"/>
        <v>0</v>
      </c>
      <c r="AE112" s="418">
        <f t="shared" si="273"/>
        <v>0</v>
      </c>
      <c r="AF112" s="418">
        <f t="shared" si="274"/>
        <v>0</v>
      </c>
      <c r="AG112" s="418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 t="shared" si="275"/>
        <v>0</v>
      </c>
      <c r="AM112" s="418">
        <f t="shared" si="276"/>
        <v>0</v>
      </c>
      <c r="AN112" s="418">
        <f t="shared" si="277"/>
        <v>0</v>
      </c>
      <c r="AO112" s="418">
        <f t="shared" si="278"/>
        <v>0</v>
      </c>
      <c r="AP112" s="418">
        <f t="shared" si="278"/>
        <v>0</v>
      </c>
      <c r="AQ112" s="418">
        <f t="shared" si="279"/>
        <v>0</v>
      </c>
      <c r="AR112" s="68">
        <f t="shared" si="280"/>
        <v>0</v>
      </c>
      <c r="AS112" s="68">
        <f t="shared" si="281"/>
        <v>0</v>
      </c>
      <c r="AT112" s="418">
        <v>0</v>
      </c>
      <c r="AU112" s="418">
        <v>0</v>
      </c>
      <c r="AV112" s="418">
        <f t="shared" si="282"/>
        <v>0</v>
      </c>
      <c r="AW112" s="418">
        <f t="shared" si="283"/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 t="shared" si="284"/>
        <v>0</v>
      </c>
      <c r="BG112" s="419">
        <f t="shared" si="285"/>
        <v>0</v>
      </c>
      <c r="BH112" s="421">
        <f t="shared" si="286"/>
        <v>0</v>
      </c>
      <c r="BI112" s="780">
        <f t="shared" si="287"/>
        <v>1250701</v>
      </c>
      <c r="BJ112" s="418">
        <f t="shared" si="288"/>
        <v>927820</v>
      </c>
      <c r="BK112" s="418">
        <f t="shared" si="289"/>
        <v>927820</v>
      </c>
      <c r="BL112" s="418">
        <f t="shared" si="289"/>
        <v>0</v>
      </c>
      <c r="BM112" s="418">
        <f t="shared" si="290"/>
        <v>0</v>
      </c>
      <c r="BN112" s="418">
        <f t="shared" si="291"/>
        <v>0</v>
      </c>
      <c r="BO112" s="418">
        <f t="shared" si="291"/>
        <v>0</v>
      </c>
      <c r="BP112" s="418">
        <f t="shared" si="292"/>
        <v>313603</v>
      </c>
      <c r="BQ112" s="418">
        <f t="shared" si="292"/>
        <v>9278</v>
      </c>
      <c r="BR112" s="418">
        <f t="shared" si="293"/>
        <v>0</v>
      </c>
      <c r="BS112" s="419">
        <f t="shared" si="294"/>
        <v>1.8929</v>
      </c>
      <c r="BT112" s="419">
        <f t="shared" si="295"/>
        <v>1.8929</v>
      </c>
      <c r="BU112" s="421">
        <f t="shared" si="295"/>
        <v>0</v>
      </c>
      <c r="BV112" s="420"/>
      <c r="BW112" s="415"/>
      <c r="BX112" s="415"/>
      <c r="BY112" s="415"/>
      <c r="BZ112" s="415"/>
      <c r="CA112" s="510"/>
    </row>
    <row r="113" spans="1:79" ht="12.95" customHeight="1" x14ac:dyDescent="0.25">
      <c r="A113" s="280">
        <v>19</v>
      </c>
      <c r="B113" s="281">
        <v>4441</v>
      </c>
      <c r="C113" s="281">
        <v>600074668</v>
      </c>
      <c r="D113" s="281">
        <v>46750495</v>
      </c>
      <c r="E113" s="297" t="s">
        <v>344</v>
      </c>
      <c r="F113" s="298">
        <v>3143</v>
      </c>
      <c r="G113" s="284" t="s">
        <v>596</v>
      </c>
      <c r="H113" s="284" t="s">
        <v>272</v>
      </c>
      <c r="I113" s="565">
        <v>22020</v>
      </c>
      <c r="J113" s="415">
        <v>15761</v>
      </c>
      <c r="K113" s="415">
        <v>0</v>
      </c>
      <c r="L113" s="415">
        <v>15761</v>
      </c>
      <c r="M113" s="415">
        <v>0</v>
      </c>
      <c r="N113" s="415">
        <v>0</v>
      </c>
      <c r="O113" s="415">
        <v>0</v>
      </c>
      <c r="P113" s="68">
        <v>5327</v>
      </c>
      <c r="Q113" s="68">
        <v>158</v>
      </c>
      <c r="R113" s="415">
        <v>774</v>
      </c>
      <c r="S113" s="416">
        <v>5.9700000000000003E-2</v>
      </c>
      <c r="T113" s="417">
        <v>0</v>
      </c>
      <c r="U113" s="770">
        <v>5.9700000000000003E-2</v>
      </c>
      <c r="V113" s="424">
        <f t="shared" si="271"/>
        <v>0</v>
      </c>
      <c r="W113" s="418">
        <f t="shared" si="271"/>
        <v>0</v>
      </c>
      <c r="X113" s="418">
        <v>0</v>
      </c>
      <c r="Y113" s="418">
        <v>0</v>
      </c>
      <c r="Z113" s="418">
        <v>0</v>
      </c>
      <c r="AA113" s="418">
        <v>7889</v>
      </c>
      <c r="AB113" s="418">
        <v>0</v>
      </c>
      <c r="AC113" s="418">
        <v>0</v>
      </c>
      <c r="AD113" s="418">
        <f t="shared" si="272"/>
        <v>0</v>
      </c>
      <c r="AE113" s="418">
        <f t="shared" si="273"/>
        <v>7889</v>
      </c>
      <c r="AF113" s="418">
        <f t="shared" si="274"/>
        <v>7889</v>
      </c>
      <c r="AG113" s="418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 t="shared" si="275"/>
        <v>0</v>
      </c>
      <c r="AM113" s="418">
        <f t="shared" si="276"/>
        <v>0</v>
      </c>
      <c r="AN113" s="418">
        <f t="shared" si="277"/>
        <v>0</v>
      </c>
      <c r="AO113" s="418">
        <f t="shared" si="278"/>
        <v>0</v>
      </c>
      <c r="AP113" s="418">
        <f t="shared" si="278"/>
        <v>7889</v>
      </c>
      <c r="AQ113" s="418">
        <f t="shared" si="279"/>
        <v>7889</v>
      </c>
      <c r="AR113" s="68">
        <f t="shared" si="280"/>
        <v>2666</v>
      </c>
      <c r="AS113" s="68">
        <f t="shared" si="281"/>
        <v>79</v>
      </c>
      <c r="AT113" s="418">
        <v>0</v>
      </c>
      <c r="AU113" s="418">
        <v>387</v>
      </c>
      <c r="AV113" s="418">
        <f t="shared" si="282"/>
        <v>387</v>
      </c>
      <c r="AW113" s="418">
        <f t="shared" si="283"/>
        <v>11021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0.03</v>
      </c>
      <c r="BC113" s="419">
        <v>0</v>
      </c>
      <c r="BD113" s="419">
        <v>0</v>
      </c>
      <c r="BE113" s="419">
        <v>0</v>
      </c>
      <c r="BF113" s="419">
        <f t="shared" si="284"/>
        <v>0</v>
      </c>
      <c r="BG113" s="419">
        <f t="shared" si="285"/>
        <v>0.03</v>
      </c>
      <c r="BH113" s="421">
        <f t="shared" si="286"/>
        <v>0.03</v>
      </c>
      <c r="BI113" s="780">
        <f t="shared" si="287"/>
        <v>33041</v>
      </c>
      <c r="BJ113" s="418">
        <f t="shared" si="288"/>
        <v>23650</v>
      </c>
      <c r="BK113" s="418">
        <f t="shared" si="289"/>
        <v>0</v>
      </c>
      <c r="BL113" s="418">
        <f t="shared" si="289"/>
        <v>23650</v>
      </c>
      <c r="BM113" s="418">
        <f t="shared" si="290"/>
        <v>0</v>
      </c>
      <c r="BN113" s="418">
        <f t="shared" si="291"/>
        <v>0</v>
      </c>
      <c r="BO113" s="418">
        <f t="shared" si="291"/>
        <v>0</v>
      </c>
      <c r="BP113" s="418">
        <f t="shared" si="292"/>
        <v>7993</v>
      </c>
      <c r="BQ113" s="418">
        <f t="shared" si="292"/>
        <v>237</v>
      </c>
      <c r="BR113" s="418">
        <f t="shared" si="293"/>
        <v>1161</v>
      </c>
      <c r="BS113" s="419">
        <f t="shared" si="294"/>
        <v>8.9700000000000002E-2</v>
      </c>
      <c r="BT113" s="419">
        <f t="shared" si="295"/>
        <v>0</v>
      </c>
      <c r="BU113" s="421">
        <f t="shared" si="295"/>
        <v>8.9700000000000002E-2</v>
      </c>
      <c r="BV113" s="420"/>
      <c r="BW113" s="415"/>
      <c r="BX113" s="415"/>
      <c r="BY113" s="415"/>
      <c r="BZ113" s="415"/>
      <c r="CA113" s="510"/>
    </row>
    <row r="114" spans="1:79" ht="12.95" customHeight="1" x14ac:dyDescent="0.25">
      <c r="A114" s="273">
        <v>19</v>
      </c>
      <c r="B114" s="275">
        <v>4441</v>
      </c>
      <c r="C114" s="275">
        <v>600074668</v>
      </c>
      <c r="D114" s="275">
        <v>46750495</v>
      </c>
      <c r="E114" s="294" t="s">
        <v>345</v>
      </c>
      <c r="F114" s="295"/>
      <c r="G114" s="296"/>
      <c r="H114" s="296"/>
      <c r="I114" s="466">
        <v>11262864</v>
      </c>
      <c r="J114" s="463">
        <v>8283720</v>
      </c>
      <c r="K114" s="463">
        <v>7115866</v>
      </c>
      <c r="L114" s="463">
        <v>1167854</v>
      </c>
      <c r="M114" s="463">
        <v>12000</v>
      </c>
      <c r="N114" s="463">
        <v>0</v>
      </c>
      <c r="O114" s="463">
        <v>12000</v>
      </c>
      <c r="P114" s="463">
        <v>2803954</v>
      </c>
      <c r="Q114" s="463">
        <v>82838</v>
      </c>
      <c r="R114" s="463">
        <v>80352</v>
      </c>
      <c r="S114" s="464">
        <v>16.240000000000002</v>
      </c>
      <c r="T114" s="464">
        <v>12.663599999999999</v>
      </c>
      <c r="U114" s="534">
        <v>3.5764</v>
      </c>
      <c r="V114" s="466">
        <f t="shared" ref="V114:CA114" si="296">SUM(V108:V113)</f>
        <v>0</v>
      </c>
      <c r="W114" s="463">
        <f t="shared" si="296"/>
        <v>0</v>
      </c>
      <c r="X114" s="463">
        <f t="shared" si="296"/>
        <v>0</v>
      </c>
      <c r="Y114" s="463">
        <f t="shared" si="296"/>
        <v>0</v>
      </c>
      <c r="Z114" s="463">
        <f t="shared" si="296"/>
        <v>0</v>
      </c>
      <c r="AA114" s="463">
        <f t="shared" si="296"/>
        <v>303091</v>
      </c>
      <c r="AB114" s="463">
        <f t="shared" si="296"/>
        <v>0</v>
      </c>
      <c r="AC114" s="463">
        <f t="shared" si="296"/>
        <v>0</v>
      </c>
      <c r="AD114" s="463">
        <f t="shared" si="296"/>
        <v>0</v>
      </c>
      <c r="AE114" s="463">
        <f t="shared" si="296"/>
        <v>303091</v>
      </c>
      <c r="AF114" s="463">
        <f t="shared" si="296"/>
        <v>303091</v>
      </c>
      <c r="AG114" s="463">
        <f t="shared" si="296"/>
        <v>0</v>
      </c>
      <c r="AH114" s="463">
        <f t="shared" si="296"/>
        <v>0</v>
      </c>
      <c r="AI114" s="463">
        <f t="shared" si="296"/>
        <v>0</v>
      </c>
      <c r="AJ114" s="463">
        <f t="shared" si="296"/>
        <v>0</v>
      </c>
      <c r="AK114" s="463">
        <f t="shared" si="296"/>
        <v>0</v>
      </c>
      <c r="AL114" s="463">
        <f t="shared" si="296"/>
        <v>0</v>
      </c>
      <c r="AM114" s="463">
        <f t="shared" si="296"/>
        <v>0</v>
      </c>
      <c r="AN114" s="463">
        <f t="shared" si="296"/>
        <v>0</v>
      </c>
      <c r="AO114" s="463">
        <f t="shared" si="296"/>
        <v>0</v>
      </c>
      <c r="AP114" s="463">
        <f t="shared" si="296"/>
        <v>303091</v>
      </c>
      <c r="AQ114" s="463">
        <f t="shared" si="296"/>
        <v>303091</v>
      </c>
      <c r="AR114" s="463">
        <f t="shared" si="296"/>
        <v>102444</v>
      </c>
      <c r="AS114" s="463">
        <f t="shared" si="296"/>
        <v>3031</v>
      </c>
      <c r="AT114" s="463">
        <f t="shared" si="296"/>
        <v>0</v>
      </c>
      <c r="AU114" s="463">
        <f t="shared" si="296"/>
        <v>2019</v>
      </c>
      <c r="AV114" s="463">
        <f t="shared" si="296"/>
        <v>2019</v>
      </c>
      <c r="AW114" s="463">
        <f t="shared" si="296"/>
        <v>410585</v>
      </c>
      <c r="AX114" s="464">
        <f t="shared" si="296"/>
        <v>0</v>
      </c>
      <c r="AY114" s="464">
        <f t="shared" si="296"/>
        <v>0</v>
      </c>
      <c r="AZ114" s="464">
        <f t="shared" si="296"/>
        <v>0</v>
      </c>
      <c r="BA114" s="464">
        <f t="shared" si="296"/>
        <v>0</v>
      </c>
      <c r="BB114" s="464">
        <f t="shared" ref="BB114" si="297">SUM(BB108:BB113)</f>
        <v>0.92</v>
      </c>
      <c r="BC114" s="464">
        <f t="shared" si="296"/>
        <v>0</v>
      </c>
      <c r="BD114" s="464">
        <f t="shared" si="296"/>
        <v>0</v>
      </c>
      <c r="BE114" s="464">
        <f t="shared" ref="BE114" si="298">SUM(BE108:BE113)</f>
        <v>0</v>
      </c>
      <c r="BF114" s="464">
        <f t="shared" si="296"/>
        <v>0</v>
      </c>
      <c r="BG114" s="464">
        <f t="shared" si="296"/>
        <v>0.92</v>
      </c>
      <c r="BH114" s="290">
        <f t="shared" si="296"/>
        <v>0.92</v>
      </c>
      <c r="BI114" s="787">
        <f t="shared" si="296"/>
        <v>11673449</v>
      </c>
      <c r="BJ114" s="463">
        <f t="shared" si="296"/>
        <v>8586811</v>
      </c>
      <c r="BK114" s="463">
        <f t="shared" si="296"/>
        <v>7115866</v>
      </c>
      <c r="BL114" s="463">
        <f t="shared" si="296"/>
        <v>1470945</v>
      </c>
      <c r="BM114" s="463">
        <f t="shared" si="296"/>
        <v>12000</v>
      </c>
      <c r="BN114" s="463">
        <f t="shared" si="296"/>
        <v>0</v>
      </c>
      <c r="BO114" s="463">
        <f t="shared" si="296"/>
        <v>12000</v>
      </c>
      <c r="BP114" s="463">
        <f t="shared" si="296"/>
        <v>2906398</v>
      </c>
      <c r="BQ114" s="463">
        <f t="shared" si="296"/>
        <v>85869</v>
      </c>
      <c r="BR114" s="463">
        <f t="shared" si="296"/>
        <v>82371</v>
      </c>
      <c r="BS114" s="464">
        <f t="shared" si="296"/>
        <v>17.16</v>
      </c>
      <c r="BT114" s="464">
        <f t="shared" si="296"/>
        <v>12.663599999999999</v>
      </c>
      <c r="BU114" s="290">
        <f t="shared" si="296"/>
        <v>4.4963999999999995</v>
      </c>
      <c r="BV114" s="852">
        <f t="shared" si="296"/>
        <v>0</v>
      </c>
      <c r="BW114" s="722">
        <f t="shared" si="296"/>
        <v>0</v>
      </c>
      <c r="BX114" s="722">
        <f t="shared" si="296"/>
        <v>0</v>
      </c>
      <c r="BY114" s="722">
        <f t="shared" si="296"/>
        <v>0</v>
      </c>
      <c r="BZ114" s="722">
        <f t="shared" si="296"/>
        <v>0</v>
      </c>
      <c r="CA114" s="853">
        <f t="shared" si="296"/>
        <v>0</v>
      </c>
    </row>
    <row r="115" spans="1:79" ht="12.95" customHeight="1" x14ac:dyDescent="0.25">
      <c r="A115" s="280">
        <v>20</v>
      </c>
      <c r="B115" s="281">
        <v>4428</v>
      </c>
      <c r="C115" s="281">
        <v>600074242</v>
      </c>
      <c r="D115" s="281">
        <v>71010513</v>
      </c>
      <c r="E115" s="297" t="s">
        <v>346</v>
      </c>
      <c r="F115" s="298">
        <v>3111</v>
      </c>
      <c r="G115" s="284" t="s">
        <v>304</v>
      </c>
      <c r="H115" s="284" t="s">
        <v>271</v>
      </c>
      <c r="I115" s="565">
        <v>3075233</v>
      </c>
      <c r="J115" s="415">
        <v>2262838</v>
      </c>
      <c r="K115" s="415">
        <v>2041046</v>
      </c>
      <c r="L115" s="415">
        <v>221792</v>
      </c>
      <c r="M115" s="415">
        <v>11400</v>
      </c>
      <c r="N115" s="415">
        <v>11400</v>
      </c>
      <c r="O115" s="415">
        <v>0</v>
      </c>
      <c r="P115" s="68">
        <v>768692</v>
      </c>
      <c r="Q115" s="68">
        <v>22628</v>
      </c>
      <c r="R115" s="415">
        <v>9675</v>
      </c>
      <c r="S115" s="416">
        <v>4.7466999999999997</v>
      </c>
      <c r="T115" s="417">
        <v>4</v>
      </c>
      <c r="U115" s="770">
        <v>0.74669999999999992</v>
      </c>
      <c r="V115" s="424">
        <f t="shared" si="271"/>
        <v>0</v>
      </c>
      <c r="W115" s="418">
        <f t="shared" si="271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418">
        <f>SUM(AD115:AE115)</f>
        <v>0</v>
      </c>
      <c r="AG115" s="418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7" si="299">AD115+AL115</f>
        <v>0</v>
      </c>
      <c r="AP115" s="418">
        <f t="shared" si="299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421">
        <f>SUM(BF115:BG115)</f>
        <v>0</v>
      </c>
      <c r="BI115" s="780">
        <f>I115+AW115</f>
        <v>3075233</v>
      </c>
      <c r="BJ115" s="418">
        <f>J115+AF115</f>
        <v>2262838</v>
      </c>
      <c r="BK115" s="418">
        <f t="shared" ref="BK115:BL117" si="300">K115+AD115</f>
        <v>2041046</v>
      </c>
      <c r="BL115" s="418">
        <f t="shared" si="300"/>
        <v>221792</v>
      </c>
      <c r="BM115" s="418">
        <f>M115+AN115</f>
        <v>11400</v>
      </c>
      <c r="BN115" s="418">
        <f t="shared" ref="BN115:BO117" si="301">N115+AL115</f>
        <v>11400</v>
      </c>
      <c r="BO115" s="418">
        <f t="shared" si="301"/>
        <v>0</v>
      </c>
      <c r="BP115" s="418">
        <f t="shared" ref="BP115:BQ117" si="302">P115+AR115</f>
        <v>768692</v>
      </c>
      <c r="BQ115" s="418">
        <f t="shared" si="302"/>
        <v>22628</v>
      </c>
      <c r="BR115" s="418">
        <f>R115+AV115</f>
        <v>9675</v>
      </c>
      <c r="BS115" s="419">
        <f>S115+BH115</f>
        <v>4.7466999999999997</v>
      </c>
      <c r="BT115" s="419">
        <f t="shared" ref="BT115:BU117" si="303">T115+BF115</f>
        <v>4</v>
      </c>
      <c r="BU115" s="421">
        <f t="shared" si="303"/>
        <v>0.74669999999999992</v>
      </c>
      <c r="BV115" s="854"/>
      <c r="BW115" s="723"/>
      <c r="BX115" s="723"/>
      <c r="BY115" s="723"/>
      <c r="BZ115" s="723"/>
      <c r="CA115" s="855"/>
    </row>
    <row r="116" spans="1:79" ht="12.95" customHeight="1" x14ac:dyDescent="0.25">
      <c r="A116" s="280">
        <v>20</v>
      </c>
      <c r="B116" s="281">
        <v>4428</v>
      </c>
      <c r="C116" s="281">
        <v>600074242</v>
      </c>
      <c r="D116" s="281">
        <v>71010513</v>
      </c>
      <c r="E116" s="297" t="s">
        <v>346</v>
      </c>
      <c r="F116" s="298">
        <v>3111</v>
      </c>
      <c r="G116" s="299" t="s">
        <v>298</v>
      </c>
      <c r="H116" s="284" t="s">
        <v>272</v>
      </c>
      <c r="I116" s="565">
        <v>166613</v>
      </c>
      <c r="J116" s="415">
        <v>123600</v>
      </c>
      <c r="K116" s="415">
        <v>123600</v>
      </c>
      <c r="L116" s="415">
        <v>0</v>
      </c>
      <c r="M116" s="415">
        <v>0</v>
      </c>
      <c r="N116" s="415">
        <v>0</v>
      </c>
      <c r="O116" s="415">
        <v>0</v>
      </c>
      <c r="P116" s="68">
        <v>41777</v>
      </c>
      <c r="Q116" s="68">
        <v>1236</v>
      </c>
      <c r="R116" s="415">
        <v>0</v>
      </c>
      <c r="S116" s="416">
        <v>0.32999999999999996</v>
      </c>
      <c r="T116" s="417">
        <v>0.32999999999999996</v>
      </c>
      <c r="U116" s="770">
        <v>0</v>
      </c>
      <c r="V116" s="424">
        <f t="shared" si="271"/>
        <v>0</v>
      </c>
      <c r="W116" s="418">
        <f t="shared" si="271"/>
        <v>0</v>
      </c>
      <c r="X116" s="418">
        <v>0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0</v>
      </c>
      <c r="AE116" s="418">
        <f>W116+AA116+AC116</f>
        <v>0</v>
      </c>
      <c r="AF116" s="418">
        <f>SUM(AD116:AE116)</f>
        <v>0</v>
      </c>
      <c r="AG116" s="418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299"/>
        <v>0</v>
      </c>
      <c r="AP116" s="418">
        <f t="shared" si="299"/>
        <v>0</v>
      </c>
      <c r="AQ116" s="418">
        <f>SUM(AO116:AP116)</f>
        <v>0</v>
      </c>
      <c r="AR116" s="68">
        <f>ROUND((AF116+AG116+AH116+AI116)*33.8%,0)</f>
        <v>0</v>
      </c>
      <c r="AS116" s="68">
        <f>ROUND(AF116*1%,0)</f>
        <v>0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0</v>
      </c>
      <c r="AX116" s="419">
        <v>0</v>
      </c>
      <c r="AY116" s="419">
        <v>0</v>
      </c>
      <c r="AZ116" s="419">
        <v>0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0</v>
      </c>
      <c r="BG116" s="419">
        <f>AY116+BB116+BE116</f>
        <v>0</v>
      </c>
      <c r="BH116" s="421">
        <f>SUM(BF116:BG116)</f>
        <v>0</v>
      </c>
      <c r="BI116" s="780">
        <f>I116+AW116</f>
        <v>166613</v>
      </c>
      <c r="BJ116" s="418">
        <f>J116+AF116</f>
        <v>123600</v>
      </c>
      <c r="BK116" s="418">
        <f t="shared" si="300"/>
        <v>123600</v>
      </c>
      <c r="BL116" s="418">
        <f t="shared" si="300"/>
        <v>0</v>
      </c>
      <c r="BM116" s="418">
        <f>M116+AN116</f>
        <v>0</v>
      </c>
      <c r="BN116" s="418">
        <f t="shared" si="301"/>
        <v>0</v>
      </c>
      <c r="BO116" s="418">
        <f t="shared" si="301"/>
        <v>0</v>
      </c>
      <c r="BP116" s="418">
        <f t="shared" si="302"/>
        <v>41777</v>
      </c>
      <c r="BQ116" s="418">
        <f t="shared" si="302"/>
        <v>1236</v>
      </c>
      <c r="BR116" s="418">
        <f>R116+AV116</f>
        <v>0</v>
      </c>
      <c r="BS116" s="419">
        <f>S116+BH116</f>
        <v>0.32999999999999996</v>
      </c>
      <c r="BT116" s="419">
        <f t="shared" si="303"/>
        <v>0.32999999999999996</v>
      </c>
      <c r="BU116" s="421">
        <f t="shared" si="303"/>
        <v>0</v>
      </c>
      <c r="BV116" s="854"/>
      <c r="BW116" s="723"/>
      <c r="BX116" s="723"/>
      <c r="BY116" s="723"/>
      <c r="BZ116" s="723"/>
      <c r="CA116" s="855"/>
    </row>
    <row r="117" spans="1:79" ht="12.95" customHeight="1" x14ac:dyDescent="0.25">
      <c r="A117" s="280">
        <v>20</v>
      </c>
      <c r="B117" s="281">
        <v>4428</v>
      </c>
      <c r="C117" s="281">
        <v>600074242</v>
      </c>
      <c r="D117" s="281">
        <v>71010513</v>
      </c>
      <c r="E117" s="297" t="s">
        <v>346</v>
      </c>
      <c r="F117" s="298">
        <v>3141</v>
      </c>
      <c r="G117" s="299" t="s">
        <v>294</v>
      </c>
      <c r="H117" s="284" t="s">
        <v>272</v>
      </c>
      <c r="I117" s="565">
        <v>502283</v>
      </c>
      <c r="J117" s="415">
        <v>371263</v>
      </c>
      <c r="K117" s="415">
        <v>0</v>
      </c>
      <c r="L117" s="415">
        <v>371263</v>
      </c>
      <c r="M117" s="415">
        <v>0</v>
      </c>
      <c r="N117" s="415">
        <v>0</v>
      </c>
      <c r="O117" s="415">
        <v>0</v>
      </c>
      <c r="P117" s="68">
        <v>125487</v>
      </c>
      <c r="Q117" s="68">
        <v>3713</v>
      </c>
      <c r="R117" s="415">
        <v>1820</v>
      </c>
      <c r="S117" s="416">
        <v>1.1133</v>
      </c>
      <c r="T117" s="417">
        <v>0</v>
      </c>
      <c r="U117" s="770">
        <v>1.1133</v>
      </c>
      <c r="V117" s="424">
        <f t="shared" si="271"/>
        <v>0</v>
      </c>
      <c r="W117" s="418">
        <f t="shared" si="271"/>
        <v>0</v>
      </c>
      <c r="X117" s="418">
        <v>0</v>
      </c>
      <c r="Y117" s="418">
        <v>0</v>
      </c>
      <c r="Z117" s="418">
        <v>0</v>
      </c>
      <c r="AA117" s="418">
        <v>185510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185510</v>
      </c>
      <c r="AF117" s="418">
        <f>SUM(AD117:AE117)</f>
        <v>185510</v>
      </c>
      <c r="AG117" s="418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99"/>
        <v>0</v>
      </c>
      <c r="AP117" s="418">
        <f t="shared" si="299"/>
        <v>185510</v>
      </c>
      <c r="AQ117" s="418">
        <f>SUM(AO117:AP117)</f>
        <v>185510</v>
      </c>
      <c r="AR117" s="68">
        <f>ROUND((AF117+AG117+AH117+AI117)*33.8%,0)</f>
        <v>62702</v>
      </c>
      <c r="AS117" s="68">
        <f>ROUND(AF117*1%,0)</f>
        <v>1855</v>
      </c>
      <c r="AT117" s="418">
        <v>0</v>
      </c>
      <c r="AU117" s="418">
        <v>884</v>
      </c>
      <c r="AV117" s="418">
        <f>AT117+AU117</f>
        <v>884</v>
      </c>
      <c r="AW117" s="418">
        <f>AQ117+AR117+AS117+AV117</f>
        <v>250951</v>
      </c>
      <c r="AX117" s="419">
        <v>0</v>
      </c>
      <c r="AY117" s="419">
        <v>0</v>
      </c>
      <c r="AZ117" s="419">
        <v>0</v>
      </c>
      <c r="BA117" s="419">
        <v>0</v>
      </c>
      <c r="BB117" s="419">
        <v>0.56000000000000005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0.56000000000000005</v>
      </c>
      <c r="BH117" s="421">
        <f>SUM(BF117:BG117)</f>
        <v>0.56000000000000005</v>
      </c>
      <c r="BI117" s="780">
        <f>I117+AW117</f>
        <v>753234</v>
      </c>
      <c r="BJ117" s="418">
        <f>J117+AF117</f>
        <v>556773</v>
      </c>
      <c r="BK117" s="418">
        <f t="shared" si="300"/>
        <v>0</v>
      </c>
      <c r="BL117" s="418">
        <f t="shared" si="300"/>
        <v>556773</v>
      </c>
      <c r="BM117" s="418">
        <f>M117+AN117</f>
        <v>0</v>
      </c>
      <c r="BN117" s="418">
        <f t="shared" si="301"/>
        <v>0</v>
      </c>
      <c r="BO117" s="418">
        <f t="shared" si="301"/>
        <v>0</v>
      </c>
      <c r="BP117" s="418">
        <f t="shared" si="302"/>
        <v>188189</v>
      </c>
      <c r="BQ117" s="418">
        <f t="shared" si="302"/>
        <v>5568</v>
      </c>
      <c r="BR117" s="418">
        <f>R117+AV117</f>
        <v>2704</v>
      </c>
      <c r="BS117" s="419">
        <f>S117+BH117</f>
        <v>1.6733</v>
      </c>
      <c r="BT117" s="419">
        <f t="shared" si="303"/>
        <v>0</v>
      </c>
      <c r="BU117" s="421">
        <f t="shared" si="303"/>
        <v>1.6733</v>
      </c>
      <c r="BV117" s="854"/>
      <c r="BW117" s="723"/>
      <c r="BX117" s="723"/>
      <c r="BY117" s="723"/>
      <c r="BZ117" s="723"/>
      <c r="CA117" s="855"/>
    </row>
    <row r="118" spans="1:79" ht="12.95" customHeight="1" x14ac:dyDescent="0.25">
      <c r="A118" s="273">
        <v>20</v>
      </c>
      <c r="B118" s="275">
        <v>4428</v>
      </c>
      <c r="C118" s="275">
        <v>600074242</v>
      </c>
      <c r="D118" s="275">
        <v>71010513</v>
      </c>
      <c r="E118" s="294" t="s">
        <v>347</v>
      </c>
      <c r="F118" s="295"/>
      <c r="G118" s="296"/>
      <c r="H118" s="296"/>
      <c r="I118" s="466">
        <v>3744129</v>
      </c>
      <c r="J118" s="463">
        <v>2757701</v>
      </c>
      <c r="K118" s="463">
        <v>2164646</v>
      </c>
      <c r="L118" s="463">
        <v>593055</v>
      </c>
      <c r="M118" s="463">
        <v>11400</v>
      </c>
      <c r="N118" s="463">
        <v>11400</v>
      </c>
      <c r="O118" s="463">
        <v>0</v>
      </c>
      <c r="P118" s="463">
        <v>935956</v>
      </c>
      <c r="Q118" s="463">
        <v>27577</v>
      </c>
      <c r="R118" s="463">
        <v>11495</v>
      </c>
      <c r="S118" s="464">
        <v>6.1899999999999995</v>
      </c>
      <c r="T118" s="464">
        <v>4.33</v>
      </c>
      <c r="U118" s="534">
        <v>1.8599999999999999</v>
      </c>
      <c r="V118" s="466">
        <f t="shared" ref="V118:CA118" si="304">SUM(V115:V117)</f>
        <v>0</v>
      </c>
      <c r="W118" s="463">
        <f t="shared" si="304"/>
        <v>0</v>
      </c>
      <c r="X118" s="463">
        <f t="shared" si="304"/>
        <v>0</v>
      </c>
      <c r="Y118" s="463">
        <f t="shared" si="304"/>
        <v>0</v>
      </c>
      <c r="Z118" s="463">
        <f t="shared" si="304"/>
        <v>0</v>
      </c>
      <c r="AA118" s="463">
        <f t="shared" si="304"/>
        <v>185510</v>
      </c>
      <c r="AB118" s="463">
        <f t="shared" si="304"/>
        <v>0</v>
      </c>
      <c r="AC118" s="463">
        <f t="shared" si="304"/>
        <v>0</v>
      </c>
      <c r="AD118" s="463">
        <f t="shared" si="304"/>
        <v>0</v>
      </c>
      <c r="AE118" s="463">
        <f t="shared" si="304"/>
        <v>185510</v>
      </c>
      <c r="AF118" s="463">
        <f t="shared" si="304"/>
        <v>185510</v>
      </c>
      <c r="AG118" s="463">
        <f t="shared" si="304"/>
        <v>0</v>
      </c>
      <c r="AH118" s="463">
        <f t="shared" si="304"/>
        <v>0</v>
      </c>
      <c r="AI118" s="463">
        <f t="shared" si="304"/>
        <v>0</v>
      </c>
      <c r="AJ118" s="463">
        <f t="shared" si="304"/>
        <v>0</v>
      </c>
      <c r="AK118" s="463">
        <f t="shared" si="304"/>
        <v>0</v>
      </c>
      <c r="AL118" s="463">
        <f t="shared" si="304"/>
        <v>0</v>
      </c>
      <c r="AM118" s="463">
        <f t="shared" si="304"/>
        <v>0</v>
      </c>
      <c r="AN118" s="463">
        <f t="shared" si="304"/>
        <v>0</v>
      </c>
      <c r="AO118" s="463">
        <f t="shared" si="304"/>
        <v>0</v>
      </c>
      <c r="AP118" s="463">
        <f t="shared" si="304"/>
        <v>185510</v>
      </c>
      <c r="AQ118" s="463">
        <f t="shared" si="304"/>
        <v>185510</v>
      </c>
      <c r="AR118" s="463">
        <f t="shared" si="304"/>
        <v>62702</v>
      </c>
      <c r="AS118" s="463">
        <f t="shared" si="304"/>
        <v>1855</v>
      </c>
      <c r="AT118" s="463">
        <f t="shared" si="304"/>
        <v>0</v>
      </c>
      <c r="AU118" s="463">
        <f t="shared" si="304"/>
        <v>884</v>
      </c>
      <c r="AV118" s="463">
        <f t="shared" si="304"/>
        <v>884</v>
      </c>
      <c r="AW118" s="463">
        <f t="shared" si="304"/>
        <v>250951</v>
      </c>
      <c r="AX118" s="464">
        <f t="shared" si="304"/>
        <v>0</v>
      </c>
      <c r="AY118" s="464">
        <f t="shared" si="304"/>
        <v>0</v>
      </c>
      <c r="AZ118" s="464">
        <f t="shared" si="304"/>
        <v>0</v>
      </c>
      <c r="BA118" s="464">
        <f t="shared" si="304"/>
        <v>0</v>
      </c>
      <c r="BB118" s="464">
        <f t="shared" ref="BB118" si="305">SUM(BB115:BB117)</f>
        <v>0.56000000000000005</v>
      </c>
      <c r="BC118" s="464">
        <f t="shared" si="304"/>
        <v>0</v>
      </c>
      <c r="BD118" s="464">
        <f t="shared" si="304"/>
        <v>0</v>
      </c>
      <c r="BE118" s="464">
        <f t="shared" ref="BE118" si="306">SUM(BE115:BE117)</f>
        <v>0</v>
      </c>
      <c r="BF118" s="464">
        <f t="shared" si="304"/>
        <v>0</v>
      </c>
      <c r="BG118" s="464">
        <f t="shared" si="304"/>
        <v>0.56000000000000005</v>
      </c>
      <c r="BH118" s="290">
        <f t="shared" si="304"/>
        <v>0.56000000000000005</v>
      </c>
      <c r="BI118" s="787">
        <f t="shared" si="304"/>
        <v>3995080</v>
      </c>
      <c r="BJ118" s="463">
        <f t="shared" si="304"/>
        <v>2943211</v>
      </c>
      <c r="BK118" s="463">
        <f t="shared" si="304"/>
        <v>2164646</v>
      </c>
      <c r="BL118" s="463">
        <f t="shared" si="304"/>
        <v>778565</v>
      </c>
      <c r="BM118" s="463">
        <f t="shared" si="304"/>
        <v>11400</v>
      </c>
      <c r="BN118" s="463">
        <f t="shared" si="304"/>
        <v>11400</v>
      </c>
      <c r="BO118" s="463">
        <f t="shared" si="304"/>
        <v>0</v>
      </c>
      <c r="BP118" s="463">
        <f t="shared" si="304"/>
        <v>998658</v>
      </c>
      <c r="BQ118" s="463">
        <f t="shared" si="304"/>
        <v>29432</v>
      </c>
      <c r="BR118" s="463">
        <f t="shared" si="304"/>
        <v>12379</v>
      </c>
      <c r="BS118" s="464">
        <f t="shared" si="304"/>
        <v>6.75</v>
      </c>
      <c r="BT118" s="464">
        <f t="shared" si="304"/>
        <v>4.33</v>
      </c>
      <c r="BU118" s="290">
        <f t="shared" si="304"/>
        <v>2.42</v>
      </c>
      <c r="BV118" s="852">
        <f t="shared" si="304"/>
        <v>0</v>
      </c>
      <c r="BW118" s="722">
        <f t="shared" si="304"/>
        <v>0</v>
      </c>
      <c r="BX118" s="722">
        <f t="shared" si="304"/>
        <v>0</v>
      </c>
      <c r="BY118" s="722">
        <f t="shared" si="304"/>
        <v>0</v>
      </c>
      <c r="BZ118" s="722">
        <f t="shared" si="304"/>
        <v>0</v>
      </c>
      <c r="CA118" s="853">
        <f t="shared" si="304"/>
        <v>0</v>
      </c>
    </row>
    <row r="119" spans="1:79" ht="12.95" customHeight="1" x14ac:dyDescent="0.25">
      <c r="A119" s="280">
        <v>21</v>
      </c>
      <c r="B119" s="281">
        <v>4463</v>
      </c>
      <c r="C119" s="281">
        <v>600074684</v>
      </c>
      <c r="D119" s="281">
        <v>71010467</v>
      </c>
      <c r="E119" s="297" t="s">
        <v>348</v>
      </c>
      <c r="F119" s="298">
        <v>3117</v>
      </c>
      <c r="G119" s="299" t="s">
        <v>308</v>
      </c>
      <c r="H119" s="284" t="s">
        <v>271</v>
      </c>
      <c r="I119" s="565">
        <v>2772803</v>
      </c>
      <c r="J119" s="415">
        <v>2032599</v>
      </c>
      <c r="K119" s="415">
        <v>1878277</v>
      </c>
      <c r="L119" s="415">
        <v>154322</v>
      </c>
      <c r="M119" s="415">
        <v>0</v>
      </c>
      <c r="N119" s="415">
        <v>0</v>
      </c>
      <c r="O119" s="415">
        <v>0</v>
      </c>
      <c r="P119" s="68">
        <v>687019</v>
      </c>
      <c r="Q119" s="68">
        <v>20326</v>
      </c>
      <c r="R119" s="415">
        <v>32859</v>
      </c>
      <c r="S119" s="416">
        <v>3.0363000000000002</v>
      </c>
      <c r="T119" s="417">
        <v>2.6364000000000001</v>
      </c>
      <c r="U119" s="770">
        <v>0.39989999999999998</v>
      </c>
      <c r="V119" s="424">
        <f t="shared" ref="V119:W122" si="307">AG119*-1</f>
        <v>0</v>
      </c>
      <c r="W119" s="418">
        <f t="shared" si="307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418">
        <f>SUM(AD119:AE119)</f>
        <v>0</v>
      </c>
      <c r="AG119" s="418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ref="AO119:AP122" si="308">AD119+AL119</f>
        <v>0</v>
      </c>
      <c r="AP119" s="418">
        <f t="shared" si="308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421">
        <f>SUM(BF119:BG119)</f>
        <v>0</v>
      </c>
      <c r="BI119" s="780">
        <f>I119+AW119</f>
        <v>2772803</v>
      </c>
      <c r="BJ119" s="418">
        <f>J119+AF119</f>
        <v>2032599</v>
      </c>
      <c r="BK119" s="418">
        <f t="shared" ref="BK119:BL122" si="309">K119+AD119</f>
        <v>1878277</v>
      </c>
      <c r="BL119" s="418">
        <f t="shared" si="309"/>
        <v>154322</v>
      </c>
      <c r="BM119" s="418">
        <f>M119+AN119</f>
        <v>0</v>
      </c>
      <c r="BN119" s="418">
        <f t="shared" ref="BN119:BO122" si="310">N119+AL119</f>
        <v>0</v>
      </c>
      <c r="BO119" s="418">
        <f t="shared" si="310"/>
        <v>0</v>
      </c>
      <c r="BP119" s="418">
        <f t="shared" ref="BP119:BQ122" si="311">P119+AR119</f>
        <v>687019</v>
      </c>
      <c r="BQ119" s="418">
        <f t="shared" si="311"/>
        <v>20326</v>
      </c>
      <c r="BR119" s="418">
        <f>R119+AV119</f>
        <v>32859</v>
      </c>
      <c r="BS119" s="419">
        <f>S119+BH119</f>
        <v>3.0363000000000002</v>
      </c>
      <c r="BT119" s="419">
        <f t="shared" ref="BT119:BU122" si="312">T119+BF119</f>
        <v>2.6364000000000001</v>
      </c>
      <c r="BU119" s="421">
        <f t="shared" si="312"/>
        <v>0.39989999999999998</v>
      </c>
      <c r="BV119" s="854"/>
      <c r="BW119" s="723"/>
      <c r="BX119" s="723"/>
      <c r="BY119" s="723"/>
      <c r="BZ119" s="723"/>
      <c r="CA119" s="855"/>
    </row>
    <row r="120" spans="1:79" ht="12.95" customHeight="1" x14ac:dyDescent="0.25">
      <c r="A120" s="280">
        <v>21</v>
      </c>
      <c r="B120" s="281">
        <v>4463</v>
      </c>
      <c r="C120" s="281">
        <v>600074684</v>
      </c>
      <c r="D120" s="281">
        <v>71010467</v>
      </c>
      <c r="E120" s="297" t="s">
        <v>348</v>
      </c>
      <c r="F120" s="298">
        <v>3117</v>
      </c>
      <c r="G120" s="284" t="s">
        <v>298</v>
      </c>
      <c r="H120" s="284" t="s">
        <v>272</v>
      </c>
      <c r="I120" s="565">
        <v>249921</v>
      </c>
      <c r="J120" s="415">
        <v>185401</v>
      </c>
      <c r="K120" s="415">
        <v>185401</v>
      </c>
      <c r="L120" s="415">
        <v>0</v>
      </c>
      <c r="M120" s="415">
        <v>0</v>
      </c>
      <c r="N120" s="415">
        <v>0</v>
      </c>
      <c r="O120" s="415">
        <v>0</v>
      </c>
      <c r="P120" s="68">
        <v>62666</v>
      </c>
      <c r="Q120" s="68">
        <v>1854</v>
      </c>
      <c r="R120" s="415">
        <v>0</v>
      </c>
      <c r="S120" s="416">
        <v>0.5</v>
      </c>
      <c r="T120" s="417">
        <v>0.5</v>
      </c>
      <c r="U120" s="770">
        <v>0</v>
      </c>
      <c r="V120" s="424">
        <f t="shared" si="307"/>
        <v>0</v>
      </c>
      <c r="W120" s="418">
        <f t="shared" si="307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418">
        <f>SUM(AD120:AE120)</f>
        <v>0</v>
      </c>
      <c r="AG120" s="418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308"/>
        <v>0</v>
      </c>
      <c r="AP120" s="418">
        <f t="shared" si="308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421">
        <f>SUM(BF120:BG120)</f>
        <v>0</v>
      </c>
      <c r="BI120" s="780">
        <f>I120+AW120</f>
        <v>249921</v>
      </c>
      <c r="BJ120" s="418">
        <f>J120+AF120</f>
        <v>185401</v>
      </c>
      <c r="BK120" s="418">
        <f t="shared" si="309"/>
        <v>185401</v>
      </c>
      <c r="BL120" s="418">
        <f t="shared" si="309"/>
        <v>0</v>
      </c>
      <c r="BM120" s="418">
        <f>M120+AN120</f>
        <v>0</v>
      </c>
      <c r="BN120" s="418">
        <f t="shared" si="310"/>
        <v>0</v>
      </c>
      <c r="BO120" s="418">
        <f t="shared" si="310"/>
        <v>0</v>
      </c>
      <c r="BP120" s="418">
        <f t="shared" si="311"/>
        <v>62666</v>
      </c>
      <c r="BQ120" s="418">
        <f t="shared" si="311"/>
        <v>1854</v>
      </c>
      <c r="BR120" s="418">
        <f>R120+AV120</f>
        <v>0</v>
      </c>
      <c r="BS120" s="419">
        <f>S120+BH120</f>
        <v>0.5</v>
      </c>
      <c r="BT120" s="419">
        <f t="shared" si="312"/>
        <v>0.5</v>
      </c>
      <c r="BU120" s="421">
        <f t="shared" si="312"/>
        <v>0</v>
      </c>
      <c r="BV120" s="854"/>
      <c r="BW120" s="723"/>
      <c r="BX120" s="723"/>
      <c r="BY120" s="723"/>
      <c r="BZ120" s="723"/>
      <c r="CA120" s="855"/>
    </row>
    <row r="121" spans="1:79" ht="12.95" customHeight="1" x14ac:dyDescent="0.25">
      <c r="A121" s="280">
        <v>21</v>
      </c>
      <c r="B121" s="281">
        <v>4463</v>
      </c>
      <c r="C121" s="281">
        <v>600074684</v>
      </c>
      <c r="D121" s="281">
        <v>71010467</v>
      </c>
      <c r="E121" s="297" t="s">
        <v>348</v>
      </c>
      <c r="F121" s="298">
        <v>3143</v>
      </c>
      <c r="G121" s="284" t="s">
        <v>595</v>
      </c>
      <c r="H121" s="284" t="s">
        <v>271</v>
      </c>
      <c r="I121" s="565">
        <v>615391</v>
      </c>
      <c r="J121" s="415">
        <v>456522</v>
      </c>
      <c r="K121" s="415">
        <v>456522</v>
      </c>
      <c r="L121" s="415">
        <v>0</v>
      </c>
      <c r="M121" s="415">
        <v>0</v>
      </c>
      <c r="N121" s="415">
        <v>0</v>
      </c>
      <c r="O121" s="415">
        <v>0</v>
      </c>
      <c r="P121" s="68">
        <v>154304</v>
      </c>
      <c r="Q121" s="68">
        <v>4565</v>
      </c>
      <c r="R121" s="415">
        <v>0</v>
      </c>
      <c r="S121" s="416">
        <v>0.85709999999999997</v>
      </c>
      <c r="T121" s="417">
        <v>0.85709999999999997</v>
      </c>
      <c r="U121" s="770">
        <v>0</v>
      </c>
      <c r="V121" s="424">
        <f t="shared" si="307"/>
        <v>0</v>
      </c>
      <c r="W121" s="418">
        <f t="shared" si="307"/>
        <v>0</v>
      </c>
      <c r="X121" s="418">
        <v>0</v>
      </c>
      <c r="Y121" s="418">
        <v>0</v>
      </c>
      <c r="Z121" s="418">
        <v>0</v>
      </c>
      <c r="AA121" s="418">
        <v>0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0</v>
      </c>
      <c r="AF121" s="418">
        <f>SUM(AD121:AE121)</f>
        <v>0</v>
      </c>
      <c r="AG121" s="418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si="308"/>
        <v>0</v>
      </c>
      <c r="AP121" s="418">
        <f t="shared" si="308"/>
        <v>0</v>
      </c>
      <c r="AQ121" s="418">
        <f>SUM(AO121:AP121)</f>
        <v>0</v>
      </c>
      <c r="AR121" s="68">
        <f>ROUND((AF121+AG121+AH121+AI121)*33.8%,0)</f>
        <v>0</v>
      </c>
      <c r="AS121" s="68">
        <f>ROUND(AF121*1%,0)</f>
        <v>0</v>
      </c>
      <c r="AT121" s="418">
        <v>0</v>
      </c>
      <c r="AU121" s="418">
        <v>0</v>
      </c>
      <c r="AV121" s="418">
        <f>AT121+AU121</f>
        <v>0</v>
      </c>
      <c r="AW121" s="418">
        <f>AQ121+AR121+AS121+AV121</f>
        <v>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0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0</v>
      </c>
      <c r="BH121" s="421">
        <f>SUM(BF121:BG121)</f>
        <v>0</v>
      </c>
      <c r="BI121" s="780">
        <f>I121+AW121</f>
        <v>615391</v>
      </c>
      <c r="BJ121" s="418">
        <f>J121+AF121</f>
        <v>456522</v>
      </c>
      <c r="BK121" s="418">
        <f t="shared" si="309"/>
        <v>456522</v>
      </c>
      <c r="BL121" s="418">
        <f t="shared" si="309"/>
        <v>0</v>
      </c>
      <c r="BM121" s="418">
        <f>M121+AN121</f>
        <v>0</v>
      </c>
      <c r="BN121" s="418">
        <f t="shared" si="310"/>
        <v>0</v>
      </c>
      <c r="BO121" s="418">
        <f t="shared" si="310"/>
        <v>0</v>
      </c>
      <c r="BP121" s="418">
        <f t="shared" si="311"/>
        <v>154304</v>
      </c>
      <c r="BQ121" s="418">
        <f t="shared" si="311"/>
        <v>4565</v>
      </c>
      <c r="BR121" s="418">
        <f>R121+AV121</f>
        <v>0</v>
      </c>
      <c r="BS121" s="419">
        <f>S121+BH121</f>
        <v>0.85709999999999997</v>
      </c>
      <c r="BT121" s="419">
        <f t="shared" si="312"/>
        <v>0.85709999999999997</v>
      </c>
      <c r="BU121" s="421">
        <f t="shared" si="312"/>
        <v>0</v>
      </c>
      <c r="BV121" s="854"/>
      <c r="BW121" s="723"/>
      <c r="BX121" s="723"/>
      <c r="BY121" s="723"/>
      <c r="BZ121" s="723"/>
      <c r="CA121" s="855"/>
    </row>
    <row r="122" spans="1:79" ht="12.95" customHeight="1" x14ac:dyDescent="0.25">
      <c r="A122" s="280">
        <v>21</v>
      </c>
      <c r="B122" s="281">
        <v>4463</v>
      </c>
      <c r="C122" s="281">
        <v>600074684</v>
      </c>
      <c r="D122" s="281">
        <v>71010467</v>
      </c>
      <c r="E122" s="297" t="s">
        <v>348</v>
      </c>
      <c r="F122" s="298">
        <v>3143</v>
      </c>
      <c r="G122" s="284" t="s">
        <v>596</v>
      </c>
      <c r="H122" s="284" t="s">
        <v>272</v>
      </c>
      <c r="I122" s="565">
        <v>12799</v>
      </c>
      <c r="J122" s="415">
        <v>9161</v>
      </c>
      <c r="K122" s="415">
        <v>0</v>
      </c>
      <c r="L122" s="415">
        <v>9161</v>
      </c>
      <c r="M122" s="415">
        <v>0</v>
      </c>
      <c r="N122" s="415">
        <v>0</v>
      </c>
      <c r="O122" s="415">
        <v>0</v>
      </c>
      <c r="P122" s="68">
        <v>3096</v>
      </c>
      <c r="Q122" s="68">
        <v>92</v>
      </c>
      <c r="R122" s="415">
        <v>450</v>
      </c>
      <c r="S122" s="416">
        <v>3.4700000000000002E-2</v>
      </c>
      <c r="T122" s="417">
        <v>0</v>
      </c>
      <c r="U122" s="770">
        <v>3.4700000000000002E-2</v>
      </c>
      <c r="V122" s="424">
        <f t="shared" si="307"/>
        <v>0</v>
      </c>
      <c r="W122" s="418">
        <f t="shared" si="307"/>
        <v>0</v>
      </c>
      <c r="X122" s="418">
        <v>0</v>
      </c>
      <c r="Y122" s="418">
        <v>0</v>
      </c>
      <c r="Z122" s="418">
        <v>0</v>
      </c>
      <c r="AA122" s="418">
        <v>4589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4589</v>
      </c>
      <c r="AF122" s="418">
        <f>SUM(AD122:AE122)</f>
        <v>4589</v>
      </c>
      <c r="AG122" s="418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308"/>
        <v>0</v>
      </c>
      <c r="AP122" s="418">
        <f t="shared" si="308"/>
        <v>4589</v>
      </c>
      <c r="AQ122" s="418">
        <f>SUM(AO122:AP122)</f>
        <v>4589</v>
      </c>
      <c r="AR122" s="68">
        <f>ROUND((AF122+AG122+AH122+AI122)*33.8%,0)</f>
        <v>1551</v>
      </c>
      <c r="AS122" s="68">
        <f>ROUND(AF122*1%,0)</f>
        <v>46</v>
      </c>
      <c r="AT122" s="418">
        <v>0</v>
      </c>
      <c r="AU122" s="418">
        <v>225</v>
      </c>
      <c r="AV122" s="418">
        <f>AT122+AU122</f>
        <v>225</v>
      </c>
      <c r="AW122" s="418">
        <f>AQ122+AR122+AS122+AV122</f>
        <v>6411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0.02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0.02</v>
      </c>
      <c r="BH122" s="421">
        <f>SUM(BF122:BG122)</f>
        <v>0.02</v>
      </c>
      <c r="BI122" s="780">
        <f>I122+AW122</f>
        <v>19210</v>
      </c>
      <c r="BJ122" s="418">
        <f>J122+AF122</f>
        <v>13750</v>
      </c>
      <c r="BK122" s="418">
        <f t="shared" si="309"/>
        <v>0</v>
      </c>
      <c r="BL122" s="418">
        <f t="shared" si="309"/>
        <v>13750</v>
      </c>
      <c r="BM122" s="418">
        <f>M122+AN122</f>
        <v>0</v>
      </c>
      <c r="BN122" s="418">
        <f t="shared" si="310"/>
        <v>0</v>
      </c>
      <c r="BO122" s="418">
        <f t="shared" si="310"/>
        <v>0</v>
      </c>
      <c r="BP122" s="418">
        <f t="shared" si="311"/>
        <v>4647</v>
      </c>
      <c r="BQ122" s="418">
        <f t="shared" si="311"/>
        <v>138</v>
      </c>
      <c r="BR122" s="418">
        <f>R122+AV122</f>
        <v>675</v>
      </c>
      <c r="BS122" s="419">
        <f>S122+BH122</f>
        <v>5.4699999999999999E-2</v>
      </c>
      <c r="BT122" s="419">
        <f t="shared" si="312"/>
        <v>0</v>
      </c>
      <c r="BU122" s="421">
        <f t="shared" si="312"/>
        <v>5.4699999999999999E-2</v>
      </c>
      <c r="BV122" s="854"/>
      <c r="BW122" s="723"/>
      <c r="BX122" s="723"/>
      <c r="BY122" s="723"/>
      <c r="BZ122" s="723"/>
      <c r="CA122" s="855"/>
    </row>
    <row r="123" spans="1:79" ht="12.95" customHeight="1" thickBot="1" x14ac:dyDescent="0.3">
      <c r="A123" s="300">
        <v>21</v>
      </c>
      <c r="B123" s="301">
        <v>4463</v>
      </c>
      <c r="C123" s="301">
        <v>600074684</v>
      </c>
      <c r="D123" s="301">
        <v>71010467</v>
      </c>
      <c r="E123" s="294" t="s">
        <v>349</v>
      </c>
      <c r="F123" s="295"/>
      <c r="G123" s="296"/>
      <c r="H123" s="296"/>
      <c r="I123" s="500">
        <v>3650914</v>
      </c>
      <c r="J123" s="501">
        <v>2683683</v>
      </c>
      <c r="K123" s="501">
        <v>2520200</v>
      </c>
      <c r="L123" s="501">
        <v>163483</v>
      </c>
      <c r="M123" s="501">
        <v>0</v>
      </c>
      <c r="N123" s="501">
        <v>0</v>
      </c>
      <c r="O123" s="501">
        <v>0</v>
      </c>
      <c r="P123" s="501">
        <v>907085</v>
      </c>
      <c r="Q123" s="501">
        <v>26837</v>
      </c>
      <c r="R123" s="501">
        <v>33309</v>
      </c>
      <c r="S123" s="502">
        <v>4.4280999999999997</v>
      </c>
      <c r="T123" s="502">
        <v>3.9935</v>
      </c>
      <c r="U123" s="578">
        <v>0.43459999999999999</v>
      </c>
      <c r="V123" s="500">
        <f t="shared" ref="V123:CA123" si="313">SUM(V119:V122)</f>
        <v>0</v>
      </c>
      <c r="W123" s="501">
        <f t="shared" si="313"/>
        <v>0</v>
      </c>
      <c r="X123" s="501">
        <f t="shared" si="313"/>
        <v>0</v>
      </c>
      <c r="Y123" s="501">
        <f t="shared" si="313"/>
        <v>0</v>
      </c>
      <c r="Z123" s="501">
        <f t="shared" si="313"/>
        <v>0</v>
      </c>
      <c r="AA123" s="501">
        <f t="shared" si="313"/>
        <v>4589</v>
      </c>
      <c r="AB123" s="501">
        <f t="shared" si="313"/>
        <v>0</v>
      </c>
      <c r="AC123" s="501">
        <f t="shared" si="313"/>
        <v>0</v>
      </c>
      <c r="AD123" s="501">
        <f t="shared" si="313"/>
        <v>0</v>
      </c>
      <c r="AE123" s="501">
        <f t="shared" si="313"/>
        <v>4589</v>
      </c>
      <c r="AF123" s="501">
        <f t="shared" si="313"/>
        <v>4589</v>
      </c>
      <c r="AG123" s="501">
        <f t="shared" si="313"/>
        <v>0</v>
      </c>
      <c r="AH123" s="501">
        <f t="shared" si="313"/>
        <v>0</v>
      </c>
      <c r="AI123" s="501">
        <f t="shared" si="313"/>
        <v>0</v>
      </c>
      <c r="AJ123" s="501">
        <f t="shared" si="313"/>
        <v>0</v>
      </c>
      <c r="AK123" s="501">
        <f t="shared" si="313"/>
        <v>0</v>
      </c>
      <c r="AL123" s="501">
        <f t="shared" si="313"/>
        <v>0</v>
      </c>
      <c r="AM123" s="501">
        <f t="shared" si="313"/>
        <v>0</v>
      </c>
      <c r="AN123" s="501">
        <f t="shared" si="313"/>
        <v>0</v>
      </c>
      <c r="AO123" s="501">
        <f t="shared" si="313"/>
        <v>0</v>
      </c>
      <c r="AP123" s="501">
        <f t="shared" si="313"/>
        <v>4589</v>
      </c>
      <c r="AQ123" s="501">
        <f t="shared" si="313"/>
        <v>4589</v>
      </c>
      <c r="AR123" s="501">
        <f t="shared" si="313"/>
        <v>1551</v>
      </c>
      <c r="AS123" s="501">
        <f t="shared" si="313"/>
        <v>46</v>
      </c>
      <c r="AT123" s="501">
        <f t="shared" si="313"/>
        <v>0</v>
      </c>
      <c r="AU123" s="501">
        <f t="shared" si="313"/>
        <v>225</v>
      </c>
      <c r="AV123" s="501">
        <f t="shared" si="313"/>
        <v>225</v>
      </c>
      <c r="AW123" s="501">
        <f t="shared" si="313"/>
        <v>6411</v>
      </c>
      <c r="AX123" s="502">
        <f t="shared" si="313"/>
        <v>0</v>
      </c>
      <c r="AY123" s="502">
        <f t="shared" si="313"/>
        <v>0</v>
      </c>
      <c r="AZ123" s="502">
        <f t="shared" si="313"/>
        <v>0</v>
      </c>
      <c r="BA123" s="502">
        <f t="shared" si="313"/>
        <v>0</v>
      </c>
      <c r="BB123" s="502">
        <f t="shared" ref="BB123" si="314">SUM(BB119:BB122)</f>
        <v>0.02</v>
      </c>
      <c r="BC123" s="502">
        <f t="shared" si="313"/>
        <v>0</v>
      </c>
      <c r="BD123" s="502">
        <f t="shared" si="313"/>
        <v>0</v>
      </c>
      <c r="BE123" s="502">
        <f t="shared" ref="BE123" si="315">SUM(BE119:BE122)</f>
        <v>0</v>
      </c>
      <c r="BF123" s="502">
        <f t="shared" si="313"/>
        <v>0</v>
      </c>
      <c r="BG123" s="502">
        <f t="shared" si="313"/>
        <v>0.02</v>
      </c>
      <c r="BH123" s="512">
        <f t="shared" si="313"/>
        <v>0.02</v>
      </c>
      <c r="BI123" s="788">
        <f t="shared" si="313"/>
        <v>3657325</v>
      </c>
      <c r="BJ123" s="501">
        <f t="shared" si="313"/>
        <v>2688272</v>
      </c>
      <c r="BK123" s="501">
        <f t="shared" si="313"/>
        <v>2520200</v>
      </c>
      <c r="BL123" s="501">
        <f t="shared" si="313"/>
        <v>168072</v>
      </c>
      <c r="BM123" s="501">
        <f t="shared" si="313"/>
        <v>0</v>
      </c>
      <c r="BN123" s="501">
        <f t="shared" si="313"/>
        <v>0</v>
      </c>
      <c r="BO123" s="501">
        <f t="shared" si="313"/>
        <v>0</v>
      </c>
      <c r="BP123" s="501">
        <f t="shared" si="313"/>
        <v>908636</v>
      </c>
      <c r="BQ123" s="501">
        <f t="shared" si="313"/>
        <v>26883</v>
      </c>
      <c r="BR123" s="501">
        <f t="shared" si="313"/>
        <v>33534</v>
      </c>
      <c r="BS123" s="502">
        <f t="shared" si="313"/>
        <v>4.4481000000000002</v>
      </c>
      <c r="BT123" s="502">
        <f t="shared" si="313"/>
        <v>3.9935</v>
      </c>
      <c r="BU123" s="512">
        <f t="shared" si="313"/>
        <v>0.4546</v>
      </c>
      <c r="BV123" s="856">
        <f t="shared" si="313"/>
        <v>0</v>
      </c>
      <c r="BW123" s="724">
        <f t="shared" si="313"/>
        <v>0</v>
      </c>
      <c r="BX123" s="724">
        <f t="shared" si="313"/>
        <v>0</v>
      </c>
      <c r="BY123" s="724">
        <f t="shared" si="313"/>
        <v>0</v>
      </c>
      <c r="BZ123" s="724">
        <f t="shared" si="313"/>
        <v>0</v>
      </c>
      <c r="CA123" s="857">
        <f t="shared" si="313"/>
        <v>0</v>
      </c>
    </row>
    <row r="124" spans="1:79" ht="14.25" customHeight="1" thickBot="1" x14ac:dyDescent="0.3">
      <c r="A124" s="302"/>
      <c r="B124" s="303"/>
      <c r="C124" s="304"/>
      <c r="D124" s="303"/>
      <c r="E124" s="305" t="s">
        <v>756</v>
      </c>
      <c r="F124" s="304"/>
      <c r="G124" s="306"/>
      <c r="H124" s="307"/>
      <c r="I124" s="548">
        <f t="shared" ref="I124:BT124" si="316">I123+I118+I114+I107+I100+I93+I86+I79+I72+I65+I58+I56+I50+I46+I44+I42+I36+I30+I24+I18+I13</f>
        <v>342452737</v>
      </c>
      <c r="J124" s="467">
        <f t="shared" si="316"/>
        <v>250513399</v>
      </c>
      <c r="K124" s="467">
        <f t="shared" si="316"/>
        <v>222158984</v>
      </c>
      <c r="L124" s="467">
        <f t="shared" si="316"/>
        <v>28354415</v>
      </c>
      <c r="M124" s="467">
        <f t="shared" si="316"/>
        <v>1427320</v>
      </c>
      <c r="N124" s="467">
        <f t="shared" si="316"/>
        <v>836040</v>
      </c>
      <c r="O124" s="467">
        <f t="shared" si="316"/>
        <v>591280</v>
      </c>
      <c r="P124" s="557">
        <f t="shared" si="316"/>
        <v>85155961</v>
      </c>
      <c r="Q124" s="557">
        <f t="shared" si="316"/>
        <v>2505138</v>
      </c>
      <c r="R124" s="467">
        <f t="shared" si="316"/>
        <v>2850919</v>
      </c>
      <c r="S124" s="568">
        <f t="shared" si="316"/>
        <v>458.56740000000002</v>
      </c>
      <c r="T124" s="568">
        <f t="shared" si="316"/>
        <v>371.18940000000003</v>
      </c>
      <c r="U124" s="629">
        <f t="shared" si="316"/>
        <v>87.377999999999986</v>
      </c>
      <c r="V124" s="557">
        <f t="shared" si="316"/>
        <v>0</v>
      </c>
      <c r="W124" s="557">
        <f t="shared" si="316"/>
        <v>0</v>
      </c>
      <c r="X124" s="557">
        <f t="shared" si="316"/>
        <v>-300785</v>
      </c>
      <c r="Y124" s="557">
        <f t="shared" si="316"/>
        <v>0</v>
      </c>
      <c r="Z124" s="760">
        <f t="shared" si="316"/>
        <v>0</v>
      </c>
      <c r="AA124" s="557">
        <f t="shared" si="316"/>
        <v>6985449</v>
      </c>
      <c r="AB124" s="557">
        <f t="shared" si="316"/>
        <v>0</v>
      </c>
      <c r="AC124" s="557">
        <f t="shared" si="316"/>
        <v>0</v>
      </c>
      <c r="AD124" s="557">
        <f t="shared" si="316"/>
        <v>-300785</v>
      </c>
      <c r="AE124" s="557">
        <f t="shared" si="316"/>
        <v>6985449</v>
      </c>
      <c r="AF124" s="557">
        <f t="shared" si="316"/>
        <v>6684664</v>
      </c>
      <c r="AG124" s="557">
        <f t="shared" si="316"/>
        <v>0</v>
      </c>
      <c r="AH124" s="557">
        <f t="shared" si="316"/>
        <v>0</v>
      </c>
      <c r="AI124" s="557">
        <f t="shared" si="316"/>
        <v>0</v>
      </c>
      <c r="AJ124" s="557">
        <f t="shared" si="316"/>
        <v>0</v>
      </c>
      <c r="AK124" s="557">
        <f t="shared" si="316"/>
        <v>0</v>
      </c>
      <c r="AL124" s="557">
        <f t="shared" si="316"/>
        <v>0</v>
      </c>
      <c r="AM124" s="557">
        <f t="shared" si="316"/>
        <v>0</v>
      </c>
      <c r="AN124" s="557">
        <f t="shared" si="316"/>
        <v>0</v>
      </c>
      <c r="AO124" s="557">
        <f t="shared" si="316"/>
        <v>-300785</v>
      </c>
      <c r="AP124" s="557">
        <f t="shared" si="316"/>
        <v>6985449</v>
      </c>
      <c r="AQ124" s="557">
        <f t="shared" si="316"/>
        <v>6684664</v>
      </c>
      <c r="AR124" s="557">
        <f t="shared" si="316"/>
        <v>2259414</v>
      </c>
      <c r="AS124" s="557">
        <f t="shared" si="316"/>
        <v>66846</v>
      </c>
      <c r="AT124" s="557">
        <f t="shared" si="316"/>
        <v>2500</v>
      </c>
      <c r="AU124" s="557">
        <f t="shared" si="316"/>
        <v>59891</v>
      </c>
      <c r="AV124" s="557">
        <f t="shared" si="316"/>
        <v>62391</v>
      </c>
      <c r="AW124" s="557">
        <f t="shared" si="316"/>
        <v>9073315</v>
      </c>
      <c r="AX124" s="569">
        <f t="shared" si="316"/>
        <v>0</v>
      </c>
      <c r="AY124" s="569">
        <f t="shared" si="316"/>
        <v>0</v>
      </c>
      <c r="AZ124" s="569">
        <f t="shared" si="316"/>
        <v>-0.81</v>
      </c>
      <c r="BA124" s="569">
        <f t="shared" si="316"/>
        <v>0</v>
      </c>
      <c r="BB124" s="569">
        <f t="shared" ref="BB124" si="317">BB123+BB118+BB114+BB107+BB100+BB93+BB86+BB79+BB72+BB65+BB58+BB56+BB50+BB46+BB44+BB42+BB36+BB30+BB24+BB18+BB13</f>
        <v>21.19</v>
      </c>
      <c r="BC124" s="569">
        <f t="shared" si="316"/>
        <v>0</v>
      </c>
      <c r="BD124" s="569">
        <f t="shared" si="316"/>
        <v>0</v>
      </c>
      <c r="BE124" s="569">
        <f t="shared" si="316"/>
        <v>0</v>
      </c>
      <c r="BF124" s="569">
        <f t="shared" si="316"/>
        <v>-0.81</v>
      </c>
      <c r="BG124" s="569">
        <f t="shared" si="316"/>
        <v>21.19</v>
      </c>
      <c r="BH124" s="579">
        <f t="shared" si="316"/>
        <v>20.38</v>
      </c>
      <c r="BI124" s="577">
        <f t="shared" si="316"/>
        <v>351526052</v>
      </c>
      <c r="BJ124" s="557">
        <f t="shared" si="316"/>
        <v>257198063</v>
      </c>
      <c r="BK124" s="557">
        <f t="shared" si="316"/>
        <v>221858199</v>
      </c>
      <c r="BL124" s="557">
        <f t="shared" si="316"/>
        <v>35339864</v>
      </c>
      <c r="BM124" s="557">
        <f t="shared" si="316"/>
        <v>1427320</v>
      </c>
      <c r="BN124" s="557">
        <f t="shared" si="316"/>
        <v>836040</v>
      </c>
      <c r="BO124" s="557">
        <f t="shared" si="316"/>
        <v>591280</v>
      </c>
      <c r="BP124" s="557">
        <f t="shared" si="316"/>
        <v>87415375</v>
      </c>
      <c r="BQ124" s="557">
        <f t="shared" si="316"/>
        <v>2571984</v>
      </c>
      <c r="BR124" s="557">
        <f t="shared" si="316"/>
        <v>2913310</v>
      </c>
      <c r="BS124" s="569">
        <f t="shared" si="316"/>
        <v>478.94740000000002</v>
      </c>
      <c r="BT124" s="569">
        <f t="shared" si="316"/>
        <v>370.37940000000003</v>
      </c>
      <c r="BU124" s="771">
        <f t="shared" ref="BU124:CA124" si="318">BU123+BU118+BU114+BU107+BU100+BU93+BU86+BU79+BU72+BU65+BU58+BU56+BU50+BU46+BU44+BU42+BU36+BU30+BU24+BU18+BU13</f>
        <v>108.568</v>
      </c>
      <c r="BV124" s="725">
        <f t="shared" si="318"/>
        <v>456163</v>
      </c>
      <c r="BW124" s="726">
        <f t="shared" si="318"/>
        <v>338400</v>
      </c>
      <c r="BX124" s="726">
        <f t="shared" si="318"/>
        <v>0</v>
      </c>
      <c r="BY124" s="726">
        <f t="shared" si="318"/>
        <v>114379</v>
      </c>
      <c r="BZ124" s="726">
        <f t="shared" si="318"/>
        <v>3384</v>
      </c>
      <c r="CA124" s="858">
        <f t="shared" si="318"/>
        <v>0.60000000000000009</v>
      </c>
    </row>
    <row r="125" spans="1:79" ht="12.75" customHeight="1" x14ac:dyDescent="0.25">
      <c r="B125" s="309"/>
      <c r="D125" s="309"/>
      <c r="E125" s="310"/>
      <c r="I125" s="428">
        <f>J124+M124+P124+Q124+R124</f>
        <v>342452737</v>
      </c>
      <c r="J125" s="428">
        <f>SUM(K124:L124)</f>
        <v>250513399</v>
      </c>
      <c r="K125" s="428"/>
      <c r="L125" s="428"/>
      <c r="M125" s="428">
        <f>SUM(N124:O124)</f>
        <v>1427320</v>
      </c>
      <c r="N125" s="428"/>
      <c r="O125" s="428"/>
      <c r="P125" s="428"/>
      <c r="Q125" s="428"/>
      <c r="R125" s="428"/>
      <c r="S125" s="429">
        <f>SUM(T124:U124)</f>
        <v>458.56740000000002</v>
      </c>
      <c r="T125" s="429"/>
      <c r="U125" s="429"/>
      <c r="V125" s="428">
        <f>AG124</f>
        <v>0</v>
      </c>
      <c r="W125" s="428">
        <f>AH124</f>
        <v>0</v>
      </c>
      <c r="X125" s="429"/>
      <c r="Y125" s="429"/>
      <c r="Z125" s="429"/>
      <c r="AA125" s="429"/>
      <c r="AB125" s="429"/>
      <c r="AC125" s="429"/>
      <c r="AD125" s="430"/>
      <c r="AE125" s="430"/>
      <c r="AF125" s="430">
        <f>SUM(AD124:AE124)</f>
        <v>6684664</v>
      </c>
      <c r="AG125" s="430">
        <f>V124</f>
        <v>0</v>
      </c>
      <c r="AH125" s="430">
        <f>W124</f>
        <v>0</v>
      </c>
      <c r="AI125" s="431"/>
      <c r="AJ125" s="431"/>
      <c r="AK125" s="431"/>
      <c r="AL125" s="430"/>
      <c r="AM125" s="430"/>
      <c r="AN125" s="430">
        <f>SUM(AL124:AM124)</f>
        <v>0</v>
      </c>
      <c r="AO125" s="430"/>
      <c r="AP125" s="430"/>
      <c r="AQ125" s="430">
        <f>SUM(AO124:AP124)</f>
        <v>6684664</v>
      </c>
      <c r="AR125" s="432"/>
      <c r="AS125" s="432"/>
      <c r="AT125" s="431"/>
      <c r="AU125" s="431"/>
      <c r="AV125" s="430">
        <f>SUM(AT124:AU124)</f>
        <v>62391</v>
      </c>
      <c r="AW125" s="430">
        <f>AF124+AN124+AR124+AS124+AV124</f>
        <v>9073315</v>
      </c>
      <c r="AX125" s="433"/>
      <c r="AY125" s="433"/>
      <c r="AZ125" s="433"/>
      <c r="BA125" s="433"/>
      <c r="BB125" s="433"/>
      <c r="BC125" s="433"/>
      <c r="BD125" s="433"/>
      <c r="BE125" s="433"/>
      <c r="BF125" s="508">
        <f>AX124+AZ124+BA124+BC124+BD124</f>
        <v>-0.81</v>
      </c>
      <c r="BG125" s="508">
        <f>AY124+BB124+BE124</f>
        <v>21.19</v>
      </c>
      <c r="BH125" s="508">
        <f>SUM(BF124:BG124)</f>
        <v>20.380000000000003</v>
      </c>
      <c r="BI125" s="428">
        <f>BJ124+BM124+BP124+BQ124+BR124</f>
        <v>351526052</v>
      </c>
      <c r="BJ125" s="428">
        <f>SUM(BK124:BL124)</f>
        <v>257198063</v>
      </c>
      <c r="BK125" s="430">
        <f>K124+AD124</f>
        <v>221858199</v>
      </c>
      <c r="BL125" s="430">
        <f>L124+AE124</f>
        <v>35339864</v>
      </c>
      <c r="BM125" s="86">
        <f>SUM(BN124:BO124)</f>
        <v>1427320</v>
      </c>
      <c r="BN125" s="430">
        <f>N124+AL124</f>
        <v>836040</v>
      </c>
      <c r="BO125" s="430">
        <f>O124+AM124</f>
        <v>591280</v>
      </c>
      <c r="BP125" s="430">
        <f>P124+AR124</f>
        <v>87415375</v>
      </c>
      <c r="BQ125" s="430">
        <f>Q124+AS124</f>
        <v>2571984</v>
      </c>
      <c r="BR125" s="430">
        <f>R124+AV124</f>
        <v>2913310</v>
      </c>
      <c r="BS125" s="429">
        <f>SUM(BT124:BU124)</f>
        <v>478.94740000000002</v>
      </c>
      <c r="BT125" s="508">
        <f>T124+BF124</f>
        <v>370.37940000000003</v>
      </c>
      <c r="BU125" s="508">
        <f>U124+BG124</f>
        <v>108.56799999999998</v>
      </c>
      <c r="BV125" s="235">
        <f>SUM(BW124:BZ124)</f>
        <v>456163</v>
      </c>
      <c r="BW125" s="8"/>
      <c r="BX125" s="8"/>
      <c r="BY125" s="8"/>
      <c r="BZ125" s="8"/>
      <c r="CA125" s="7"/>
    </row>
    <row r="126" spans="1:79" ht="12.75" customHeight="1" thickBot="1" x14ac:dyDescent="0.3">
      <c r="B126" s="309"/>
      <c r="D126" s="309"/>
      <c r="E126" s="250"/>
      <c r="I126" s="428">
        <f>J127+M127+P127+Q127+R127</f>
        <v>342452737</v>
      </c>
      <c r="J126" s="428">
        <f>SUM(K127:L127)</f>
        <v>250513399</v>
      </c>
      <c r="K126" s="428"/>
      <c r="L126" s="428"/>
      <c r="M126" s="428">
        <f>SUM(N127:O127)</f>
        <v>1427320</v>
      </c>
      <c r="N126" s="428"/>
      <c r="O126" s="428"/>
      <c r="P126" s="428"/>
      <c r="Q126" s="428"/>
      <c r="R126" s="428"/>
      <c r="S126" s="429">
        <f>SUM(T127:U127)</f>
        <v>458.56740000000002</v>
      </c>
      <c r="T126" s="429"/>
      <c r="U126" s="429"/>
      <c r="V126" s="428">
        <f>AG127</f>
        <v>0</v>
      </c>
      <c r="W126" s="428">
        <f>AH127</f>
        <v>0</v>
      </c>
      <c r="X126" s="429"/>
      <c r="Y126" s="429"/>
      <c r="Z126" s="429"/>
      <c r="AA126" s="429"/>
      <c r="AB126" s="429"/>
      <c r="AC126" s="429"/>
      <c r="AD126" s="430"/>
      <c r="AE126" s="430"/>
      <c r="AF126" s="430">
        <f>SUM(AD127:AE127)</f>
        <v>6684664</v>
      </c>
      <c r="AG126" s="430"/>
      <c r="AH126" s="430"/>
      <c r="AI126" s="431"/>
      <c r="AJ126" s="431"/>
      <c r="AK126" s="431"/>
      <c r="AL126" s="430"/>
      <c r="AM126" s="430"/>
      <c r="AN126" s="430">
        <f>SUM(AL127:AM127)</f>
        <v>0</v>
      </c>
      <c r="AO126" s="430"/>
      <c r="AP126" s="430"/>
      <c r="AQ126" s="430">
        <f>SUM(AO127:AP127)</f>
        <v>6684664</v>
      </c>
      <c r="AR126" s="432"/>
      <c r="AS126" s="432"/>
      <c r="AT126" s="431"/>
      <c r="AU126" s="431"/>
      <c r="AV126" s="430">
        <f>SUM(AT127:AU127)</f>
        <v>62391</v>
      </c>
      <c r="AW126" s="430">
        <f>AF127+AN127+AR127+AS127+AV127</f>
        <v>9073315</v>
      </c>
      <c r="AX126" s="433"/>
      <c r="AY126" s="433"/>
      <c r="AZ126" s="433"/>
      <c r="BA126" s="433"/>
      <c r="BB126" s="433"/>
      <c r="BC126" s="433"/>
      <c r="BD126" s="433"/>
      <c r="BE126" s="433"/>
      <c r="BF126" s="508">
        <f>AX127+AZ127+BA127+BC127+BD127</f>
        <v>-0.81</v>
      </c>
      <c r="BG126" s="508">
        <f>AY127+BB127+BE127</f>
        <v>21.19</v>
      </c>
      <c r="BH126" s="508">
        <f>SUM(BF127:BG127)</f>
        <v>20.380000000000003</v>
      </c>
      <c r="BI126" s="428">
        <f>BJ127+BM127+BP127+BQ127+BR127</f>
        <v>351526052</v>
      </c>
      <c r="BJ126" s="428">
        <f>SUM(BK127:BL127)</f>
        <v>257198063</v>
      </c>
      <c r="BK126" s="53"/>
      <c r="BL126" s="53"/>
      <c r="BM126" s="86">
        <f>SUM(BN127:BO127)</f>
        <v>1427320</v>
      </c>
      <c r="BN126" s="53"/>
      <c r="BO126" s="53"/>
      <c r="BP126" s="53"/>
      <c r="BQ126" s="53"/>
      <c r="BR126" s="53"/>
      <c r="BS126" s="429">
        <f>SUM(BT127:BU127)</f>
        <v>478.94740000000002</v>
      </c>
      <c r="BT126" s="87"/>
      <c r="BU126" s="87"/>
      <c r="BV126" s="235">
        <f>SUM(BW127:BZ127)</f>
        <v>456163</v>
      </c>
      <c r="BW126" s="8"/>
      <c r="BX126" s="8"/>
      <c r="BY126" s="8"/>
      <c r="BZ126" s="8"/>
      <c r="CA126" s="7"/>
    </row>
    <row r="127" spans="1:79" s="89" customFormat="1" ht="12.95" customHeight="1" thickBot="1" x14ac:dyDescent="0.3">
      <c r="D127" s="311"/>
      <c r="E127" s="312"/>
      <c r="F127" s="311"/>
      <c r="G127" s="313"/>
      <c r="H127" s="475" t="s">
        <v>0</v>
      </c>
      <c r="I127" s="139">
        <f t="shared" ref="I127:BT127" si="319">SUM(I128:I137)</f>
        <v>342452737</v>
      </c>
      <c r="J127" s="34">
        <f t="shared" si="319"/>
        <v>250513399</v>
      </c>
      <c r="K127" s="34">
        <f t="shared" si="319"/>
        <v>222158984</v>
      </c>
      <c r="L127" s="34">
        <f t="shared" si="319"/>
        <v>28354415</v>
      </c>
      <c r="M127" s="34">
        <f t="shared" si="319"/>
        <v>1427320</v>
      </c>
      <c r="N127" s="34">
        <f t="shared" si="319"/>
        <v>836040</v>
      </c>
      <c r="O127" s="34">
        <f t="shared" si="319"/>
        <v>591280</v>
      </c>
      <c r="P127" s="34">
        <f t="shared" si="319"/>
        <v>85155961</v>
      </c>
      <c r="Q127" s="34">
        <f t="shared" si="319"/>
        <v>2505138</v>
      </c>
      <c r="R127" s="34">
        <f t="shared" si="319"/>
        <v>2850919</v>
      </c>
      <c r="S127" s="35">
        <f t="shared" si="319"/>
        <v>458.56739999999996</v>
      </c>
      <c r="T127" s="35">
        <f t="shared" si="319"/>
        <v>371.18940000000003</v>
      </c>
      <c r="U127" s="630">
        <f t="shared" si="319"/>
        <v>87.378</v>
      </c>
      <c r="V127" s="149">
        <f t="shared" si="319"/>
        <v>0</v>
      </c>
      <c r="W127" s="34">
        <f t="shared" si="319"/>
        <v>0</v>
      </c>
      <c r="X127" s="34">
        <f t="shared" si="319"/>
        <v>-300785</v>
      </c>
      <c r="Y127" s="34">
        <f t="shared" si="319"/>
        <v>0</v>
      </c>
      <c r="Z127" s="34">
        <f t="shared" si="319"/>
        <v>0</v>
      </c>
      <c r="AA127" s="34">
        <f t="shared" si="319"/>
        <v>6985449</v>
      </c>
      <c r="AB127" s="34">
        <f t="shared" si="319"/>
        <v>0</v>
      </c>
      <c r="AC127" s="34">
        <f t="shared" si="319"/>
        <v>0</v>
      </c>
      <c r="AD127" s="34">
        <f t="shared" si="319"/>
        <v>-300785</v>
      </c>
      <c r="AE127" s="34">
        <f t="shared" si="319"/>
        <v>6985449</v>
      </c>
      <c r="AF127" s="34">
        <f t="shared" si="319"/>
        <v>6684664</v>
      </c>
      <c r="AG127" s="34">
        <f t="shared" si="319"/>
        <v>0</v>
      </c>
      <c r="AH127" s="34">
        <f t="shared" si="319"/>
        <v>0</v>
      </c>
      <c r="AI127" s="34">
        <f t="shared" si="319"/>
        <v>0</v>
      </c>
      <c r="AJ127" s="34">
        <f t="shared" si="319"/>
        <v>0</v>
      </c>
      <c r="AK127" s="34">
        <f t="shared" si="319"/>
        <v>0</v>
      </c>
      <c r="AL127" s="34">
        <f t="shared" si="319"/>
        <v>0</v>
      </c>
      <c r="AM127" s="34">
        <f t="shared" si="319"/>
        <v>0</v>
      </c>
      <c r="AN127" s="34">
        <f t="shared" si="319"/>
        <v>0</v>
      </c>
      <c r="AO127" s="34">
        <f t="shared" si="319"/>
        <v>-300785</v>
      </c>
      <c r="AP127" s="34">
        <f t="shared" si="319"/>
        <v>6985449</v>
      </c>
      <c r="AQ127" s="34">
        <f t="shared" si="319"/>
        <v>6684664</v>
      </c>
      <c r="AR127" s="34">
        <f t="shared" si="319"/>
        <v>2259414</v>
      </c>
      <c r="AS127" s="34">
        <f t="shared" si="319"/>
        <v>66846</v>
      </c>
      <c r="AT127" s="34">
        <f t="shared" si="319"/>
        <v>2500</v>
      </c>
      <c r="AU127" s="34">
        <f t="shared" si="319"/>
        <v>59891</v>
      </c>
      <c r="AV127" s="34">
        <f t="shared" si="319"/>
        <v>62391</v>
      </c>
      <c r="AW127" s="34">
        <f t="shared" si="319"/>
        <v>9073315</v>
      </c>
      <c r="AX127" s="35">
        <f t="shared" si="319"/>
        <v>0</v>
      </c>
      <c r="AY127" s="35">
        <f t="shared" si="319"/>
        <v>0</v>
      </c>
      <c r="AZ127" s="35">
        <f t="shared" si="319"/>
        <v>-0.81</v>
      </c>
      <c r="BA127" s="35">
        <f t="shared" si="319"/>
        <v>0</v>
      </c>
      <c r="BB127" s="35">
        <f t="shared" si="319"/>
        <v>21.19</v>
      </c>
      <c r="BC127" s="35">
        <f t="shared" si="319"/>
        <v>0</v>
      </c>
      <c r="BD127" s="35">
        <f t="shared" si="319"/>
        <v>0</v>
      </c>
      <c r="BE127" s="35">
        <f t="shared" si="319"/>
        <v>0</v>
      </c>
      <c r="BF127" s="35">
        <f t="shared" si="319"/>
        <v>-0.81</v>
      </c>
      <c r="BG127" s="35">
        <f t="shared" si="319"/>
        <v>21.19</v>
      </c>
      <c r="BH127" s="148">
        <f t="shared" si="319"/>
        <v>20.380000000000003</v>
      </c>
      <c r="BI127" s="139">
        <f t="shared" si="319"/>
        <v>351526052</v>
      </c>
      <c r="BJ127" s="34">
        <f t="shared" si="319"/>
        <v>257198063</v>
      </c>
      <c r="BK127" s="34">
        <f t="shared" si="319"/>
        <v>221858199</v>
      </c>
      <c r="BL127" s="34">
        <f t="shared" si="319"/>
        <v>35339864</v>
      </c>
      <c r="BM127" s="34">
        <f t="shared" si="319"/>
        <v>1427320</v>
      </c>
      <c r="BN127" s="34">
        <f t="shared" si="319"/>
        <v>836040</v>
      </c>
      <c r="BO127" s="34">
        <f t="shared" si="319"/>
        <v>591280</v>
      </c>
      <c r="BP127" s="34">
        <f t="shared" si="319"/>
        <v>87415375</v>
      </c>
      <c r="BQ127" s="34">
        <f t="shared" si="319"/>
        <v>2571984</v>
      </c>
      <c r="BR127" s="34">
        <f t="shared" si="319"/>
        <v>2913310</v>
      </c>
      <c r="BS127" s="35">
        <f t="shared" si="319"/>
        <v>478.94740000000007</v>
      </c>
      <c r="BT127" s="35">
        <f t="shared" si="319"/>
        <v>370.37940000000003</v>
      </c>
      <c r="BU127" s="148">
        <f t="shared" ref="BU127:CA127" si="320">SUM(BU128:BU137)</f>
        <v>108.568</v>
      </c>
      <c r="BV127" s="676">
        <f t="shared" si="320"/>
        <v>456163</v>
      </c>
      <c r="BW127" s="672">
        <f t="shared" si="320"/>
        <v>338400</v>
      </c>
      <c r="BX127" s="672">
        <f t="shared" si="320"/>
        <v>0</v>
      </c>
      <c r="BY127" s="672">
        <f t="shared" si="320"/>
        <v>114379</v>
      </c>
      <c r="BZ127" s="672">
        <f t="shared" si="320"/>
        <v>3384</v>
      </c>
      <c r="CA127" s="677">
        <f t="shared" si="320"/>
        <v>0.60000000000000009</v>
      </c>
    </row>
    <row r="128" spans="1:79" s="89" customFormat="1" ht="12.95" customHeight="1" x14ac:dyDescent="0.25">
      <c r="D128" s="311"/>
      <c r="E128" s="312"/>
      <c r="F128" s="311"/>
      <c r="G128" s="313"/>
      <c r="H128" s="474">
        <v>3111</v>
      </c>
      <c r="I128" s="489">
        <f t="shared" ref="I128:BT128" si="321">SUMIF($F$12:$F$464,"=3111",I$12:I$464)</f>
        <v>69877656</v>
      </c>
      <c r="J128" s="490">
        <f t="shared" si="321"/>
        <v>51540868</v>
      </c>
      <c r="K128" s="490">
        <f t="shared" si="321"/>
        <v>47726690</v>
      </c>
      <c r="L128" s="490">
        <f t="shared" si="321"/>
        <v>3814178</v>
      </c>
      <c r="M128" s="490">
        <f t="shared" si="321"/>
        <v>137400</v>
      </c>
      <c r="N128" s="490">
        <f t="shared" si="321"/>
        <v>43400</v>
      </c>
      <c r="O128" s="490">
        <f t="shared" si="321"/>
        <v>94000</v>
      </c>
      <c r="P128" s="490">
        <f t="shared" si="321"/>
        <v>17467253</v>
      </c>
      <c r="Q128" s="490">
        <f t="shared" si="321"/>
        <v>515411</v>
      </c>
      <c r="R128" s="490">
        <f t="shared" si="321"/>
        <v>216724</v>
      </c>
      <c r="S128" s="493">
        <f t="shared" si="321"/>
        <v>100.0831</v>
      </c>
      <c r="T128" s="493">
        <f t="shared" si="321"/>
        <v>85.997099999999989</v>
      </c>
      <c r="U128" s="631">
        <f t="shared" si="321"/>
        <v>14.086</v>
      </c>
      <c r="V128" s="491">
        <f t="shared" si="321"/>
        <v>0</v>
      </c>
      <c r="W128" s="490">
        <f t="shared" si="321"/>
        <v>0</v>
      </c>
      <c r="X128" s="490">
        <f t="shared" si="321"/>
        <v>154500</v>
      </c>
      <c r="Y128" s="490">
        <f t="shared" si="321"/>
        <v>0</v>
      </c>
      <c r="Z128" s="490">
        <f t="shared" si="321"/>
        <v>0</v>
      </c>
      <c r="AA128" s="490">
        <f t="shared" si="321"/>
        <v>0</v>
      </c>
      <c r="AB128" s="490">
        <f t="shared" si="321"/>
        <v>0</v>
      </c>
      <c r="AC128" s="490">
        <f t="shared" si="321"/>
        <v>0</v>
      </c>
      <c r="AD128" s="490">
        <f t="shared" si="321"/>
        <v>154500</v>
      </c>
      <c r="AE128" s="490">
        <f t="shared" si="321"/>
        <v>0</v>
      </c>
      <c r="AF128" s="490">
        <f t="shared" si="321"/>
        <v>154500</v>
      </c>
      <c r="AG128" s="490">
        <f t="shared" si="321"/>
        <v>0</v>
      </c>
      <c r="AH128" s="490">
        <f t="shared" si="321"/>
        <v>0</v>
      </c>
      <c r="AI128" s="490">
        <f t="shared" si="321"/>
        <v>0</v>
      </c>
      <c r="AJ128" s="490">
        <f t="shared" si="321"/>
        <v>0</v>
      </c>
      <c r="AK128" s="490">
        <f t="shared" si="321"/>
        <v>0</v>
      </c>
      <c r="AL128" s="490">
        <f t="shared" si="321"/>
        <v>0</v>
      </c>
      <c r="AM128" s="490">
        <f t="shared" si="321"/>
        <v>0</v>
      </c>
      <c r="AN128" s="490">
        <f t="shared" si="321"/>
        <v>0</v>
      </c>
      <c r="AO128" s="490">
        <f t="shared" si="321"/>
        <v>154500</v>
      </c>
      <c r="AP128" s="490">
        <f t="shared" si="321"/>
        <v>0</v>
      </c>
      <c r="AQ128" s="490">
        <f t="shared" si="321"/>
        <v>154500</v>
      </c>
      <c r="AR128" s="490">
        <f t="shared" si="321"/>
        <v>52221</v>
      </c>
      <c r="AS128" s="490">
        <f t="shared" si="321"/>
        <v>1545</v>
      </c>
      <c r="AT128" s="490">
        <f t="shared" si="321"/>
        <v>0</v>
      </c>
      <c r="AU128" s="490">
        <f t="shared" si="321"/>
        <v>0</v>
      </c>
      <c r="AV128" s="490">
        <f t="shared" si="321"/>
        <v>0</v>
      </c>
      <c r="AW128" s="490">
        <f t="shared" si="321"/>
        <v>208266</v>
      </c>
      <c r="AX128" s="493">
        <f t="shared" si="321"/>
        <v>0</v>
      </c>
      <c r="AY128" s="493">
        <f t="shared" si="321"/>
        <v>0</v>
      </c>
      <c r="AZ128" s="493">
        <f t="shared" si="321"/>
        <v>0.42</v>
      </c>
      <c r="BA128" s="493">
        <f t="shared" si="321"/>
        <v>0</v>
      </c>
      <c r="BB128" s="493">
        <f t="shared" si="321"/>
        <v>0</v>
      </c>
      <c r="BC128" s="493">
        <f t="shared" si="321"/>
        <v>0</v>
      </c>
      <c r="BD128" s="493">
        <f t="shared" si="321"/>
        <v>0</v>
      </c>
      <c r="BE128" s="493">
        <f t="shared" si="321"/>
        <v>0</v>
      </c>
      <c r="BF128" s="493">
        <f t="shared" si="321"/>
        <v>0.42</v>
      </c>
      <c r="BG128" s="493">
        <f t="shared" si="321"/>
        <v>0</v>
      </c>
      <c r="BH128" s="494">
        <f t="shared" si="321"/>
        <v>0.42</v>
      </c>
      <c r="BI128" s="489">
        <f t="shared" si="321"/>
        <v>70085922</v>
      </c>
      <c r="BJ128" s="490">
        <f t="shared" si="321"/>
        <v>51695368</v>
      </c>
      <c r="BK128" s="490">
        <f t="shared" si="321"/>
        <v>47881190</v>
      </c>
      <c r="BL128" s="490">
        <f t="shared" si="321"/>
        <v>3814178</v>
      </c>
      <c r="BM128" s="490">
        <f t="shared" si="321"/>
        <v>137400</v>
      </c>
      <c r="BN128" s="490">
        <f t="shared" si="321"/>
        <v>43400</v>
      </c>
      <c r="BO128" s="490">
        <f t="shared" si="321"/>
        <v>94000</v>
      </c>
      <c r="BP128" s="490">
        <f t="shared" si="321"/>
        <v>17519474</v>
      </c>
      <c r="BQ128" s="490">
        <f t="shared" si="321"/>
        <v>516956</v>
      </c>
      <c r="BR128" s="490">
        <f t="shared" si="321"/>
        <v>216724</v>
      </c>
      <c r="BS128" s="493">
        <f t="shared" si="321"/>
        <v>100.5031</v>
      </c>
      <c r="BT128" s="493">
        <f t="shared" si="321"/>
        <v>86.417100000000005</v>
      </c>
      <c r="BU128" s="494">
        <f t="shared" ref="BU128:CA128" si="322">SUMIF($F$12:$F$464,"=3111",BU$12:BU$464)</f>
        <v>14.086</v>
      </c>
      <c r="BV128" s="489">
        <f t="shared" si="322"/>
        <v>0</v>
      </c>
      <c r="BW128" s="490">
        <f t="shared" si="322"/>
        <v>0</v>
      </c>
      <c r="BX128" s="490">
        <f t="shared" si="322"/>
        <v>0</v>
      </c>
      <c r="BY128" s="490">
        <f t="shared" si="322"/>
        <v>0</v>
      </c>
      <c r="BZ128" s="490">
        <f t="shared" si="322"/>
        <v>0</v>
      </c>
      <c r="CA128" s="496">
        <f t="shared" si="322"/>
        <v>0</v>
      </c>
    </row>
    <row r="129" spans="4:79" s="89" customFormat="1" ht="12.95" customHeight="1" x14ac:dyDescent="0.25">
      <c r="D129" s="311"/>
      <c r="E129" s="312"/>
      <c r="F129" s="311"/>
      <c r="G129" s="313"/>
      <c r="H129" s="19">
        <v>3113</v>
      </c>
      <c r="I129" s="167">
        <f t="shared" ref="I129:BT129" si="323">SUMIF($F$12:$F$464,"=3113",I$12:I$464)</f>
        <v>167736710</v>
      </c>
      <c r="J129" s="16">
        <f t="shared" si="323"/>
        <v>122301344</v>
      </c>
      <c r="K129" s="16">
        <f t="shared" si="323"/>
        <v>114490981</v>
      </c>
      <c r="L129" s="16">
        <f t="shared" si="323"/>
        <v>7810363</v>
      </c>
      <c r="M129" s="16">
        <f t="shared" si="323"/>
        <v>642920</v>
      </c>
      <c r="N129" s="16">
        <f t="shared" si="323"/>
        <v>485840</v>
      </c>
      <c r="O129" s="16">
        <f t="shared" si="323"/>
        <v>157080</v>
      </c>
      <c r="P129" s="16">
        <f t="shared" si="323"/>
        <v>41555160</v>
      </c>
      <c r="Q129" s="16">
        <f t="shared" si="323"/>
        <v>1223013</v>
      </c>
      <c r="R129" s="16">
        <f t="shared" si="323"/>
        <v>2014273</v>
      </c>
      <c r="S129" s="13">
        <f t="shared" si="323"/>
        <v>202.61610000000002</v>
      </c>
      <c r="T129" s="13">
        <f t="shared" si="323"/>
        <v>179.23610000000002</v>
      </c>
      <c r="U129" s="632">
        <f t="shared" si="323"/>
        <v>23.38</v>
      </c>
      <c r="V129" s="168">
        <f t="shared" si="323"/>
        <v>0</v>
      </c>
      <c r="W129" s="16">
        <f t="shared" si="323"/>
        <v>0</v>
      </c>
      <c r="X129" s="16">
        <f t="shared" si="323"/>
        <v>-350205</v>
      </c>
      <c r="Y129" s="16">
        <f t="shared" si="323"/>
        <v>0</v>
      </c>
      <c r="Z129" s="16">
        <f t="shared" si="323"/>
        <v>0</v>
      </c>
      <c r="AA129" s="16">
        <f t="shared" si="323"/>
        <v>0</v>
      </c>
      <c r="AB129" s="16">
        <f t="shared" si="323"/>
        <v>0</v>
      </c>
      <c r="AC129" s="16">
        <f t="shared" si="323"/>
        <v>0</v>
      </c>
      <c r="AD129" s="16">
        <f t="shared" si="323"/>
        <v>-350205</v>
      </c>
      <c r="AE129" s="16">
        <f t="shared" si="323"/>
        <v>0</v>
      </c>
      <c r="AF129" s="16">
        <f t="shared" si="323"/>
        <v>-350205</v>
      </c>
      <c r="AG129" s="16">
        <f t="shared" si="323"/>
        <v>0</v>
      </c>
      <c r="AH129" s="16">
        <f t="shared" si="323"/>
        <v>0</v>
      </c>
      <c r="AI129" s="16">
        <f t="shared" si="323"/>
        <v>0</v>
      </c>
      <c r="AJ129" s="16">
        <f t="shared" si="323"/>
        <v>0</v>
      </c>
      <c r="AK129" s="16">
        <f t="shared" si="323"/>
        <v>0</v>
      </c>
      <c r="AL129" s="16">
        <f t="shared" si="323"/>
        <v>0</v>
      </c>
      <c r="AM129" s="16">
        <f t="shared" si="323"/>
        <v>0</v>
      </c>
      <c r="AN129" s="16">
        <f t="shared" si="323"/>
        <v>0</v>
      </c>
      <c r="AO129" s="16">
        <f t="shared" si="323"/>
        <v>-350205</v>
      </c>
      <c r="AP129" s="16">
        <f t="shared" si="323"/>
        <v>0</v>
      </c>
      <c r="AQ129" s="16">
        <f t="shared" si="323"/>
        <v>-350205</v>
      </c>
      <c r="AR129" s="16">
        <f t="shared" si="323"/>
        <v>-118370</v>
      </c>
      <c r="AS129" s="16">
        <f t="shared" si="323"/>
        <v>-3502</v>
      </c>
      <c r="AT129" s="16">
        <f t="shared" si="323"/>
        <v>2500</v>
      </c>
      <c r="AU129" s="16">
        <f t="shared" si="323"/>
        <v>0</v>
      </c>
      <c r="AV129" s="16">
        <f t="shared" si="323"/>
        <v>2500</v>
      </c>
      <c r="AW129" s="16">
        <f t="shared" si="323"/>
        <v>-469577</v>
      </c>
      <c r="AX129" s="13">
        <f t="shared" si="323"/>
        <v>0</v>
      </c>
      <c r="AY129" s="13">
        <f t="shared" si="323"/>
        <v>0</v>
      </c>
      <c r="AZ129" s="13">
        <f t="shared" si="323"/>
        <v>-0.95</v>
      </c>
      <c r="BA129" s="13">
        <f t="shared" si="323"/>
        <v>0</v>
      </c>
      <c r="BB129" s="13">
        <f t="shared" si="323"/>
        <v>0</v>
      </c>
      <c r="BC129" s="13">
        <f t="shared" si="323"/>
        <v>0</v>
      </c>
      <c r="BD129" s="13">
        <f t="shared" si="323"/>
        <v>0</v>
      </c>
      <c r="BE129" s="13">
        <f t="shared" si="323"/>
        <v>0</v>
      </c>
      <c r="BF129" s="13">
        <f t="shared" si="323"/>
        <v>-0.95</v>
      </c>
      <c r="BG129" s="13">
        <f t="shared" si="323"/>
        <v>0</v>
      </c>
      <c r="BH129" s="169">
        <f t="shared" si="323"/>
        <v>-0.95</v>
      </c>
      <c r="BI129" s="167">
        <f t="shared" si="323"/>
        <v>167267133</v>
      </c>
      <c r="BJ129" s="16">
        <f t="shared" si="323"/>
        <v>121951139</v>
      </c>
      <c r="BK129" s="16">
        <f t="shared" si="323"/>
        <v>114140776</v>
      </c>
      <c r="BL129" s="16">
        <f t="shared" si="323"/>
        <v>7810363</v>
      </c>
      <c r="BM129" s="16">
        <f t="shared" si="323"/>
        <v>642920</v>
      </c>
      <c r="BN129" s="16">
        <f t="shared" si="323"/>
        <v>485840</v>
      </c>
      <c r="BO129" s="16">
        <f t="shared" si="323"/>
        <v>157080</v>
      </c>
      <c r="BP129" s="16">
        <f t="shared" si="323"/>
        <v>41436790</v>
      </c>
      <c r="BQ129" s="16">
        <f t="shared" si="323"/>
        <v>1219511</v>
      </c>
      <c r="BR129" s="16">
        <f t="shared" si="323"/>
        <v>2016773</v>
      </c>
      <c r="BS129" s="13">
        <f t="shared" si="323"/>
        <v>201.66610000000003</v>
      </c>
      <c r="BT129" s="13">
        <f t="shared" si="323"/>
        <v>178.28610000000003</v>
      </c>
      <c r="BU129" s="169">
        <f t="shared" ref="BU129:CA129" si="324">SUMIF($F$12:$F$464,"=3113",BU$12:BU$464)</f>
        <v>23.38</v>
      </c>
      <c r="BV129" s="167">
        <f t="shared" si="324"/>
        <v>456163</v>
      </c>
      <c r="BW129" s="16">
        <f t="shared" si="324"/>
        <v>338400</v>
      </c>
      <c r="BX129" s="16">
        <f t="shared" si="324"/>
        <v>0</v>
      </c>
      <c r="BY129" s="16">
        <f t="shared" si="324"/>
        <v>114379</v>
      </c>
      <c r="BZ129" s="16">
        <f t="shared" si="324"/>
        <v>3384</v>
      </c>
      <c r="CA129" s="17">
        <f t="shared" si="324"/>
        <v>0.60000000000000009</v>
      </c>
    </row>
    <row r="130" spans="4:79" s="89" customFormat="1" ht="12.95" customHeight="1" x14ac:dyDescent="0.25">
      <c r="D130" s="311"/>
      <c r="E130" s="312"/>
      <c r="F130" s="311"/>
      <c r="G130" s="313"/>
      <c r="H130" s="19">
        <v>3114</v>
      </c>
      <c r="I130" s="167">
        <f t="shared" ref="I130:BT130" si="325">SUMIF($F$12:$F$464,"=3114",I$12:I$464)</f>
        <v>8980012</v>
      </c>
      <c r="J130" s="16">
        <f t="shared" si="325"/>
        <v>6524840</v>
      </c>
      <c r="K130" s="16">
        <f t="shared" si="325"/>
        <v>6044724</v>
      </c>
      <c r="L130" s="16">
        <f t="shared" si="325"/>
        <v>480116</v>
      </c>
      <c r="M130" s="16">
        <f t="shared" si="325"/>
        <v>90000</v>
      </c>
      <c r="N130" s="16">
        <f t="shared" si="325"/>
        <v>70000</v>
      </c>
      <c r="O130" s="16">
        <f t="shared" si="325"/>
        <v>20000</v>
      </c>
      <c r="P130" s="16">
        <f t="shared" si="325"/>
        <v>2235816</v>
      </c>
      <c r="Q130" s="16">
        <f t="shared" si="325"/>
        <v>65249</v>
      </c>
      <c r="R130" s="16">
        <f t="shared" si="325"/>
        <v>64107</v>
      </c>
      <c r="S130" s="13">
        <f t="shared" si="325"/>
        <v>9.9170999999999996</v>
      </c>
      <c r="T130" s="13">
        <f t="shared" si="325"/>
        <v>8.5438000000000009</v>
      </c>
      <c r="U130" s="632">
        <f t="shared" si="325"/>
        <v>1.3733</v>
      </c>
      <c r="V130" s="168">
        <f t="shared" si="325"/>
        <v>0</v>
      </c>
      <c r="W130" s="16">
        <f t="shared" si="325"/>
        <v>0</v>
      </c>
      <c r="X130" s="16">
        <f t="shared" si="325"/>
        <v>0</v>
      </c>
      <c r="Y130" s="16">
        <f t="shared" si="325"/>
        <v>0</v>
      </c>
      <c r="Z130" s="16">
        <f t="shared" si="325"/>
        <v>0</v>
      </c>
      <c r="AA130" s="16">
        <f t="shared" si="325"/>
        <v>0</v>
      </c>
      <c r="AB130" s="16">
        <f t="shared" si="325"/>
        <v>0</v>
      </c>
      <c r="AC130" s="16">
        <f t="shared" si="325"/>
        <v>0</v>
      </c>
      <c r="AD130" s="16">
        <f t="shared" si="325"/>
        <v>0</v>
      </c>
      <c r="AE130" s="16">
        <f t="shared" si="325"/>
        <v>0</v>
      </c>
      <c r="AF130" s="16">
        <f t="shared" si="325"/>
        <v>0</v>
      </c>
      <c r="AG130" s="16">
        <f t="shared" si="325"/>
        <v>0</v>
      </c>
      <c r="AH130" s="16">
        <f t="shared" si="325"/>
        <v>0</v>
      </c>
      <c r="AI130" s="16">
        <f t="shared" si="325"/>
        <v>0</v>
      </c>
      <c r="AJ130" s="16">
        <f t="shared" si="325"/>
        <v>0</v>
      </c>
      <c r="AK130" s="16">
        <f t="shared" si="325"/>
        <v>0</v>
      </c>
      <c r="AL130" s="16">
        <f t="shared" si="325"/>
        <v>0</v>
      </c>
      <c r="AM130" s="16">
        <f t="shared" si="325"/>
        <v>0</v>
      </c>
      <c r="AN130" s="16">
        <f t="shared" si="325"/>
        <v>0</v>
      </c>
      <c r="AO130" s="16">
        <f t="shared" si="325"/>
        <v>0</v>
      </c>
      <c r="AP130" s="16">
        <f t="shared" si="325"/>
        <v>0</v>
      </c>
      <c r="AQ130" s="16">
        <f t="shared" si="325"/>
        <v>0</v>
      </c>
      <c r="AR130" s="16">
        <f t="shared" si="325"/>
        <v>0</v>
      </c>
      <c r="AS130" s="16">
        <f t="shared" si="325"/>
        <v>0</v>
      </c>
      <c r="AT130" s="16">
        <f t="shared" si="325"/>
        <v>0</v>
      </c>
      <c r="AU130" s="16">
        <f t="shared" si="325"/>
        <v>0</v>
      </c>
      <c r="AV130" s="16">
        <f t="shared" si="325"/>
        <v>0</v>
      </c>
      <c r="AW130" s="16">
        <f t="shared" si="325"/>
        <v>0</v>
      </c>
      <c r="AX130" s="13">
        <f t="shared" si="325"/>
        <v>0</v>
      </c>
      <c r="AY130" s="13">
        <f t="shared" si="325"/>
        <v>0</v>
      </c>
      <c r="AZ130" s="13">
        <f t="shared" si="325"/>
        <v>0</v>
      </c>
      <c r="BA130" s="13">
        <f t="shared" si="325"/>
        <v>0</v>
      </c>
      <c r="BB130" s="13">
        <f t="shared" si="325"/>
        <v>0</v>
      </c>
      <c r="BC130" s="13">
        <f t="shared" si="325"/>
        <v>0</v>
      </c>
      <c r="BD130" s="13">
        <f t="shared" si="325"/>
        <v>0</v>
      </c>
      <c r="BE130" s="13">
        <f t="shared" si="325"/>
        <v>0</v>
      </c>
      <c r="BF130" s="13">
        <f t="shared" si="325"/>
        <v>0</v>
      </c>
      <c r="BG130" s="13">
        <f t="shared" si="325"/>
        <v>0</v>
      </c>
      <c r="BH130" s="169">
        <f t="shared" si="325"/>
        <v>0</v>
      </c>
      <c r="BI130" s="167">
        <f t="shared" si="325"/>
        <v>8980012</v>
      </c>
      <c r="BJ130" s="16">
        <f t="shared" si="325"/>
        <v>6524840</v>
      </c>
      <c r="BK130" s="16">
        <f t="shared" si="325"/>
        <v>6044724</v>
      </c>
      <c r="BL130" s="16">
        <f t="shared" si="325"/>
        <v>480116</v>
      </c>
      <c r="BM130" s="16">
        <f t="shared" si="325"/>
        <v>90000</v>
      </c>
      <c r="BN130" s="16">
        <f t="shared" si="325"/>
        <v>70000</v>
      </c>
      <c r="BO130" s="16">
        <f t="shared" si="325"/>
        <v>20000</v>
      </c>
      <c r="BP130" s="16">
        <f t="shared" si="325"/>
        <v>2235816</v>
      </c>
      <c r="BQ130" s="16">
        <f t="shared" si="325"/>
        <v>65249</v>
      </c>
      <c r="BR130" s="16">
        <f t="shared" si="325"/>
        <v>64107</v>
      </c>
      <c r="BS130" s="13">
        <f t="shared" si="325"/>
        <v>9.9170999999999996</v>
      </c>
      <c r="BT130" s="13">
        <f t="shared" si="325"/>
        <v>8.5438000000000009</v>
      </c>
      <c r="BU130" s="169">
        <f t="shared" ref="BU130:CA130" si="326">SUMIF($F$12:$F$464,"=3114",BU$12:BU$464)</f>
        <v>1.3733</v>
      </c>
      <c r="BV130" s="167">
        <f t="shared" si="326"/>
        <v>0</v>
      </c>
      <c r="BW130" s="16">
        <f t="shared" si="326"/>
        <v>0</v>
      </c>
      <c r="BX130" s="16">
        <f t="shared" si="326"/>
        <v>0</v>
      </c>
      <c r="BY130" s="16">
        <f t="shared" si="326"/>
        <v>0</v>
      </c>
      <c r="BZ130" s="16">
        <f t="shared" si="326"/>
        <v>0</v>
      </c>
      <c r="CA130" s="17">
        <f t="shared" si="326"/>
        <v>0</v>
      </c>
    </row>
    <row r="131" spans="4:79" s="89" customFormat="1" ht="12.95" customHeight="1" x14ac:dyDescent="0.25">
      <c r="D131" s="311"/>
      <c r="E131" s="312"/>
      <c r="F131" s="311"/>
      <c r="G131" s="313"/>
      <c r="H131" s="19">
        <v>3117</v>
      </c>
      <c r="I131" s="167">
        <f t="shared" ref="I131:BT131" si="327">SUMIF($F$12:$F$464,"=3117",I$12:I$464)</f>
        <v>34234313</v>
      </c>
      <c r="J131" s="16">
        <f t="shared" si="327"/>
        <v>24845104</v>
      </c>
      <c r="K131" s="16">
        <f t="shared" si="327"/>
        <v>22920753</v>
      </c>
      <c r="L131" s="16">
        <f t="shared" si="327"/>
        <v>1924351</v>
      </c>
      <c r="M131" s="16">
        <f t="shared" si="327"/>
        <v>247000</v>
      </c>
      <c r="N131" s="16">
        <f t="shared" si="327"/>
        <v>21800</v>
      </c>
      <c r="O131" s="16">
        <f t="shared" si="327"/>
        <v>225200</v>
      </c>
      <c r="P131" s="16">
        <f t="shared" si="327"/>
        <v>8481134</v>
      </c>
      <c r="Q131" s="16">
        <f t="shared" si="327"/>
        <v>248451</v>
      </c>
      <c r="R131" s="16">
        <f t="shared" si="327"/>
        <v>412624</v>
      </c>
      <c r="S131" s="13">
        <f t="shared" si="327"/>
        <v>46.1935</v>
      </c>
      <c r="T131" s="13">
        <f t="shared" si="327"/>
        <v>41.238699999999994</v>
      </c>
      <c r="U131" s="632">
        <f t="shared" si="327"/>
        <v>4.9547999999999996</v>
      </c>
      <c r="V131" s="168">
        <f t="shared" si="327"/>
        <v>0</v>
      </c>
      <c r="W131" s="16">
        <f t="shared" si="327"/>
        <v>0</v>
      </c>
      <c r="X131" s="16">
        <f t="shared" si="327"/>
        <v>-105080</v>
      </c>
      <c r="Y131" s="16">
        <f t="shared" si="327"/>
        <v>0</v>
      </c>
      <c r="Z131" s="16">
        <f t="shared" si="327"/>
        <v>0</v>
      </c>
      <c r="AA131" s="16">
        <f t="shared" si="327"/>
        <v>0</v>
      </c>
      <c r="AB131" s="16">
        <f t="shared" si="327"/>
        <v>0</v>
      </c>
      <c r="AC131" s="16">
        <f t="shared" si="327"/>
        <v>0</v>
      </c>
      <c r="AD131" s="16">
        <f t="shared" si="327"/>
        <v>-105080</v>
      </c>
      <c r="AE131" s="16">
        <f t="shared" si="327"/>
        <v>0</v>
      </c>
      <c r="AF131" s="16">
        <f t="shared" si="327"/>
        <v>-105080</v>
      </c>
      <c r="AG131" s="16">
        <f t="shared" si="327"/>
        <v>0</v>
      </c>
      <c r="AH131" s="16">
        <f t="shared" si="327"/>
        <v>0</v>
      </c>
      <c r="AI131" s="16">
        <f t="shared" si="327"/>
        <v>0</v>
      </c>
      <c r="AJ131" s="16">
        <f t="shared" si="327"/>
        <v>0</v>
      </c>
      <c r="AK131" s="16">
        <f t="shared" si="327"/>
        <v>0</v>
      </c>
      <c r="AL131" s="16">
        <f t="shared" si="327"/>
        <v>0</v>
      </c>
      <c r="AM131" s="16">
        <f t="shared" si="327"/>
        <v>0</v>
      </c>
      <c r="AN131" s="16">
        <f t="shared" si="327"/>
        <v>0</v>
      </c>
      <c r="AO131" s="16">
        <f t="shared" si="327"/>
        <v>-105080</v>
      </c>
      <c r="AP131" s="16">
        <f t="shared" si="327"/>
        <v>0</v>
      </c>
      <c r="AQ131" s="16">
        <f t="shared" si="327"/>
        <v>-105080</v>
      </c>
      <c r="AR131" s="16">
        <f t="shared" si="327"/>
        <v>-35517</v>
      </c>
      <c r="AS131" s="16">
        <f t="shared" si="327"/>
        <v>-1051</v>
      </c>
      <c r="AT131" s="16">
        <f t="shared" si="327"/>
        <v>0</v>
      </c>
      <c r="AU131" s="16">
        <f t="shared" si="327"/>
        <v>0</v>
      </c>
      <c r="AV131" s="16">
        <f t="shared" si="327"/>
        <v>0</v>
      </c>
      <c r="AW131" s="16">
        <f t="shared" si="327"/>
        <v>-141648</v>
      </c>
      <c r="AX131" s="13">
        <f t="shared" si="327"/>
        <v>0</v>
      </c>
      <c r="AY131" s="13">
        <f t="shared" si="327"/>
        <v>0</v>
      </c>
      <c r="AZ131" s="13">
        <f t="shared" si="327"/>
        <v>-0.28000000000000003</v>
      </c>
      <c r="BA131" s="13">
        <f t="shared" si="327"/>
        <v>0</v>
      </c>
      <c r="BB131" s="13">
        <f t="shared" si="327"/>
        <v>0</v>
      </c>
      <c r="BC131" s="13">
        <f t="shared" si="327"/>
        <v>0</v>
      </c>
      <c r="BD131" s="13">
        <f t="shared" si="327"/>
        <v>0</v>
      </c>
      <c r="BE131" s="13">
        <f t="shared" si="327"/>
        <v>0</v>
      </c>
      <c r="BF131" s="13">
        <f t="shared" si="327"/>
        <v>-0.28000000000000003</v>
      </c>
      <c r="BG131" s="13">
        <f t="shared" si="327"/>
        <v>0</v>
      </c>
      <c r="BH131" s="169">
        <f t="shared" si="327"/>
        <v>-0.28000000000000003</v>
      </c>
      <c r="BI131" s="167">
        <f t="shared" si="327"/>
        <v>34092665</v>
      </c>
      <c r="BJ131" s="16">
        <f t="shared" si="327"/>
        <v>24740024</v>
      </c>
      <c r="BK131" s="16">
        <f t="shared" si="327"/>
        <v>22815673</v>
      </c>
      <c r="BL131" s="16">
        <f t="shared" si="327"/>
        <v>1924351</v>
      </c>
      <c r="BM131" s="16">
        <f t="shared" si="327"/>
        <v>247000</v>
      </c>
      <c r="BN131" s="16">
        <f t="shared" si="327"/>
        <v>21800</v>
      </c>
      <c r="BO131" s="16">
        <f t="shared" si="327"/>
        <v>225200</v>
      </c>
      <c r="BP131" s="16">
        <f t="shared" si="327"/>
        <v>8445617</v>
      </c>
      <c r="BQ131" s="16">
        <f t="shared" si="327"/>
        <v>247400</v>
      </c>
      <c r="BR131" s="16">
        <f t="shared" si="327"/>
        <v>412624</v>
      </c>
      <c r="BS131" s="13">
        <f t="shared" si="327"/>
        <v>45.913499999999999</v>
      </c>
      <c r="BT131" s="13">
        <f t="shared" si="327"/>
        <v>40.958699999999993</v>
      </c>
      <c r="BU131" s="169">
        <f t="shared" ref="BU131:CA131" si="328">SUMIF($F$12:$F$464,"=3117",BU$12:BU$464)</f>
        <v>4.9547999999999996</v>
      </c>
      <c r="BV131" s="167">
        <f t="shared" si="328"/>
        <v>0</v>
      </c>
      <c r="BW131" s="16">
        <f t="shared" si="328"/>
        <v>0</v>
      </c>
      <c r="BX131" s="16">
        <f t="shared" si="328"/>
        <v>0</v>
      </c>
      <c r="BY131" s="16">
        <f t="shared" si="328"/>
        <v>0</v>
      </c>
      <c r="BZ131" s="16">
        <f t="shared" si="328"/>
        <v>0</v>
      </c>
      <c r="CA131" s="17">
        <f t="shared" si="328"/>
        <v>0</v>
      </c>
    </row>
    <row r="132" spans="4:79" s="89" customFormat="1" ht="12.95" customHeight="1" x14ac:dyDescent="0.25">
      <c r="D132" s="311"/>
      <c r="E132" s="312"/>
      <c r="F132" s="311"/>
      <c r="G132" s="313"/>
      <c r="H132" s="19">
        <v>3122</v>
      </c>
      <c r="I132" s="167">
        <f t="shared" ref="I132:BT132" si="329">SUMIF($F$12:$F$464,"=3122",I$12:I$464)</f>
        <v>0</v>
      </c>
      <c r="J132" s="16">
        <f t="shared" si="329"/>
        <v>0</v>
      </c>
      <c r="K132" s="16">
        <f t="shared" si="329"/>
        <v>0</v>
      </c>
      <c r="L132" s="16">
        <f t="shared" si="329"/>
        <v>0</v>
      </c>
      <c r="M132" s="16">
        <f t="shared" si="329"/>
        <v>0</v>
      </c>
      <c r="N132" s="16">
        <f t="shared" si="329"/>
        <v>0</v>
      </c>
      <c r="O132" s="16">
        <f t="shared" si="329"/>
        <v>0</v>
      </c>
      <c r="P132" s="16">
        <f t="shared" si="329"/>
        <v>0</v>
      </c>
      <c r="Q132" s="16">
        <f t="shared" si="329"/>
        <v>0</v>
      </c>
      <c r="R132" s="16">
        <f t="shared" si="329"/>
        <v>0</v>
      </c>
      <c r="S132" s="13">
        <f t="shared" si="329"/>
        <v>0</v>
      </c>
      <c r="T132" s="13">
        <f t="shared" si="329"/>
        <v>0</v>
      </c>
      <c r="U132" s="632">
        <f t="shared" si="329"/>
        <v>0</v>
      </c>
      <c r="V132" s="168">
        <f t="shared" si="329"/>
        <v>0</v>
      </c>
      <c r="W132" s="16">
        <f t="shared" si="329"/>
        <v>0</v>
      </c>
      <c r="X132" s="16">
        <f t="shared" si="329"/>
        <v>0</v>
      </c>
      <c r="Y132" s="16">
        <f t="shared" si="329"/>
        <v>0</v>
      </c>
      <c r="Z132" s="16">
        <f t="shared" si="329"/>
        <v>0</v>
      </c>
      <c r="AA132" s="16">
        <f t="shared" si="329"/>
        <v>0</v>
      </c>
      <c r="AB132" s="16">
        <f t="shared" si="329"/>
        <v>0</v>
      </c>
      <c r="AC132" s="16">
        <f t="shared" si="329"/>
        <v>0</v>
      </c>
      <c r="AD132" s="16">
        <f t="shared" si="329"/>
        <v>0</v>
      </c>
      <c r="AE132" s="16">
        <f t="shared" si="329"/>
        <v>0</v>
      </c>
      <c r="AF132" s="16">
        <f t="shared" si="329"/>
        <v>0</v>
      </c>
      <c r="AG132" s="16">
        <f t="shared" si="329"/>
        <v>0</v>
      </c>
      <c r="AH132" s="16">
        <f t="shared" si="329"/>
        <v>0</v>
      </c>
      <c r="AI132" s="16">
        <f t="shared" si="329"/>
        <v>0</v>
      </c>
      <c r="AJ132" s="16">
        <f t="shared" si="329"/>
        <v>0</v>
      </c>
      <c r="AK132" s="16">
        <f t="shared" si="329"/>
        <v>0</v>
      </c>
      <c r="AL132" s="16">
        <f t="shared" si="329"/>
        <v>0</v>
      </c>
      <c r="AM132" s="16">
        <f t="shared" si="329"/>
        <v>0</v>
      </c>
      <c r="AN132" s="16">
        <f t="shared" si="329"/>
        <v>0</v>
      </c>
      <c r="AO132" s="16">
        <f t="shared" si="329"/>
        <v>0</v>
      </c>
      <c r="AP132" s="16">
        <f t="shared" si="329"/>
        <v>0</v>
      </c>
      <c r="AQ132" s="16">
        <f t="shared" si="329"/>
        <v>0</v>
      </c>
      <c r="AR132" s="16">
        <f t="shared" si="329"/>
        <v>0</v>
      </c>
      <c r="AS132" s="16">
        <f t="shared" si="329"/>
        <v>0</v>
      </c>
      <c r="AT132" s="16">
        <f t="shared" si="329"/>
        <v>0</v>
      </c>
      <c r="AU132" s="16">
        <f t="shared" si="329"/>
        <v>0</v>
      </c>
      <c r="AV132" s="16">
        <f t="shared" si="329"/>
        <v>0</v>
      </c>
      <c r="AW132" s="16">
        <f t="shared" si="329"/>
        <v>0</v>
      </c>
      <c r="AX132" s="13">
        <f t="shared" si="329"/>
        <v>0</v>
      </c>
      <c r="AY132" s="13">
        <f t="shared" si="329"/>
        <v>0</v>
      </c>
      <c r="AZ132" s="13">
        <f t="shared" si="329"/>
        <v>0</v>
      </c>
      <c r="BA132" s="13">
        <f t="shared" si="329"/>
        <v>0</v>
      </c>
      <c r="BB132" s="13">
        <f t="shared" si="329"/>
        <v>0</v>
      </c>
      <c r="BC132" s="13">
        <f t="shared" si="329"/>
        <v>0</v>
      </c>
      <c r="BD132" s="13">
        <f t="shared" si="329"/>
        <v>0</v>
      </c>
      <c r="BE132" s="13">
        <f t="shared" si="329"/>
        <v>0</v>
      </c>
      <c r="BF132" s="13">
        <f t="shared" si="329"/>
        <v>0</v>
      </c>
      <c r="BG132" s="13">
        <f t="shared" si="329"/>
        <v>0</v>
      </c>
      <c r="BH132" s="169">
        <f t="shared" si="329"/>
        <v>0</v>
      </c>
      <c r="BI132" s="167">
        <f t="shared" si="329"/>
        <v>0</v>
      </c>
      <c r="BJ132" s="16">
        <f t="shared" si="329"/>
        <v>0</v>
      </c>
      <c r="BK132" s="16">
        <f t="shared" si="329"/>
        <v>0</v>
      </c>
      <c r="BL132" s="16">
        <f t="shared" si="329"/>
        <v>0</v>
      </c>
      <c r="BM132" s="16">
        <f t="shared" si="329"/>
        <v>0</v>
      </c>
      <c r="BN132" s="16">
        <f t="shared" si="329"/>
        <v>0</v>
      </c>
      <c r="BO132" s="16">
        <f t="shared" si="329"/>
        <v>0</v>
      </c>
      <c r="BP132" s="16">
        <f t="shared" si="329"/>
        <v>0</v>
      </c>
      <c r="BQ132" s="16">
        <f t="shared" si="329"/>
        <v>0</v>
      </c>
      <c r="BR132" s="16">
        <f t="shared" si="329"/>
        <v>0</v>
      </c>
      <c r="BS132" s="13">
        <f t="shared" si="329"/>
        <v>0</v>
      </c>
      <c r="BT132" s="13">
        <f t="shared" si="329"/>
        <v>0</v>
      </c>
      <c r="BU132" s="169">
        <f t="shared" ref="BU132:CA132" si="330">SUMIF($F$12:$F$464,"=3122",BU$12:BU$464)</f>
        <v>0</v>
      </c>
      <c r="BV132" s="167">
        <f t="shared" si="330"/>
        <v>0</v>
      </c>
      <c r="BW132" s="16">
        <f t="shared" si="330"/>
        <v>0</v>
      </c>
      <c r="BX132" s="16">
        <f t="shared" si="330"/>
        <v>0</v>
      </c>
      <c r="BY132" s="16">
        <f t="shared" si="330"/>
        <v>0</v>
      </c>
      <c r="BZ132" s="16">
        <f t="shared" si="330"/>
        <v>0</v>
      </c>
      <c r="CA132" s="17">
        <f t="shared" si="330"/>
        <v>0</v>
      </c>
    </row>
    <row r="133" spans="4:79" s="89" customFormat="1" ht="12.95" customHeight="1" x14ac:dyDescent="0.25">
      <c r="D133" s="311"/>
      <c r="E133" s="312"/>
      <c r="F133" s="311"/>
      <c r="G133" s="313"/>
      <c r="H133" s="19">
        <v>3124</v>
      </c>
      <c r="I133" s="167">
        <f t="shared" ref="I133:BT133" si="331">SUMIF($F$12:$F$464,"=3124",I$12:I$464)</f>
        <v>0</v>
      </c>
      <c r="J133" s="16">
        <f t="shared" si="331"/>
        <v>0</v>
      </c>
      <c r="K133" s="16">
        <f t="shared" si="331"/>
        <v>0</v>
      </c>
      <c r="L133" s="16">
        <f t="shared" si="331"/>
        <v>0</v>
      </c>
      <c r="M133" s="16">
        <f t="shared" si="331"/>
        <v>0</v>
      </c>
      <c r="N133" s="16">
        <f t="shared" si="331"/>
        <v>0</v>
      </c>
      <c r="O133" s="16">
        <f t="shared" si="331"/>
        <v>0</v>
      </c>
      <c r="P133" s="16">
        <f t="shared" si="331"/>
        <v>0</v>
      </c>
      <c r="Q133" s="16">
        <f t="shared" si="331"/>
        <v>0</v>
      </c>
      <c r="R133" s="16">
        <f t="shared" si="331"/>
        <v>0</v>
      </c>
      <c r="S133" s="13">
        <f t="shared" si="331"/>
        <v>0</v>
      </c>
      <c r="T133" s="13">
        <f t="shared" si="331"/>
        <v>0</v>
      </c>
      <c r="U133" s="632">
        <f t="shared" si="331"/>
        <v>0</v>
      </c>
      <c r="V133" s="168">
        <f t="shared" si="331"/>
        <v>0</v>
      </c>
      <c r="W133" s="16">
        <f t="shared" si="331"/>
        <v>0</v>
      </c>
      <c r="X133" s="16">
        <f t="shared" si="331"/>
        <v>0</v>
      </c>
      <c r="Y133" s="16">
        <f t="shared" si="331"/>
        <v>0</v>
      </c>
      <c r="Z133" s="16">
        <f t="shared" si="331"/>
        <v>0</v>
      </c>
      <c r="AA133" s="16">
        <f t="shared" si="331"/>
        <v>0</v>
      </c>
      <c r="AB133" s="16">
        <f t="shared" si="331"/>
        <v>0</v>
      </c>
      <c r="AC133" s="16">
        <f t="shared" si="331"/>
        <v>0</v>
      </c>
      <c r="AD133" s="16">
        <f t="shared" si="331"/>
        <v>0</v>
      </c>
      <c r="AE133" s="16">
        <f t="shared" si="331"/>
        <v>0</v>
      </c>
      <c r="AF133" s="16">
        <f t="shared" si="331"/>
        <v>0</v>
      </c>
      <c r="AG133" s="16">
        <f t="shared" si="331"/>
        <v>0</v>
      </c>
      <c r="AH133" s="16">
        <f t="shared" si="331"/>
        <v>0</v>
      </c>
      <c r="AI133" s="16">
        <f t="shared" si="331"/>
        <v>0</v>
      </c>
      <c r="AJ133" s="16">
        <f t="shared" si="331"/>
        <v>0</v>
      </c>
      <c r="AK133" s="16">
        <f t="shared" si="331"/>
        <v>0</v>
      </c>
      <c r="AL133" s="16">
        <f t="shared" si="331"/>
        <v>0</v>
      </c>
      <c r="AM133" s="16">
        <f t="shared" si="331"/>
        <v>0</v>
      </c>
      <c r="AN133" s="16">
        <f t="shared" si="331"/>
        <v>0</v>
      </c>
      <c r="AO133" s="16">
        <f t="shared" si="331"/>
        <v>0</v>
      </c>
      <c r="AP133" s="16">
        <f t="shared" si="331"/>
        <v>0</v>
      </c>
      <c r="AQ133" s="16">
        <f t="shared" si="331"/>
        <v>0</v>
      </c>
      <c r="AR133" s="16">
        <f t="shared" si="331"/>
        <v>0</v>
      </c>
      <c r="AS133" s="16">
        <f t="shared" si="331"/>
        <v>0</v>
      </c>
      <c r="AT133" s="16">
        <f t="shared" si="331"/>
        <v>0</v>
      </c>
      <c r="AU133" s="16">
        <f t="shared" si="331"/>
        <v>0</v>
      </c>
      <c r="AV133" s="16">
        <f t="shared" si="331"/>
        <v>0</v>
      </c>
      <c r="AW133" s="16">
        <f t="shared" si="331"/>
        <v>0</v>
      </c>
      <c r="AX133" s="13">
        <f t="shared" si="331"/>
        <v>0</v>
      </c>
      <c r="AY133" s="13">
        <f t="shared" si="331"/>
        <v>0</v>
      </c>
      <c r="AZ133" s="13">
        <f t="shared" si="331"/>
        <v>0</v>
      </c>
      <c r="BA133" s="13">
        <f t="shared" si="331"/>
        <v>0</v>
      </c>
      <c r="BB133" s="13">
        <f t="shared" si="331"/>
        <v>0</v>
      </c>
      <c r="BC133" s="13">
        <f t="shared" si="331"/>
        <v>0</v>
      </c>
      <c r="BD133" s="13">
        <f t="shared" si="331"/>
        <v>0</v>
      </c>
      <c r="BE133" s="13">
        <f t="shared" si="331"/>
        <v>0</v>
      </c>
      <c r="BF133" s="13">
        <f t="shared" si="331"/>
        <v>0</v>
      </c>
      <c r="BG133" s="13">
        <f t="shared" si="331"/>
        <v>0</v>
      </c>
      <c r="BH133" s="169">
        <f t="shared" si="331"/>
        <v>0</v>
      </c>
      <c r="BI133" s="167">
        <f t="shared" si="331"/>
        <v>0</v>
      </c>
      <c r="BJ133" s="16">
        <f t="shared" si="331"/>
        <v>0</v>
      </c>
      <c r="BK133" s="16">
        <f t="shared" si="331"/>
        <v>0</v>
      </c>
      <c r="BL133" s="16">
        <f t="shared" si="331"/>
        <v>0</v>
      </c>
      <c r="BM133" s="16">
        <f t="shared" si="331"/>
        <v>0</v>
      </c>
      <c r="BN133" s="16">
        <f t="shared" si="331"/>
        <v>0</v>
      </c>
      <c r="BO133" s="16">
        <f t="shared" si="331"/>
        <v>0</v>
      </c>
      <c r="BP133" s="16">
        <f t="shared" si="331"/>
        <v>0</v>
      </c>
      <c r="BQ133" s="16">
        <f t="shared" si="331"/>
        <v>0</v>
      </c>
      <c r="BR133" s="16">
        <f t="shared" si="331"/>
        <v>0</v>
      </c>
      <c r="BS133" s="13">
        <f t="shared" si="331"/>
        <v>0</v>
      </c>
      <c r="BT133" s="13">
        <f t="shared" si="331"/>
        <v>0</v>
      </c>
      <c r="BU133" s="169">
        <f t="shared" ref="BU133:CA133" si="332">SUMIF($F$12:$F$464,"=3124",BU$12:BU$464)</f>
        <v>0</v>
      </c>
      <c r="BV133" s="167">
        <f t="shared" si="332"/>
        <v>0</v>
      </c>
      <c r="BW133" s="16">
        <f t="shared" si="332"/>
        <v>0</v>
      </c>
      <c r="BX133" s="16">
        <f t="shared" si="332"/>
        <v>0</v>
      </c>
      <c r="BY133" s="16">
        <f t="shared" si="332"/>
        <v>0</v>
      </c>
      <c r="BZ133" s="16">
        <f t="shared" si="332"/>
        <v>0</v>
      </c>
      <c r="CA133" s="17">
        <f t="shared" si="332"/>
        <v>0</v>
      </c>
    </row>
    <row r="134" spans="4:79" s="89" customFormat="1" ht="12.95" customHeight="1" x14ac:dyDescent="0.25">
      <c r="D134" s="311"/>
      <c r="E134" s="312"/>
      <c r="F134" s="311"/>
      <c r="G134" s="313"/>
      <c r="H134" s="19">
        <v>3141</v>
      </c>
      <c r="I134" s="167">
        <f t="shared" ref="I134:BT134" si="333">SUMIF($F$12:$F$464,"=3141",I$12:I$464)</f>
        <v>17192740</v>
      </c>
      <c r="J134" s="16">
        <f t="shared" si="333"/>
        <v>12613941</v>
      </c>
      <c r="K134" s="16">
        <f t="shared" si="333"/>
        <v>0</v>
      </c>
      <c r="L134" s="16">
        <f t="shared" si="333"/>
        <v>12613941</v>
      </c>
      <c r="M134" s="16">
        <f t="shared" si="333"/>
        <v>65000</v>
      </c>
      <c r="N134" s="16">
        <f t="shared" si="333"/>
        <v>0</v>
      </c>
      <c r="O134" s="16">
        <f t="shared" si="333"/>
        <v>65000</v>
      </c>
      <c r="P134" s="16">
        <f t="shared" si="333"/>
        <v>4285482</v>
      </c>
      <c r="Q134" s="16">
        <f t="shared" si="333"/>
        <v>126140</v>
      </c>
      <c r="R134" s="16">
        <f t="shared" si="333"/>
        <v>102177</v>
      </c>
      <c r="S134" s="13">
        <f t="shared" si="333"/>
        <v>37.990100000000005</v>
      </c>
      <c r="T134" s="13">
        <f t="shared" si="333"/>
        <v>0</v>
      </c>
      <c r="U134" s="632">
        <f t="shared" si="333"/>
        <v>37.990100000000005</v>
      </c>
      <c r="V134" s="168">
        <f t="shared" si="333"/>
        <v>0</v>
      </c>
      <c r="W134" s="16">
        <f t="shared" si="333"/>
        <v>0</v>
      </c>
      <c r="X134" s="16">
        <f t="shared" si="333"/>
        <v>0</v>
      </c>
      <c r="Y134" s="16">
        <f t="shared" si="333"/>
        <v>0</v>
      </c>
      <c r="Z134" s="16">
        <f t="shared" si="333"/>
        <v>0</v>
      </c>
      <c r="AA134" s="16">
        <f t="shared" si="333"/>
        <v>6339252</v>
      </c>
      <c r="AB134" s="16">
        <f t="shared" si="333"/>
        <v>0</v>
      </c>
      <c r="AC134" s="16">
        <f t="shared" si="333"/>
        <v>0</v>
      </c>
      <c r="AD134" s="16">
        <f t="shared" si="333"/>
        <v>0</v>
      </c>
      <c r="AE134" s="16">
        <f t="shared" si="333"/>
        <v>6339252</v>
      </c>
      <c r="AF134" s="16">
        <f t="shared" si="333"/>
        <v>6339252</v>
      </c>
      <c r="AG134" s="16">
        <f t="shared" si="333"/>
        <v>0</v>
      </c>
      <c r="AH134" s="16">
        <f t="shared" si="333"/>
        <v>0</v>
      </c>
      <c r="AI134" s="16">
        <f t="shared" si="333"/>
        <v>0</v>
      </c>
      <c r="AJ134" s="16">
        <f t="shared" si="333"/>
        <v>0</v>
      </c>
      <c r="AK134" s="16">
        <f t="shared" si="333"/>
        <v>0</v>
      </c>
      <c r="AL134" s="16">
        <f t="shared" si="333"/>
        <v>0</v>
      </c>
      <c r="AM134" s="16">
        <f t="shared" si="333"/>
        <v>0</v>
      </c>
      <c r="AN134" s="16">
        <f t="shared" si="333"/>
        <v>0</v>
      </c>
      <c r="AO134" s="16">
        <f t="shared" si="333"/>
        <v>0</v>
      </c>
      <c r="AP134" s="16">
        <f t="shared" si="333"/>
        <v>6339252</v>
      </c>
      <c r="AQ134" s="16">
        <f t="shared" si="333"/>
        <v>6339252</v>
      </c>
      <c r="AR134" s="16">
        <f t="shared" si="333"/>
        <v>2142667</v>
      </c>
      <c r="AS134" s="16">
        <f t="shared" si="333"/>
        <v>63392</v>
      </c>
      <c r="AT134" s="16">
        <f t="shared" si="333"/>
        <v>0</v>
      </c>
      <c r="AU134" s="16">
        <f t="shared" si="333"/>
        <v>49521</v>
      </c>
      <c r="AV134" s="16">
        <f t="shared" si="333"/>
        <v>49521</v>
      </c>
      <c r="AW134" s="16">
        <f t="shared" si="333"/>
        <v>8594832</v>
      </c>
      <c r="AX134" s="13">
        <f t="shared" si="333"/>
        <v>0</v>
      </c>
      <c r="AY134" s="13">
        <f t="shared" si="333"/>
        <v>0</v>
      </c>
      <c r="AZ134" s="13">
        <f t="shared" si="333"/>
        <v>0</v>
      </c>
      <c r="BA134" s="13">
        <f t="shared" si="333"/>
        <v>0</v>
      </c>
      <c r="BB134" s="13">
        <f t="shared" si="333"/>
        <v>19.010000000000002</v>
      </c>
      <c r="BC134" s="13">
        <f t="shared" si="333"/>
        <v>0</v>
      </c>
      <c r="BD134" s="13">
        <f t="shared" si="333"/>
        <v>0</v>
      </c>
      <c r="BE134" s="13">
        <f t="shared" si="333"/>
        <v>0</v>
      </c>
      <c r="BF134" s="13">
        <f t="shared" si="333"/>
        <v>0</v>
      </c>
      <c r="BG134" s="13">
        <f t="shared" si="333"/>
        <v>19.010000000000002</v>
      </c>
      <c r="BH134" s="169">
        <f t="shared" si="333"/>
        <v>19.010000000000002</v>
      </c>
      <c r="BI134" s="167">
        <f t="shared" si="333"/>
        <v>25787572</v>
      </c>
      <c r="BJ134" s="16">
        <f t="shared" si="333"/>
        <v>18953193</v>
      </c>
      <c r="BK134" s="16">
        <f t="shared" si="333"/>
        <v>0</v>
      </c>
      <c r="BL134" s="16">
        <f t="shared" si="333"/>
        <v>18953193</v>
      </c>
      <c r="BM134" s="16">
        <f t="shared" si="333"/>
        <v>65000</v>
      </c>
      <c r="BN134" s="16">
        <f t="shared" si="333"/>
        <v>0</v>
      </c>
      <c r="BO134" s="16">
        <f t="shared" si="333"/>
        <v>65000</v>
      </c>
      <c r="BP134" s="16">
        <f t="shared" si="333"/>
        <v>6428149</v>
      </c>
      <c r="BQ134" s="16">
        <f t="shared" si="333"/>
        <v>189532</v>
      </c>
      <c r="BR134" s="16">
        <f t="shared" si="333"/>
        <v>151698</v>
      </c>
      <c r="BS134" s="13">
        <f t="shared" si="333"/>
        <v>57.000099999999996</v>
      </c>
      <c r="BT134" s="13">
        <f t="shared" si="333"/>
        <v>0</v>
      </c>
      <c r="BU134" s="169">
        <f t="shared" ref="BU134:CA134" si="334">SUMIF($F$12:$F$464,"=3141",BU$12:BU$464)</f>
        <v>57.000099999999996</v>
      </c>
      <c r="BV134" s="167">
        <f t="shared" si="334"/>
        <v>0</v>
      </c>
      <c r="BW134" s="16">
        <f t="shared" si="334"/>
        <v>0</v>
      </c>
      <c r="BX134" s="16">
        <f t="shared" si="334"/>
        <v>0</v>
      </c>
      <c r="BY134" s="16">
        <f t="shared" si="334"/>
        <v>0</v>
      </c>
      <c r="BZ134" s="16">
        <f t="shared" si="334"/>
        <v>0</v>
      </c>
      <c r="CA134" s="17">
        <f t="shared" si="334"/>
        <v>0</v>
      </c>
    </row>
    <row r="135" spans="4:79" s="89" customFormat="1" ht="12.95" customHeight="1" x14ac:dyDescent="0.25">
      <c r="D135" s="311"/>
      <c r="E135" s="312"/>
      <c r="F135" s="311"/>
      <c r="G135" s="313"/>
      <c r="H135" s="19">
        <v>3143</v>
      </c>
      <c r="I135" s="167">
        <f t="shared" ref="I135:BT135" si="335">SUMIF($F$12:$F$464,"=3143",I$12:I$464)</f>
        <v>20371453</v>
      </c>
      <c r="J135" s="16">
        <f t="shared" si="335"/>
        <v>14987018</v>
      </c>
      <c r="K135" s="16">
        <f t="shared" si="335"/>
        <v>14679748</v>
      </c>
      <c r="L135" s="16">
        <f t="shared" si="335"/>
        <v>307270</v>
      </c>
      <c r="M135" s="16">
        <f t="shared" si="335"/>
        <v>115000</v>
      </c>
      <c r="N135" s="16">
        <f t="shared" si="335"/>
        <v>115000</v>
      </c>
      <c r="O135" s="16">
        <f t="shared" si="335"/>
        <v>0</v>
      </c>
      <c r="P135" s="16">
        <f t="shared" si="335"/>
        <v>5104480</v>
      </c>
      <c r="Q135" s="16">
        <f t="shared" si="335"/>
        <v>149871</v>
      </c>
      <c r="R135" s="16">
        <f t="shared" si="335"/>
        <v>15084</v>
      </c>
      <c r="S135" s="13">
        <f t="shared" si="335"/>
        <v>30.493999999999996</v>
      </c>
      <c r="T135" s="13">
        <f t="shared" si="335"/>
        <v>29.330099999999998</v>
      </c>
      <c r="U135" s="632">
        <f t="shared" si="335"/>
        <v>1.1638999999999999</v>
      </c>
      <c r="V135" s="168">
        <f t="shared" si="335"/>
        <v>0</v>
      </c>
      <c r="W135" s="16">
        <f t="shared" si="335"/>
        <v>0</v>
      </c>
      <c r="X135" s="16">
        <f t="shared" si="335"/>
        <v>0</v>
      </c>
      <c r="Y135" s="16">
        <f t="shared" si="335"/>
        <v>0</v>
      </c>
      <c r="Z135" s="16">
        <f t="shared" si="335"/>
        <v>0</v>
      </c>
      <c r="AA135" s="16">
        <f t="shared" si="335"/>
        <v>153630</v>
      </c>
      <c r="AB135" s="16">
        <f t="shared" si="335"/>
        <v>0</v>
      </c>
      <c r="AC135" s="16">
        <f t="shared" si="335"/>
        <v>0</v>
      </c>
      <c r="AD135" s="16">
        <f t="shared" si="335"/>
        <v>0</v>
      </c>
      <c r="AE135" s="16">
        <f t="shared" si="335"/>
        <v>153630</v>
      </c>
      <c r="AF135" s="16">
        <f t="shared" si="335"/>
        <v>153630</v>
      </c>
      <c r="AG135" s="16">
        <f t="shared" si="335"/>
        <v>0</v>
      </c>
      <c r="AH135" s="16">
        <f t="shared" si="335"/>
        <v>0</v>
      </c>
      <c r="AI135" s="16">
        <f t="shared" si="335"/>
        <v>0</v>
      </c>
      <c r="AJ135" s="16">
        <f t="shared" si="335"/>
        <v>0</v>
      </c>
      <c r="AK135" s="16">
        <f t="shared" si="335"/>
        <v>0</v>
      </c>
      <c r="AL135" s="16">
        <f t="shared" si="335"/>
        <v>0</v>
      </c>
      <c r="AM135" s="16">
        <f t="shared" si="335"/>
        <v>0</v>
      </c>
      <c r="AN135" s="16">
        <f t="shared" si="335"/>
        <v>0</v>
      </c>
      <c r="AO135" s="16">
        <f t="shared" si="335"/>
        <v>0</v>
      </c>
      <c r="AP135" s="16">
        <f t="shared" si="335"/>
        <v>153630</v>
      </c>
      <c r="AQ135" s="16">
        <f t="shared" si="335"/>
        <v>153630</v>
      </c>
      <c r="AR135" s="16">
        <f t="shared" si="335"/>
        <v>51926</v>
      </c>
      <c r="AS135" s="16">
        <f t="shared" si="335"/>
        <v>1536</v>
      </c>
      <c r="AT135" s="16">
        <f t="shared" si="335"/>
        <v>0</v>
      </c>
      <c r="AU135" s="16">
        <f t="shared" si="335"/>
        <v>7542</v>
      </c>
      <c r="AV135" s="16">
        <f t="shared" si="335"/>
        <v>7542</v>
      </c>
      <c r="AW135" s="16">
        <f t="shared" si="335"/>
        <v>214634</v>
      </c>
      <c r="AX135" s="13">
        <f t="shared" si="335"/>
        <v>0</v>
      </c>
      <c r="AY135" s="13">
        <f t="shared" si="335"/>
        <v>0</v>
      </c>
      <c r="AZ135" s="13">
        <f t="shared" si="335"/>
        <v>0</v>
      </c>
      <c r="BA135" s="13">
        <f t="shared" si="335"/>
        <v>0</v>
      </c>
      <c r="BB135" s="13">
        <f t="shared" si="335"/>
        <v>0.59000000000000019</v>
      </c>
      <c r="BC135" s="13">
        <f t="shared" si="335"/>
        <v>0</v>
      </c>
      <c r="BD135" s="13">
        <f t="shared" si="335"/>
        <v>0</v>
      </c>
      <c r="BE135" s="13">
        <f t="shared" si="335"/>
        <v>0</v>
      </c>
      <c r="BF135" s="13">
        <f t="shared" si="335"/>
        <v>0</v>
      </c>
      <c r="BG135" s="13">
        <f t="shared" si="335"/>
        <v>0.59000000000000019</v>
      </c>
      <c r="BH135" s="169">
        <f t="shared" si="335"/>
        <v>0.59000000000000019</v>
      </c>
      <c r="BI135" s="167">
        <f t="shared" si="335"/>
        <v>20586087</v>
      </c>
      <c r="BJ135" s="16">
        <f t="shared" si="335"/>
        <v>15140648</v>
      </c>
      <c r="BK135" s="16">
        <f t="shared" si="335"/>
        <v>14679748</v>
      </c>
      <c r="BL135" s="16">
        <f t="shared" si="335"/>
        <v>460900</v>
      </c>
      <c r="BM135" s="16">
        <f t="shared" si="335"/>
        <v>115000</v>
      </c>
      <c r="BN135" s="16">
        <f t="shared" si="335"/>
        <v>115000</v>
      </c>
      <c r="BO135" s="16">
        <f t="shared" si="335"/>
        <v>0</v>
      </c>
      <c r="BP135" s="16">
        <f t="shared" si="335"/>
        <v>5156406</v>
      </c>
      <c r="BQ135" s="16">
        <f t="shared" si="335"/>
        <v>151407</v>
      </c>
      <c r="BR135" s="16">
        <f t="shared" si="335"/>
        <v>22626</v>
      </c>
      <c r="BS135" s="13">
        <f t="shared" si="335"/>
        <v>31.084</v>
      </c>
      <c r="BT135" s="13">
        <f t="shared" si="335"/>
        <v>29.330099999999998</v>
      </c>
      <c r="BU135" s="169">
        <f t="shared" ref="BU135:CA135" si="336">SUMIF($F$12:$F$464,"=3143",BU$12:BU$464)</f>
        <v>1.7538999999999998</v>
      </c>
      <c r="BV135" s="167">
        <f t="shared" si="336"/>
        <v>0</v>
      </c>
      <c r="BW135" s="16">
        <f t="shared" si="336"/>
        <v>0</v>
      </c>
      <c r="BX135" s="16">
        <f t="shared" si="336"/>
        <v>0</v>
      </c>
      <c r="BY135" s="16">
        <f t="shared" si="336"/>
        <v>0</v>
      </c>
      <c r="BZ135" s="16">
        <f t="shared" si="336"/>
        <v>0</v>
      </c>
      <c r="CA135" s="17">
        <f t="shared" si="336"/>
        <v>0</v>
      </c>
    </row>
    <row r="136" spans="4:79" s="89" customFormat="1" ht="12.95" customHeight="1" x14ac:dyDescent="0.25">
      <c r="D136" s="311"/>
      <c r="E136" s="312"/>
      <c r="F136" s="311"/>
      <c r="G136" s="313"/>
      <c r="H136" s="19">
        <v>3231</v>
      </c>
      <c r="I136" s="167">
        <f t="shared" ref="I136:BT136" si="337">SUMIF($F$12:$F$464,"=3231",I$12:I$464)</f>
        <v>16513986</v>
      </c>
      <c r="J136" s="16">
        <f t="shared" si="337"/>
        <v>12206963</v>
      </c>
      <c r="K136" s="16">
        <f t="shared" si="337"/>
        <v>11787964</v>
      </c>
      <c r="L136" s="16">
        <f t="shared" si="337"/>
        <v>418999</v>
      </c>
      <c r="M136" s="16">
        <f t="shared" si="337"/>
        <v>30000</v>
      </c>
      <c r="N136" s="16">
        <f t="shared" si="337"/>
        <v>0</v>
      </c>
      <c r="O136" s="16">
        <f t="shared" si="337"/>
        <v>30000</v>
      </c>
      <c r="P136" s="16">
        <f t="shared" si="337"/>
        <v>4136093</v>
      </c>
      <c r="Q136" s="16">
        <f t="shared" si="337"/>
        <v>122070</v>
      </c>
      <c r="R136" s="16">
        <f t="shared" si="337"/>
        <v>18860</v>
      </c>
      <c r="S136" s="13">
        <f t="shared" si="337"/>
        <v>19.9435</v>
      </c>
      <c r="T136" s="13">
        <f t="shared" si="337"/>
        <v>18.683599999999998</v>
      </c>
      <c r="U136" s="632">
        <f t="shared" si="337"/>
        <v>1.2599</v>
      </c>
      <c r="V136" s="168">
        <f t="shared" si="337"/>
        <v>0</v>
      </c>
      <c r="W136" s="16">
        <f t="shared" si="337"/>
        <v>0</v>
      </c>
      <c r="X136" s="16">
        <f t="shared" si="337"/>
        <v>0</v>
      </c>
      <c r="Y136" s="16">
        <f t="shared" si="337"/>
        <v>0</v>
      </c>
      <c r="Z136" s="16">
        <f t="shared" si="337"/>
        <v>0</v>
      </c>
      <c r="AA136" s="16">
        <f t="shared" si="337"/>
        <v>0</v>
      </c>
      <c r="AB136" s="16">
        <f t="shared" si="337"/>
        <v>0</v>
      </c>
      <c r="AC136" s="16">
        <f t="shared" si="337"/>
        <v>0</v>
      </c>
      <c r="AD136" s="16">
        <f t="shared" si="337"/>
        <v>0</v>
      </c>
      <c r="AE136" s="16">
        <f t="shared" si="337"/>
        <v>0</v>
      </c>
      <c r="AF136" s="16">
        <f t="shared" si="337"/>
        <v>0</v>
      </c>
      <c r="AG136" s="16">
        <f t="shared" si="337"/>
        <v>0</v>
      </c>
      <c r="AH136" s="16">
        <f t="shared" si="337"/>
        <v>0</v>
      </c>
      <c r="AI136" s="16">
        <f t="shared" si="337"/>
        <v>0</v>
      </c>
      <c r="AJ136" s="16">
        <f t="shared" si="337"/>
        <v>0</v>
      </c>
      <c r="AK136" s="16">
        <f t="shared" si="337"/>
        <v>0</v>
      </c>
      <c r="AL136" s="16">
        <f t="shared" si="337"/>
        <v>0</v>
      </c>
      <c r="AM136" s="16">
        <f t="shared" si="337"/>
        <v>0</v>
      </c>
      <c r="AN136" s="16">
        <f t="shared" si="337"/>
        <v>0</v>
      </c>
      <c r="AO136" s="16">
        <f t="shared" si="337"/>
        <v>0</v>
      </c>
      <c r="AP136" s="16">
        <f t="shared" si="337"/>
        <v>0</v>
      </c>
      <c r="AQ136" s="16">
        <f t="shared" si="337"/>
        <v>0</v>
      </c>
      <c r="AR136" s="16">
        <f t="shared" si="337"/>
        <v>0</v>
      </c>
      <c r="AS136" s="16">
        <f t="shared" si="337"/>
        <v>0</v>
      </c>
      <c r="AT136" s="16">
        <f t="shared" si="337"/>
        <v>0</v>
      </c>
      <c r="AU136" s="16">
        <f t="shared" si="337"/>
        <v>0</v>
      </c>
      <c r="AV136" s="16">
        <f t="shared" si="337"/>
        <v>0</v>
      </c>
      <c r="AW136" s="16">
        <f t="shared" si="337"/>
        <v>0</v>
      </c>
      <c r="AX136" s="13">
        <f t="shared" si="337"/>
        <v>0</v>
      </c>
      <c r="AY136" s="13">
        <f t="shared" si="337"/>
        <v>0</v>
      </c>
      <c r="AZ136" s="13">
        <f t="shared" si="337"/>
        <v>0</v>
      </c>
      <c r="BA136" s="13">
        <f t="shared" si="337"/>
        <v>0</v>
      </c>
      <c r="BB136" s="13">
        <f t="shared" si="337"/>
        <v>0</v>
      </c>
      <c r="BC136" s="13">
        <f t="shared" si="337"/>
        <v>0</v>
      </c>
      <c r="BD136" s="13">
        <f t="shared" si="337"/>
        <v>0</v>
      </c>
      <c r="BE136" s="13">
        <f t="shared" si="337"/>
        <v>0</v>
      </c>
      <c r="BF136" s="13">
        <f t="shared" si="337"/>
        <v>0</v>
      </c>
      <c r="BG136" s="13">
        <f t="shared" si="337"/>
        <v>0</v>
      </c>
      <c r="BH136" s="169">
        <f t="shared" si="337"/>
        <v>0</v>
      </c>
      <c r="BI136" s="167">
        <f t="shared" si="337"/>
        <v>16513986</v>
      </c>
      <c r="BJ136" s="16">
        <f t="shared" si="337"/>
        <v>12206963</v>
      </c>
      <c r="BK136" s="16">
        <f t="shared" si="337"/>
        <v>11787964</v>
      </c>
      <c r="BL136" s="16">
        <f t="shared" si="337"/>
        <v>418999</v>
      </c>
      <c r="BM136" s="16">
        <f t="shared" si="337"/>
        <v>30000</v>
      </c>
      <c r="BN136" s="16">
        <f t="shared" si="337"/>
        <v>0</v>
      </c>
      <c r="BO136" s="16">
        <f t="shared" si="337"/>
        <v>30000</v>
      </c>
      <c r="BP136" s="16">
        <f t="shared" si="337"/>
        <v>4136093</v>
      </c>
      <c r="BQ136" s="16">
        <f t="shared" si="337"/>
        <v>122070</v>
      </c>
      <c r="BR136" s="16">
        <f t="shared" si="337"/>
        <v>18860</v>
      </c>
      <c r="BS136" s="13">
        <f t="shared" si="337"/>
        <v>19.9435</v>
      </c>
      <c r="BT136" s="13">
        <f t="shared" si="337"/>
        <v>18.683599999999998</v>
      </c>
      <c r="BU136" s="169">
        <f t="shared" ref="BU136:CA136" si="338">SUMIF($F$12:$F$464,"=3231",BU$12:BU$464)</f>
        <v>1.2599</v>
      </c>
      <c r="BV136" s="167">
        <f t="shared" si="338"/>
        <v>0</v>
      </c>
      <c r="BW136" s="16">
        <f t="shared" si="338"/>
        <v>0</v>
      </c>
      <c r="BX136" s="16">
        <f t="shared" si="338"/>
        <v>0</v>
      </c>
      <c r="BY136" s="16">
        <f t="shared" si="338"/>
        <v>0</v>
      </c>
      <c r="BZ136" s="16">
        <f t="shared" si="338"/>
        <v>0</v>
      </c>
      <c r="CA136" s="17">
        <f t="shared" si="338"/>
        <v>0</v>
      </c>
    </row>
    <row r="137" spans="4:79" s="89" customFormat="1" ht="12.95" customHeight="1" thickBot="1" x14ac:dyDescent="0.3">
      <c r="D137" s="311"/>
      <c r="E137" s="312"/>
      <c r="F137" s="311"/>
      <c r="G137" s="313"/>
      <c r="H137" s="138">
        <v>3233</v>
      </c>
      <c r="I137" s="170">
        <f t="shared" ref="I137:BT137" si="339">SUMIF($F$12:$F$464,"=3233",I$12:I$464)</f>
        <v>7545867</v>
      </c>
      <c r="J137" s="171">
        <f t="shared" si="339"/>
        <v>5493321</v>
      </c>
      <c r="K137" s="171">
        <f t="shared" si="339"/>
        <v>4508124</v>
      </c>
      <c r="L137" s="171">
        <f t="shared" si="339"/>
        <v>985197</v>
      </c>
      <c r="M137" s="171">
        <f t="shared" si="339"/>
        <v>100000</v>
      </c>
      <c r="N137" s="171">
        <f t="shared" si="339"/>
        <v>100000</v>
      </c>
      <c r="O137" s="171">
        <f t="shared" si="339"/>
        <v>0</v>
      </c>
      <c r="P137" s="171">
        <f t="shared" si="339"/>
        <v>1890543</v>
      </c>
      <c r="Q137" s="171">
        <f t="shared" si="339"/>
        <v>54933</v>
      </c>
      <c r="R137" s="171">
        <f t="shared" si="339"/>
        <v>7070</v>
      </c>
      <c r="S137" s="172">
        <f t="shared" si="339"/>
        <v>11.33</v>
      </c>
      <c r="T137" s="172">
        <f t="shared" si="339"/>
        <v>8.16</v>
      </c>
      <c r="U137" s="633">
        <f t="shared" si="339"/>
        <v>3.17</v>
      </c>
      <c r="V137" s="174">
        <f t="shared" si="339"/>
        <v>0</v>
      </c>
      <c r="W137" s="171">
        <f t="shared" si="339"/>
        <v>0</v>
      </c>
      <c r="X137" s="171">
        <f t="shared" si="339"/>
        <v>0</v>
      </c>
      <c r="Y137" s="171">
        <f t="shared" si="339"/>
        <v>0</v>
      </c>
      <c r="Z137" s="171">
        <f t="shared" si="339"/>
        <v>0</v>
      </c>
      <c r="AA137" s="171">
        <f t="shared" si="339"/>
        <v>492567</v>
      </c>
      <c r="AB137" s="171">
        <f t="shared" si="339"/>
        <v>0</v>
      </c>
      <c r="AC137" s="171">
        <f t="shared" si="339"/>
        <v>0</v>
      </c>
      <c r="AD137" s="171">
        <f t="shared" si="339"/>
        <v>0</v>
      </c>
      <c r="AE137" s="171">
        <f t="shared" si="339"/>
        <v>492567</v>
      </c>
      <c r="AF137" s="171">
        <f t="shared" si="339"/>
        <v>492567</v>
      </c>
      <c r="AG137" s="171">
        <f t="shared" si="339"/>
        <v>0</v>
      </c>
      <c r="AH137" s="171">
        <f t="shared" si="339"/>
        <v>0</v>
      </c>
      <c r="AI137" s="171">
        <f t="shared" si="339"/>
        <v>0</v>
      </c>
      <c r="AJ137" s="171">
        <f t="shared" si="339"/>
        <v>0</v>
      </c>
      <c r="AK137" s="171">
        <f t="shared" si="339"/>
        <v>0</v>
      </c>
      <c r="AL137" s="171">
        <f t="shared" si="339"/>
        <v>0</v>
      </c>
      <c r="AM137" s="171">
        <f t="shared" si="339"/>
        <v>0</v>
      </c>
      <c r="AN137" s="171">
        <f t="shared" si="339"/>
        <v>0</v>
      </c>
      <c r="AO137" s="171">
        <f t="shared" si="339"/>
        <v>0</v>
      </c>
      <c r="AP137" s="171">
        <f t="shared" si="339"/>
        <v>492567</v>
      </c>
      <c r="AQ137" s="171">
        <f t="shared" si="339"/>
        <v>492567</v>
      </c>
      <c r="AR137" s="171">
        <f t="shared" si="339"/>
        <v>166487</v>
      </c>
      <c r="AS137" s="171">
        <f t="shared" si="339"/>
        <v>4926</v>
      </c>
      <c r="AT137" s="171">
        <f t="shared" si="339"/>
        <v>0</v>
      </c>
      <c r="AU137" s="171">
        <f t="shared" si="339"/>
        <v>2828</v>
      </c>
      <c r="AV137" s="171">
        <f t="shared" si="339"/>
        <v>2828</v>
      </c>
      <c r="AW137" s="171">
        <f t="shared" si="339"/>
        <v>666808</v>
      </c>
      <c r="AX137" s="172">
        <f t="shared" si="339"/>
        <v>0</v>
      </c>
      <c r="AY137" s="172">
        <f t="shared" si="339"/>
        <v>0</v>
      </c>
      <c r="AZ137" s="172">
        <f t="shared" si="339"/>
        <v>0</v>
      </c>
      <c r="BA137" s="172">
        <f t="shared" si="339"/>
        <v>0</v>
      </c>
      <c r="BB137" s="172">
        <f t="shared" si="339"/>
        <v>1.59</v>
      </c>
      <c r="BC137" s="172">
        <f t="shared" si="339"/>
        <v>0</v>
      </c>
      <c r="BD137" s="172">
        <f t="shared" si="339"/>
        <v>0</v>
      </c>
      <c r="BE137" s="172">
        <f t="shared" si="339"/>
        <v>0</v>
      </c>
      <c r="BF137" s="172">
        <f t="shared" si="339"/>
        <v>0</v>
      </c>
      <c r="BG137" s="172">
        <f t="shared" si="339"/>
        <v>1.59</v>
      </c>
      <c r="BH137" s="175">
        <f t="shared" si="339"/>
        <v>1.59</v>
      </c>
      <c r="BI137" s="170">
        <f t="shared" si="339"/>
        <v>8212675</v>
      </c>
      <c r="BJ137" s="171">
        <f t="shared" si="339"/>
        <v>5985888</v>
      </c>
      <c r="BK137" s="171">
        <f t="shared" si="339"/>
        <v>4508124</v>
      </c>
      <c r="BL137" s="171">
        <f t="shared" si="339"/>
        <v>1477764</v>
      </c>
      <c r="BM137" s="171">
        <f t="shared" si="339"/>
        <v>100000</v>
      </c>
      <c r="BN137" s="171">
        <f t="shared" si="339"/>
        <v>100000</v>
      </c>
      <c r="BO137" s="171">
        <f t="shared" si="339"/>
        <v>0</v>
      </c>
      <c r="BP137" s="171">
        <f t="shared" si="339"/>
        <v>2057030</v>
      </c>
      <c r="BQ137" s="171">
        <f t="shared" si="339"/>
        <v>59859</v>
      </c>
      <c r="BR137" s="171">
        <f t="shared" si="339"/>
        <v>9898</v>
      </c>
      <c r="BS137" s="172">
        <f t="shared" si="339"/>
        <v>12.92</v>
      </c>
      <c r="BT137" s="172">
        <f t="shared" si="339"/>
        <v>8.16</v>
      </c>
      <c r="BU137" s="175">
        <f t="shared" ref="BU137:CA137" si="340">SUMIF($F$12:$F$464,"=3233",BU$12:BU$464)</f>
        <v>4.76</v>
      </c>
      <c r="BV137" s="170">
        <f t="shared" si="340"/>
        <v>0</v>
      </c>
      <c r="BW137" s="171">
        <f t="shared" si="340"/>
        <v>0</v>
      </c>
      <c r="BX137" s="171">
        <f t="shared" si="340"/>
        <v>0</v>
      </c>
      <c r="BY137" s="171">
        <f t="shared" si="340"/>
        <v>0</v>
      </c>
      <c r="BZ137" s="171">
        <f t="shared" si="340"/>
        <v>0</v>
      </c>
      <c r="CA137" s="173">
        <f t="shared" si="340"/>
        <v>0</v>
      </c>
    </row>
    <row r="138" spans="4:79" ht="12.95" customHeight="1" x14ac:dyDescent="0.25">
      <c r="E138" s="250"/>
    </row>
    <row r="139" spans="4:79" ht="12.95" customHeight="1" x14ac:dyDescent="0.25">
      <c r="E139" s="250"/>
    </row>
    <row r="140" spans="4:79" ht="12.95" customHeight="1" x14ac:dyDescent="0.25">
      <c r="E140" s="250"/>
    </row>
    <row r="143" spans="4:79" x14ac:dyDescent="0.25">
      <c r="AP143" s="314"/>
    </row>
    <row r="155" spans="77:77" x14ac:dyDescent="0.25">
      <c r="BY155" s="675"/>
    </row>
  </sheetData>
  <mergeCells count="54">
    <mergeCell ref="AX8:AY9"/>
    <mergeCell ref="BC8:BC9"/>
    <mergeCell ref="BF8:BH9"/>
    <mergeCell ref="BI8:BI10"/>
    <mergeCell ref="BA8:BB9"/>
    <mergeCell ref="AB9:AC9"/>
    <mergeCell ref="AD9:AE9"/>
    <mergeCell ref="AL9:AM9"/>
    <mergeCell ref="N9:O9"/>
    <mergeCell ref="AJ9:AK9"/>
    <mergeCell ref="V9:W9"/>
    <mergeCell ref="X9:X10"/>
    <mergeCell ref="Y9:Y10"/>
    <mergeCell ref="AF9:AF10"/>
    <mergeCell ref="AG9:AH9"/>
    <mergeCell ref="Z9:AA9"/>
    <mergeCell ref="AI9:AI10"/>
    <mergeCell ref="A3:E3"/>
    <mergeCell ref="I8:I10"/>
    <mergeCell ref="I6:U7"/>
    <mergeCell ref="AN9:AN10"/>
    <mergeCell ref="Q9:Q10"/>
    <mergeCell ref="R9:R10"/>
    <mergeCell ref="J8:R8"/>
    <mergeCell ref="S8:S10"/>
    <mergeCell ref="T8:U9"/>
    <mergeCell ref="J9:J10"/>
    <mergeCell ref="K9:L9"/>
    <mergeCell ref="M9:M10"/>
    <mergeCell ref="P9:P10"/>
    <mergeCell ref="V6:BH6"/>
    <mergeCell ref="V7:AF8"/>
    <mergeCell ref="AG7:AN8"/>
    <mergeCell ref="AO7:AQ9"/>
    <mergeCell ref="AR7:AR10"/>
    <mergeCell ref="AS7:AS10"/>
    <mergeCell ref="AT7:AV9"/>
    <mergeCell ref="BT8:BU9"/>
    <mergeCell ref="BP9:BP10"/>
    <mergeCell ref="BM9:BM10"/>
    <mergeCell ref="AZ8:AZ9"/>
    <mergeCell ref="BD8:BE9"/>
    <mergeCell ref="AW7:AW10"/>
    <mergeCell ref="BQ9:BQ10"/>
    <mergeCell ref="AX7:BH7"/>
    <mergeCell ref="BS8:BS10"/>
    <mergeCell ref="BN9:BO9"/>
    <mergeCell ref="BJ9:BJ10"/>
    <mergeCell ref="BK9:BL9"/>
    <mergeCell ref="BV6:CA7"/>
    <mergeCell ref="BV8:CA9"/>
    <mergeCell ref="BR9:BR10"/>
    <mergeCell ref="BJ8:BR8"/>
    <mergeCell ref="BI6:BU7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A184"/>
  <sheetViews>
    <sheetView zoomScaleNormal="100" workbookViewId="0">
      <pane xSplit="8" ySplit="11" topLeftCell="AT12" activePane="bottomRight" state="frozen"/>
      <selection activeCell="E477" sqref="E477"/>
      <selection pane="topRight" activeCell="E477" sqref="E477"/>
      <selection pane="bottomLeft" activeCell="E477" sqref="E477"/>
      <selection pane="bottomRight" activeCell="BA8" sqref="BA8:BE9"/>
    </sheetView>
  </sheetViews>
  <sheetFormatPr defaultColWidth="9.140625" defaultRowHeight="15" x14ac:dyDescent="0.25"/>
  <cols>
    <col min="1" max="1" width="5" style="308" customWidth="1"/>
    <col min="2" max="2" width="7.140625" style="250" bestFit="1" customWidth="1"/>
    <col min="3" max="3" width="9.28515625" style="342" customWidth="1"/>
    <col min="4" max="4" width="8.7109375" style="250" customWidth="1"/>
    <col min="5" max="5" width="39.42578125" style="250" customWidth="1"/>
    <col min="6" max="6" width="6.140625" style="250" customWidth="1"/>
    <col min="7" max="7" width="10.28515625" style="250" bestFit="1" customWidth="1"/>
    <col min="8" max="8" width="8" style="250" bestFit="1" customWidth="1"/>
    <col min="9" max="18" width="10.85546875" style="314" customWidth="1"/>
    <col min="19" max="21" width="9.28515625" style="315" customWidth="1"/>
    <col min="22" max="25" width="10.28515625" style="314" customWidth="1"/>
    <col min="26" max="26" width="10.5703125" style="314" customWidth="1"/>
    <col min="27" max="41" width="10.28515625" style="314" customWidth="1"/>
    <col min="42" max="42" width="10.28515625" style="315" customWidth="1"/>
    <col min="43" max="44" width="10.42578125" style="315" customWidth="1"/>
    <col min="45" max="45" width="11.28515625" style="314" customWidth="1"/>
    <col min="46" max="46" width="8.7109375" style="314" customWidth="1"/>
    <col min="47" max="47" width="13.7109375" style="314" customWidth="1"/>
    <col min="48" max="48" width="10.42578125" style="314" customWidth="1"/>
    <col min="49" max="49" width="9.7109375" style="314" customWidth="1"/>
    <col min="50" max="50" width="10.28515625" style="315" customWidth="1"/>
    <col min="51" max="51" width="9.85546875" style="315" customWidth="1"/>
    <col min="52" max="52" width="9.42578125" style="315" customWidth="1"/>
    <col min="53" max="53" width="10.140625" style="315" customWidth="1"/>
    <col min="54" max="54" width="9.140625" style="315" customWidth="1"/>
    <col min="55" max="55" width="8.5703125" style="315" customWidth="1"/>
    <col min="56" max="56" width="9.140625" style="315" customWidth="1"/>
    <col min="57" max="57" width="8.7109375" style="315" bestFit="1" customWidth="1"/>
    <col min="58" max="58" width="9.140625" style="315" customWidth="1"/>
    <col min="59" max="59" width="10.42578125" style="315" customWidth="1"/>
    <col min="60" max="60" width="9.140625" style="315" customWidth="1"/>
    <col min="61" max="70" width="10.85546875" style="315" customWidth="1"/>
    <col min="71" max="73" width="9.28515625" style="315" customWidth="1"/>
    <col min="74" max="78" width="9.7109375" style="314" customWidth="1"/>
    <col min="79" max="79" width="9.7109375" style="315" customWidth="1"/>
    <col min="80" max="16384" width="9.140625" style="250"/>
  </cols>
  <sheetData>
    <row r="1" spans="1:79" ht="12" customHeight="1" x14ac:dyDescent="0.25">
      <c r="A1" s="398" t="s">
        <v>2</v>
      </c>
      <c r="B1" s="398"/>
      <c r="C1" s="248"/>
      <c r="D1" s="398"/>
      <c r="E1" s="398"/>
      <c r="F1" s="249"/>
      <c r="G1" s="249"/>
      <c r="H1" s="249"/>
      <c r="AS1" s="53"/>
      <c r="AT1" s="53"/>
      <c r="AU1" s="53"/>
      <c r="AV1" s="53"/>
      <c r="AW1" s="53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</row>
    <row r="2" spans="1:79" ht="12" customHeight="1" x14ac:dyDescent="0.25">
      <c r="A2" s="398" t="s">
        <v>3</v>
      </c>
      <c r="B2" s="398"/>
      <c r="C2" s="248"/>
      <c r="D2" s="398"/>
      <c r="E2" s="398"/>
      <c r="F2" s="249"/>
      <c r="G2" s="249"/>
      <c r="H2" s="249"/>
    </row>
    <row r="3" spans="1:79" ht="12" customHeight="1" x14ac:dyDescent="0.25">
      <c r="A3" s="1084" t="s">
        <v>4</v>
      </c>
      <c r="B3" s="1084"/>
      <c r="C3" s="1084"/>
      <c r="D3" s="1084"/>
      <c r="E3" s="1084"/>
      <c r="F3" s="249"/>
      <c r="G3" s="249"/>
      <c r="H3" s="249"/>
      <c r="AT3" s="507"/>
      <c r="AU3" s="507"/>
      <c r="AV3" s="507"/>
    </row>
    <row r="4" spans="1:79" ht="12" customHeight="1" x14ac:dyDescent="0.25">
      <c r="A4" s="251"/>
      <c r="B4" s="398"/>
      <c r="C4" s="398"/>
      <c r="D4" s="398"/>
      <c r="E4" s="398"/>
      <c r="F4" s="249"/>
      <c r="G4" s="249"/>
      <c r="H4" s="249"/>
      <c r="X4" s="903" t="s">
        <v>855</v>
      </c>
      <c r="AU4" s="506"/>
      <c r="AV4" s="506"/>
    </row>
    <row r="5" spans="1:79" ht="16.5" thickBot="1" x14ac:dyDescent="0.3">
      <c r="A5" s="181" t="s">
        <v>883</v>
      </c>
      <c r="B5" s="51"/>
      <c r="C5" s="51"/>
      <c r="D5" s="51"/>
      <c r="E5" s="52"/>
      <c r="F5" s="252"/>
      <c r="G5" s="252"/>
      <c r="H5" s="252"/>
      <c r="I5" s="252"/>
      <c r="J5" s="904"/>
      <c r="K5" s="904"/>
      <c r="L5" s="904"/>
      <c r="M5" s="904"/>
      <c r="N5" s="904"/>
      <c r="O5" s="904"/>
      <c r="P5" s="904"/>
      <c r="Q5" s="904"/>
      <c r="R5" s="904"/>
      <c r="S5" s="905"/>
      <c r="T5" s="905"/>
      <c r="U5" s="905"/>
      <c r="V5" s="910"/>
      <c r="W5" s="904"/>
      <c r="X5" s="903" t="s">
        <v>856</v>
      </c>
      <c r="Y5" s="904"/>
      <c r="Z5" s="904"/>
      <c r="AA5" s="904"/>
      <c r="AB5" s="904"/>
      <c r="AC5" s="904"/>
      <c r="AD5" s="904"/>
      <c r="AE5" s="904"/>
      <c r="AF5" s="904"/>
      <c r="AU5" s="506"/>
      <c r="AV5" s="506"/>
    </row>
    <row r="6" spans="1:79" ht="15" customHeight="1" x14ac:dyDescent="0.25">
      <c r="A6" s="528" t="s">
        <v>800</v>
      </c>
      <c r="B6" s="529"/>
      <c r="C6" s="530"/>
      <c r="D6" s="530"/>
      <c r="E6" s="529"/>
      <c r="F6" s="529"/>
      <c r="G6" s="52"/>
      <c r="H6" s="249"/>
      <c r="I6" s="1023" t="s">
        <v>850</v>
      </c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5"/>
      <c r="V6" s="1046" t="s">
        <v>857</v>
      </c>
      <c r="W6" s="1046"/>
      <c r="X6" s="1046"/>
      <c r="Y6" s="1046"/>
      <c r="Z6" s="1046"/>
      <c r="AA6" s="1046"/>
      <c r="AB6" s="1046"/>
      <c r="AC6" s="1046"/>
      <c r="AD6" s="1046"/>
      <c r="AE6" s="1046"/>
      <c r="AF6" s="1046"/>
      <c r="AG6" s="1046"/>
      <c r="AH6" s="1046"/>
      <c r="AI6" s="1046"/>
      <c r="AJ6" s="1046"/>
      <c r="AK6" s="1046"/>
      <c r="AL6" s="1046"/>
      <c r="AM6" s="1046"/>
      <c r="AN6" s="1046"/>
      <c r="AO6" s="1046"/>
      <c r="AP6" s="1046"/>
      <c r="AQ6" s="1046"/>
      <c r="AR6" s="1046"/>
      <c r="AS6" s="1046"/>
      <c r="AT6" s="1046"/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7"/>
      <c r="BI6" s="1023" t="s">
        <v>884</v>
      </c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5"/>
      <c r="BV6" s="1011" t="s">
        <v>847</v>
      </c>
      <c r="BW6" s="1012"/>
      <c r="BX6" s="1012"/>
      <c r="BY6" s="1012"/>
      <c r="BZ6" s="1012"/>
      <c r="CA6" s="1013"/>
    </row>
    <row r="7" spans="1:79" ht="16.5" customHeight="1" thickBot="1" x14ac:dyDescent="0.3">
      <c r="A7" s="251"/>
      <c r="B7" s="253"/>
      <c r="C7" s="89"/>
      <c r="D7" s="254"/>
      <c r="E7" s="253"/>
      <c r="F7" s="249"/>
      <c r="G7" s="249"/>
      <c r="H7" s="249"/>
      <c r="I7" s="1026"/>
      <c r="J7" s="1027"/>
      <c r="K7" s="1027"/>
      <c r="L7" s="1027"/>
      <c r="M7" s="1027"/>
      <c r="N7" s="1027"/>
      <c r="O7" s="1027"/>
      <c r="P7" s="1027"/>
      <c r="Q7" s="1027"/>
      <c r="R7" s="1027"/>
      <c r="S7" s="1027"/>
      <c r="T7" s="1027"/>
      <c r="U7" s="1028"/>
      <c r="V7" s="1065" t="s">
        <v>807</v>
      </c>
      <c r="W7" s="1065"/>
      <c r="X7" s="1065"/>
      <c r="Y7" s="1065"/>
      <c r="Z7" s="1065"/>
      <c r="AA7" s="1065"/>
      <c r="AB7" s="1065"/>
      <c r="AC7" s="1065"/>
      <c r="AD7" s="1065"/>
      <c r="AE7" s="1065"/>
      <c r="AF7" s="1066"/>
      <c r="AG7" s="1064" t="s">
        <v>808</v>
      </c>
      <c r="AH7" s="1065"/>
      <c r="AI7" s="1065"/>
      <c r="AJ7" s="1065"/>
      <c r="AK7" s="1065"/>
      <c r="AL7" s="1065"/>
      <c r="AM7" s="1065"/>
      <c r="AN7" s="1066"/>
      <c r="AO7" s="985" t="s">
        <v>822</v>
      </c>
      <c r="AP7" s="985"/>
      <c r="AQ7" s="985"/>
      <c r="AR7" s="994" t="s">
        <v>5</v>
      </c>
      <c r="AS7" s="994" t="s">
        <v>275</v>
      </c>
      <c r="AT7" s="997" t="s">
        <v>796</v>
      </c>
      <c r="AU7" s="997"/>
      <c r="AV7" s="998"/>
      <c r="AW7" s="1003" t="s">
        <v>288</v>
      </c>
      <c r="AX7" s="1006" t="s">
        <v>809</v>
      </c>
      <c r="AY7" s="1007"/>
      <c r="AZ7" s="1007"/>
      <c r="BA7" s="1007"/>
      <c r="BB7" s="1007"/>
      <c r="BC7" s="1007"/>
      <c r="BD7" s="1007"/>
      <c r="BE7" s="1007"/>
      <c r="BF7" s="1007"/>
      <c r="BG7" s="1007"/>
      <c r="BH7" s="1008"/>
      <c r="BI7" s="1026"/>
      <c r="BJ7" s="1027"/>
      <c r="BK7" s="1027"/>
      <c r="BL7" s="1027"/>
      <c r="BM7" s="1027"/>
      <c r="BN7" s="1027"/>
      <c r="BO7" s="1027"/>
      <c r="BP7" s="1027"/>
      <c r="BQ7" s="1027"/>
      <c r="BR7" s="1027"/>
      <c r="BS7" s="1027"/>
      <c r="BT7" s="1027"/>
      <c r="BU7" s="1028"/>
      <c r="BV7" s="1014"/>
      <c r="BW7" s="1015"/>
      <c r="BX7" s="1015"/>
      <c r="BY7" s="1015"/>
      <c r="BZ7" s="1015"/>
      <c r="CA7" s="1016"/>
    </row>
    <row r="8" spans="1:79" ht="18" customHeight="1" x14ac:dyDescent="0.25">
      <c r="A8" s="255"/>
      <c r="B8" s="256"/>
      <c r="C8" s="256"/>
      <c r="D8" s="256"/>
      <c r="E8" s="256"/>
      <c r="F8" s="256"/>
      <c r="G8" s="256"/>
      <c r="H8" s="256"/>
      <c r="I8" s="1051" t="s">
        <v>6</v>
      </c>
      <c r="J8" s="1048" t="s">
        <v>777</v>
      </c>
      <c r="K8" s="1049"/>
      <c r="L8" s="1049"/>
      <c r="M8" s="1049"/>
      <c r="N8" s="1049"/>
      <c r="O8" s="1049"/>
      <c r="P8" s="1049"/>
      <c r="Q8" s="1049"/>
      <c r="R8" s="1050"/>
      <c r="S8" s="1029" t="s">
        <v>813</v>
      </c>
      <c r="T8" s="1054" t="s">
        <v>814</v>
      </c>
      <c r="U8" s="1055"/>
      <c r="V8" s="1068"/>
      <c r="W8" s="1068"/>
      <c r="X8" s="1068"/>
      <c r="Y8" s="1068"/>
      <c r="Z8" s="1068"/>
      <c r="AA8" s="1068"/>
      <c r="AB8" s="1068"/>
      <c r="AC8" s="1068"/>
      <c r="AD8" s="1068"/>
      <c r="AE8" s="1068"/>
      <c r="AF8" s="1069"/>
      <c r="AG8" s="1067"/>
      <c r="AH8" s="1068"/>
      <c r="AI8" s="1068"/>
      <c r="AJ8" s="1068"/>
      <c r="AK8" s="1068"/>
      <c r="AL8" s="1068"/>
      <c r="AM8" s="1068"/>
      <c r="AN8" s="1069"/>
      <c r="AO8" s="985"/>
      <c r="AP8" s="985"/>
      <c r="AQ8" s="985"/>
      <c r="AR8" s="995"/>
      <c r="AS8" s="995"/>
      <c r="AT8" s="999"/>
      <c r="AU8" s="999"/>
      <c r="AV8" s="1000"/>
      <c r="AW8" s="1004"/>
      <c r="AX8" s="990" t="s">
        <v>276</v>
      </c>
      <c r="AY8" s="991"/>
      <c r="AZ8" s="1009" t="s">
        <v>277</v>
      </c>
      <c r="BA8" s="1085" t="s">
        <v>851</v>
      </c>
      <c r="BB8" s="1086"/>
      <c r="BC8" s="1009" t="s">
        <v>787</v>
      </c>
      <c r="BD8" s="990" t="s">
        <v>278</v>
      </c>
      <c r="BE8" s="991"/>
      <c r="BF8" s="990" t="s">
        <v>823</v>
      </c>
      <c r="BG8" s="1072"/>
      <c r="BH8" s="1073"/>
      <c r="BI8" s="1042" t="s">
        <v>6</v>
      </c>
      <c r="BJ8" s="1036" t="s">
        <v>777</v>
      </c>
      <c r="BK8" s="1036"/>
      <c r="BL8" s="1036"/>
      <c r="BM8" s="1036"/>
      <c r="BN8" s="1036"/>
      <c r="BO8" s="1036"/>
      <c r="BP8" s="1036"/>
      <c r="BQ8" s="1036"/>
      <c r="BR8" s="1036"/>
      <c r="BS8" s="1029" t="s">
        <v>813</v>
      </c>
      <c r="BT8" s="986" t="s">
        <v>778</v>
      </c>
      <c r="BU8" s="987"/>
      <c r="BV8" s="1017" t="s">
        <v>846</v>
      </c>
      <c r="BW8" s="1018"/>
      <c r="BX8" s="1018"/>
      <c r="BY8" s="1018"/>
      <c r="BZ8" s="1018"/>
      <c r="CA8" s="1019"/>
    </row>
    <row r="9" spans="1:79" ht="25.5" customHeight="1" thickBot="1" x14ac:dyDescent="0.3">
      <c r="A9" s="257" t="s">
        <v>774</v>
      </c>
      <c r="B9" s="89"/>
      <c r="C9" s="89"/>
      <c r="D9" s="258"/>
      <c r="E9" s="89"/>
      <c r="F9" s="259"/>
      <c r="G9" s="260"/>
      <c r="H9" s="260"/>
      <c r="I9" s="1052"/>
      <c r="J9" s="1058" t="s">
        <v>268</v>
      </c>
      <c r="K9" s="1037" t="s">
        <v>827</v>
      </c>
      <c r="L9" s="1038"/>
      <c r="M9" s="1060" t="s">
        <v>274</v>
      </c>
      <c r="N9" s="1037" t="s">
        <v>834</v>
      </c>
      <c r="O9" s="1038"/>
      <c r="P9" s="1060" t="s">
        <v>5</v>
      </c>
      <c r="Q9" s="1060" t="s">
        <v>1</v>
      </c>
      <c r="R9" s="1060" t="s">
        <v>7</v>
      </c>
      <c r="S9" s="1030"/>
      <c r="T9" s="1056"/>
      <c r="U9" s="1057"/>
      <c r="V9" s="1077" t="s">
        <v>279</v>
      </c>
      <c r="W9" s="1071"/>
      <c r="X9" s="1078" t="s">
        <v>812</v>
      </c>
      <c r="Y9" s="1078" t="s">
        <v>811</v>
      </c>
      <c r="Z9" s="1081" t="s">
        <v>851</v>
      </c>
      <c r="AA9" s="1081"/>
      <c r="AB9" s="1081" t="s">
        <v>278</v>
      </c>
      <c r="AC9" s="1081"/>
      <c r="AD9" s="1070" t="s">
        <v>788</v>
      </c>
      <c r="AE9" s="1071"/>
      <c r="AF9" s="1062" t="s">
        <v>788</v>
      </c>
      <c r="AG9" s="1070" t="s">
        <v>280</v>
      </c>
      <c r="AH9" s="1071"/>
      <c r="AI9" s="1079" t="s">
        <v>810</v>
      </c>
      <c r="AJ9" s="1070" t="s">
        <v>281</v>
      </c>
      <c r="AK9" s="1071"/>
      <c r="AL9" s="1070" t="s">
        <v>745</v>
      </c>
      <c r="AM9" s="1071"/>
      <c r="AN9" s="1062" t="s">
        <v>745</v>
      </c>
      <c r="AO9" s="985"/>
      <c r="AP9" s="985"/>
      <c r="AQ9" s="985"/>
      <c r="AR9" s="995"/>
      <c r="AS9" s="995"/>
      <c r="AT9" s="1001"/>
      <c r="AU9" s="1001"/>
      <c r="AV9" s="1002"/>
      <c r="AW9" s="1004"/>
      <c r="AX9" s="992"/>
      <c r="AY9" s="993"/>
      <c r="AZ9" s="1010"/>
      <c r="BA9" s="1087"/>
      <c r="BB9" s="1088"/>
      <c r="BC9" s="1010"/>
      <c r="BD9" s="992"/>
      <c r="BE9" s="993"/>
      <c r="BF9" s="992"/>
      <c r="BG9" s="1074"/>
      <c r="BH9" s="1075"/>
      <c r="BI9" s="1043"/>
      <c r="BJ9" s="1032" t="s">
        <v>268</v>
      </c>
      <c r="BK9" s="1037" t="s">
        <v>827</v>
      </c>
      <c r="BL9" s="1038"/>
      <c r="BM9" s="1034" t="s">
        <v>274</v>
      </c>
      <c r="BN9" s="1039" t="s">
        <v>834</v>
      </c>
      <c r="BO9" s="1039"/>
      <c r="BP9" s="1040" t="s">
        <v>5</v>
      </c>
      <c r="BQ9" s="1040" t="s">
        <v>1</v>
      </c>
      <c r="BR9" s="1040" t="s">
        <v>7</v>
      </c>
      <c r="BS9" s="1030"/>
      <c r="BT9" s="988"/>
      <c r="BU9" s="989"/>
      <c r="BV9" s="1020"/>
      <c r="BW9" s="1021"/>
      <c r="BX9" s="1021"/>
      <c r="BY9" s="1021"/>
      <c r="BZ9" s="1021"/>
      <c r="CA9" s="1022"/>
    </row>
    <row r="10" spans="1:79" ht="45.75" thickBot="1" x14ac:dyDescent="0.3">
      <c r="A10" s="261" t="s">
        <v>753</v>
      </c>
      <c r="B10" s="262" t="s">
        <v>526</v>
      </c>
      <c r="C10" s="262" t="s">
        <v>527</v>
      </c>
      <c r="D10" s="262" t="s">
        <v>258</v>
      </c>
      <c r="E10" s="163" t="s">
        <v>755</v>
      </c>
      <c r="F10" s="262" t="s">
        <v>0</v>
      </c>
      <c r="G10" s="263" t="s">
        <v>259</v>
      </c>
      <c r="H10" s="37" t="s">
        <v>270</v>
      </c>
      <c r="I10" s="1053"/>
      <c r="J10" s="1059"/>
      <c r="K10" s="591" t="s">
        <v>805</v>
      </c>
      <c r="L10" s="591" t="s">
        <v>806</v>
      </c>
      <c r="M10" s="1061"/>
      <c r="N10" s="591" t="s">
        <v>805</v>
      </c>
      <c r="O10" s="591" t="s">
        <v>806</v>
      </c>
      <c r="P10" s="1061"/>
      <c r="Q10" s="1061"/>
      <c r="R10" s="1061"/>
      <c r="S10" s="1031"/>
      <c r="T10" s="592" t="s">
        <v>805</v>
      </c>
      <c r="U10" s="608" t="s">
        <v>806</v>
      </c>
      <c r="V10" s="564" t="s">
        <v>805</v>
      </c>
      <c r="W10" s="558" t="s">
        <v>806</v>
      </c>
      <c r="X10" s="1078"/>
      <c r="Y10" s="1078"/>
      <c r="Z10" s="558" t="s">
        <v>805</v>
      </c>
      <c r="AA10" s="563" t="s">
        <v>806</v>
      </c>
      <c r="AB10" s="558" t="s">
        <v>805</v>
      </c>
      <c r="AC10" s="563" t="s">
        <v>806</v>
      </c>
      <c r="AD10" s="558" t="s">
        <v>805</v>
      </c>
      <c r="AE10" s="563" t="s">
        <v>806</v>
      </c>
      <c r="AF10" s="1063"/>
      <c r="AG10" s="559" t="s">
        <v>805</v>
      </c>
      <c r="AH10" s="559" t="s">
        <v>806</v>
      </c>
      <c r="AI10" s="1080"/>
      <c r="AJ10" s="558" t="s">
        <v>805</v>
      </c>
      <c r="AK10" s="558" t="s">
        <v>806</v>
      </c>
      <c r="AL10" s="558" t="s">
        <v>805</v>
      </c>
      <c r="AM10" s="558" t="s">
        <v>806</v>
      </c>
      <c r="AN10" s="1063"/>
      <c r="AO10" s="558" t="s">
        <v>805</v>
      </c>
      <c r="AP10" s="558" t="s">
        <v>806</v>
      </c>
      <c r="AQ10" s="558" t="s">
        <v>256</v>
      </c>
      <c r="AR10" s="996"/>
      <c r="AS10" s="996"/>
      <c r="AT10" s="404" t="s">
        <v>277</v>
      </c>
      <c r="AU10" s="404" t="s">
        <v>851</v>
      </c>
      <c r="AV10" s="404" t="s">
        <v>746</v>
      </c>
      <c r="AW10" s="1005"/>
      <c r="AX10" s="567" t="s">
        <v>805</v>
      </c>
      <c r="AY10" s="567" t="s">
        <v>806</v>
      </c>
      <c r="AZ10" s="567" t="s">
        <v>805</v>
      </c>
      <c r="BA10" s="567" t="s">
        <v>805</v>
      </c>
      <c r="BB10" s="567" t="s">
        <v>806</v>
      </c>
      <c r="BC10" s="567" t="s">
        <v>805</v>
      </c>
      <c r="BD10" s="567" t="s">
        <v>805</v>
      </c>
      <c r="BE10" s="567" t="s">
        <v>806</v>
      </c>
      <c r="BF10" s="567" t="s">
        <v>805</v>
      </c>
      <c r="BG10" s="567" t="s">
        <v>806</v>
      </c>
      <c r="BH10" s="405" t="s">
        <v>826</v>
      </c>
      <c r="BI10" s="1044"/>
      <c r="BJ10" s="1033"/>
      <c r="BK10" s="559" t="s">
        <v>805</v>
      </c>
      <c r="BL10" s="559" t="s">
        <v>806</v>
      </c>
      <c r="BM10" s="1035"/>
      <c r="BN10" s="559" t="s">
        <v>805</v>
      </c>
      <c r="BO10" s="559" t="s">
        <v>806</v>
      </c>
      <c r="BP10" s="1041"/>
      <c r="BQ10" s="1041"/>
      <c r="BR10" s="1041"/>
      <c r="BS10" s="1031"/>
      <c r="BT10" s="567" t="s">
        <v>805</v>
      </c>
      <c r="BU10" s="572" t="s">
        <v>806</v>
      </c>
      <c r="BV10" s="681" t="s">
        <v>841</v>
      </c>
      <c r="BW10" s="682" t="s">
        <v>268</v>
      </c>
      <c r="BX10" s="682" t="s">
        <v>274</v>
      </c>
      <c r="BY10" s="682" t="s">
        <v>840</v>
      </c>
      <c r="BZ10" s="682" t="s">
        <v>1</v>
      </c>
      <c r="CA10" s="683" t="s">
        <v>842</v>
      </c>
    </row>
    <row r="11" spans="1:79" s="267" customFormat="1" ht="11.25" customHeight="1" thickBot="1" x14ac:dyDescent="0.25">
      <c r="A11" s="264" t="s">
        <v>528</v>
      </c>
      <c r="B11" s="265" t="s">
        <v>529</v>
      </c>
      <c r="C11" s="265" t="s">
        <v>260</v>
      </c>
      <c r="D11" s="265" t="s">
        <v>261</v>
      </c>
      <c r="E11" s="265" t="s">
        <v>530</v>
      </c>
      <c r="F11" s="265" t="s">
        <v>0</v>
      </c>
      <c r="G11" s="265" t="s">
        <v>531</v>
      </c>
      <c r="H11" s="266" t="s">
        <v>749</v>
      </c>
      <c r="I11" s="140" t="s">
        <v>262</v>
      </c>
      <c r="J11" s="141" t="s">
        <v>263</v>
      </c>
      <c r="K11" s="141" t="s">
        <v>801</v>
      </c>
      <c r="L11" s="141" t="s">
        <v>802</v>
      </c>
      <c r="M11" s="141" t="s">
        <v>269</v>
      </c>
      <c r="N11" s="141" t="s">
        <v>803</v>
      </c>
      <c r="O11" s="141" t="s">
        <v>804</v>
      </c>
      <c r="P11" s="141" t="s">
        <v>264</v>
      </c>
      <c r="Q11" s="141" t="s">
        <v>265</v>
      </c>
      <c r="R11" s="141" t="s">
        <v>266</v>
      </c>
      <c r="S11" s="402" t="s">
        <v>267</v>
      </c>
      <c r="T11" s="142" t="s">
        <v>532</v>
      </c>
      <c r="U11" s="143" t="s">
        <v>533</v>
      </c>
      <c r="V11" s="136" t="s">
        <v>815</v>
      </c>
      <c r="W11" s="137" t="s">
        <v>816</v>
      </c>
      <c r="X11" s="137" t="s">
        <v>815</v>
      </c>
      <c r="Y11" s="137" t="s">
        <v>815</v>
      </c>
      <c r="Z11" s="137" t="s">
        <v>815</v>
      </c>
      <c r="AA11" s="137" t="s">
        <v>816</v>
      </c>
      <c r="AB11" s="137" t="s">
        <v>815</v>
      </c>
      <c r="AC11" s="137" t="s">
        <v>816</v>
      </c>
      <c r="AD11" s="137" t="s">
        <v>815</v>
      </c>
      <c r="AE11" s="137" t="s">
        <v>816</v>
      </c>
      <c r="AF11" s="884" t="s">
        <v>824</v>
      </c>
      <c r="AG11" s="604" t="s">
        <v>817</v>
      </c>
      <c r="AH11" s="137" t="s">
        <v>818</v>
      </c>
      <c r="AI11" s="137" t="s">
        <v>817</v>
      </c>
      <c r="AJ11" s="137" t="s">
        <v>817</v>
      </c>
      <c r="AK11" s="137" t="s">
        <v>818</v>
      </c>
      <c r="AL11" s="137" t="s">
        <v>817</v>
      </c>
      <c r="AM11" s="137" t="s">
        <v>818</v>
      </c>
      <c r="AN11" s="137" t="s">
        <v>825</v>
      </c>
      <c r="AO11" s="604" t="s">
        <v>819</v>
      </c>
      <c r="AP11" s="604" t="s">
        <v>820</v>
      </c>
      <c r="AQ11" s="137" t="s">
        <v>821</v>
      </c>
      <c r="AR11" s="137" t="s">
        <v>282</v>
      </c>
      <c r="AS11" s="137" t="s">
        <v>283</v>
      </c>
      <c r="AT11" s="137" t="s">
        <v>284</v>
      </c>
      <c r="AU11" s="137" t="s">
        <v>284</v>
      </c>
      <c r="AV11" s="137" t="s">
        <v>284</v>
      </c>
      <c r="AW11" s="137" t="s">
        <v>289</v>
      </c>
      <c r="AX11" s="503" t="s">
        <v>285</v>
      </c>
      <c r="AY11" s="187" t="s">
        <v>286</v>
      </c>
      <c r="AZ11" s="187" t="s">
        <v>285</v>
      </c>
      <c r="BA11" s="187" t="s">
        <v>285</v>
      </c>
      <c r="BB11" s="187" t="s">
        <v>286</v>
      </c>
      <c r="BC11" s="187" t="s">
        <v>285</v>
      </c>
      <c r="BD11" s="187" t="s">
        <v>285</v>
      </c>
      <c r="BE11" s="187" t="s">
        <v>286</v>
      </c>
      <c r="BF11" s="187" t="s">
        <v>285</v>
      </c>
      <c r="BG11" s="187" t="s">
        <v>286</v>
      </c>
      <c r="BH11" s="188" t="s">
        <v>287</v>
      </c>
      <c r="BI11" s="140" t="s">
        <v>262</v>
      </c>
      <c r="BJ11" s="141" t="s">
        <v>263</v>
      </c>
      <c r="BK11" s="141" t="s">
        <v>801</v>
      </c>
      <c r="BL11" s="141" t="s">
        <v>802</v>
      </c>
      <c r="BM11" s="141" t="s">
        <v>269</v>
      </c>
      <c r="BN11" s="141" t="s">
        <v>803</v>
      </c>
      <c r="BO11" s="141" t="s">
        <v>804</v>
      </c>
      <c r="BP11" s="141" t="s">
        <v>264</v>
      </c>
      <c r="BQ11" s="141" t="s">
        <v>265</v>
      </c>
      <c r="BR11" s="141" t="s">
        <v>266</v>
      </c>
      <c r="BS11" s="142" t="s">
        <v>267</v>
      </c>
      <c r="BT11" s="142" t="s">
        <v>532</v>
      </c>
      <c r="BU11" s="179" t="s">
        <v>533</v>
      </c>
      <c r="BV11" s="688" t="s">
        <v>843</v>
      </c>
      <c r="BW11" s="662" t="s">
        <v>837</v>
      </c>
      <c r="BX11" s="662" t="s">
        <v>838</v>
      </c>
      <c r="BY11" s="662" t="s">
        <v>844</v>
      </c>
      <c r="BZ11" s="662" t="s">
        <v>845</v>
      </c>
      <c r="CA11" s="689" t="s">
        <v>839</v>
      </c>
    </row>
    <row r="12" spans="1:79" ht="14.1" customHeight="1" x14ac:dyDescent="0.25">
      <c r="A12" s="268">
        <v>1</v>
      </c>
      <c r="B12" s="317">
        <v>5489</v>
      </c>
      <c r="C12" s="318">
        <v>600099482</v>
      </c>
      <c r="D12" s="270">
        <v>71166289</v>
      </c>
      <c r="E12" s="319" t="s">
        <v>350</v>
      </c>
      <c r="F12" s="270">
        <v>3111</v>
      </c>
      <c r="G12" s="319" t="s">
        <v>304</v>
      </c>
      <c r="H12" s="320" t="s">
        <v>271</v>
      </c>
      <c r="I12" s="406">
        <v>3506982</v>
      </c>
      <c r="J12" s="407">
        <v>2583134</v>
      </c>
      <c r="K12" s="407">
        <v>2356014</v>
      </c>
      <c r="L12" s="407">
        <v>227120</v>
      </c>
      <c r="M12" s="407">
        <v>8000</v>
      </c>
      <c r="N12" s="407">
        <v>0</v>
      </c>
      <c r="O12" s="407">
        <v>8000</v>
      </c>
      <c r="P12" s="144">
        <v>875803</v>
      </c>
      <c r="Q12" s="144">
        <v>25831</v>
      </c>
      <c r="R12" s="407">
        <v>14214</v>
      </c>
      <c r="S12" s="408">
        <v>4.8346</v>
      </c>
      <c r="T12" s="409">
        <v>4.0644999999999998</v>
      </c>
      <c r="U12" s="422">
        <v>0.77010000000000001</v>
      </c>
      <c r="V12" s="879">
        <f t="shared" ref="V12:W14" si="0">AG12*-1</f>
        <v>0</v>
      </c>
      <c r="W12" s="880">
        <f t="shared" si="0"/>
        <v>0</v>
      </c>
      <c r="X12" s="880">
        <v>0</v>
      </c>
      <c r="Y12" s="880">
        <v>0</v>
      </c>
      <c r="Z12" s="880">
        <v>0</v>
      </c>
      <c r="AA12" s="880">
        <v>0</v>
      </c>
      <c r="AB12" s="880">
        <v>0</v>
      </c>
      <c r="AC12" s="880">
        <v>0</v>
      </c>
      <c r="AD12" s="880">
        <f>V12+X12+Y12+Z12+AB12</f>
        <v>0</v>
      </c>
      <c r="AE12" s="880">
        <f>W12+AA12+AC12</f>
        <v>0</v>
      </c>
      <c r="AF12" s="881">
        <f>SUM(AD12:AE12)</f>
        <v>0</v>
      </c>
      <c r="AG12" s="882">
        <v>0</v>
      </c>
      <c r="AH12" s="880">
        <v>0</v>
      </c>
      <c r="AI12" s="880">
        <v>0</v>
      </c>
      <c r="AJ12" s="880">
        <v>0</v>
      </c>
      <c r="AK12" s="880">
        <v>0</v>
      </c>
      <c r="AL12" s="880">
        <f>AG12+AI12+AJ12</f>
        <v>0</v>
      </c>
      <c r="AM12" s="880">
        <f>AH12+AK12</f>
        <v>0</v>
      </c>
      <c r="AN12" s="880">
        <f>SUM(AL12:AM12)</f>
        <v>0</v>
      </c>
      <c r="AO12" s="880">
        <f t="shared" ref="AO12:AP14" si="1">AD12+AL12</f>
        <v>0</v>
      </c>
      <c r="AP12" s="880">
        <f t="shared" si="1"/>
        <v>0</v>
      </c>
      <c r="AQ12" s="880">
        <f>SUM(AO12:AP12)</f>
        <v>0</v>
      </c>
      <c r="AR12" s="627">
        <f>ROUND((AF12+AG12+AH12+AI12)*33.8%,0)</f>
        <v>0</v>
      </c>
      <c r="AS12" s="627">
        <f>ROUND(AF12*1%,0)</f>
        <v>0</v>
      </c>
      <c r="AT12" s="880">
        <v>0</v>
      </c>
      <c r="AU12" s="880">
        <v>0</v>
      </c>
      <c r="AV12" s="880">
        <f>AT12+AU12</f>
        <v>0</v>
      </c>
      <c r="AW12" s="880">
        <f>AQ12+AR12+AS12+AV12</f>
        <v>0</v>
      </c>
      <c r="AX12" s="883">
        <v>0</v>
      </c>
      <c r="AY12" s="883">
        <v>0</v>
      </c>
      <c r="AZ12" s="883">
        <v>0</v>
      </c>
      <c r="BA12" s="883">
        <v>0</v>
      </c>
      <c r="BB12" s="883">
        <v>0</v>
      </c>
      <c r="BC12" s="883">
        <v>0</v>
      </c>
      <c r="BD12" s="883">
        <v>0</v>
      </c>
      <c r="BE12" s="883">
        <v>0</v>
      </c>
      <c r="BF12" s="883">
        <f>AX12+AZ12+BA12+BC12+BD12</f>
        <v>0</v>
      </c>
      <c r="BG12" s="883">
        <f>AY12+BB12+BE12</f>
        <v>0</v>
      </c>
      <c r="BH12" s="893">
        <f>SUM(BF12:BG12)</f>
        <v>0</v>
      </c>
      <c r="BI12" s="412">
        <f>I12+AW12</f>
        <v>3506982</v>
      </c>
      <c r="BJ12" s="410">
        <f>J12+AF12</f>
        <v>2583134</v>
      </c>
      <c r="BK12" s="410">
        <f t="shared" ref="BK12:BL14" si="2">K12+AD12</f>
        <v>2356014</v>
      </c>
      <c r="BL12" s="410">
        <f t="shared" si="2"/>
        <v>227120</v>
      </c>
      <c r="BM12" s="410">
        <f>M12+AN12</f>
        <v>8000</v>
      </c>
      <c r="BN12" s="410">
        <f t="shared" ref="BN12:BO14" si="3">N12+AL12</f>
        <v>0</v>
      </c>
      <c r="BO12" s="410">
        <f t="shared" si="3"/>
        <v>8000</v>
      </c>
      <c r="BP12" s="410">
        <f t="shared" ref="BP12:BQ14" si="4">P12+AR12</f>
        <v>875803</v>
      </c>
      <c r="BQ12" s="410">
        <f t="shared" si="4"/>
        <v>25831</v>
      </c>
      <c r="BR12" s="410">
        <f>R12+AV12</f>
        <v>14214</v>
      </c>
      <c r="BS12" s="411">
        <f>S12+BH12</f>
        <v>4.8346</v>
      </c>
      <c r="BT12" s="411">
        <f t="shared" ref="BT12:BU14" si="5">T12+BF12</f>
        <v>4.0644999999999998</v>
      </c>
      <c r="BU12" s="413">
        <f t="shared" si="5"/>
        <v>0.77010000000000001</v>
      </c>
      <c r="BV12" s="531"/>
      <c r="BW12" s="407"/>
      <c r="BX12" s="407"/>
      <c r="BY12" s="407"/>
      <c r="BZ12" s="407"/>
      <c r="CA12" s="495"/>
    </row>
    <row r="13" spans="1:79" ht="12.95" customHeight="1" x14ac:dyDescent="0.25">
      <c r="A13" s="280">
        <v>1</v>
      </c>
      <c r="B13" s="321">
        <v>5489</v>
      </c>
      <c r="C13" s="322">
        <v>600099482</v>
      </c>
      <c r="D13" s="281">
        <v>71166289</v>
      </c>
      <c r="E13" s="323" t="s">
        <v>350</v>
      </c>
      <c r="F13" s="281">
        <v>3111</v>
      </c>
      <c r="G13" s="323" t="s">
        <v>298</v>
      </c>
      <c r="H13" s="284" t="s">
        <v>272</v>
      </c>
      <c r="I13" s="420">
        <v>0</v>
      </c>
      <c r="J13" s="415">
        <v>0</v>
      </c>
      <c r="K13" s="415">
        <v>0</v>
      </c>
      <c r="L13" s="415">
        <v>0</v>
      </c>
      <c r="M13" s="415">
        <v>0</v>
      </c>
      <c r="N13" s="415">
        <v>0</v>
      </c>
      <c r="O13" s="415">
        <v>0</v>
      </c>
      <c r="P13" s="68">
        <v>0</v>
      </c>
      <c r="Q13" s="68">
        <v>0</v>
      </c>
      <c r="R13" s="415">
        <v>0</v>
      </c>
      <c r="S13" s="416">
        <v>0</v>
      </c>
      <c r="T13" s="417">
        <v>0</v>
      </c>
      <c r="U13" s="423">
        <v>0</v>
      </c>
      <c r="V13" s="424">
        <f t="shared" si="0"/>
        <v>0</v>
      </c>
      <c r="W13" s="418">
        <f t="shared" si="0"/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f>V13+X13+Y13+Z13+AB13</f>
        <v>0</v>
      </c>
      <c r="AE13" s="418">
        <f>W13+AA13+AC13</f>
        <v>0</v>
      </c>
      <c r="AF13" s="794">
        <f>SUM(AD13:AE13)</f>
        <v>0</v>
      </c>
      <c r="AG13" s="780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f>AG13+AI13+AJ13</f>
        <v>0</v>
      </c>
      <c r="AM13" s="418">
        <f>AH13+AK13</f>
        <v>0</v>
      </c>
      <c r="AN13" s="418">
        <f>SUM(AL13:AM13)</f>
        <v>0</v>
      </c>
      <c r="AO13" s="418">
        <f t="shared" si="1"/>
        <v>0</v>
      </c>
      <c r="AP13" s="418">
        <f t="shared" si="1"/>
        <v>0</v>
      </c>
      <c r="AQ13" s="418">
        <f>SUM(AO13:AP13)</f>
        <v>0</v>
      </c>
      <c r="AR13" s="68">
        <f>ROUND((AF13+AG13+AH13+AI13)*33.8%,0)</f>
        <v>0</v>
      </c>
      <c r="AS13" s="68">
        <f>ROUND(AF13*1%,0)</f>
        <v>0</v>
      </c>
      <c r="AT13" s="418">
        <v>0</v>
      </c>
      <c r="AU13" s="418">
        <v>0</v>
      </c>
      <c r="AV13" s="418">
        <f>AT13+AU13</f>
        <v>0</v>
      </c>
      <c r="AW13" s="418">
        <f>AQ13+AR13+AS13+AV13</f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f>AX13+AZ13+BA13+BC13+BD13</f>
        <v>0</v>
      </c>
      <c r="BG13" s="419">
        <f>AY13+BB13+BE13</f>
        <v>0</v>
      </c>
      <c r="BH13" s="894">
        <f>SUM(BF13:BG13)</f>
        <v>0</v>
      </c>
      <c r="BI13" s="424">
        <f>I13+AW13</f>
        <v>0</v>
      </c>
      <c r="BJ13" s="418">
        <f>J13+AF13</f>
        <v>0</v>
      </c>
      <c r="BK13" s="418">
        <f t="shared" si="2"/>
        <v>0</v>
      </c>
      <c r="BL13" s="418">
        <f t="shared" si="2"/>
        <v>0</v>
      </c>
      <c r="BM13" s="418">
        <f>M13+AN13</f>
        <v>0</v>
      </c>
      <c r="BN13" s="418">
        <f t="shared" si="3"/>
        <v>0</v>
      </c>
      <c r="BO13" s="418">
        <f t="shared" si="3"/>
        <v>0</v>
      </c>
      <c r="BP13" s="418">
        <f t="shared" si="4"/>
        <v>0</v>
      </c>
      <c r="BQ13" s="418">
        <f t="shared" si="4"/>
        <v>0</v>
      </c>
      <c r="BR13" s="418">
        <f>R13+AV13</f>
        <v>0</v>
      </c>
      <c r="BS13" s="419">
        <f>S13+BH13</f>
        <v>0</v>
      </c>
      <c r="BT13" s="419">
        <f t="shared" si="5"/>
        <v>0</v>
      </c>
      <c r="BU13" s="421">
        <f t="shared" si="5"/>
        <v>0</v>
      </c>
      <c r="BV13" s="511"/>
      <c r="BW13" s="415"/>
      <c r="BX13" s="415"/>
      <c r="BY13" s="415"/>
      <c r="BZ13" s="415"/>
      <c r="CA13" s="510"/>
    </row>
    <row r="14" spans="1:79" ht="12.95" customHeight="1" x14ac:dyDescent="0.25">
      <c r="A14" s="280">
        <v>1</v>
      </c>
      <c r="B14" s="321">
        <v>5489</v>
      </c>
      <c r="C14" s="322">
        <v>600099482</v>
      </c>
      <c r="D14" s="281">
        <v>71166289</v>
      </c>
      <c r="E14" s="323" t="s">
        <v>350</v>
      </c>
      <c r="F14" s="281">
        <v>3141</v>
      </c>
      <c r="G14" s="323" t="s">
        <v>294</v>
      </c>
      <c r="H14" s="284" t="s">
        <v>272</v>
      </c>
      <c r="I14" s="420">
        <v>412027</v>
      </c>
      <c r="J14" s="415">
        <v>304567</v>
      </c>
      <c r="K14" s="415">
        <v>0</v>
      </c>
      <c r="L14" s="415">
        <v>304567</v>
      </c>
      <c r="M14" s="415">
        <v>0</v>
      </c>
      <c r="N14" s="415">
        <v>0</v>
      </c>
      <c r="O14" s="415">
        <v>0</v>
      </c>
      <c r="P14" s="68">
        <v>102944</v>
      </c>
      <c r="Q14" s="68">
        <v>3046</v>
      </c>
      <c r="R14" s="415">
        <v>1470</v>
      </c>
      <c r="S14" s="416">
        <v>0.9133</v>
      </c>
      <c r="T14" s="417">
        <v>0</v>
      </c>
      <c r="U14" s="423">
        <v>0.9133</v>
      </c>
      <c r="V14" s="424">
        <f t="shared" si="0"/>
        <v>0</v>
      </c>
      <c r="W14" s="418">
        <f t="shared" si="0"/>
        <v>0</v>
      </c>
      <c r="X14" s="418">
        <v>0</v>
      </c>
      <c r="Y14" s="418">
        <v>0</v>
      </c>
      <c r="Z14" s="418">
        <v>0</v>
      </c>
      <c r="AA14" s="418">
        <v>151416</v>
      </c>
      <c r="AB14" s="418">
        <v>0</v>
      </c>
      <c r="AC14" s="418">
        <v>0</v>
      </c>
      <c r="AD14" s="418">
        <f>V14+X14+Y14+Z14+AB14</f>
        <v>0</v>
      </c>
      <c r="AE14" s="418">
        <f>W14+AA14+AC14</f>
        <v>151416</v>
      </c>
      <c r="AF14" s="794">
        <f>SUM(AD14:AE14)</f>
        <v>151416</v>
      </c>
      <c r="AG14" s="780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f>AG14+AI14+AJ14</f>
        <v>0</v>
      </c>
      <c r="AM14" s="418">
        <f>AH14+AK14</f>
        <v>0</v>
      </c>
      <c r="AN14" s="418">
        <f>SUM(AL14:AM14)</f>
        <v>0</v>
      </c>
      <c r="AO14" s="418">
        <f t="shared" si="1"/>
        <v>0</v>
      </c>
      <c r="AP14" s="418">
        <f t="shared" si="1"/>
        <v>151416</v>
      </c>
      <c r="AQ14" s="418">
        <f>SUM(AO14:AP14)</f>
        <v>151416</v>
      </c>
      <c r="AR14" s="68">
        <f>ROUND((AF14+AG14+AH14+AI14)*33.8%,0)</f>
        <v>51179</v>
      </c>
      <c r="AS14" s="68">
        <f>ROUND(AF14*1%,0)</f>
        <v>1514</v>
      </c>
      <c r="AT14" s="418">
        <v>0</v>
      </c>
      <c r="AU14" s="418">
        <v>714</v>
      </c>
      <c r="AV14" s="418">
        <f>AT14+AU14</f>
        <v>714</v>
      </c>
      <c r="AW14" s="418">
        <f>AQ14+AR14+AS14+AV14</f>
        <v>204823</v>
      </c>
      <c r="AX14" s="419">
        <v>0</v>
      </c>
      <c r="AY14" s="419">
        <v>0</v>
      </c>
      <c r="AZ14" s="419">
        <v>0</v>
      </c>
      <c r="BA14" s="419">
        <v>0</v>
      </c>
      <c r="BB14" s="419">
        <v>0.46</v>
      </c>
      <c r="BC14" s="419">
        <v>0</v>
      </c>
      <c r="BD14" s="419">
        <v>0</v>
      </c>
      <c r="BE14" s="419">
        <v>0</v>
      </c>
      <c r="BF14" s="419">
        <f>AX14+AZ14+BA14+BC14+BD14</f>
        <v>0</v>
      </c>
      <c r="BG14" s="419">
        <f>AY14+BB14+BE14</f>
        <v>0.46</v>
      </c>
      <c r="BH14" s="894">
        <f>SUM(BF14:BG14)</f>
        <v>0.46</v>
      </c>
      <c r="BI14" s="424">
        <f>I14+AW14</f>
        <v>616850</v>
      </c>
      <c r="BJ14" s="418">
        <f>J14+AF14</f>
        <v>455983</v>
      </c>
      <c r="BK14" s="418">
        <f t="shared" si="2"/>
        <v>0</v>
      </c>
      <c r="BL14" s="418">
        <f t="shared" si="2"/>
        <v>455983</v>
      </c>
      <c r="BM14" s="418">
        <f>M14+AN14</f>
        <v>0</v>
      </c>
      <c r="BN14" s="418">
        <f t="shared" si="3"/>
        <v>0</v>
      </c>
      <c r="BO14" s="418">
        <f t="shared" si="3"/>
        <v>0</v>
      </c>
      <c r="BP14" s="418">
        <f t="shared" si="4"/>
        <v>154123</v>
      </c>
      <c r="BQ14" s="418">
        <f t="shared" si="4"/>
        <v>4560</v>
      </c>
      <c r="BR14" s="418">
        <f>R14+AV14</f>
        <v>2184</v>
      </c>
      <c r="BS14" s="419">
        <f>S14+BH14</f>
        <v>1.3733</v>
      </c>
      <c r="BT14" s="419">
        <f t="shared" si="5"/>
        <v>0</v>
      </c>
      <c r="BU14" s="421">
        <f t="shared" si="5"/>
        <v>1.3733</v>
      </c>
      <c r="BV14" s="511"/>
      <c r="BW14" s="415"/>
      <c r="BX14" s="415"/>
      <c r="BY14" s="415"/>
      <c r="BZ14" s="415"/>
      <c r="CA14" s="510"/>
    </row>
    <row r="15" spans="1:79" ht="12.95" customHeight="1" x14ac:dyDescent="0.25">
      <c r="A15" s="324">
        <v>1</v>
      </c>
      <c r="B15" s="325">
        <v>5489</v>
      </c>
      <c r="C15" s="326">
        <v>600099482</v>
      </c>
      <c r="D15" s="325">
        <v>71166289</v>
      </c>
      <c r="E15" s="327" t="s">
        <v>351</v>
      </c>
      <c r="F15" s="275"/>
      <c r="G15" s="327"/>
      <c r="H15" s="289"/>
      <c r="I15" s="472">
        <v>3919009</v>
      </c>
      <c r="J15" s="468">
        <v>2887701</v>
      </c>
      <c r="K15" s="468">
        <v>2356014</v>
      </c>
      <c r="L15" s="468">
        <v>531687</v>
      </c>
      <c r="M15" s="468">
        <v>8000</v>
      </c>
      <c r="N15" s="468">
        <v>0</v>
      </c>
      <c r="O15" s="468">
        <v>8000</v>
      </c>
      <c r="P15" s="468">
        <v>978747</v>
      </c>
      <c r="Q15" s="468">
        <v>28877</v>
      </c>
      <c r="R15" s="468">
        <v>15684</v>
      </c>
      <c r="S15" s="469">
        <v>5.7478999999999996</v>
      </c>
      <c r="T15" s="469">
        <v>4.0644999999999998</v>
      </c>
      <c r="U15" s="532">
        <v>1.6834</v>
      </c>
      <c r="V15" s="844">
        <f t="shared" ref="V15:CA15" si="6">SUM(V12:V14)</f>
        <v>0</v>
      </c>
      <c r="W15" s="845">
        <f t="shared" si="6"/>
        <v>0</v>
      </c>
      <c r="X15" s="845">
        <f t="shared" si="6"/>
        <v>0</v>
      </c>
      <c r="Y15" s="845">
        <f t="shared" si="6"/>
        <v>0</v>
      </c>
      <c r="Z15" s="845">
        <f t="shared" si="6"/>
        <v>0</v>
      </c>
      <c r="AA15" s="845">
        <f t="shared" si="6"/>
        <v>151416</v>
      </c>
      <c r="AB15" s="845">
        <f t="shared" si="6"/>
        <v>0</v>
      </c>
      <c r="AC15" s="845">
        <f t="shared" si="6"/>
        <v>0</v>
      </c>
      <c r="AD15" s="845">
        <f t="shared" si="6"/>
        <v>0</v>
      </c>
      <c r="AE15" s="845">
        <f t="shared" si="6"/>
        <v>151416</v>
      </c>
      <c r="AF15" s="846">
        <f t="shared" si="6"/>
        <v>151416</v>
      </c>
      <c r="AG15" s="847">
        <f t="shared" si="6"/>
        <v>0</v>
      </c>
      <c r="AH15" s="845">
        <f t="shared" si="6"/>
        <v>0</v>
      </c>
      <c r="AI15" s="845">
        <f t="shared" si="6"/>
        <v>0</v>
      </c>
      <c r="AJ15" s="845">
        <f t="shared" si="6"/>
        <v>0</v>
      </c>
      <c r="AK15" s="845">
        <f t="shared" si="6"/>
        <v>0</v>
      </c>
      <c r="AL15" s="845">
        <f t="shared" si="6"/>
        <v>0</v>
      </c>
      <c r="AM15" s="845">
        <f t="shared" si="6"/>
        <v>0</v>
      </c>
      <c r="AN15" s="845">
        <f t="shared" si="6"/>
        <v>0</v>
      </c>
      <c r="AO15" s="845">
        <f t="shared" si="6"/>
        <v>0</v>
      </c>
      <c r="AP15" s="845">
        <f t="shared" si="6"/>
        <v>151416</v>
      </c>
      <c r="AQ15" s="845">
        <f t="shared" si="6"/>
        <v>151416</v>
      </c>
      <c r="AR15" s="845">
        <f t="shared" si="6"/>
        <v>51179</v>
      </c>
      <c r="AS15" s="845">
        <f t="shared" si="6"/>
        <v>1514</v>
      </c>
      <c r="AT15" s="845">
        <f t="shared" si="6"/>
        <v>0</v>
      </c>
      <c r="AU15" s="845">
        <f t="shared" si="6"/>
        <v>714</v>
      </c>
      <c r="AV15" s="845">
        <f t="shared" si="6"/>
        <v>714</v>
      </c>
      <c r="AW15" s="845">
        <f t="shared" si="6"/>
        <v>204823</v>
      </c>
      <c r="AX15" s="885">
        <f t="shared" si="6"/>
        <v>0</v>
      </c>
      <c r="AY15" s="885">
        <f t="shared" si="6"/>
        <v>0</v>
      </c>
      <c r="AZ15" s="885">
        <f t="shared" si="6"/>
        <v>0</v>
      </c>
      <c r="BA15" s="885">
        <f t="shared" si="6"/>
        <v>0</v>
      </c>
      <c r="BB15" s="885">
        <f t="shared" ref="BB15" si="7">SUM(BB12:BB14)</f>
        <v>0.46</v>
      </c>
      <c r="BC15" s="885">
        <f t="shared" si="6"/>
        <v>0</v>
      </c>
      <c r="BD15" s="885">
        <f t="shared" si="6"/>
        <v>0</v>
      </c>
      <c r="BE15" s="885">
        <f t="shared" ref="BE15" si="8">SUM(BE12:BE14)</f>
        <v>0</v>
      </c>
      <c r="BF15" s="885">
        <f t="shared" si="6"/>
        <v>0</v>
      </c>
      <c r="BG15" s="885">
        <f t="shared" si="6"/>
        <v>0.46</v>
      </c>
      <c r="BH15" s="895">
        <f t="shared" si="6"/>
        <v>0.46</v>
      </c>
      <c r="BI15" s="472">
        <f t="shared" si="6"/>
        <v>4123832</v>
      </c>
      <c r="BJ15" s="468">
        <f t="shared" si="6"/>
        <v>3039117</v>
      </c>
      <c r="BK15" s="468">
        <f t="shared" si="6"/>
        <v>2356014</v>
      </c>
      <c r="BL15" s="468">
        <f t="shared" si="6"/>
        <v>683103</v>
      </c>
      <c r="BM15" s="468">
        <f t="shared" si="6"/>
        <v>8000</v>
      </c>
      <c r="BN15" s="468">
        <f t="shared" si="6"/>
        <v>0</v>
      </c>
      <c r="BO15" s="468">
        <f t="shared" si="6"/>
        <v>8000</v>
      </c>
      <c r="BP15" s="468">
        <f t="shared" si="6"/>
        <v>1029926</v>
      </c>
      <c r="BQ15" s="468">
        <f t="shared" si="6"/>
        <v>30391</v>
      </c>
      <c r="BR15" s="468">
        <f t="shared" si="6"/>
        <v>16398</v>
      </c>
      <c r="BS15" s="469">
        <f t="shared" si="6"/>
        <v>6.2079000000000004</v>
      </c>
      <c r="BT15" s="469">
        <f t="shared" si="6"/>
        <v>4.0644999999999998</v>
      </c>
      <c r="BU15" s="328">
        <f t="shared" si="6"/>
        <v>2.1433999999999997</v>
      </c>
      <c r="BV15" s="886">
        <f t="shared" si="6"/>
        <v>0</v>
      </c>
      <c r="BW15" s="727">
        <f t="shared" si="6"/>
        <v>0</v>
      </c>
      <c r="BX15" s="727">
        <f t="shared" si="6"/>
        <v>0</v>
      </c>
      <c r="BY15" s="727">
        <f t="shared" si="6"/>
        <v>0</v>
      </c>
      <c r="BZ15" s="727">
        <f t="shared" si="6"/>
        <v>0</v>
      </c>
      <c r="CA15" s="859">
        <f t="shared" si="6"/>
        <v>0</v>
      </c>
    </row>
    <row r="16" spans="1:79" ht="12.95" customHeight="1" x14ac:dyDescent="0.25">
      <c r="A16" s="280">
        <v>2</v>
      </c>
      <c r="B16" s="321">
        <v>5451</v>
      </c>
      <c r="C16" s="322">
        <v>600098893</v>
      </c>
      <c r="D16" s="281">
        <v>70939331</v>
      </c>
      <c r="E16" s="323" t="s">
        <v>352</v>
      </c>
      <c r="F16" s="281">
        <v>3111</v>
      </c>
      <c r="G16" s="323" t="s">
        <v>304</v>
      </c>
      <c r="H16" s="284" t="s">
        <v>271</v>
      </c>
      <c r="I16" s="420">
        <v>10747995</v>
      </c>
      <c r="J16" s="415">
        <v>7877746</v>
      </c>
      <c r="K16" s="415">
        <v>7171250</v>
      </c>
      <c r="L16" s="415">
        <v>706496</v>
      </c>
      <c r="M16" s="415">
        <v>68400</v>
      </c>
      <c r="N16" s="415">
        <v>0</v>
      </c>
      <c r="O16" s="415">
        <v>68400</v>
      </c>
      <c r="P16" s="68">
        <v>2685797</v>
      </c>
      <c r="Q16" s="68">
        <v>78777</v>
      </c>
      <c r="R16" s="415">
        <v>37275</v>
      </c>
      <c r="S16" s="416">
        <v>14.8993</v>
      </c>
      <c r="T16" s="417">
        <v>12.2258</v>
      </c>
      <c r="U16" s="423">
        <v>2.6734999999999998</v>
      </c>
      <c r="V16" s="424">
        <f t="shared" ref="V16:W18" si="9">AG16*-1</f>
        <v>0</v>
      </c>
      <c r="W16" s="418">
        <f t="shared" si="9"/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f>V16+X16+Y16+Z16+AB16</f>
        <v>0</v>
      </c>
      <c r="AE16" s="418">
        <f>W16+AA16+AC16</f>
        <v>0</v>
      </c>
      <c r="AF16" s="794">
        <f>SUM(AD16:AE16)</f>
        <v>0</v>
      </c>
      <c r="AG16" s="780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f>AG16+AI16+AJ16</f>
        <v>0</v>
      </c>
      <c r="AM16" s="418">
        <f>AH16+AK16</f>
        <v>0</v>
      </c>
      <c r="AN16" s="418">
        <f>SUM(AL16:AM16)</f>
        <v>0</v>
      </c>
      <c r="AO16" s="418">
        <f t="shared" ref="AO16:AP18" si="10">AD16+AL16</f>
        <v>0</v>
      </c>
      <c r="AP16" s="418">
        <f t="shared" si="10"/>
        <v>0</v>
      </c>
      <c r="AQ16" s="418">
        <f>SUM(AO16:AP16)</f>
        <v>0</v>
      </c>
      <c r="AR16" s="68">
        <f>ROUND((AF16+AG16+AH16+AI16)*33.8%,0)</f>
        <v>0</v>
      </c>
      <c r="AS16" s="68">
        <f>ROUND(AF16*1%,0)</f>
        <v>0</v>
      </c>
      <c r="AT16" s="418">
        <v>0</v>
      </c>
      <c r="AU16" s="418">
        <v>0</v>
      </c>
      <c r="AV16" s="418">
        <f>AT16+AU16</f>
        <v>0</v>
      </c>
      <c r="AW16" s="418">
        <f>AQ16+AR16+AS16+AV16</f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f>AX16+AZ16+BA16+BC16+BD16</f>
        <v>0</v>
      </c>
      <c r="BG16" s="419">
        <f>AY16+BB16+BE16</f>
        <v>0</v>
      </c>
      <c r="BH16" s="894">
        <f>SUM(BF16:BG16)</f>
        <v>0</v>
      </c>
      <c r="BI16" s="424">
        <f>I16+AW16</f>
        <v>10747995</v>
      </c>
      <c r="BJ16" s="418">
        <f>J16+AF16</f>
        <v>7877746</v>
      </c>
      <c r="BK16" s="418">
        <f t="shared" ref="BK16:BL18" si="11">K16+AD16</f>
        <v>7171250</v>
      </c>
      <c r="BL16" s="418">
        <f t="shared" si="11"/>
        <v>706496</v>
      </c>
      <c r="BM16" s="418">
        <f>M16+AN16</f>
        <v>68400</v>
      </c>
      <c r="BN16" s="418">
        <f t="shared" ref="BN16:BO18" si="12">N16+AL16</f>
        <v>0</v>
      </c>
      <c r="BO16" s="418">
        <f t="shared" si="12"/>
        <v>68400</v>
      </c>
      <c r="BP16" s="418">
        <f t="shared" ref="BP16:BQ18" si="13">P16+AR16</f>
        <v>2685797</v>
      </c>
      <c r="BQ16" s="418">
        <f t="shared" si="13"/>
        <v>78777</v>
      </c>
      <c r="BR16" s="418">
        <f>R16+AV16</f>
        <v>37275</v>
      </c>
      <c r="BS16" s="419">
        <f>S16+BH16</f>
        <v>14.8993</v>
      </c>
      <c r="BT16" s="419">
        <f t="shared" ref="BT16:BU18" si="14">T16+BF16</f>
        <v>12.2258</v>
      </c>
      <c r="BU16" s="421">
        <f t="shared" si="14"/>
        <v>2.6734999999999998</v>
      </c>
      <c r="BV16" s="511"/>
      <c r="BW16" s="415"/>
      <c r="BX16" s="415"/>
      <c r="BY16" s="415"/>
      <c r="BZ16" s="415"/>
      <c r="CA16" s="510"/>
    </row>
    <row r="17" spans="1:79" ht="12.95" customHeight="1" x14ac:dyDescent="0.25">
      <c r="A17" s="280">
        <v>2</v>
      </c>
      <c r="B17" s="321">
        <v>5451</v>
      </c>
      <c r="C17" s="322">
        <v>600098893</v>
      </c>
      <c r="D17" s="281">
        <v>70939331</v>
      </c>
      <c r="E17" s="323" t="s">
        <v>352</v>
      </c>
      <c r="F17" s="281">
        <v>3111</v>
      </c>
      <c r="G17" s="323" t="s">
        <v>292</v>
      </c>
      <c r="H17" s="284" t="s">
        <v>271</v>
      </c>
      <c r="I17" s="420">
        <v>523941</v>
      </c>
      <c r="J17" s="415">
        <v>388680</v>
      </c>
      <c r="K17" s="415">
        <v>388680</v>
      </c>
      <c r="L17" s="415">
        <v>0</v>
      </c>
      <c r="M17" s="415">
        <v>0</v>
      </c>
      <c r="N17" s="415">
        <v>0</v>
      </c>
      <c r="O17" s="415">
        <v>0</v>
      </c>
      <c r="P17" s="68">
        <v>131374</v>
      </c>
      <c r="Q17" s="68">
        <v>3887</v>
      </c>
      <c r="R17" s="415">
        <v>0</v>
      </c>
      <c r="S17" s="416">
        <v>1</v>
      </c>
      <c r="T17" s="417">
        <v>1</v>
      </c>
      <c r="U17" s="423">
        <v>0</v>
      </c>
      <c r="V17" s="424">
        <f t="shared" si="9"/>
        <v>0</v>
      </c>
      <c r="W17" s="418">
        <f t="shared" si="9"/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f>V17+X17+Y17+Z17+AB17</f>
        <v>0</v>
      </c>
      <c r="AE17" s="418">
        <f>W17+AA17+AC17</f>
        <v>0</v>
      </c>
      <c r="AF17" s="794">
        <f>SUM(AD17:AE17)</f>
        <v>0</v>
      </c>
      <c r="AG17" s="780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f>AG17+AI17+AJ17</f>
        <v>0</v>
      </c>
      <c r="AM17" s="418">
        <f>AH17+AK17</f>
        <v>0</v>
      </c>
      <c r="AN17" s="418">
        <f>SUM(AL17:AM17)</f>
        <v>0</v>
      </c>
      <c r="AO17" s="418">
        <f t="shared" si="10"/>
        <v>0</v>
      </c>
      <c r="AP17" s="418">
        <f t="shared" si="10"/>
        <v>0</v>
      </c>
      <c r="AQ17" s="418">
        <f>SUM(AO17:AP17)</f>
        <v>0</v>
      </c>
      <c r="AR17" s="68">
        <f>ROUND((AF17+AG17+AH17+AI17)*33.8%,0)</f>
        <v>0</v>
      </c>
      <c r="AS17" s="68">
        <f>ROUND(AF17*1%,0)</f>
        <v>0</v>
      </c>
      <c r="AT17" s="418">
        <v>0</v>
      </c>
      <c r="AU17" s="418">
        <v>0</v>
      </c>
      <c r="AV17" s="418">
        <f>AT17+AU17</f>
        <v>0</v>
      </c>
      <c r="AW17" s="418">
        <f>AQ17+AR17+AS17+AV17</f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f>AX17+AZ17+BA17+BC17+BD17</f>
        <v>0</v>
      </c>
      <c r="BG17" s="419">
        <f>AY17+BB17+BE17</f>
        <v>0</v>
      </c>
      <c r="BH17" s="894">
        <f>SUM(BF17:BG17)</f>
        <v>0</v>
      </c>
      <c r="BI17" s="424">
        <f>I17+AW17</f>
        <v>523941</v>
      </c>
      <c r="BJ17" s="418">
        <f>J17+AF17</f>
        <v>388680</v>
      </c>
      <c r="BK17" s="418">
        <f t="shared" si="11"/>
        <v>388680</v>
      </c>
      <c r="BL17" s="418">
        <f t="shared" si="11"/>
        <v>0</v>
      </c>
      <c r="BM17" s="418">
        <f>M17+AN17</f>
        <v>0</v>
      </c>
      <c r="BN17" s="418">
        <f t="shared" si="12"/>
        <v>0</v>
      </c>
      <c r="BO17" s="418">
        <f t="shared" si="12"/>
        <v>0</v>
      </c>
      <c r="BP17" s="418">
        <f t="shared" si="13"/>
        <v>131374</v>
      </c>
      <c r="BQ17" s="418">
        <f t="shared" si="13"/>
        <v>3887</v>
      </c>
      <c r="BR17" s="418">
        <f>R17+AV17</f>
        <v>0</v>
      </c>
      <c r="BS17" s="419">
        <f>S17+BH17</f>
        <v>1</v>
      </c>
      <c r="BT17" s="419">
        <f t="shared" si="14"/>
        <v>1</v>
      </c>
      <c r="BU17" s="421">
        <f t="shared" si="14"/>
        <v>0</v>
      </c>
      <c r="BV17" s="511"/>
      <c r="BW17" s="415"/>
      <c r="BX17" s="415"/>
      <c r="BY17" s="415"/>
      <c r="BZ17" s="415"/>
      <c r="CA17" s="510"/>
    </row>
    <row r="18" spans="1:79" ht="12.95" customHeight="1" x14ac:dyDescent="0.25">
      <c r="A18" s="280">
        <v>2</v>
      </c>
      <c r="B18" s="321">
        <v>5451</v>
      </c>
      <c r="C18" s="322">
        <v>600098893</v>
      </c>
      <c r="D18" s="281">
        <v>70939331</v>
      </c>
      <c r="E18" s="323" t="s">
        <v>352</v>
      </c>
      <c r="F18" s="281">
        <v>3141</v>
      </c>
      <c r="G18" s="323" t="s">
        <v>294</v>
      </c>
      <c r="H18" s="284" t="s">
        <v>272</v>
      </c>
      <c r="I18" s="420">
        <v>987362</v>
      </c>
      <c r="J18" s="415">
        <v>729187</v>
      </c>
      <c r="K18" s="415">
        <v>0</v>
      </c>
      <c r="L18" s="415">
        <v>729187</v>
      </c>
      <c r="M18" s="415">
        <v>0</v>
      </c>
      <c r="N18" s="415">
        <v>0</v>
      </c>
      <c r="O18" s="415">
        <v>0</v>
      </c>
      <c r="P18" s="68">
        <v>246465</v>
      </c>
      <c r="Q18" s="68">
        <v>7292</v>
      </c>
      <c r="R18" s="415">
        <v>4418</v>
      </c>
      <c r="S18" s="416">
        <v>2.1865999999999999</v>
      </c>
      <c r="T18" s="417">
        <v>0</v>
      </c>
      <c r="U18" s="423">
        <v>2.1865999999999999</v>
      </c>
      <c r="V18" s="424">
        <f t="shared" si="9"/>
        <v>0</v>
      </c>
      <c r="W18" s="418">
        <f t="shared" si="9"/>
        <v>0</v>
      </c>
      <c r="X18" s="418">
        <v>0</v>
      </c>
      <c r="Y18" s="418">
        <v>0</v>
      </c>
      <c r="Z18" s="418">
        <v>0</v>
      </c>
      <c r="AA18" s="418">
        <v>366009</v>
      </c>
      <c r="AB18" s="418">
        <v>0</v>
      </c>
      <c r="AC18" s="418">
        <v>0</v>
      </c>
      <c r="AD18" s="418">
        <f>V18+X18+Y18+Z18+AB18</f>
        <v>0</v>
      </c>
      <c r="AE18" s="418">
        <f>W18+AA18+AC18</f>
        <v>366009</v>
      </c>
      <c r="AF18" s="794">
        <f>SUM(AD18:AE18)</f>
        <v>366009</v>
      </c>
      <c r="AG18" s="780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f>AG18+AI18+AJ18</f>
        <v>0</v>
      </c>
      <c r="AM18" s="418">
        <f>AH18+AK18</f>
        <v>0</v>
      </c>
      <c r="AN18" s="418">
        <f>SUM(AL18:AM18)</f>
        <v>0</v>
      </c>
      <c r="AO18" s="418">
        <f t="shared" si="10"/>
        <v>0</v>
      </c>
      <c r="AP18" s="418">
        <f t="shared" si="10"/>
        <v>366009</v>
      </c>
      <c r="AQ18" s="418">
        <f>SUM(AO18:AP18)</f>
        <v>366009</v>
      </c>
      <c r="AR18" s="68">
        <f>ROUND((AF18+AG18+AH18+AI18)*33.8%,0)</f>
        <v>123711</v>
      </c>
      <c r="AS18" s="68">
        <f>ROUND(AF18*1%,0)</f>
        <v>3660</v>
      </c>
      <c r="AT18" s="418">
        <v>0</v>
      </c>
      <c r="AU18" s="418">
        <v>2138</v>
      </c>
      <c r="AV18" s="418">
        <f>AT18+AU18</f>
        <v>2138</v>
      </c>
      <c r="AW18" s="418">
        <f>AQ18+AR18+AS18+AV18</f>
        <v>495518</v>
      </c>
      <c r="AX18" s="419">
        <v>0</v>
      </c>
      <c r="AY18" s="419">
        <v>0</v>
      </c>
      <c r="AZ18" s="419">
        <v>0</v>
      </c>
      <c r="BA18" s="419">
        <v>0</v>
      </c>
      <c r="BB18" s="419">
        <v>1.0900000000000001</v>
      </c>
      <c r="BC18" s="419">
        <v>0</v>
      </c>
      <c r="BD18" s="419">
        <v>0</v>
      </c>
      <c r="BE18" s="419">
        <v>0</v>
      </c>
      <c r="BF18" s="419">
        <f>AX18+AZ18+BA18+BC18+BD18</f>
        <v>0</v>
      </c>
      <c r="BG18" s="419">
        <f>AY18+BB18+BE18</f>
        <v>1.0900000000000001</v>
      </c>
      <c r="BH18" s="894">
        <f>SUM(BF18:BG18)</f>
        <v>1.0900000000000001</v>
      </c>
      <c r="BI18" s="424">
        <f>I18+AW18</f>
        <v>1482880</v>
      </c>
      <c r="BJ18" s="418">
        <f>J18+AF18</f>
        <v>1095196</v>
      </c>
      <c r="BK18" s="418">
        <f t="shared" si="11"/>
        <v>0</v>
      </c>
      <c r="BL18" s="418">
        <f t="shared" si="11"/>
        <v>1095196</v>
      </c>
      <c r="BM18" s="418">
        <f>M18+AN18</f>
        <v>0</v>
      </c>
      <c r="BN18" s="418">
        <f t="shared" si="12"/>
        <v>0</v>
      </c>
      <c r="BO18" s="418">
        <f t="shared" si="12"/>
        <v>0</v>
      </c>
      <c r="BP18" s="418">
        <f t="shared" si="13"/>
        <v>370176</v>
      </c>
      <c r="BQ18" s="418">
        <f t="shared" si="13"/>
        <v>10952</v>
      </c>
      <c r="BR18" s="418">
        <f>R18+AV18</f>
        <v>6556</v>
      </c>
      <c r="BS18" s="419">
        <f>S18+BH18</f>
        <v>3.2766000000000002</v>
      </c>
      <c r="BT18" s="419">
        <f t="shared" si="14"/>
        <v>0</v>
      </c>
      <c r="BU18" s="421">
        <f t="shared" si="14"/>
        <v>3.2766000000000002</v>
      </c>
      <c r="BV18" s="511"/>
      <c r="BW18" s="415"/>
      <c r="BX18" s="415"/>
      <c r="BY18" s="415"/>
      <c r="BZ18" s="415"/>
      <c r="CA18" s="510"/>
    </row>
    <row r="19" spans="1:79" ht="12.95" customHeight="1" x14ac:dyDescent="0.25">
      <c r="A19" s="324">
        <v>2</v>
      </c>
      <c r="B19" s="325">
        <v>5451</v>
      </c>
      <c r="C19" s="326">
        <v>600098893</v>
      </c>
      <c r="D19" s="325">
        <v>70939331</v>
      </c>
      <c r="E19" s="327" t="s">
        <v>353</v>
      </c>
      <c r="F19" s="275"/>
      <c r="G19" s="327"/>
      <c r="H19" s="289"/>
      <c r="I19" s="472">
        <v>12259298</v>
      </c>
      <c r="J19" s="468">
        <v>8995613</v>
      </c>
      <c r="K19" s="468">
        <v>7559930</v>
      </c>
      <c r="L19" s="468">
        <v>1435683</v>
      </c>
      <c r="M19" s="468">
        <v>68400</v>
      </c>
      <c r="N19" s="468">
        <v>0</v>
      </c>
      <c r="O19" s="468">
        <v>68400</v>
      </c>
      <c r="P19" s="468">
        <v>3063636</v>
      </c>
      <c r="Q19" s="468">
        <v>89956</v>
      </c>
      <c r="R19" s="468">
        <v>41693</v>
      </c>
      <c r="S19" s="469">
        <v>18.085899999999999</v>
      </c>
      <c r="T19" s="469">
        <v>13.2258</v>
      </c>
      <c r="U19" s="532">
        <v>4.8600999999999992</v>
      </c>
      <c r="V19" s="472">
        <f t="shared" ref="V19:CA19" si="15">SUM(V16:V18)</f>
        <v>0</v>
      </c>
      <c r="W19" s="468">
        <f t="shared" si="15"/>
        <v>0</v>
      </c>
      <c r="X19" s="468">
        <f t="shared" si="15"/>
        <v>0</v>
      </c>
      <c r="Y19" s="468">
        <f t="shared" si="15"/>
        <v>0</v>
      </c>
      <c r="Z19" s="468">
        <f t="shared" si="15"/>
        <v>0</v>
      </c>
      <c r="AA19" s="468">
        <f t="shared" si="15"/>
        <v>366009</v>
      </c>
      <c r="AB19" s="468">
        <f t="shared" si="15"/>
        <v>0</v>
      </c>
      <c r="AC19" s="468">
        <f t="shared" si="15"/>
        <v>0</v>
      </c>
      <c r="AD19" s="468">
        <f t="shared" si="15"/>
        <v>0</v>
      </c>
      <c r="AE19" s="468">
        <f t="shared" si="15"/>
        <v>366009</v>
      </c>
      <c r="AF19" s="795">
        <f t="shared" si="15"/>
        <v>366009</v>
      </c>
      <c r="AG19" s="785">
        <f t="shared" si="15"/>
        <v>0</v>
      </c>
      <c r="AH19" s="468">
        <f t="shared" si="15"/>
        <v>0</v>
      </c>
      <c r="AI19" s="468">
        <f t="shared" si="15"/>
        <v>0</v>
      </c>
      <c r="AJ19" s="468">
        <f t="shared" si="15"/>
        <v>0</v>
      </c>
      <c r="AK19" s="468">
        <f t="shared" si="15"/>
        <v>0</v>
      </c>
      <c r="AL19" s="468">
        <f t="shared" si="15"/>
        <v>0</v>
      </c>
      <c r="AM19" s="468">
        <f t="shared" si="15"/>
        <v>0</v>
      </c>
      <c r="AN19" s="468">
        <f t="shared" si="15"/>
        <v>0</v>
      </c>
      <c r="AO19" s="468">
        <f t="shared" si="15"/>
        <v>0</v>
      </c>
      <c r="AP19" s="468">
        <f t="shared" si="15"/>
        <v>366009</v>
      </c>
      <c r="AQ19" s="468">
        <f t="shared" si="15"/>
        <v>366009</v>
      </c>
      <c r="AR19" s="468">
        <f t="shared" si="15"/>
        <v>123711</v>
      </c>
      <c r="AS19" s="468">
        <f t="shared" si="15"/>
        <v>3660</v>
      </c>
      <c r="AT19" s="468">
        <f t="shared" si="15"/>
        <v>0</v>
      </c>
      <c r="AU19" s="468">
        <f t="shared" si="15"/>
        <v>2138</v>
      </c>
      <c r="AV19" s="468">
        <f t="shared" si="15"/>
        <v>2138</v>
      </c>
      <c r="AW19" s="468">
        <f t="shared" si="15"/>
        <v>495518</v>
      </c>
      <c r="AX19" s="469">
        <f t="shared" si="15"/>
        <v>0</v>
      </c>
      <c r="AY19" s="469">
        <f t="shared" si="15"/>
        <v>0</v>
      </c>
      <c r="AZ19" s="469">
        <f t="shared" si="15"/>
        <v>0</v>
      </c>
      <c r="BA19" s="469">
        <f t="shared" si="15"/>
        <v>0</v>
      </c>
      <c r="BB19" s="469">
        <f t="shared" ref="BB19" si="16">SUM(BB16:BB18)</f>
        <v>1.0900000000000001</v>
      </c>
      <c r="BC19" s="469">
        <f t="shared" si="15"/>
        <v>0</v>
      </c>
      <c r="BD19" s="469">
        <f t="shared" si="15"/>
        <v>0</v>
      </c>
      <c r="BE19" s="469">
        <f t="shared" ref="BE19" si="17">SUM(BE16:BE18)</f>
        <v>0</v>
      </c>
      <c r="BF19" s="469">
        <f t="shared" si="15"/>
        <v>0</v>
      </c>
      <c r="BG19" s="469">
        <f t="shared" si="15"/>
        <v>1.0900000000000001</v>
      </c>
      <c r="BH19" s="532">
        <f t="shared" si="15"/>
        <v>1.0900000000000001</v>
      </c>
      <c r="BI19" s="472">
        <f t="shared" si="15"/>
        <v>12754816</v>
      </c>
      <c r="BJ19" s="468">
        <f t="shared" si="15"/>
        <v>9361622</v>
      </c>
      <c r="BK19" s="468">
        <f t="shared" si="15"/>
        <v>7559930</v>
      </c>
      <c r="BL19" s="468">
        <f t="shared" si="15"/>
        <v>1801692</v>
      </c>
      <c r="BM19" s="468">
        <f t="shared" si="15"/>
        <v>68400</v>
      </c>
      <c r="BN19" s="468">
        <f t="shared" si="15"/>
        <v>0</v>
      </c>
      <c r="BO19" s="468">
        <f t="shared" si="15"/>
        <v>68400</v>
      </c>
      <c r="BP19" s="468">
        <f t="shared" si="15"/>
        <v>3187347</v>
      </c>
      <c r="BQ19" s="468">
        <f t="shared" si="15"/>
        <v>93616</v>
      </c>
      <c r="BR19" s="468">
        <f t="shared" si="15"/>
        <v>43831</v>
      </c>
      <c r="BS19" s="469">
        <f t="shared" si="15"/>
        <v>19.175899999999999</v>
      </c>
      <c r="BT19" s="469">
        <f t="shared" si="15"/>
        <v>13.2258</v>
      </c>
      <c r="BU19" s="328">
        <f t="shared" si="15"/>
        <v>5.9500999999999999</v>
      </c>
      <c r="BV19" s="886">
        <f t="shared" si="15"/>
        <v>0</v>
      </c>
      <c r="BW19" s="727">
        <f t="shared" si="15"/>
        <v>0</v>
      </c>
      <c r="BX19" s="727">
        <f t="shared" si="15"/>
        <v>0</v>
      </c>
      <c r="BY19" s="727">
        <f t="shared" si="15"/>
        <v>0</v>
      </c>
      <c r="BZ19" s="727">
        <f t="shared" si="15"/>
        <v>0</v>
      </c>
      <c r="CA19" s="859">
        <f t="shared" si="15"/>
        <v>0</v>
      </c>
    </row>
    <row r="20" spans="1:79" ht="12.95" customHeight="1" x14ac:dyDescent="0.25">
      <c r="A20" s="280">
        <v>3</v>
      </c>
      <c r="B20" s="321">
        <v>5450</v>
      </c>
      <c r="C20" s="322">
        <v>600098834</v>
      </c>
      <c r="D20" s="281">
        <v>70939322</v>
      </c>
      <c r="E20" s="323" t="s">
        <v>784</v>
      </c>
      <c r="F20" s="281">
        <v>3111</v>
      </c>
      <c r="G20" s="323" t="s">
        <v>304</v>
      </c>
      <c r="H20" s="284" t="s">
        <v>271</v>
      </c>
      <c r="I20" s="420">
        <v>6817669</v>
      </c>
      <c r="J20" s="415">
        <v>4978206</v>
      </c>
      <c r="K20" s="415">
        <v>4539660</v>
      </c>
      <c r="L20" s="415">
        <v>438546</v>
      </c>
      <c r="M20" s="415">
        <v>61200</v>
      </c>
      <c r="N20" s="415">
        <v>56200</v>
      </c>
      <c r="O20" s="415">
        <v>5000</v>
      </c>
      <c r="P20" s="68">
        <v>1703320</v>
      </c>
      <c r="Q20" s="68">
        <v>49782</v>
      </c>
      <c r="R20" s="415">
        <v>25161</v>
      </c>
      <c r="S20" s="416">
        <v>9.4093</v>
      </c>
      <c r="T20" s="417">
        <v>7.9160000000000004</v>
      </c>
      <c r="U20" s="423">
        <v>1.4933000000000001</v>
      </c>
      <c r="V20" s="424">
        <f t="shared" ref="V20:W22" si="18">AG20*-1</f>
        <v>0</v>
      </c>
      <c r="W20" s="418">
        <f t="shared" si="18"/>
        <v>0</v>
      </c>
      <c r="X20" s="418">
        <v>0</v>
      </c>
      <c r="Y20" s="418">
        <v>0</v>
      </c>
      <c r="Z20" s="418">
        <v>0</v>
      </c>
      <c r="AA20" s="418">
        <v>0</v>
      </c>
      <c r="AB20" s="418">
        <v>0</v>
      </c>
      <c r="AC20" s="418">
        <v>0</v>
      </c>
      <c r="AD20" s="418">
        <f>V20+X20+Y20+Z20+AB20</f>
        <v>0</v>
      </c>
      <c r="AE20" s="418">
        <f>W20+AA20+AC20</f>
        <v>0</v>
      </c>
      <c r="AF20" s="794">
        <f>SUM(AD20:AE20)</f>
        <v>0</v>
      </c>
      <c r="AG20" s="780">
        <v>0</v>
      </c>
      <c r="AH20" s="418">
        <v>0</v>
      </c>
      <c r="AI20" s="418">
        <v>0</v>
      </c>
      <c r="AJ20" s="418">
        <v>0</v>
      </c>
      <c r="AK20" s="418">
        <v>0</v>
      </c>
      <c r="AL20" s="418">
        <f>AG20+AI20+AJ20</f>
        <v>0</v>
      </c>
      <c r="AM20" s="418">
        <f>AH20+AK20</f>
        <v>0</v>
      </c>
      <c r="AN20" s="418">
        <f>SUM(AL20:AM20)</f>
        <v>0</v>
      </c>
      <c r="AO20" s="418">
        <f t="shared" ref="AO20:AP22" si="19">AD20+AL20</f>
        <v>0</v>
      </c>
      <c r="AP20" s="418">
        <f t="shared" si="19"/>
        <v>0</v>
      </c>
      <c r="AQ20" s="418">
        <f>SUM(AO20:AP20)</f>
        <v>0</v>
      </c>
      <c r="AR20" s="68">
        <f>ROUND((AF20+AG20+AH20+AI20)*33.8%,0)</f>
        <v>0</v>
      </c>
      <c r="AS20" s="68">
        <f>ROUND(AF20*1%,0)</f>
        <v>0</v>
      </c>
      <c r="AT20" s="418">
        <v>0</v>
      </c>
      <c r="AU20" s="418">
        <v>0</v>
      </c>
      <c r="AV20" s="418">
        <f>AT20+AU20</f>
        <v>0</v>
      </c>
      <c r="AW20" s="418">
        <f>AQ20+AR20+AS20+AV20</f>
        <v>0</v>
      </c>
      <c r="AX20" s="419">
        <v>0</v>
      </c>
      <c r="AY20" s="419">
        <v>0</v>
      </c>
      <c r="AZ20" s="419">
        <v>0</v>
      </c>
      <c r="BA20" s="419">
        <v>0</v>
      </c>
      <c r="BB20" s="419">
        <v>0</v>
      </c>
      <c r="BC20" s="419">
        <v>0</v>
      </c>
      <c r="BD20" s="419">
        <v>0</v>
      </c>
      <c r="BE20" s="419">
        <v>0</v>
      </c>
      <c r="BF20" s="419">
        <f>AX20+AZ20+BA20+BC20+BD20</f>
        <v>0</v>
      </c>
      <c r="BG20" s="419">
        <f>AY20+BB20+BE20</f>
        <v>0</v>
      </c>
      <c r="BH20" s="894">
        <f>SUM(BF20:BG20)</f>
        <v>0</v>
      </c>
      <c r="BI20" s="424">
        <f>I20+AW20</f>
        <v>6817669</v>
      </c>
      <c r="BJ20" s="418">
        <f>J20+AF20</f>
        <v>4978206</v>
      </c>
      <c r="BK20" s="418">
        <f t="shared" ref="BK20:BL22" si="20">K20+AD20</f>
        <v>4539660</v>
      </c>
      <c r="BL20" s="418">
        <f t="shared" si="20"/>
        <v>438546</v>
      </c>
      <c r="BM20" s="418">
        <f>M20+AN20</f>
        <v>61200</v>
      </c>
      <c r="BN20" s="418">
        <f t="shared" ref="BN20:BO22" si="21">N20+AL20</f>
        <v>56200</v>
      </c>
      <c r="BO20" s="418">
        <f t="shared" si="21"/>
        <v>5000</v>
      </c>
      <c r="BP20" s="418">
        <f t="shared" ref="BP20:BQ22" si="22">P20+AR20</f>
        <v>1703320</v>
      </c>
      <c r="BQ20" s="418">
        <f t="shared" si="22"/>
        <v>49782</v>
      </c>
      <c r="BR20" s="418">
        <f>R20+AV20</f>
        <v>25161</v>
      </c>
      <c r="BS20" s="419">
        <f>S20+BH20</f>
        <v>9.4093</v>
      </c>
      <c r="BT20" s="419">
        <f t="shared" ref="BT20:BU22" si="23">T20+BF20</f>
        <v>7.9160000000000004</v>
      </c>
      <c r="BU20" s="421">
        <f t="shared" si="23"/>
        <v>1.4933000000000001</v>
      </c>
      <c r="BV20" s="511"/>
      <c r="BW20" s="415"/>
      <c r="BX20" s="415"/>
      <c r="BY20" s="415"/>
      <c r="BZ20" s="415"/>
      <c r="CA20" s="510"/>
    </row>
    <row r="21" spans="1:79" ht="12.95" customHeight="1" x14ac:dyDescent="0.25">
      <c r="A21" s="280">
        <v>3</v>
      </c>
      <c r="B21" s="321">
        <v>5450</v>
      </c>
      <c r="C21" s="322">
        <v>600098834</v>
      </c>
      <c r="D21" s="281">
        <v>70939322</v>
      </c>
      <c r="E21" s="323" t="s">
        <v>784</v>
      </c>
      <c r="F21" s="281">
        <v>3111</v>
      </c>
      <c r="G21" s="323" t="s">
        <v>298</v>
      </c>
      <c r="H21" s="284" t="s">
        <v>272</v>
      </c>
      <c r="I21" s="420">
        <v>694228</v>
      </c>
      <c r="J21" s="415">
        <v>515006</v>
      </c>
      <c r="K21" s="415">
        <v>515006</v>
      </c>
      <c r="L21" s="415">
        <v>0</v>
      </c>
      <c r="M21" s="415">
        <v>0</v>
      </c>
      <c r="N21" s="415">
        <v>0</v>
      </c>
      <c r="O21" s="415">
        <v>0</v>
      </c>
      <c r="P21" s="68">
        <v>174072</v>
      </c>
      <c r="Q21" s="68">
        <v>5150</v>
      </c>
      <c r="R21" s="415">
        <v>0</v>
      </c>
      <c r="S21" s="416">
        <v>1.39</v>
      </c>
      <c r="T21" s="417">
        <v>1.39</v>
      </c>
      <c r="U21" s="423">
        <v>0</v>
      </c>
      <c r="V21" s="424">
        <f t="shared" si="18"/>
        <v>0</v>
      </c>
      <c r="W21" s="418">
        <f t="shared" si="18"/>
        <v>0</v>
      </c>
      <c r="X21" s="418">
        <v>0</v>
      </c>
      <c r="Y21" s="418">
        <v>0</v>
      </c>
      <c r="Z21" s="418">
        <v>0</v>
      </c>
      <c r="AA21" s="418">
        <v>0</v>
      </c>
      <c r="AB21" s="418">
        <v>0</v>
      </c>
      <c r="AC21" s="418">
        <v>0</v>
      </c>
      <c r="AD21" s="418">
        <f>V21+X21+Y21+Z21+AB21</f>
        <v>0</v>
      </c>
      <c r="AE21" s="418">
        <f>W21+AA21+AC21</f>
        <v>0</v>
      </c>
      <c r="AF21" s="794">
        <f>SUM(AD21:AE21)</f>
        <v>0</v>
      </c>
      <c r="AG21" s="780">
        <v>0</v>
      </c>
      <c r="AH21" s="418">
        <v>0</v>
      </c>
      <c r="AI21" s="418">
        <v>0</v>
      </c>
      <c r="AJ21" s="418">
        <v>0</v>
      </c>
      <c r="AK21" s="418">
        <v>0</v>
      </c>
      <c r="AL21" s="418">
        <f>AG21+AI21+AJ21</f>
        <v>0</v>
      </c>
      <c r="AM21" s="418">
        <f>AH21+AK21</f>
        <v>0</v>
      </c>
      <c r="AN21" s="418">
        <f>SUM(AL21:AM21)</f>
        <v>0</v>
      </c>
      <c r="AO21" s="418">
        <f t="shared" si="19"/>
        <v>0</v>
      </c>
      <c r="AP21" s="418">
        <f t="shared" si="19"/>
        <v>0</v>
      </c>
      <c r="AQ21" s="418">
        <f>SUM(AO21:AP21)</f>
        <v>0</v>
      </c>
      <c r="AR21" s="68">
        <f>ROUND((AF21+AG21+AH21+AI21)*33.8%,0)</f>
        <v>0</v>
      </c>
      <c r="AS21" s="68">
        <f>ROUND(AF21*1%,0)</f>
        <v>0</v>
      </c>
      <c r="AT21" s="418">
        <v>0</v>
      </c>
      <c r="AU21" s="418">
        <v>0</v>
      </c>
      <c r="AV21" s="418">
        <f>AT21+AU21</f>
        <v>0</v>
      </c>
      <c r="AW21" s="418">
        <f>AQ21+AR21+AS21+AV21</f>
        <v>0</v>
      </c>
      <c r="AX21" s="419">
        <v>0</v>
      </c>
      <c r="AY21" s="419">
        <v>0</v>
      </c>
      <c r="AZ21" s="419">
        <v>0</v>
      </c>
      <c r="BA21" s="419">
        <v>0</v>
      </c>
      <c r="BB21" s="419">
        <v>0</v>
      </c>
      <c r="BC21" s="419">
        <v>0</v>
      </c>
      <c r="BD21" s="419">
        <v>0</v>
      </c>
      <c r="BE21" s="419">
        <v>0</v>
      </c>
      <c r="BF21" s="419">
        <f>AX21+AZ21+BA21+BC21+BD21</f>
        <v>0</v>
      </c>
      <c r="BG21" s="419">
        <f>AY21+BB21+BE21</f>
        <v>0</v>
      </c>
      <c r="BH21" s="894">
        <f>SUM(BF21:BG21)</f>
        <v>0</v>
      </c>
      <c r="BI21" s="424">
        <f>I21+AW21</f>
        <v>694228</v>
      </c>
      <c r="BJ21" s="418">
        <f>J21+AF21</f>
        <v>515006</v>
      </c>
      <c r="BK21" s="418">
        <f t="shared" si="20"/>
        <v>515006</v>
      </c>
      <c r="BL21" s="418">
        <f t="shared" si="20"/>
        <v>0</v>
      </c>
      <c r="BM21" s="418">
        <f>M21+AN21</f>
        <v>0</v>
      </c>
      <c r="BN21" s="418">
        <f t="shared" si="21"/>
        <v>0</v>
      </c>
      <c r="BO21" s="418">
        <f t="shared" si="21"/>
        <v>0</v>
      </c>
      <c r="BP21" s="418">
        <f t="shared" si="22"/>
        <v>174072</v>
      </c>
      <c r="BQ21" s="418">
        <f t="shared" si="22"/>
        <v>5150</v>
      </c>
      <c r="BR21" s="418">
        <f>R21+AV21</f>
        <v>0</v>
      </c>
      <c r="BS21" s="419">
        <f>S21+BH21</f>
        <v>1.39</v>
      </c>
      <c r="BT21" s="419">
        <f t="shared" si="23"/>
        <v>1.39</v>
      </c>
      <c r="BU21" s="421">
        <f t="shared" si="23"/>
        <v>0</v>
      </c>
      <c r="BV21" s="511"/>
      <c r="BW21" s="415"/>
      <c r="BX21" s="415"/>
      <c r="BY21" s="415"/>
      <c r="BZ21" s="415"/>
      <c r="CA21" s="510"/>
    </row>
    <row r="22" spans="1:79" ht="12.95" customHeight="1" x14ac:dyDescent="0.25">
      <c r="A22" s="280">
        <v>3</v>
      </c>
      <c r="B22" s="321">
        <v>5450</v>
      </c>
      <c r="C22" s="322">
        <v>600098834</v>
      </c>
      <c r="D22" s="281">
        <v>70939322</v>
      </c>
      <c r="E22" s="323" t="s">
        <v>784</v>
      </c>
      <c r="F22" s="281">
        <v>3141</v>
      </c>
      <c r="G22" s="323" t="s">
        <v>294</v>
      </c>
      <c r="H22" s="284" t="s">
        <v>272</v>
      </c>
      <c r="I22" s="420">
        <v>653192</v>
      </c>
      <c r="J22" s="415">
        <v>477446</v>
      </c>
      <c r="K22" s="415">
        <v>0</v>
      </c>
      <c r="L22" s="415">
        <v>477446</v>
      </c>
      <c r="M22" s="415">
        <v>5000</v>
      </c>
      <c r="N22" s="415">
        <v>0</v>
      </c>
      <c r="O22" s="415">
        <v>5000</v>
      </c>
      <c r="P22" s="68">
        <v>163067</v>
      </c>
      <c r="Q22" s="68">
        <v>4774</v>
      </c>
      <c r="R22" s="415">
        <v>2905</v>
      </c>
      <c r="S22" s="416">
        <v>1.4467000000000001</v>
      </c>
      <c r="T22" s="417">
        <v>0</v>
      </c>
      <c r="U22" s="423">
        <v>1.4467000000000001</v>
      </c>
      <c r="V22" s="424">
        <f t="shared" si="18"/>
        <v>0</v>
      </c>
      <c r="W22" s="418">
        <f t="shared" si="18"/>
        <v>0</v>
      </c>
      <c r="X22" s="418">
        <v>0</v>
      </c>
      <c r="Y22" s="418">
        <v>0</v>
      </c>
      <c r="Z22" s="418">
        <v>0</v>
      </c>
      <c r="AA22" s="418">
        <v>242078</v>
      </c>
      <c r="AB22" s="418">
        <v>0</v>
      </c>
      <c r="AC22" s="418">
        <v>0</v>
      </c>
      <c r="AD22" s="418">
        <f>V22+X22+Y22+Z22+AB22</f>
        <v>0</v>
      </c>
      <c r="AE22" s="418">
        <f>W22+AA22+AC22</f>
        <v>242078</v>
      </c>
      <c r="AF22" s="794">
        <f>SUM(AD22:AE22)</f>
        <v>242078</v>
      </c>
      <c r="AG22" s="780">
        <v>0</v>
      </c>
      <c r="AH22" s="418">
        <v>0</v>
      </c>
      <c r="AI22" s="418">
        <v>0</v>
      </c>
      <c r="AJ22" s="418">
        <v>0</v>
      </c>
      <c r="AK22" s="418">
        <v>0</v>
      </c>
      <c r="AL22" s="418">
        <f>AG22+AI22+AJ22</f>
        <v>0</v>
      </c>
      <c r="AM22" s="418">
        <f>AH22+AK22</f>
        <v>0</v>
      </c>
      <c r="AN22" s="418">
        <f>SUM(AL22:AM22)</f>
        <v>0</v>
      </c>
      <c r="AO22" s="418">
        <f t="shared" si="19"/>
        <v>0</v>
      </c>
      <c r="AP22" s="418">
        <f t="shared" si="19"/>
        <v>242078</v>
      </c>
      <c r="AQ22" s="418">
        <f>SUM(AO22:AP22)</f>
        <v>242078</v>
      </c>
      <c r="AR22" s="68">
        <f>ROUND((AF22+AG22+AH22+AI22)*33.8%,0)</f>
        <v>81822</v>
      </c>
      <c r="AS22" s="68">
        <f>ROUND(AF22*1%,0)</f>
        <v>2421</v>
      </c>
      <c r="AT22" s="418">
        <v>0</v>
      </c>
      <c r="AU22" s="418">
        <v>1411</v>
      </c>
      <c r="AV22" s="418">
        <f>AT22+AU22</f>
        <v>1411</v>
      </c>
      <c r="AW22" s="418">
        <f>AQ22+AR22+AS22+AV22</f>
        <v>327732</v>
      </c>
      <c r="AX22" s="419">
        <v>0</v>
      </c>
      <c r="AY22" s="419">
        <v>0</v>
      </c>
      <c r="AZ22" s="419">
        <v>0</v>
      </c>
      <c r="BA22" s="419">
        <v>0</v>
      </c>
      <c r="BB22" s="419">
        <v>0.72</v>
      </c>
      <c r="BC22" s="419">
        <v>0</v>
      </c>
      <c r="BD22" s="419">
        <v>0</v>
      </c>
      <c r="BE22" s="419">
        <v>0</v>
      </c>
      <c r="BF22" s="419">
        <f>AX22+AZ22+BA22+BC22+BD22</f>
        <v>0</v>
      </c>
      <c r="BG22" s="419">
        <f>AY22+BB22+BE22</f>
        <v>0.72</v>
      </c>
      <c r="BH22" s="894">
        <f>SUM(BF22:BG22)</f>
        <v>0.72</v>
      </c>
      <c r="BI22" s="424">
        <f>I22+AW22</f>
        <v>980924</v>
      </c>
      <c r="BJ22" s="418">
        <f>J22+AF22</f>
        <v>719524</v>
      </c>
      <c r="BK22" s="418">
        <f t="shared" si="20"/>
        <v>0</v>
      </c>
      <c r="BL22" s="418">
        <f t="shared" si="20"/>
        <v>719524</v>
      </c>
      <c r="BM22" s="418">
        <f>M22+AN22</f>
        <v>5000</v>
      </c>
      <c r="BN22" s="418">
        <f t="shared" si="21"/>
        <v>0</v>
      </c>
      <c r="BO22" s="418">
        <f t="shared" si="21"/>
        <v>5000</v>
      </c>
      <c r="BP22" s="418">
        <f t="shared" si="22"/>
        <v>244889</v>
      </c>
      <c r="BQ22" s="418">
        <f t="shared" si="22"/>
        <v>7195</v>
      </c>
      <c r="BR22" s="418">
        <f>R22+AV22</f>
        <v>4316</v>
      </c>
      <c r="BS22" s="419">
        <f>S22+BH22</f>
        <v>2.1667000000000001</v>
      </c>
      <c r="BT22" s="419">
        <f t="shared" si="23"/>
        <v>0</v>
      </c>
      <c r="BU22" s="421">
        <f t="shared" si="23"/>
        <v>2.1667000000000001</v>
      </c>
      <c r="BV22" s="511"/>
      <c r="BW22" s="415"/>
      <c r="BX22" s="415"/>
      <c r="BY22" s="415"/>
      <c r="BZ22" s="415"/>
      <c r="CA22" s="510"/>
    </row>
    <row r="23" spans="1:79" ht="12.95" customHeight="1" x14ac:dyDescent="0.25">
      <c r="A23" s="324">
        <v>3</v>
      </c>
      <c r="B23" s="325">
        <v>5450</v>
      </c>
      <c r="C23" s="326">
        <v>600098834</v>
      </c>
      <c r="D23" s="325">
        <v>70939322</v>
      </c>
      <c r="E23" s="327" t="s">
        <v>354</v>
      </c>
      <c r="F23" s="291"/>
      <c r="G23" s="329"/>
      <c r="H23" s="292"/>
      <c r="I23" s="472">
        <v>8165089</v>
      </c>
      <c r="J23" s="468">
        <v>5970658</v>
      </c>
      <c r="K23" s="468">
        <v>5054666</v>
      </c>
      <c r="L23" s="468">
        <v>915992</v>
      </c>
      <c r="M23" s="468">
        <v>66200</v>
      </c>
      <c r="N23" s="468">
        <v>56200</v>
      </c>
      <c r="O23" s="468">
        <v>10000</v>
      </c>
      <c r="P23" s="468">
        <v>2040459</v>
      </c>
      <c r="Q23" s="468">
        <v>59706</v>
      </c>
      <c r="R23" s="468">
        <v>28066</v>
      </c>
      <c r="S23" s="469">
        <v>12.246</v>
      </c>
      <c r="T23" s="469">
        <v>9.3060000000000009</v>
      </c>
      <c r="U23" s="532">
        <v>2.9400000000000004</v>
      </c>
      <c r="V23" s="472">
        <f t="shared" ref="V23:CA23" si="24">SUM(V20:V22)</f>
        <v>0</v>
      </c>
      <c r="W23" s="468">
        <f t="shared" si="24"/>
        <v>0</v>
      </c>
      <c r="X23" s="468">
        <f t="shared" si="24"/>
        <v>0</v>
      </c>
      <c r="Y23" s="468">
        <f t="shared" si="24"/>
        <v>0</v>
      </c>
      <c r="Z23" s="468">
        <f t="shared" si="24"/>
        <v>0</v>
      </c>
      <c r="AA23" s="468">
        <f t="shared" si="24"/>
        <v>242078</v>
      </c>
      <c r="AB23" s="468">
        <f t="shared" si="24"/>
        <v>0</v>
      </c>
      <c r="AC23" s="468">
        <f t="shared" si="24"/>
        <v>0</v>
      </c>
      <c r="AD23" s="468">
        <f t="shared" si="24"/>
        <v>0</v>
      </c>
      <c r="AE23" s="468">
        <f t="shared" si="24"/>
        <v>242078</v>
      </c>
      <c r="AF23" s="795">
        <f t="shared" si="24"/>
        <v>242078</v>
      </c>
      <c r="AG23" s="785">
        <f t="shared" si="24"/>
        <v>0</v>
      </c>
      <c r="AH23" s="468">
        <f t="shared" si="24"/>
        <v>0</v>
      </c>
      <c r="AI23" s="468">
        <f t="shared" si="24"/>
        <v>0</v>
      </c>
      <c r="AJ23" s="468">
        <f t="shared" si="24"/>
        <v>0</v>
      </c>
      <c r="AK23" s="468">
        <f t="shared" si="24"/>
        <v>0</v>
      </c>
      <c r="AL23" s="468">
        <f t="shared" si="24"/>
        <v>0</v>
      </c>
      <c r="AM23" s="468">
        <f t="shared" si="24"/>
        <v>0</v>
      </c>
      <c r="AN23" s="468">
        <f t="shared" si="24"/>
        <v>0</v>
      </c>
      <c r="AO23" s="468">
        <f t="shared" si="24"/>
        <v>0</v>
      </c>
      <c r="AP23" s="468">
        <f t="shared" si="24"/>
        <v>242078</v>
      </c>
      <c r="AQ23" s="468">
        <f t="shared" si="24"/>
        <v>242078</v>
      </c>
      <c r="AR23" s="468">
        <f t="shared" si="24"/>
        <v>81822</v>
      </c>
      <c r="AS23" s="468">
        <f t="shared" si="24"/>
        <v>2421</v>
      </c>
      <c r="AT23" s="468">
        <f t="shared" si="24"/>
        <v>0</v>
      </c>
      <c r="AU23" s="468">
        <f t="shared" si="24"/>
        <v>1411</v>
      </c>
      <c r="AV23" s="468">
        <f t="shared" si="24"/>
        <v>1411</v>
      </c>
      <c r="AW23" s="468">
        <f t="shared" si="24"/>
        <v>327732</v>
      </c>
      <c r="AX23" s="469">
        <f t="shared" si="24"/>
        <v>0</v>
      </c>
      <c r="AY23" s="469">
        <f t="shared" si="24"/>
        <v>0</v>
      </c>
      <c r="AZ23" s="469">
        <f t="shared" si="24"/>
        <v>0</v>
      </c>
      <c r="BA23" s="469">
        <f t="shared" si="24"/>
        <v>0</v>
      </c>
      <c r="BB23" s="469">
        <f t="shared" ref="BB23" si="25">SUM(BB20:BB22)</f>
        <v>0.72</v>
      </c>
      <c r="BC23" s="469">
        <f t="shared" si="24"/>
        <v>0</v>
      </c>
      <c r="BD23" s="469">
        <f t="shared" si="24"/>
        <v>0</v>
      </c>
      <c r="BE23" s="469">
        <f t="shared" ref="BE23" si="26">SUM(BE20:BE22)</f>
        <v>0</v>
      </c>
      <c r="BF23" s="469">
        <f t="shared" si="24"/>
        <v>0</v>
      </c>
      <c r="BG23" s="469">
        <f t="shared" si="24"/>
        <v>0.72</v>
      </c>
      <c r="BH23" s="532">
        <f t="shared" si="24"/>
        <v>0.72</v>
      </c>
      <c r="BI23" s="472">
        <f t="shared" si="24"/>
        <v>8492821</v>
      </c>
      <c r="BJ23" s="468">
        <f t="shared" si="24"/>
        <v>6212736</v>
      </c>
      <c r="BK23" s="468">
        <f t="shared" si="24"/>
        <v>5054666</v>
      </c>
      <c r="BL23" s="468">
        <f t="shared" si="24"/>
        <v>1158070</v>
      </c>
      <c r="BM23" s="468">
        <f t="shared" si="24"/>
        <v>66200</v>
      </c>
      <c r="BN23" s="468">
        <f t="shared" si="24"/>
        <v>56200</v>
      </c>
      <c r="BO23" s="468">
        <f t="shared" si="24"/>
        <v>10000</v>
      </c>
      <c r="BP23" s="468">
        <f t="shared" si="24"/>
        <v>2122281</v>
      </c>
      <c r="BQ23" s="468">
        <f t="shared" si="24"/>
        <v>62127</v>
      </c>
      <c r="BR23" s="468">
        <f t="shared" si="24"/>
        <v>29477</v>
      </c>
      <c r="BS23" s="469">
        <f t="shared" si="24"/>
        <v>12.966000000000001</v>
      </c>
      <c r="BT23" s="469">
        <f t="shared" si="24"/>
        <v>9.3060000000000009</v>
      </c>
      <c r="BU23" s="328">
        <f t="shared" si="24"/>
        <v>3.66</v>
      </c>
      <c r="BV23" s="886">
        <f t="shared" si="24"/>
        <v>0</v>
      </c>
      <c r="BW23" s="727">
        <f t="shared" si="24"/>
        <v>0</v>
      </c>
      <c r="BX23" s="727">
        <f t="shared" si="24"/>
        <v>0</v>
      </c>
      <c r="BY23" s="727">
        <f t="shared" si="24"/>
        <v>0</v>
      </c>
      <c r="BZ23" s="727">
        <f t="shared" si="24"/>
        <v>0</v>
      </c>
      <c r="CA23" s="859">
        <f t="shared" si="24"/>
        <v>0</v>
      </c>
    </row>
    <row r="24" spans="1:79" ht="12.95" customHeight="1" x14ac:dyDescent="0.25">
      <c r="A24" s="280">
        <v>4</v>
      </c>
      <c r="B24" s="321">
        <v>5447</v>
      </c>
      <c r="C24" s="330">
        <v>600099512</v>
      </c>
      <c r="D24" s="281">
        <v>854816</v>
      </c>
      <c r="E24" s="323" t="s">
        <v>355</v>
      </c>
      <c r="F24" s="281">
        <v>3233</v>
      </c>
      <c r="G24" s="323" t="s">
        <v>297</v>
      </c>
      <c r="H24" s="284" t="s">
        <v>272</v>
      </c>
      <c r="I24" s="420">
        <v>3970823</v>
      </c>
      <c r="J24" s="415">
        <v>2923630</v>
      </c>
      <c r="K24" s="415">
        <v>2491006</v>
      </c>
      <c r="L24" s="415">
        <v>432624</v>
      </c>
      <c r="M24" s="415">
        <v>20000</v>
      </c>
      <c r="N24" s="415">
        <v>15000</v>
      </c>
      <c r="O24" s="415">
        <v>5000</v>
      </c>
      <c r="P24" s="68">
        <v>994947</v>
      </c>
      <c r="Q24" s="68">
        <v>29236</v>
      </c>
      <c r="R24" s="415">
        <v>3010</v>
      </c>
      <c r="S24" s="416">
        <v>5.9</v>
      </c>
      <c r="T24" s="417">
        <v>4.5100000000000007</v>
      </c>
      <c r="U24" s="423">
        <v>1.39</v>
      </c>
      <c r="V24" s="424">
        <f>AG24*-1</f>
        <v>0</v>
      </c>
      <c r="W24" s="418">
        <f>AH24*-1</f>
        <v>0</v>
      </c>
      <c r="X24" s="418">
        <v>0</v>
      </c>
      <c r="Y24" s="418">
        <v>0</v>
      </c>
      <c r="Z24" s="418">
        <v>0</v>
      </c>
      <c r="AA24" s="418">
        <v>218812</v>
      </c>
      <c r="AB24" s="418">
        <v>0</v>
      </c>
      <c r="AC24" s="418">
        <v>0</v>
      </c>
      <c r="AD24" s="418">
        <f>V24+X24+Y24+Z24+AB24</f>
        <v>0</v>
      </c>
      <c r="AE24" s="418">
        <f>W24+AA24+AC24</f>
        <v>218812</v>
      </c>
      <c r="AF24" s="794">
        <f>SUM(AD24:AE24)</f>
        <v>218812</v>
      </c>
      <c r="AG24" s="780">
        <v>0</v>
      </c>
      <c r="AH24" s="418">
        <v>0</v>
      </c>
      <c r="AI24" s="418">
        <v>0</v>
      </c>
      <c r="AJ24" s="418">
        <v>0</v>
      </c>
      <c r="AK24" s="418">
        <v>0</v>
      </c>
      <c r="AL24" s="418">
        <f>AG24+AI24+AJ24</f>
        <v>0</v>
      </c>
      <c r="AM24" s="418">
        <f>AH24+AK24</f>
        <v>0</v>
      </c>
      <c r="AN24" s="418">
        <f>SUM(AL24:AM24)</f>
        <v>0</v>
      </c>
      <c r="AO24" s="418">
        <f>AD24+AL24</f>
        <v>0</v>
      </c>
      <c r="AP24" s="418">
        <f>AE24+AM24</f>
        <v>218812</v>
      </c>
      <c r="AQ24" s="418">
        <f>SUM(AO24:AP24)</f>
        <v>218812</v>
      </c>
      <c r="AR24" s="68">
        <f>ROUND((AF24+AG24+AH24+AI24)*33.8%,0)</f>
        <v>73958</v>
      </c>
      <c r="AS24" s="68">
        <f>ROUND(AF24*1%,0)</f>
        <v>2188</v>
      </c>
      <c r="AT24" s="418">
        <v>0</v>
      </c>
      <c r="AU24" s="418">
        <v>1204</v>
      </c>
      <c r="AV24" s="418">
        <f>AT24+AU24</f>
        <v>1204</v>
      </c>
      <c r="AW24" s="418">
        <f>AQ24+AR24+AS24+AV24</f>
        <v>296162</v>
      </c>
      <c r="AX24" s="419">
        <v>0</v>
      </c>
      <c r="AY24" s="419">
        <v>0</v>
      </c>
      <c r="AZ24" s="419">
        <v>0</v>
      </c>
      <c r="BA24" s="419">
        <v>0</v>
      </c>
      <c r="BB24" s="419">
        <v>0.7</v>
      </c>
      <c r="BC24" s="419">
        <v>0</v>
      </c>
      <c r="BD24" s="419">
        <v>0</v>
      </c>
      <c r="BE24" s="419">
        <v>0</v>
      </c>
      <c r="BF24" s="419">
        <f>AX24+AZ24+BA24+BC24+BD24</f>
        <v>0</v>
      </c>
      <c r="BG24" s="419">
        <f>AY24+BB24+BE24</f>
        <v>0.7</v>
      </c>
      <c r="BH24" s="894">
        <f>SUM(BF24:BG24)</f>
        <v>0.7</v>
      </c>
      <c r="BI24" s="424">
        <f>I24+AW24</f>
        <v>4266985</v>
      </c>
      <c r="BJ24" s="418">
        <f>J24+AF24</f>
        <v>3142442</v>
      </c>
      <c r="BK24" s="418">
        <f>K24+AD24</f>
        <v>2491006</v>
      </c>
      <c r="BL24" s="418">
        <f>L24+AE24</f>
        <v>651436</v>
      </c>
      <c r="BM24" s="418">
        <f>M24+AN24</f>
        <v>20000</v>
      </c>
      <c r="BN24" s="418">
        <f>N24+AL24</f>
        <v>15000</v>
      </c>
      <c r="BO24" s="418">
        <f>O24+AM24</f>
        <v>5000</v>
      </c>
      <c r="BP24" s="418">
        <f>P24+AR24</f>
        <v>1068905</v>
      </c>
      <c r="BQ24" s="418">
        <f>Q24+AS24</f>
        <v>31424</v>
      </c>
      <c r="BR24" s="418">
        <f>R24+AV24</f>
        <v>4214</v>
      </c>
      <c r="BS24" s="419">
        <f>S24+BH24</f>
        <v>6.6000000000000005</v>
      </c>
      <c r="BT24" s="419">
        <f>T24+BF24</f>
        <v>4.5100000000000007</v>
      </c>
      <c r="BU24" s="421">
        <f>U24+BG24</f>
        <v>2.09</v>
      </c>
      <c r="BV24" s="511"/>
      <c r="BW24" s="415"/>
      <c r="BX24" s="415"/>
      <c r="BY24" s="415"/>
      <c r="BZ24" s="415"/>
      <c r="CA24" s="510"/>
    </row>
    <row r="25" spans="1:79" ht="12.95" customHeight="1" x14ac:dyDescent="0.25">
      <c r="A25" s="324">
        <v>4</v>
      </c>
      <c r="B25" s="325">
        <v>5447</v>
      </c>
      <c r="C25" s="326">
        <v>600099512</v>
      </c>
      <c r="D25" s="325">
        <v>854816</v>
      </c>
      <c r="E25" s="327" t="s">
        <v>356</v>
      </c>
      <c r="F25" s="291"/>
      <c r="G25" s="329"/>
      <c r="H25" s="292"/>
      <c r="I25" s="472">
        <v>3970823</v>
      </c>
      <c r="J25" s="468">
        <v>2923630</v>
      </c>
      <c r="K25" s="468">
        <v>2491006</v>
      </c>
      <c r="L25" s="468">
        <v>432624</v>
      </c>
      <c r="M25" s="468">
        <v>20000</v>
      </c>
      <c r="N25" s="468">
        <v>15000</v>
      </c>
      <c r="O25" s="468">
        <v>5000</v>
      </c>
      <c r="P25" s="468">
        <v>994947</v>
      </c>
      <c r="Q25" s="468">
        <v>29236</v>
      </c>
      <c r="R25" s="468">
        <v>3010</v>
      </c>
      <c r="S25" s="469">
        <v>5.9</v>
      </c>
      <c r="T25" s="469">
        <v>4.5100000000000007</v>
      </c>
      <c r="U25" s="532">
        <v>1.39</v>
      </c>
      <c r="V25" s="472">
        <f t="shared" ref="V25:CA25" si="27">SUM(V24)</f>
        <v>0</v>
      </c>
      <c r="W25" s="468">
        <f t="shared" si="27"/>
        <v>0</v>
      </c>
      <c r="X25" s="468">
        <f t="shared" si="27"/>
        <v>0</v>
      </c>
      <c r="Y25" s="468">
        <f t="shared" si="27"/>
        <v>0</v>
      </c>
      <c r="Z25" s="468">
        <f t="shared" si="27"/>
        <v>0</v>
      </c>
      <c r="AA25" s="468">
        <f t="shared" si="27"/>
        <v>218812</v>
      </c>
      <c r="AB25" s="468">
        <f t="shared" si="27"/>
        <v>0</v>
      </c>
      <c r="AC25" s="468">
        <f t="shared" si="27"/>
        <v>0</v>
      </c>
      <c r="AD25" s="468">
        <f t="shared" si="27"/>
        <v>0</v>
      </c>
      <c r="AE25" s="468">
        <f t="shared" si="27"/>
        <v>218812</v>
      </c>
      <c r="AF25" s="795">
        <f t="shared" si="27"/>
        <v>218812</v>
      </c>
      <c r="AG25" s="785">
        <f t="shared" si="27"/>
        <v>0</v>
      </c>
      <c r="AH25" s="468">
        <f t="shared" si="27"/>
        <v>0</v>
      </c>
      <c r="AI25" s="468">
        <f t="shared" si="27"/>
        <v>0</v>
      </c>
      <c r="AJ25" s="468">
        <f t="shared" si="27"/>
        <v>0</v>
      </c>
      <c r="AK25" s="468">
        <f t="shared" si="27"/>
        <v>0</v>
      </c>
      <c r="AL25" s="468">
        <f t="shared" si="27"/>
        <v>0</v>
      </c>
      <c r="AM25" s="468">
        <f t="shared" si="27"/>
        <v>0</v>
      </c>
      <c r="AN25" s="468">
        <f t="shared" si="27"/>
        <v>0</v>
      </c>
      <c r="AO25" s="468">
        <f t="shared" si="27"/>
        <v>0</v>
      </c>
      <c r="AP25" s="468">
        <f t="shared" si="27"/>
        <v>218812</v>
      </c>
      <c r="AQ25" s="468">
        <f t="shared" si="27"/>
        <v>218812</v>
      </c>
      <c r="AR25" s="468">
        <f t="shared" si="27"/>
        <v>73958</v>
      </c>
      <c r="AS25" s="468">
        <f t="shared" si="27"/>
        <v>2188</v>
      </c>
      <c r="AT25" s="468">
        <f t="shared" si="27"/>
        <v>0</v>
      </c>
      <c r="AU25" s="468">
        <f t="shared" si="27"/>
        <v>1204</v>
      </c>
      <c r="AV25" s="468">
        <f t="shared" si="27"/>
        <v>1204</v>
      </c>
      <c r="AW25" s="468">
        <f t="shared" si="27"/>
        <v>296162</v>
      </c>
      <c r="AX25" s="469">
        <f t="shared" si="27"/>
        <v>0</v>
      </c>
      <c r="AY25" s="469">
        <f t="shared" si="27"/>
        <v>0</v>
      </c>
      <c r="AZ25" s="469">
        <f t="shared" si="27"/>
        <v>0</v>
      </c>
      <c r="BA25" s="469">
        <f t="shared" si="27"/>
        <v>0</v>
      </c>
      <c r="BB25" s="469">
        <f t="shared" ref="BB25" si="28">SUM(BB24)</f>
        <v>0.7</v>
      </c>
      <c r="BC25" s="469">
        <f t="shared" si="27"/>
        <v>0</v>
      </c>
      <c r="BD25" s="469">
        <f t="shared" si="27"/>
        <v>0</v>
      </c>
      <c r="BE25" s="469">
        <f t="shared" ref="BE25" si="29">SUM(BE24)</f>
        <v>0</v>
      </c>
      <c r="BF25" s="469">
        <f t="shared" si="27"/>
        <v>0</v>
      </c>
      <c r="BG25" s="469">
        <f t="shared" si="27"/>
        <v>0.7</v>
      </c>
      <c r="BH25" s="532">
        <f t="shared" si="27"/>
        <v>0.7</v>
      </c>
      <c r="BI25" s="472">
        <f t="shared" si="27"/>
        <v>4266985</v>
      </c>
      <c r="BJ25" s="468">
        <f t="shared" si="27"/>
        <v>3142442</v>
      </c>
      <c r="BK25" s="468">
        <f t="shared" si="27"/>
        <v>2491006</v>
      </c>
      <c r="BL25" s="468">
        <f t="shared" si="27"/>
        <v>651436</v>
      </c>
      <c r="BM25" s="468">
        <f t="shared" si="27"/>
        <v>20000</v>
      </c>
      <c r="BN25" s="468">
        <f t="shared" si="27"/>
        <v>15000</v>
      </c>
      <c r="BO25" s="468">
        <f t="shared" si="27"/>
        <v>5000</v>
      </c>
      <c r="BP25" s="468">
        <f t="shared" si="27"/>
        <v>1068905</v>
      </c>
      <c r="BQ25" s="468">
        <f t="shared" si="27"/>
        <v>31424</v>
      </c>
      <c r="BR25" s="468">
        <f t="shared" si="27"/>
        <v>4214</v>
      </c>
      <c r="BS25" s="469">
        <f t="shared" si="27"/>
        <v>6.6000000000000005</v>
      </c>
      <c r="BT25" s="469">
        <f t="shared" si="27"/>
        <v>4.5100000000000007</v>
      </c>
      <c r="BU25" s="328">
        <f t="shared" si="27"/>
        <v>2.09</v>
      </c>
      <c r="BV25" s="886">
        <f t="shared" si="27"/>
        <v>0</v>
      </c>
      <c r="BW25" s="727">
        <f t="shared" si="27"/>
        <v>0</v>
      </c>
      <c r="BX25" s="727">
        <f t="shared" si="27"/>
        <v>0</v>
      </c>
      <c r="BY25" s="727">
        <f t="shared" si="27"/>
        <v>0</v>
      </c>
      <c r="BZ25" s="727">
        <f t="shared" si="27"/>
        <v>0</v>
      </c>
      <c r="CA25" s="859">
        <f t="shared" si="27"/>
        <v>0</v>
      </c>
    </row>
    <row r="26" spans="1:79" ht="12.95" customHeight="1" x14ac:dyDescent="0.25">
      <c r="A26" s="280">
        <v>5</v>
      </c>
      <c r="B26" s="321">
        <v>5444</v>
      </c>
      <c r="C26" s="322">
        <v>600099296</v>
      </c>
      <c r="D26" s="281">
        <v>854824</v>
      </c>
      <c r="E26" s="323" t="s">
        <v>357</v>
      </c>
      <c r="F26" s="281">
        <v>3113</v>
      </c>
      <c r="G26" s="323" t="s">
        <v>308</v>
      </c>
      <c r="H26" s="284" t="s">
        <v>271</v>
      </c>
      <c r="I26" s="420">
        <v>16855228</v>
      </c>
      <c r="J26" s="415">
        <v>12166159</v>
      </c>
      <c r="K26" s="415">
        <v>10940572</v>
      </c>
      <c r="L26" s="415">
        <v>1225587</v>
      </c>
      <c r="M26" s="415">
        <v>164000</v>
      </c>
      <c r="N26" s="415">
        <v>140000</v>
      </c>
      <c r="O26" s="415">
        <v>24000</v>
      </c>
      <c r="P26" s="68">
        <v>4167595</v>
      </c>
      <c r="Q26" s="68">
        <v>121662</v>
      </c>
      <c r="R26" s="415">
        <v>235812</v>
      </c>
      <c r="S26" s="416">
        <v>19.011500000000002</v>
      </c>
      <c r="T26" s="417">
        <v>15.5181</v>
      </c>
      <c r="U26" s="423">
        <v>3.4934000000000003</v>
      </c>
      <c r="V26" s="424">
        <f t="shared" ref="V26:W31" si="30">AG26*-1</f>
        <v>0</v>
      </c>
      <c r="W26" s="418">
        <f t="shared" si="30"/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f t="shared" ref="AD26:AD31" si="31">V26+X26+Y26+Z26+AB26</f>
        <v>0</v>
      </c>
      <c r="AE26" s="418">
        <f t="shared" ref="AE26:AE31" si="32">W26+AA26+AC26</f>
        <v>0</v>
      </c>
      <c r="AF26" s="794">
        <f t="shared" ref="AF26:AF31" si="33">SUM(AD26:AE26)</f>
        <v>0</v>
      </c>
      <c r="AG26" s="780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f t="shared" ref="AL26:AL31" si="34">AG26+AI26+AJ26</f>
        <v>0</v>
      </c>
      <c r="AM26" s="418">
        <f t="shared" ref="AM26:AM31" si="35">AH26+AK26</f>
        <v>0</v>
      </c>
      <c r="AN26" s="418">
        <f t="shared" ref="AN26:AN31" si="36">SUM(AL26:AM26)</f>
        <v>0</v>
      </c>
      <c r="AO26" s="418">
        <f t="shared" ref="AO26:AP31" si="37">AD26+AL26</f>
        <v>0</v>
      </c>
      <c r="AP26" s="418">
        <f t="shared" si="37"/>
        <v>0</v>
      </c>
      <c r="AQ26" s="418">
        <f t="shared" ref="AQ26:AQ31" si="38">SUM(AO26:AP26)</f>
        <v>0</v>
      </c>
      <c r="AR26" s="68">
        <f t="shared" ref="AR26:AR31" si="39">ROUND((AF26+AG26+AH26+AI26)*33.8%,0)</f>
        <v>0</v>
      </c>
      <c r="AS26" s="68">
        <f t="shared" ref="AS26:AS31" si="40">ROUND(AF26*1%,0)</f>
        <v>0</v>
      </c>
      <c r="AT26" s="418">
        <v>0</v>
      </c>
      <c r="AU26" s="418">
        <v>0</v>
      </c>
      <c r="AV26" s="418">
        <f t="shared" ref="AV26:AV31" si="41">AT26+AU26</f>
        <v>0</v>
      </c>
      <c r="AW26" s="418">
        <f t="shared" ref="AW26:AW31" si="42">AQ26+AR26+AS26+AV26</f>
        <v>0</v>
      </c>
      <c r="AX26" s="419">
        <v>0</v>
      </c>
      <c r="AY26" s="419">
        <v>0</v>
      </c>
      <c r="AZ26" s="419">
        <v>0</v>
      </c>
      <c r="BA26" s="419">
        <v>0</v>
      </c>
      <c r="BB26" s="419">
        <v>0</v>
      </c>
      <c r="BC26" s="419">
        <v>0</v>
      </c>
      <c r="BD26" s="419">
        <v>0</v>
      </c>
      <c r="BE26" s="419">
        <v>0</v>
      </c>
      <c r="BF26" s="419">
        <f t="shared" ref="BF26:BF31" si="43">AX26+AZ26+BA26+BC26+BD26</f>
        <v>0</v>
      </c>
      <c r="BG26" s="419">
        <f t="shared" ref="BG26:BG31" si="44">AY26+BB26+BE26</f>
        <v>0</v>
      </c>
      <c r="BH26" s="894">
        <f t="shared" ref="BH26:BH31" si="45">SUM(BF26:BG26)</f>
        <v>0</v>
      </c>
      <c r="BI26" s="424">
        <f t="shared" ref="BI26:BI31" si="46">I26+AW26</f>
        <v>16855228</v>
      </c>
      <c r="BJ26" s="418">
        <f t="shared" ref="BJ26:BJ31" si="47">J26+AF26</f>
        <v>12166159</v>
      </c>
      <c r="BK26" s="418">
        <f t="shared" ref="BK26:BL31" si="48">K26+AD26</f>
        <v>10940572</v>
      </c>
      <c r="BL26" s="418">
        <f t="shared" si="48"/>
        <v>1225587</v>
      </c>
      <c r="BM26" s="418">
        <f t="shared" ref="BM26:BM31" si="49">M26+AN26</f>
        <v>164000</v>
      </c>
      <c r="BN26" s="418">
        <f t="shared" ref="BN26:BO31" si="50">N26+AL26</f>
        <v>140000</v>
      </c>
      <c r="BO26" s="418">
        <f t="shared" si="50"/>
        <v>24000</v>
      </c>
      <c r="BP26" s="418">
        <f t="shared" ref="BP26:BQ31" si="51">P26+AR26</f>
        <v>4167595</v>
      </c>
      <c r="BQ26" s="418">
        <f t="shared" si="51"/>
        <v>121662</v>
      </c>
      <c r="BR26" s="418">
        <f t="shared" ref="BR26:BR31" si="52">R26+AV26</f>
        <v>235812</v>
      </c>
      <c r="BS26" s="419">
        <f t="shared" ref="BS26:BS31" si="53">S26+BH26</f>
        <v>19.011500000000002</v>
      </c>
      <c r="BT26" s="419">
        <f t="shared" ref="BT26:BU31" si="54">T26+BF26</f>
        <v>15.5181</v>
      </c>
      <c r="BU26" s="421">
        <f t="shared" si="54"/>
        <v>3.4934000000000003</v>
      </c>
      <c r="BV26" s="511">
        <v>228082</v>
      </c>
      <c r="BW26" s="415">
        <v>169200</v>
      </c>
      <c r="BX26" s="415">
        <v>0</v>
      </c>
      <c r="BY26" s="415">
        <v>57190</v>
      </c>
      <c r="BZ26" s="415">
        <v>1692</v>
      </c>
      <c r="CA26" s="510">
        <v>0.3</v>
      </c>
    </row>
    <row r="27" spans="1:79" ht="12.95" customHeight="1" x14ac:dyDescent="0.25">
      <c r="A27" s="280">
        <v>5</v>
      </c>
      <c r="B27" s="321">
        <v>5444</v>
      </c>
      <c r="C27" s="322">
        <v>600099296</v>
      </c>
      <c r="D27" s="281">
        <v>854824</v>
      </c>
      <c r="E27" s="323" t="s">
        <v>357</v>
      </c>
      <c r="F27" s="281">
        <v>3113</v>
      </c>
      <c r="G27" s="323" t="s">
        <v>298</v>
      </c>
      <c r="H27" s="284" t="s">
        <v>272</v>
      </c>
      <c r="I27" s="420">
        <v>1321940</v>
      </c>
      <c r="J27" s="415">
        <v>977886</v>
      </c>
      <c r="K27" s="415">
        <v>977886</v>
      </c>
      <c r="L27" s="415">
        <v>0</v>
      </c>
      <c r="M27" s="415">
        <v>0</v>
      </c>
      <c r="N27" s="415">
        <v>0</v>
      </c>
      <c r="O27" s="415">
        <v>0</v>
      </c>
      <c r="P27" s="68">
        <v>330525</v>
      </c>
      <c r="Q27" s="68">
        <v>9779</v>
      </c>
      <c r="R27" s="415">
        <v>3750</v>
      </c>
      <c r="S27" s="416">
        <v>2.89</v>
      </c>
      <c r="T27" s="417">
        <v>2.89</v>
      </c>
      <c r="U27" s="423">
        <v>0</v>
      </c>
      <c r="V27" s="424">
        <f t="shared" si="30"/>
        <v>0</v>
      </c>
      <c r="W27" s="418">
        <f t="shared" si="30"/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f t="shared" si="31"/>
        <v>0</v>
      </c>
      <c r="AE27" s="418">
        <f t="shared" si="32"/>
        <v>0</v>
      </c>
      <c r="AF27" s="794">
        <f t="shared" si="33"/>
        <v>0</v>
      </c>
      <c r="AG27" s="780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f t="shared" si="34"/>
        <v>0</v>
      </c>
      <c r="AM27" s="418">
        <f t="shared" si="35"/>
        <v>0</v>
      </c>
      <c r="AN27" s="418">
        <f t="shared" si="36"/>
        <v>0</v>
      </c>
      <c r="AO27" s="418">
        <f t="shared" si="37"/>
        <v>0</v>
      </c>
      <c r="AP27" s="418">
        <f t="shared" si="37"/>
        <v>0</v>
      </c>
      <c r="AQ27" s="418">
        <f t="shared" si="38"/>
        <v>0</v>
      </c>
      <c r="AR27" s="68">
        <f t="shared" si="39"/>
        <v>0</v>
      </c>
      <c r="AS27" s="68">
        <f t="shared" si="40"/>
        <v>0</v>
      </c>
      <c r="AT27" s="418">
        <v>700</v>
      </c>
      <c r="AU27" s="418">
        <v>0</v>
      </c>
      <c r="AV27" s="418">
        <f t="shared" si="41"/>
        <v>700</v>
      </c>
      <c r="AW27" s="418">
        <f t="shared" si="42"/>
        <v>700</v>
      </c>
      <c r="AX27" s="419">
        <v>0</v>
      </c>
      <c r="AY27" s="419">
        <v>0</v>
      </c>
      <c r="AZ27" s="419">
        <v>0</v>
      </c>
      <c r="BA27" s="419">
        <v>0</v>
      </c>
      <c r="BB27" s="419">
        <v>0</v>
      </c>
      <c r="BC27" s="419">
        <v>0</v>
      </c>
      <c r="BD27" s="419">
        <v>0</v>
      </c>
      <c r="BE27" s="419">
        <v>0</v>
      </c>
      <c r="BF27" s="419">
        <f t="shared" si="43"/>
        <v>0</v>
      </c>
      <c r="BG27" s="419">
        <f t="shared" si="44"/>
        <v>0</v>
      </c>
      <c r="BH27" s="894">
        <f t="shared" si="45"/>
        <v>0</v>
      </c>
      <c r="BI27" s="424">
        <f t="shared" si="46"/>
        <v>1322640</v>
      </c>
      <c r="BJ27" s="418">
        <f t="shared" si="47"/>
        <v>977886</v>
      </c>
      <c r="BK27" s="418">
        <f t="shared" si="48"/>
        <v>977886</v>
      </c>
      <c r="BL27" s="418">
        <f t="shared" si="48"/>
        <v>0</v>
      </c>
      <c r="BM27" s="418">
        <f t="shared" si="49"/>
        <v>0</v>
      </c>
      <c r="BN27" s="418">
        <f t="shared" si="50"/>
        <v>0</v>
      </c>
      <c r="BO27" s="418">
        <f t="shared" si="50"/>
        <v>0</v>
      </c>
      <c r="BP27" s="418">
        <f t="shared" si="51"/>
        <v>330525</v>
      </c>
      <c r="BQ27" s="418">
        <f t="shared" si="51"/>
        <v>9779</v>
      </c>
      <c r="BR27" s="418">
        <f t="shared" si="52"/>
        <v>4450</v>
      </c>
      <c r="BS27" s="419">
        <f t="shared" si="53"/>
        <v>2.89</v>
      </c>
      <c r="BT27" s="419">
        <f t="shared" si="54"/>
        <v>2.89</v>
      </c>
      <c r="BU27" s="421">
        <f t="shared" si="54"/>
        <v>0</v>
      </c>
      <c r="BV27" s="511"/>
      <c r="BW27" s="415"/>
      <c r="BX27" s="415"/>
      <c r="BY27" s="415"/>
      <c r="BZ27" s="415"/>
      <c r="CA27" s="510"/>
    </row>
    <row r="28" spans="1:79" ht="12.95" customHeight="1" x14ac:dyDescent="0.25">
      <c r="A28" s="280">
        <v>5</v>
      </c>
      <c r="B28" s="321">
        <v>5444</v>
      </c>
      <c r="C28" s="322">
        <v>600099296</v>
      </c>
      <c r="D28" s="281">
        <v>854824</v>
      </c>
      <c r="E28" s="323" t="s">
        <v>357</v>
      </c>
      <c r="F28" s="281">
        <v>3122</v>
      </c>
      <c r="G28" s="323" t="s">
        <v>299</v>
      </c>
      <c r="H28" s="284" t="s">
        <v>271</v>
      </c>
      <c r="I28" s="420">
        <v>10399274</v>
      </c>
      <c r="J28" s="415">
        <v>7546920</v>
      </c>
      <c r="K28" s="415">
        <v>7314644</v>
      </c>
      <c r="L28" s="415">
        <v>232276</v>
      </c>
      <c r="M28" s="415">
        <v>128360</v>
      </c>
      <c r="N28" s="415">
        <v>128360</v>
      </c>
      <c r="O28" s="415">
        <v>0</v>
      </c>
      <c r="P28" s="68">
        <v>2594245</v>
      </c>
      <c r="Q28" s="68">
        <v>75469</v>
      </c>
      <c r="R28" s="415">
        <v>54280</v>
      </c>
      <c r="S28" s="416">
        <v>10.7186</v>
      </c>
      <c r="T28" s="417">
        <v>10.025400000000001</v>
      </c>
      <c r="U28" s="423">
        <v>0.69320000000000004</v>
      </c>
      <c r="V28" s="424">
        <f t="shared" si="30"/>
        <v>0</v>
      </c>
      <c r="W28" s="418">
        <f t="shared" si="30"/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f t="shared" si="31"/>
        <v>0</v>
      </c>
      <c r="AE28" s="418">
        <f t="shared" si="32"/>
        <v>0</v>
      </c>
      <c r="AF28" s="794">
        <f t="shared" si="33"/>
        <v>0</v>
      </c>
      <c r="AG28" s="780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f t="shared" si="34"/>
        <v>0</v>
      </c>
      <c r="AM28" s="418">
        <f t="shared" si="35"/>
        <v>0</v>
      </c>
      <c r="AN28" s="418">
        <f t="shared" si="36"/>
        <v>0</v>
      </c>
      <c r="AO28" s="418">
        <f t="shared" si="37"/>
        <v>0</v>
      </c>
      <c r="AP28" s="418">
        <f t="shared" si="37"/>
        <v>0</v>
      </c>
      <c r="AQ28" s="418">
        <f t="shared" si="38"/>
        <v>0</v>
      </c>
      <c r="AR28" s="68">
        <f t="shared" si="39"/>
        <v>0</v>
      </c>
      <c r="AS28" s="68">
        <f t="shared" si="40"/>
        <v>0</v>
      </c>
      <c r="AT28" s="418">
        <v>0</v>
      </c>
      <c r="AU28" s="418">
        <v>0</v>
      </c>
      <c r="AV28" s="418">
        <f t="shared" si="41"/>
        <v>0</v>
      </c>
      <c r="AW28" s="418">
        <f t="shared" si="42"/>
        <v>0</v>
      </c>
      <c r="AX28" s="419">
        <v>0</v>
      </c>
      <c r="AY28" s="419">
        <v>0</v>
      </c>
      <c r="AZ28" s="419">
        <v>0</v>
      </c>
      <c r="BA28" s="419">
        <v>0</v>
      </c>
      <c r="BB28" s="419">
        <v>0</v>
      </c>
      <c r="BC28" s="419">
        <v>0</v>
      </c>
      <c r="BD28" s="419">
        <v>0</v>
      </c>
      <c r="BE28" s="419">
        <v>0</v>
      </c>
      <c r="BF28" s="419">
        <f t="shared" si="43"/>
        <v>0</v>
      </c>
      <c r="BG28" s="419">
        <f t="shared" si="44"/>
        <v>0</v>
      </c>
      <c r="BH28" s="894">
        <f t="shared" si="45"/>
        <v>0</v>
      </c>
      <c r="BI28" s="424">
        <f t="shared" si="46"/>
        <v>10399274</v>
      </c>
      <c r="BJ28" s="418">
        <f t="shared" si="47"/>
        <v>7546920</v>
      </c>
      <c r="BK28" s="418">
        <f t="shared" si="48"/>
        <v>7314644</v>
      </c>
      <c r="BL28" s="418">
        <f t="shared" si="48"/>
        <v>232276</v>
      </c>
      <c r="BM28" s="418">
        <f t="shared" si="49"/>
        <v>128360</v>
      </c>
      <c r="BN28" s="418">
        <f t="shared" si="50"/>
        <v>128360</v>
      </c>
      <c r="BO28" s="418">
        <f t="shared" si="50"/>
        <v>0</v>
      </c>
      <c r="BP28" s="418">
        <f t="shared" si="51"/>
        <v>2594245</v>
      </c>
      <c r="BQ28" s="418">
        <f t="shared" si="51"/>
        <v>75469</v>
      </c>
      <c r="BR28" s="418">
        <f t="shared" si="52"/>
        <v>54280</v>
      </c>
      <c r="BS28" s="419">
        <f t="shared" si="53"/>
        <v>10.7186</v>
      </c>
      <c r="BT28" s="419">
        <f t="shared" si="54"/>
        <v>10.025400000000001</v>
      </c>
      <c r="BU28" s="421">
        <f t="shared" si="54"/>
        <v>0.69320000000000004</v>
      </c>
      <c r="BV28" s="511"/>
      <c r="BW28" s="415"/>
      <c r="BX28" s="415"/>
      <c r="BY28" s="415"/>
      <c r="BZ28" s="415"/>
      <c r="CA28" s="510"/>
    </row>
    <row r="29" spans="1:79" ht="12.95" customHeight="1" x14ac:dyDescent="0.25">
      <c r="A29" s="280">
        <v>5</v>
      </c>
      <c r="B29" s="321">
        <v>5444</v>
      </c>
      <c r="C29" s="322">
        <v>600099296</v>
      </c>
      <c r="D29" s="281">
        <v>854824</v>
      </c>
      <c r="E29" s="323" t="s">
        <v>357</v>
      </c>
      <c r="F29" s="281">
        <v>3141</v>
      </c>
      <c r="G29" s="323" t="s">
        <v>294</v>
      </c>
      <c r="H29" s="284" t="s">
        <v>272</v>
      </c>
      <c r="I29" s="420">
        <v>439576</v>
      </c>
      <c r="J29" s="415">
        <v>322375</v>
      </c>
      <c r="K29" s="415">
        <v>0</v>
      </c>
      <c r="L29" s="415">
        <v>322375</v>
      </c>
      <c r="M29" s="415">
        <v>0</v>
      </c>
      <c r="N29" s="415">
        <v>0</v>
      </c>
      <c r="O29" s="415">
        <v>0</v>
      </c>
      <c r="P29" s="68">
        <v>108963</v>
      </c>
      <c r="Q29" s="68">
        <v>3224</v>
      </c>
      <c r="R29" s="415">
        <v>5014</v>
      </c>
      <c r="S29" s="416">
        <v>0.9667</v>
      </c>
      <c r="T29" s="417">
        <v>0</v>
      </c>
      <c r="U29" s="423">
        <v>0.9667</v>
      </c>
      <c r="V29" s="424">
        <f t="shared" si="30"/>
        <v>0</v>
      </c>
      <c r="W29" s="418">
        <f t="shared" si="30"/>
        <v>0</v>
      </c>
      <c r="X29" s="418">
        <v>0</v>
      </c>
      <c r="Y29" s="418">
        <v>0</v>
      </c>
      <c r="Z29" s="418">
        <v>0</v>
      </c>
      <c r="AA29" s="418">
        <v>160883</v>
      </c>
      <c r="AB29" s="418">
        <v>0</v>
      </c>
      <c r="AC29" s="418">
        <v>0</v>
      </c>
      <c r="AD29" s="418">
        <f t="shared" si="31"/>
        <v>0</v>
      </c>
      <c r="AE29" s="418">
        <f t="shared" si="32"/>
        <v>160883</v>
      </c>
      <c r="AF29" s="794">
        <f t="shared" si="33"/>
        <v>160883</v>
      </c>
      <c r="AG29" s="780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f t="shared" si="34"/>
        <v>0</v>
      </c>
      <c r="AM29" s="418">
        <f t="shared" si="35"/>
        <v>0</v>
      </c>
      <c r="AN29" s="418">
        <f t="shared" si="36"/>
        <v>0</v>
      </c>
      <c r="AO29" s="418">
        <f t="shared" si="37"/>
        <v>0</v>
      </c>
      <c r="AP29" s="418">
        <f t="shared" si="37"/>
        <v>160883</v>
      </c>
      <c r="AQ29" s="418">
        <f t="shared" si="38"/>
        <v>160883</v>
      </c>
      <c r="AR29" s="68">
        <f t="shared" si="39"/>
        <v>54378</v>
      </c>
      <c r="AS29" s="68">
        <f t="shared" si="40"/>
        <v>1609</v>
      </c>
      <c r="AT29" s="418">
        <v>0</v>
      </c>
      <c r="AU29" s="418">
        <v>2398</v>
      </c>
      <c r="AV29" s="418">
        <f t="shared" si="41"/>
        <v>2398</v>
      </c>
      <c r="AW29" s="418">
        <f t="shared" si="42"/>
        <v>219268</v>
      </c>
      <c r="AX29" s="419">
        <v>0</v>
      </c>
      <c r="AY29" s="419">
        <v>0</v>
      </c>
      <c r="AZ29" s="419">
        <v>0</v>
      </c>
      <c r="BA29" s="419">
        <v>0</v>
      </c>
      <c r="BB29" s="419">
        <v>0.48</v>
      </c>
      <c r="BC29" s="419">
        <v>0</v>
      </c>
      <c r="BD29" s="419">
        <v>0</v>
      </c>
      <c r="BE29" s="419">
        <v>0</v>
      </c>
      <c r="BF29" s="419">
        <f t="shared" si="43"/>
        <v>0</v>
      </c>
      <c r="BG29" s="419">
        <f t="shared" si="44"/>
        <v>0.48</v>
      </c>
      <c r="BH29" s="894">
        <f t="shared" si="45"/>
        <v>0.48</v>
      </c>
      <c r="BI29" s="424">
        <f t="shared" si="46"/>
        <v>658844</v>
      </c>
      <c r="BJ29" s="418">
        <f t="shared" si="47"/>
        <v>483258</v>
      </c>
      <c r="BK29" s="418">
        <f t="shared" si="48"/>
        <v>0</v>
      </c>
      <c r="BL29" s="418">
        <f t="shared" si="48"/>
        <v>483258</v>
      </c>
      <c r="BM29" s="418">
        <f t="shared" si="49"/>
        <v>0</v>
      </c>
      <c r="BN29" s="418">
        <f t="shared" si="50"/>
        <v>0</v>
      </c>
      <c r="BO29" s="418">
        <f t="shared" si="50"/>
        <v>0</v>
      </c>
      <c r="BP29" s="418">
        <f t="shared" si="51"/>
        <v>163341</v>
      </c>
      <c r="BQ29" s="418">
        <f t="shared" si="51"/>
        <v>4833</v>
      </c>
      <c r="BR29" s="418">
        <f t="shared" si="52"/>
        <v>7412</v>
      </c>
      <c r="BS29" s="419">
        <f t="shared" si="53"/>
        <v>1.4466999999999999</v>
      </c>
      <c r="BT29" s="419">
        <f t="shared" si="54"/>
        <v>0</v>
      </c>
      <c r="BU29" s="421">
        <f t="shared" si="54"/>
        <v>1.4466999999999999</v>
      </c>
      <c r="BV29" s="511"/>
      <c r="BW29" s="415"/>
      <c r="BX29" s="415"/>
      <c r="BY29" s="415"/>
      <c r="BZ29" s="415"/>
      <c r="CA29" s="510"/>
    </row>
    <row r="30" spans="1:79" ht="12.95" customHeight="1" x14ac:dyDescent="0.25">
      <c r="A30" s="280">
        <v>5</v>
      </c>
      <c r="B30" s="321">
        <v>5444</v>
      </c>
      <c r="C30" s="322">
        <v>600099296</v>
      </c>
      <c r="D30" s="281">
        <v>854824</v>
      </c>
      <c r="E30" s="323" t="s">
        <v>357</v>
      </c>
      <c r="F30" s="281">
        <v>3143</v>
      </c>
      <c r="G30" s="323" t="s">
        <v>595</v>
      </c>
      <c r="H30" s="284" t="s">
        <v>271</v>
      </c>
      <c r="I30" s="420">
        <v>1765875</v>
      </c>
      <c r="J30" s="415">
        <v>1230590</v>
      </c>
      <c r="K30" s="415">
        <v>1230590</v>
      </c>
      <c r="L30" s="415">
        <v>0</v>
      </c>
      <c r="M30" s="415">
        <v>80000</v>
      </c>
      <c r="N30" s="415">
        <v>80000</v>
      </c>
      <c r="O30" s="415">
        <v>0</v>
      </c>
      <c r="P30" s="68">
        <v>442979</v>
      </c>
      <c r="Q30" s="68">
        <v>12306</v>
      </c>
      <c r="R30" s="415">
        <v>0</v>
      </c>
      <c r="S30" s="416">
        <v>2.7241</v>
      </c>
      <c r="T30" s="417">
        <v>2.7241</v>
      </c>
      <c r="U30" s="423">
        <v>0</v>
      </c>
      <c r="V30" s="424">
        <f t="shared" si="30"/>
        <v>0</v>
      </c>
      <c r="W30" s="418">
        <f t="shared" si="30"/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f t="shared" si="31"/>
        <v>0</v>
      </c>
      <c r="AE30" s="418">
        <f t="shared" si="32"/>
        <v>0</v>
      </c>
      <c r="AF30" s="794">
        <f t="shared" si="33"/>
        <v>0</v>
      </c>
      <c r="AG30" s="780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f t="shared" si="34"/>
        <v>0</v>
      </c>
      <c r="AM30" s="418">
        <f t="shared" si="35"/>
        <v>0</v>
      </c>
      <c r="AN30" s="418">
        <f t="shared" si="36"/>
        <v>0</v>
      </c>
      <c r="AO30" s="418">
        <f t="shared" si="37"/>
        <v>0</v>
      </c>
      <c r="AP30" s="418">
        <f t="shared" si="37"/>
        <v>0</v>
      </c>
      <c r="AQ30" s="418">
        <f t="shared" si="38"/>
        <v>0</v>
      </c>
      <c r="AR30" s="68">
        <f t="shared" si="39"/>
        <v>0</v>
      </c>
      <c r="AS30" s="68">
        <f t="shared" si="40"/>
        <v>0</v>
      </c>
      <c r="AT30" s="418">
        <v>0</v>
      </c>
      <c r="AU30" s="418">
        <v>0</v>
      </c>
      <c r="AV30" s="418">
        <f t="shared" si="41"/>
        <v>0</v>
      </c>
      <c r="AW30" s="418">
        <f t="shared" si="42"/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f t="shared" si="43"/>
        <v>0</v>
      </c>
      <c r="BG30" s="419">
        <f t="shared" si="44"/>
        <v>0</v>
      </c>
      <c r="BH30" s="894">
        <f t="shared" si="45"/>
        <v>0</v>
      </c>
      <c r="BI30" s="424">
        <f t="shared" si="46"/>
        <v>1765875</v>
      </c>
      <c r="BJ30" s="418">
        <f t="shared" si="47"/>
        <v>1230590</v>
      </c>
      <c r="BK30" s="418">
        <f t="shared" si="48"/>
        <v>1230590</v>
      </c>
      <c r="BL30" s="418">
        <f t="shared" si="48"/>
        <v>0</v>
      </c>
      <c r="BM30" s="418">
        <f t="shared" si="49"/>
        <v>80000</v>
      </c>
      <c r="BN30" s="418">
        <f t="shared" si="50"/>
        <v>80000</v>
      </c>
      <c r="BO30" s="418">
        <f t="shared" si="50"/>
        <v>0</v>
      </c>
      <c r="BP30" s="418">
        <f t="shared" si="51"/>
        <v>442979</v>
      </c>
      <c r="BQ30" s="418">
        <f t="shared" si="51"/>
        <v>12306</v>
      </c>
      <c r="BR30" s="418">
        <f t="shared" si="52"/>
        <v>0</v>
      </c>
      <c r="BS30" s="419">
        <f t="shared" si="53"/>
        <v>2.7241</v>
      </c>
      <c r="BT30" s="419">
        <f t="shared" si="54"/>
        <v>2.7241</v>
      </c>
      <c r="BU30" s="421">
        <f t="shared" si="54"/>
        <v>0</v>
      </c>
      <c r="BV30" s="511"/>
      <c r="BW30" s="415"/>
      <c r="BX30" s="415"/>
      <c r="BY30" s="415"/>
      <c r="BZ30" s="415"/>
      <c r="CA30" s="510"/>
    </row>
    <row r="31" spans="1:79" ht="12.95" customHeight="1" x14ac:dyDescent="0.25">
      <c r="A31" s="280">
        <v>5</v>
      </c>
      <c r="B31" s="321">
        <v>5444</v>
      </c>
      <c r="C31" s="322">
        <v>600099296</v>
      </c>
      <c r="D31" s="281">
        <v>854824</v>
      </c>
      <c r="E31" s="323" t="s">
        <v>357</v>
      </c>
      <c r="F31" s="281">
        <v>3143</v>
      </c>
      <c r="G31" s="323" t="s">
        <v>596</v>
      </c>
      <c r="H31" s="284" t="s">
        <v>272</v>
      </c>
      <c r="I31" s="420">
        <v>36883</v>
      </c>
      <c r="J31" s="415">
        <v>26400</v>
      </c>
      <c r="K31" s="415">
        <v>0</v>
      </c>
      <c r="L31" s="415">
        <v>26400</v>
      </c>
      <c r="M31" s="415">
        <v>0</v>
      </c>
      <c r="N31" s="415">
        <v>0</v>
      </c>
      <c r="O31" s="415">
        <v>0</v>
      </c>
      <c r="P31" s="68">
        <v>8923</v>
      </c>
      <c r="Q31" s="68">
        <v>264</v>
      </c>
      <c r="R31" s="415">
        <v>1296</v>
      </c>
      <c r="S31" s="416">
        <v>0.1</v>
      </c>
      <c r="T31" s="417">
        <v>0</v>
      </c>
      <c r="U31" s="423">
        <v>0.1</v>
      </c>
      <c r="V31" s="424">
        <f t="shared" si="30"/>
        <v>0</v>
      </c>
      <c r="W31" s="418">
        <f t="shared" si="30"/>
        <v>0</v>
      </c>
      <c r="X31" s="418">
        <v>0</v>
      </c>
      <c r="Y31" s="418">
        <v>0</v>
      </c>
      <c r="Z31" s="418">
        <v>0</v>
      </c>
      <c r="AA31" s="418">
        <v>13200</v>
      </c>
      <c r="AB31" s="418">
        <v>0</v>
      </c>
      <c r="AC31" s="418">
        <v>0</v>
      </c>
      <c r="AD31" s="418">
        <f t="shared" si="31"/>
        <v>0</v>
      </c>
      <c r="AE31" s="418">
        <f t="shared" si="32"/>
        <v>13200</v>
      </c>
      <c r="AF31" s="794">
        <f t="shared" si="33"/>
        <v>13200</v>
      </c>
      <c r="AG31" s="780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f t="shared" si="34"/>
        <v>0</v>
      </c>
      <c r="AM31" s="418">
        <f t="shared" si="35"/>
        <v>0</v>
      </c>
      <c r="AN31" s="418">
        <f t="shared" si="36"/>
        <v>0</v>
      </c>
      <c r="AO31" s="418">
        <f t="shared" si="37"/>
        <v>0</v>
      </c>
      <c r="AP31" s="418">
        <f t="shared" si="37"/>
        <v>13200</v>
      </c>
      <c r="AQ31" s="418">
        <f t="shared" si="38"/>
        <v>13200</v>
      </c>
      <c r="AR31" s="68">
        <f t="shared" si="39"/>
        <v>4462</v>
      </c>
      <c r="AS31" s="68">
        <f t="shared" si="40"/>
        <v>132</v>
      </c>
      <c r="AT31" s="418">
        <v>0</v>
      </c>
      <c r="AU31" s="418">
        <v>648</v>
      </c>
      <c r="AV31" s="418">
        <f t="shared" si="41"/>
        <v>648</v>
      </c>
      <c r="AW31" s="418">
        <f t="shared" si="42"/>
        <v>18442</v>
      </c>
      <c r="AX31" s="419">
        <v>0</v>
      </c>
      <c r="AY31" s="419">
        <v>0</v>
      </c>
      <c r="AZ31" s="419">
        <v>0</v>
      </c>
      <c r="BA31" s="419">
        <v>0</v>
      </c>
      <c r="BB31" s="419">
        <v>0.05</v>
      </c>
      <c r="BC31" s="419">
        <v>0</v>
      </c>
      <c r="BD31" s="419">
        <v>0</v>
      </c>
      <c r="BE31" s="419">
        <v>0</v>
      </c>
      <c r="BF31" s="419">
        <f t="shared" si="43"/>
        <v>0</v>
      </c>
      <c r="BG31" s="419">
        <f t="shared" si="44"/>
        <v>0.05</v>
      </c>
      <c r="BH31" s="894">
        <f t="shared" si="45"/>
        <v>0.05</v>
      </c>
      <c r="BI31" s="424">
        <f t="shared" si="46"/>
        <v>55325</v>
      </c>
      <c r="BJ31" s="418">
        <f t="shared" si="47"/>
        <v>39600</v>
      </c>
      <c r="BK31" s="418">
        <f t="shared" si="48"/>
        <v>0</v>
      </c>
      <c r="BL31" s="418">
        <f t="shared" si="48"/>
        <v>39600</v>
      </c>
      <c r="BM31" s="418">
        <f t="shared" si="49"/>
        <v>0</v>
      </c>
      <c r="BN31" s="418">
        <f t="shared" si="50"/>
        <v>0</v>
      </c>
      <c r="BO31" s="418">
        <f t="shared" si="50"/>
        <v>0</v>
      </c>
      <c r="BP31" s="418">
        <f t="shared" si="51"/>
        <v>13385</v>
      </c>
      <c r="BQ31" s="418">
        <f t="shared" si="51"/>
        <v>396</v>
      </c>
      <c r="BR31" s="418">
        <f t="shared" si="52"/>
        <v>1944</v>
      </c>
      <c r="BS31" s="419">
        <f t="shared" si="53"/>
        <v>0.15000000000000002</v>
      </c>
      <c r="BT31" s="419">
        <f t="shared" si="54"/>
        <v>0</v>
      </c>
      <c r="BU31" s="421">
        <f t="shared" si="54"/>
        <v>0.15000000000000002</v>
      </c>
      <c r="BV31" s="511"/>
      <c r="BW31" s="415"/>
      <c r="BX31" s="415"/>
      <c r="BY31" s="415"/>
      <c r="BZ31" s="415"/>
      <c r="CA31" s="510"/>
    </row>
    <row r="32" spans="1:79" ht="12.95" customHeight="1" x14ac:dyDescent="0.25">
      <c r="A32" s="324">
        <v>5</v>
      </c>
      <c r="B32" s="325">
        <v>5444</v>
      </c>
      <c r="C32" s="326">
        <v>600099296</v>
      </c>
      <c r="D32" s="325">
        <v>854824</v>
      </c>
      <c r="E32" s="327" t="s">
        <v>358</v>
      </c>
      <c r="F32" s="291"/>
      <c r="G32" s="329"/>
      <c r="H32" s="292"/>
      <c r="I32" s="472">
        <v>30818776</v>
      </c>
      <c r="J32" s="468">
        <v>22270330</v>
      </c>
      <c r="K32" s="468">
        <v>20463692</v>
      </c>
      <c r="L32" s="468">
        <v>1806638</v>
      </c>
      <c r="M32" s="468">
        <v>372360</v>
      </c>
      <c r="N32" s="468">
        <v>348360</v>
      </c>
      <c r="O32" s="468">
        <v>24000</v>
      </c>
      <c r="P32" s="468">
        <v>7653230</v>
      </c>
      <c r="Q32" s="468">
        <v>222704</v>
      </c>
      <c r="R32" s="468">
        <v>300152</v>
      </c>
      <c r="S32" s="469">
        <v>36.410900000000005</v>
      </c>
      <c r="T32" s="469">
        <v>31.157600000000002</v>
      </c>
      <c r="U32" s="532">
        <v>5.2533000000000003</v>
      </c>
      <c r="V32" s="472">
        <f t="shared" ref="V32:CA32" si="55">SUM(V26:V31)</f>
        <v>0</v>
      </c>
      <c r="W32" s="468">
        <f t="shared" si="55"/>
        <v>0</v>
      </c>
      <c r="X32" s="468">
        <f t="shared" si="55"/>
        <v>0</v>
      </c>
      <c r="Y32" s="468">
        <f t="shared" si="55"/>
        <v>0</v>
      </c>
      <c r="Z32" s="468">
        <f t="shared" si="55"/>
        <v>0</v>
      </c>
      <c r="AA32" s="468">
        <f t="shared" si="55"/>
        <v>174083</v>
      </c>
      <c r="AB32" s="468">
        <f t="shared" si="55"/>
        <v>0</v>
      </c>
      <c r="AC32" s="468">
        <f t="shared" si="55"/>
        <v>0</v>
      </c>
      <c r="AD32" s="468">
        <f t="shared" si="55"/>
        <v>0</v>
      </c>
      <c r="AE32" s="468">
        <f t="shared" si="55"/>
        <v>174083</v>
      </c>
      <c r="AF32" s="795">
        <f t="shared" si="55"/>
        <v>174083</v>
      </c>
      <c r="AG32" s="785">
        <f t="shared" si="55"/>
        <v>0</v>
      </c>
      <c r="AH32" s="468">
        <f t="shared" si="55"/>
        <v>0</v>
      </c>
      <c r="AI32" s="468">
        <f t="shared" si="55"/>
        <v>0</v>
      </c>
      <c r="AJ32" s="468">
        <f t="shared" si="55"/>
        <v>0</v>
      </c>
      <c r="AK32" s="468">
        <f t="shared" si="55"/>
        <v>0</v>
      </c>
      <c r="AL32" s="468">
        <f t="shared" si="55"/>
        <v>0</v>
      </c>
      <c r="AM32" s="468">
        <f t="shared" si="55"/>
        <v>0</v>
      </c>
      <c r="AN32" s="468">
        <f t="shared" si="55"/>
        <v>0</v>
      </c>
      <c r="AO32" s="468">
        <f t="shared" si="55"/>
        <v>0</v>
      </c>
      <c r="AP32" s="468">
        <f t="shared" si="55"/>
        <v>174083</v>
      </c>
      <c r="AQ32" s="468">
        <f t="shared" si="55"/>
        <v>174083</v>
      </c>
      <c r="AR32" s="468">
        <f t="shared" si="55"/>
        <v>58840</v>
      </c>
      <c r="AS32" s="468">
        <f t="shared" si="55"/>
        <v>1741</v>
      </c>
      <c r="AT32" s="468">
        <f t="shared" si="55"/>
        <v>700</v>
      </c>
      <c r="AU32" s="468">
        <f t="shared" si="55"/>
        <v>3046</v>
      </c>
      <c r="AV32" s="468">
        <f t="shared" si="55"/>
        <v>3746</v>
      </c>
      <c r="AW32" s="468">
        <f t="shared" si="55"/>
        <v>238410</v>
      </c>
      <c r="AX32" s="469">
        <f t="shared" si="55"/>
        <v>0</v>
      </c>
      <c r="AY32" s="469">
        <f t="shared" si="55"/>
        <v>0</v>
      </c>
      <c r="AZ32" s="469">
        <f t="shared" si="55"/>
        <v>0</v>
      </c>
      <c r="BA32" s="469">
        <f t="shared" si="55"/>
        <v>0</v>
      </c>
      <c r="BB32" s="469">
        <f t="shared" ref="BB32" si="56">SUM(BB26:BB31)</f>
        <v>0.53</v>
      </c>
      <c r="BC32" s="469">
        <f t="shared" si="55"/>
        <v>0</v>
      </c>
      <c r="BD32" s="469">
        <f t="shared" si="55"/>
        <v>0</v>
      </c>
      <c r="BE32" s="469">
        <f t="shared" ref="BE32" si="57">SUM(BE26:BE31)</f>
        <v>0</v>
      </c>
      <c r="BF32" s="469">
        <f t="shared" si="55"/>
        <v>0</v>
      </c>
      <c r="BG32" s="469">
        <f t="shared" si="55"/>
        <v>0.53</v>
      </c>
      <c r="BH32" s="532">
        <f t="shared" si="55"/>
        <v>0.53</v>
      </c>
      <c r="BI32" s="472">
        <f t="shared" si="55"/>
        <v>31057186</v>
      </c>
      <c r="BJ32" s="468">
        <f t="shared" si="55"/>
        <v>22444413</v>
      </c>
      <c r="BK32" s="468">
        <f t="shared" si="55"/>
        <v>20463692</v>
      </c>
      <c r="BL32" s="468">
        <f t="shared" si="55"/>
        <v>1980721</v>
      </c>
      <c r="BM32" s="468">
        <f t="shared" si="55"/>
        <v>372360</v>
      </c>
      <c r="BN32" s="468">
        <f t="shared" si="55"/>
        <v>348360</v>
      </c>
      <c r="BO32" s="468">
        <f t="shared" si="55"/>
        <v>24000</v>
      </c>
      <c r="BP32" s="468">
        <f t="shared" si="55"/>
        <v>7712070</v>
      </c>
      <c r="BQ32" s="468">
        <f t="shared" si="55"/>
        <v>224445</v>
      </c>
      <c r="BR32" s="468">
        <f t="shared" si="55"/>
        <v>303898</v>
      </c>
      <c r="BS32" s="469">
        <f t="shared" si="55"/>
        <v>36.940899999999999</v>
      </c>
      <c r="BT32" s="469">
        <f t="shared" si="55"/>
        <v>31.157600000000002</v>
      </c>
      <c r="BU32" s="328">
        <f t="shared" si="55"/>
        <v>5.7833000000000006</v>
      </c>
      <c r="BV32" s="886">
        <f t="shared" si="55"/>
        <v>228082</v>
      </c>
      <c r="BW32" s="727">
        <f t="shared" si="55"/>
        <v>169200</v>
      </c>
      <c r="BX32" s="727">
        <f t="shared" si="55"/>
        <v>0</v>
      </c>
      <c r="BY32" s="727">
        <f t="shared" si="55"/>
        <v>57190</v>
      </c>
      <c r="BZ32" s="727">
        <f t="shared" si="55"/>
        <v>1692</v>
      </c>
      <c r="CA32" s="859">
        <f t="shared" si="55"/>
        <v>0.3</v>
      </c>
    </row>
    <row r="33" spans="1:79" ht="12.95" customHeight="1" x14ac:dyDescent="0.25">
      <c r="A33" s="280">
        <v>6</v>
      </c>
      <c r="B33" s="321">
        <v>5449</v>
      </c>
      <c r="C33" s="322">
        <v>600099458</v>
      </c>
      <c r="D33" s="281">
        <v>70188408</v>
      </c>
      <c r="E33" s="323" t="s">
        <v>359</v>
      </c>
      <c r="F33" s="281">
        <v>3114</v>
      </c>
      <c r="G33" s="331" t="s">
        <v>525</v>
      </c>
      <c r="H33" s="284" t="s">
        <v>271</v>
      </c>
      <c r="I33" s="420">
        <v>12103001</v>
      </c>
      <c r="J33" s="415">
        <v>8723120</v>
      </c>
      <c r="K33" s="415">
        <v>7962926</v>
      </c>
      <c r="L33" s="415">
        <v>760194</v>
      </c>
      <c r="M33" s="415">
        <v>195920</v>
      </c>
      <c r="N33" s="415">
        <v>155920</v>
      </c>
      <c r="O33" s="415">
        <v>40000</v>
      </c>
      <c r="P33" s="68">
        <v>3014636</v>
      </c>
      <c r="Q33" s="68">
        <v>87230</v>
      </c>
      <c r="R33" s="415">
        <v>82095</v>
      </c>
      <c r="S33" s="416">
        <v>12.547899999999998</v>
      </c>
      <c r="T33" s="417">
        <v>10.374599999999999</v>
      </c>
      <c r="U33" s="423">
        <v>2.1732999999999998</v>
      </c>
      <c r="V33" s="424">
        <f t="shared" ref="V33:W37" si="58">AG33*-1</f>
        <v>0</v>
      </c>
      <c r="W33" s="418">
        <f t="shared" si="58"/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f>V33+X33+Y33+Z33+AB33</f>
        <v>0</v>
      </c>
      <c r="AE33" s="418">
        <f>W33+AA33+AC33</f>
        <v>0</v>
      </c>
      <c r="AF33" s="794">
        <f>SUM(AD33:AE33)</f>
        <v>0</v>
      </c>
      <c r="AG33" s="780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f>AG33+AI33+AJ33</f>
        <v>0</v>
      </c>
      <c r="AM33" s="418">
        <f>AH33+AK33</f>
        <v>0</v>
      </c>
      <c r="AN33" s="418">
        <f>SUM(AL33:AM33)</f>
        <v>0</v>
      </c>
      <c r="AO33" s="418">
        <f t="shared" ref="AO33:AP37" si="59">AD33+AL33</f>
        <v>0</v>
      </c>
      <c r="AP33" s="418">
        <f t="shared" si="59"/>
        <v>0</v>
      </c>
      <c r="AQ33" s="418">
        <f>SUM(AO33:AP33)</f>
        <v>0</v>
      </c>
      <c r="AR33" s="68">
        <f>ROUND((AF33+AG33+AH33+AI33)*33.8%,0)</f>
        <v>0</v>
      </c>
      <c r="AS33" s="68">
        <f>ROUND(AF33*1%,0)</f>
        <v>0</v>
      </c>
      <c r="AT33" s="418">
        <v>0</v>
      </c>
      <c r="AU33" s="418">
        <v>0</v>
      </c>
      <c r="AV33" s="418">
        <f>AT33+AU33</f>
        <v>0</v>
      </c>
      <c r="AW33" s="418">
        <f>AQ33+AR33+AS33+AV33</f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f>AX33+AZ33+BA33+BC33+BD33</f>
        <v>0</v>
      </c>
      <c r="BG33" s="419">
        <f>AY33+BB33+BE33</f>
        <v>0</v>
      </c>
      <c r="BH33" s="894">
        <f>SUM(BF33:BG33)</f>
        <v>0</v>
      </c>
      <c r="BI33" s="424">
        <f>I33+AW33</f>
        <v>12103001</v>
      </c>
      <c r="BJ33" s="418">
        <f>J33+AF33</f>
        <v>8723120</v>
      </c>
      <c r="BK33" s="418">
        <f t="shared" ref="BK33:BL37" si="60">K33+AD33</f>
        <v>7962926</v>
      </c>
      <c r="BL33" s="418">
        <f t="shared" si="60"/>
        <v>760194</v>
      </c>
      <c r="BM33" s="418">
        <f>M33+AN33</f>
        <v>195920</v>
      </c>
      <c r="BN33" s="418">
        <f t="shared" ref="BN33:BO37" si="61">N33+AL33</f>
        <v>155920</v>
      </c>
      <c r="BO33" s="418">
        <f t="shared" si="61"/>
        <v>40000</v>
      </c>
      <c r="BP33" s="418">
        <f t="shared" ref="BP33:BQ37" si="62">P33+AR33</f>
        <v>3014636</v>
      </c>
      <c r="BQ33" s="418">
        <f t="shared" si="62"/>
        <v>87230</v>
      </c>
      <c r="BR33" s="418">
        <f>R33+AV33</f>
        <v>82095</v>
      </c>
      <c r="BS33" s="419">
        <f>S33+BH33</f>
        <v>12.547899999999998</v>
      </c>
      <c r="BT33" s="419">
        <f t="shared" ref="BT33:BU37" si="63">T33+BF33</f>
        <v>10.374599999999999</v>
      </c>
      <c r="BU33" s="421">
        <f t="shared" si="63"/>
        <v>2.1732999999999998</v>
      </c>
      <c r="BV33" s="511"/>
      <c r="BW33" s="415"/>
      <c r="BX33" s="415"/>
      <c r="BY33" s="415"/>
      <c r="BZ33" s="415"/>
      <c r="CA33" s="510"/>
    </row>
    <row r="34" spans="1:79" ht="12.95" customHeight="1" x14ac:dyDescent="0.25">
      <c r="A34" s="280">
        <v>6</v>
      </c>
      <c r="B34" s="321">
        <v>5449</v>
      </c>
      <c r="C34" s="322">
        <v>600099458</v>
      </c>
      <c r="D34" s="281">
        <v>70188408</v>
      </c>
      <c r="E34" s="323" t="s">
        <v>359</v>
      </c>
      <c r="F34" s="281">
        <v>3114</v>
      </c>
      <c r="G34" s="331" t="s">
        <v>292</v>
      </c>
      <c r="H34" s="284" t="s">
        <v>271</v>
      </c>
      <c r="I34" s="420">
        <v>2241692</v>
      </c>
      <c r="J34" s="415">
        <v>1662976</v>
      </c>
      <c r="K34" s="415">
        <v>1662976</v>
      </c>
      <c r="L34" s="415">
        <v>0</v>
      </c>
      <c r="M34" s="415">
        <v>0</v>
      </c>
      <c r="N34" s="415">
        <v>0</v>
      </c>
      <c r="O34" s="415">
        <v>0</v>
      </c>
      <c r="P34" s="68">
        <v>562086</v>
      </c>
      <c r="Q34" s="68">
        <v>16630</v>
      </c>
      <c r="R34" s="415">
        <v>0</v>
      </c>
      <c r="S34" s="416">
        <v>3.9666000000000001</v>
      </c>
      <c r="T34" s="417">
        <v>3.9666000000000001</v>
      </c>
      <c r="U34" s="423">
        <v>0</v>
      </c>
      <c r="V34" s="424">
        <f t="shared" si="58"/>
        <v>0</v>
      </c>
      <c r="W34" s="418">
        <f t="shared" si="58"/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f>V34+X34+Y34+Z34+AB34</f>
        <v>0</v>
      </c>
      <c r="AE34" s="418">
        <f>W34+AA34+AC34</f>
        <v>0</v>
      </c>
      <c r="AF34" s="794">
        <f>SUM(AD34:AE34)</f>
        <v>0</v>
      </c>
      <c r="AG34" s="780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f>AG34+AI34+AJ34</f>
        <v>0</v>
      </c>
      <c r="AM34" s="418">
        <f>AH34+AK34</f>
        <v>0</v>
      </c>
      <c r="AN34" s="418">
        <f>SUM(AL34:AM34)</f>
        <v>0</v>
      </c>
      <c r="AO34" s="418">
        <f t="shared" si="59"/>
        <v>0</v>
      </c>
      <c r="AP34" s="418">
        <f t="shared" si="59"/>
        <v>0</v>
      </c>
      <c r="AQ34" s="418">
        <f>SUM(AO34:AP34)</f>
        <v>0</v>
      </c>
      <c r="AR34" s="68">
        <f>ROUND((AF34+AG34+AH34+AI34)*33.8%,0)</f>
        <v>0</v>
      </c>
      <c r="AS34" s="68">
        <f>ROUND(AF34*1%,0)</f>
        <v>0</v>
      </c>
      <c r="AT34" s="418">
        <v>0</v>
      </c>
      <c r="AU34" s="418">
        <v>0</v>
      </c>
      <c r="AV34" s="418">
        <f>AT34+AU34</f>
        <v>0</v>
      </c>
      <c r="AW34" s="418">
        <f>AQ34+AR34+AS34+AV34</f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f>AX34+AZ34+BA34+BC34+BD34</f>
        <v>0</v>
      </c>
      <c r="BG34" s="419">
        <f>AY34+BB34+BE34</f>
        <v>0</v>
      </c>
      <c r="BH34" s="894">
        <f>SUM(BF34:BG34)</f>
        <v>0</v>
      </c>
      <c r="BI34" s="424">
        <f>I34+AW34</f>
        <v>2241692</v>
      </c>
      <c r="BJ34" s="418">
        <f>J34+AF34</f>
        <v>1662976</v>
      </c>
      <c r="BK34" s="418">
        <f t="shared" si="60"/>
        <v>1662976</v>
      </c>
      <c r="BL34" s="418">
        <f t="shared" si="60"/>
        <v>0</v>
      </c>
      <c r="BM34" s="418">
        <f>M34+AN34</f>
        <v>0</v>
      </c>
      <c r="BN34" s="418">
        <f t="shared" si="61"/>
        <v>0</v>
      </c>
      <c r="BO34" s="418">
        <f t="shared" si="61"/>
        <v>0</v>
      </c>
      <c r="BP34" s="418">
        <f t="shared" si="62"/>
        <v>562086</v>
      </c>
      <c r="BQ34" s="418">
        <f t="shared" si="62"/>
        <v>16630</v>
      </c>
      <c r="BR34" s="418">
        <f>R34+AV34</f>
        <v>0</v>
      </c>
      <c r="BS34" s="419">
        <f>S34+BH34</f>
        <v>3.9666000000000001</v>
      </c>
      <c r="BT34" s="419">
        <f t="shared" si="63"/>
        <v>3.9666000000000001</v>
      </c>
      <c r="BU34" s="421">
        <f t="shared" si="63"/>
        <v>0</v>
      </c>
      <c r="BV34" s="511"/>
      <c r="BW34" s="415"/>
      <c r="BX34" s="415"/>
      <c r="BY34" s="415"/>
      <c r="BZ34" s="415"/>
      <c r="CA34" s="510"/>
    </row>
    <row r="35" spans="1:79" ht="12.95" customHeight="1" x14ac:dyDescent="0.25">
      <c r="A35" s="280">
        <v>6</v>
      </c>
      <c r="B35" s="321">
        <v>5449</v>
      </c>
      <c r="C35" s="322">
        <v>600099458</v>
      </c>
      <c r="D35" s="281">
        <v>70188408</v>
      </c>
      <c r="E35" s="323" t="s">
        <v>359</v>
      </c>
      <c r="F35" s="281">
        <v>3143</v>
      </c>
      <c r="G35" s="323" t="s">
        <v>595</v>
      </c>
      <c r="H35" s="284" t="s">
        <v>271</v>
      </c>
      <c r="I35" s="420">
        <v>522330</v>
      </c>
      <c r="J35" s="415">
        <v>387485</v>
      </c>
      <c r="K35" s="415">
        <v>387485</v>
      </c>
      <c r="L35" s="415">
        <v>0</v>
      </c>
      <c r="M35" s="415">
        <v>0</v>
      </c>
      <c r="N35" s="415">
        <v>0</v>
      </c>
      <c r="O35" s="415">
        <v>0</v>
      </c>
      <c r="P35" s="68">
        <v>130970</v>
      </c>
      <c r="Q35" s="68">
        <v>3875</v>
      </c>
      <c r="R35" s="415">
        <v>0</v>
      </c>
      <c r="S35" s="416">
        <v>0.83330000000000004</v>
      </c>
      <c r="T35" s="417">
        <v>0.83330000000000004</v>
      </c>
      <c r="U35" s="423">
        <v>0</v>
      </c>
      <c r="V35" s="424">
        <f t="shared" si="58"/>
        <v>0</v>
      </c>
      <c r="W35" s="418">
        <f t="shared" si="58"/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f>V35+X35+Y35+Z35+AB35</f>
        <v>0</v>
      </c>
      <c r="AE35" s="418">
        <f>W35+AA35+AC35</f>
        <v>0</v>
      </c>
      <c r="AF35" s="794">
        <f>SUM(AD35:AE35)</f>
        <v>0</v>
      </c>
      <c r="AG35" s="780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f>AG35+AI35+AJ35</f>
        <v>0</v>
      </c>
      <c r="AM35" s="418">
        <f>AH35+AK35</f>
        <v>0</v>
      </c>
      <c r="AN35" s="418">
        <f>SUM(AL35:AM35)</f>
        <v>0</v>
      </c>
      <c r="AO35" s="418">
        <f t="shared" si="59"/>
        <v>0</v>
      </c>
      <c r="AP35" s="418">
        <f t="shared" si="59"/>
        <v>0</v>
      </c>
      <c r="AQ35" s="418">
        <f>SUM(AO35:AP35)</f>
        <v>0</v>
      </c>
      <c r="AR35" s="68">
        <f>ROUND((AF35+AG35+AH35+AI35)*33.8%,0)</f>
        <v>0</v>
      </c>
      <c r="AS35" s="68">
        <f>ROUND(AF35*1%,0)</f>
        <v>0</v>
      </c>
      <c r="AT35" s="418">
        <v>0</v>
      </c>
      <c r="AU35" s="418">
        <v>0</v>
      </c>
      <c r="AV35" s="418">
        <f>AT35+AU35</f>
        <v>0</v>
      </c>
      <c r="AW35" s="418">
        <f>AQ35+AR35+AS35+AV35</f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f>AX35+AZ35+BA35+BC35+BD35</f>
        <v>0</v>
      </c>
      <c r="BG35" s="419">
        <f>AY35+BB35+BE35</f>
        <v>0</v>
      </c>
      <c r="BH35" s="894">
        <f>SUM(BF35:BG35)</f>
        <v>0</v>
      </c>
      <c r="BI35" s="424">
        <f>I35+AW35</f>
        <v>522330</v>
      </c>
      <c r="BJ35" s="418">
        <f>J35+AF35</f>
        <v>387485</v>
      </c>
      <c r="BK35" s="418">
        <f t="shared" si="60"/>
        <v>387485</v>
      </c>
      <c r="BL35" s="418">
        <f t="shared" si="60"/>
        <v>0</v>
      </c>
      <c r="BM35" s="418">
        <f>M35+AN35</f>
        <v>0</v>
      </c>
      <c r="BN35" s="418">
        <f t="shared" si="61"/>
        <v>0</v>
      </c>
      <c r="BO35" s="418">
        <f t="shared" si="61"/>
        <v>0</v>
      </c>
      <c r="BP35" s="418">
        <f t="shared" si="62"/>
        <v>130970</v>
      </c>
      <c r="BQ35" s="418">
        <f t="shared" si="62"/>
        <v>3875</v>
      </c>
      <c r="BR35" s="418">
        <f>R35+AV35</f>
        <v>0</v>
      </c>
      <c r="BS35" s="419">
        <f>S35+BH35</f>
        <v>0.83330000000000004</v>
      </c>
      <c r="BT35" s="419">
        <f t="shared" si="63"/>
        <v>0.83330000000000004</v>
      </c>
      <c r="BU35" s="421">
        <f t="shared" si="63"/>
        <v>0</v>
      </c>
      <c r="BV35" s="511"/>
      <c r="BW35" s="415"/>
      <c r="BX35" s="415"/>
      <c r="BY35" s="415"/>
      <c r="BZ35" s="415"/>
      <c r="CA35" s="510"/>
    </row>
    <row r="36" spans="1:79" ht="12.95" customHeight="1" x14ac:dyDescent="0.25">
      <c r="A36" s="280">
        <v>6</v>
      </c>
      <c r="B36" s="321">
        <v>5449</v>
      </c>
      <c r="C36" s="322">
        <v>600099458</v>
      </c>
      <c r="D36" s="281">
        <v>70188408</v>
      </c>
      <c r="E36" s="323" t="s">
        <v>359</v>
      </c>
      <c r="F36" s="281">
        <v>3143</v>
      </c>
      <c r="G36" s="323" t="s">
        <v>765</v>
      </c>
      <c r="H36" s="284" t="s">
        <v>271</v>
      </c>
      <c r="I36" s="420">
        <v>202672</v>
      </c>
      <c r="J36" s="415">
        <v>150350</v>
      </c>
      <c r="K36" s="415">
        <v>150350</v>
      </c>
      <c r="L36" s="415">
        <v>0</v>
      </c>
      <c r="M36" s="415">
        <v>0</v>
      </c>
      <c r="N36" s="415">
        <v>0</v>
      </c>
      <c r="O36" s="415">
        <v>0</v>
      </c>
      <c r="P36" s="68">
        <v>50818</v>
      </c>
      <c r="Q36" s="68">
        <v>1504</v>
      </c>
      <c r="R36" s="415">
        <v>0</v>
      </c>
      <c r="S36" s="416">
        <v>0.41670000000000001</v>
      </c>
      <c r="T36" s="417">
        <v>0.41670000000000001</v>
      </c>
      <c r="U36" s="423">
        <v>0</v>
      </c>
      <c r="V36" s="424">
        <f t="shared" si="58"/>
        <v>0</v>
      </c>
      <c r="W36" s="418">
        <f t="shared" si="58"/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f>V36+X36+Y36+Z36+AB36</f>
        <v>0</v>
      </c>
      <c r="AE36" s="418">
        <f>W36+AA36+AC36</f>
        <v>0</v>
      </c>
      <c r="AF36" s="794">
        <f>SUM(AD36:AE36)</f>
        <v>0</v>
      </c>
      <c r="AG36" s="780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f>AG36+AI36+AJ36</f>
        <v>0</v>
      </c>
      <c r="AM36" s="418">
        <f>AH36+AK36</f>
        <v>0</v>
      </c>
      <c r="AN36" s="418">
        <f>SUM(AL36:AM36)</f>
        <v>0</v>
      </c>
      <c r="AO36" s="418">
        <f t="shared" si="59"/>
        <v>0</v>
      </c>
      <c r="AP36" s="418">
        <f t="shared" si="59"/>
        <v>0</v>
      </c>
      <c r="AQ36" s="418">
        <f>SUM(AO36:AP36)</f>
        <v>0</v>
      </c>
      <c r="AR36" s="68">
        <f>ROUND((AF36+AG36+AH36+AI36)*33.8%,0)</f>
        <v>0</v>
      </c>
      <c r="AS36" s="68">
        <f>ROUND(AF36*1%,0)</f>
        <v>0</v>
      </c>
      <c r="AT36" s="418">
        <v>0</v>
      </c>
      <c r="AU36" s="418">
        <v>0</v>
      </c>
      <c r="AV36" s="418">
        <f>AT36+AU36</f>
        <v>0</v>
      </c>
      <c r="AW36" s="418">
        <f>AQ36+AR36+AS36+AV36</f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f>AX36+AZ36+BA36+BC36+BD36</f>
        <v>0</v>
      </c>
      <c r="BG36" s="419">
        <f>AY36+BB36+BE36</f>
        <v>0</v>
      </c>
      <c r="BH36" s="894">
        <f>SUM(BF36:BG36)</f>
        <v>0</v>
      </c>
      <c r="BI36" s="424">
        <f>I36+AW36</f>
        <v>202672</v>
      </c>
      <c r="BJ36" s="418">
        <f>J36+AF36</f>
        <v>150350</v>
      </c>
      <c r="BK36" s="418">
        <f t="shared" si="60"/>
        <v>150350</v>
      </c>
      <c r="BL36" s="418">
        <f t="shared" si="60"/>
        <v>0</v>
      </c>
      <c r="BM36" s="418">
        <f>M36+AN36</f>
        <v>0</v>
      </c>
      <c r="BN36" s="418">
        <f t="shared" si="61"/>
        <v>0</v>
      </c>
      <c r="BO36" s="418">
        <f t="shared" si="61"/>
        <v>0</v>
      </c>
      <c r="BP36" s="418">
        <f t="shared" si="62"/>
        <v>50818</v>
      </c>
      <c r="BQ36" s="418">
        <f t="shared" si="62"/>
        <v>1504</v>
      </c>
      <c r="BR36" s="418">
        <f>R36+AV36</f>
        <v>0</v>
      </c>
      <c r="BS36" s="419">
        <f>S36+BH36</f>
        <v>0.41670000000000001</v>
      </c>
      <c r="BT36" s="419">
        <f t="shared" si="63"/>
        <v>0.41670000000000001</v>
      </c>
      <c r="BU36" s="421">
        <f t="shared" si="63"/>
        <v>0</v>
      </c>
      <c r="BV36" s="511"/>
      <c r="BW36" s="415"/>
      <c r="BX36" s="415"/>
      <c r="BY36" s="415"/>
      <c r="BZ36" s="415"/>
      <c r="CA36" s="510"/>
    </row>
    <row r="37" spans="1:79" ht="12.95" customHeight="1" x14ac:dyDescent="0.25">
      <c r="A37" s="280">
        <v>6</v>
      </c>
      <c r="B37" s="321">
        <v>5449</v>
      </c>
      <c r="C37" s="322">
        <v>600099458</v>
      </c>
      <c r="D37" s="281">
        <v>70188408</v>
      </c>
      <c r="E37" s="323" t="s">
        <v>359</v>
      </c>
      <c r="F37" s="281">
        <v>3143</v>
      </c>
      <c r="G37" s="323" t="s">
        <v>596</v>
      </c>
      <c r="H37" s="284" t="s">
        <v>272</v>
      </c>
      <c r="I37" s="420">
        <v>6675</v>
      </c>
      <c r="J37" s="415">
        <v>4778</v>
      </c>
      <c r="K37" s="415">
        <v>0</v>
      </c>
      <c r="L37" s="415">
        <v>4778</v>
      </c>
      <c r="M37" s="415">
        <v>0</v>
      </c>
      <c r="N37" s="415">
        <v>0</v>
      </c>
      <c r="O37" s="415">
        <v>0</v>
      </c>
      <c r="P37" s="68">
        <v>1615</v>
      </c>
      <c r="Q37" s="68">
        <v>48</v>
      </c>
      <c r="R37" s="415">
        <v>234</v>
      </c>
      <c r="S37" s="416">
        <v>1.8100000000000002E-2</v>
      </c>
      <c r="T37" s="417">
        <v>0</v>
      </c>
      <c r="U37" s="423">
        <v>1.8100000000000002E-2</v>
      </c>
      <c r="V37" s="424">
        <f t="shared" si="58"/>
        <v>0</v>
      </c>
      <c r="W37" s="418">
        <f t="shared" si="58"/>
        <v>0</v>
      </c>
      <c r="X37" s="418">
        <v>0</v>
      </c>
      <c r="Y37" s="418">
        <v>0</v>
      </c>
      <c r="Z37" s="418">
        <v>0</v>
      </c>
      <c r="AA37" s="418">
        <v>2372</v>
      </c>
      <c r="AB37" s="418">
        <v>0</v>
      </c>
      <c r="AC37" s="418">
        <v>0</v>
      </c>
      <c r="AD37" s="418">
        <f>V37+X37+Y37+Z37+AB37</f>
        <v>0</v>
      </c>
      <c r="AE37" s="418">
        <f>W37+AA37+AC37</f>
        <v>2372</v>
      </c>
      <c r="AF37" s="794">
        <f>SUM(AD37:AE37)</f>
        <v>2372</v>
      </c>
      <c r="AG37" s="780">
        <v>0</v>
      </c>
      <c r="AH37" s="418">
        <v>0</v>
      </c>
      <c r="AI37" s="418">
        <v>0</v>
      </c>
      <c r="AJ37" s="418">
        <v>0</v>
      </c>
      <c r="AK37" s="418">
        <v>0</v>
      </c>
      <c r="AL37" s="418">
        <f>AG37+AI37+AJ37</f>
        <v>0</v>
      </c>
      <c r="AM37" s="418">
        <f>AH37+AK37</f>
        <v>0</v>
      </c>
      <c r="AN37" s="418">
        <f>SUM(AL37:AM37)</f>
        <v>0</v>
      </c>
      <c r="AO37" s="418">
        <f t="shared" si="59"/>
        <v>0</v>
      </c>
      <c r="AP37" s="418">
        <f t="shared" si="59"/>
        <v>2372</v>
      </c>
      <c r="AQ37" s="418">
        <f>SUM(AO37:AP37)</f>
        <v>2372</v>
      </c>
      <c r="AR37" s="68">
        <f>ROUND((AF37+AG37+AH37+AI37)*33.8%,0)</f>
        <v>802</v>
      </c>
      <c r="AS37" s="68">
        <f>ROUND(AF37*1%,0)</f>
        <v>24</v>
      </c>
      <c r="AT37" s="418">
        <v>0</v>
      </c>
      <c r="AU37" s="418">
        <v>117</v>
      </c>
      <c r="AV37" s="418">
        <f>AT37+AU37</f>
        <v>117</v>
      </c>
      <c r="AW37" s="418">
        <f>AQ37+AR37+AS37+AV37</f>
        <v>3315</v>
      </c>
      <c r="AX37" s="419">
        <v>0</v>
      </c>
      <c r="AY37" s="419">
        <v>0</v>
      </c>
      <c r="AZ37" s="419">
        <v>0</v>
      </c>
      <c r="BA37" s="419">
        <v>0</v>
      </c>
      <c r="BB37" s="419">
        <v>0.01</v>
      </c>
      <c r="BC37" s="419">
        <v>0</v>
      </c>
      <c r="BD37" s="419">
        <v>0</v>
      </c>
      <c r="BE37" s="419">
        <v>0</v>
      </c>
      <c r="BF37" s="419">
        <f>AX37+AZ37+BA37+BC37+BD37</f>
        <v>0</v>
      </c>
      <c r="BG37" s="419">
        <f>AY37+BB37+BE37</f>
        <v>0.01</v>
      </c>
      <c r="BH37" s="894">
        <f>SUM(BF37:BG37)</f>
        <v>0.01</v>
      </c>
      <c r="BI37" s="424">
        <f>I37+AW37</f>
        <v>9990</v>
      </c>
      <c r="BJ37" s="418">
        <f>J37+AF37</f>
        <v>7150</v>
      </c>
      <c r="BK37" s="418">
        <f t="shared" si="60"/>
        <v>0</v>
      </c>
      <c r="BL37" s="418">
        <f t="shared" si="60"/>
        <v>7150</v>
      </c>
      <c r="BM37" s="418">
        <f>M37+AN37</f>
        <v>0</v>
      </c>
      <c r="BN37" s="418">
        <f t="shared" si="61"/>
        <v>0</v>
      </c>
      <c r="BO37" s="418">
        <f t="shared" si="61"/>
        <v>0</v>
      </c>
      <c r="BP37" s="418">
        <f t="shared" si="62"/>
        <v>2417</v>
      </c>
      <c r="BQ37" s="418">
        <f t="shared" si="62"/>
        <v>72</v>
      </c>
      <c r="BR37" s="418">
        <f>R37+AV37</f>
        <v>351</v>
      </c>
      <c r="BS37" s="419">
        <f>S37+BH37</f>
        <v>2.81E-2</v>
      </c>
      <c r="BT37" s="419">
        <f t="shared" si="63"/>
        <v>0</v>
      </c>
      <c r="BU37" s="421">
        <f t="shared" si="63"/>
        <v>2.81E-2</v>
      </c>
      <c r="BV37" s="511"/>
      <c r="BW37" s="415"/>
      <c r="BX37" s="415"/>
      <c r="BY37" s="415"/>
      <c r="BZ37" s="415"/>
      <c r="CA37" s="510"/>
    </row>
    <row r="38" spans="1:79" ht="12.95" customHeight="1" x14ac:dyDescent="0.25">
      <c r="A38" s="324">
        <v>6</v>
      </c>
      <c r="B38" s="325">
        <v>5449</v>
      </c>
      <c r="C38" s="326">
        <v>600099458</v>
      </c>
      <c r="D38" s="325">
        <v>70188408</v>
      </c>
      <c r="E38" s="327" t="s">
        <v>360</v>
      </c>
      <c r="F38" s="291"/>
      <c r="G38" s="329"/>
      <c r="H38" s="292"/>
      <c r="I38" s="472">
        <v>15076370</v>
      </c>
      <c r="J38" s="468">
        <v>10928709</v>
      </c>
      <c r="K38" s="468">
        <v>10163737</v>
      </c>
      <c r="L38" s="468">
        <v>764972</v>
      </c>
      <c r="M38" s="468">
        <v>195920</v>
      </c>
      <c r="N38" s="468">
        <v>155920</v>
      </c>
      <c r="O38" s="468">
        <v>40000</v>
      </c>
      <c r="P38" s="468">
        <v>3760125</v>
      </c>
      <c r="Q38" s="468">
        <v>109287</v>
      </c>
      <c r="R38" s="468">
        <v>82329</v>
      </c>
      <c r="S38" s="469">
        <v>17.782599999999999</v>
      </c>
      <c r="T38" s="469">
        <v>15.591199999999999</v>
      </c>
      <c r="U38" s="532">
        <v>2.1913999999999998</v>
      </c>
      <c r="V38" s="472">
        <f t="shared" ref="V38:CA38" si="64">SUM(V33:V37)</f>
        <v>0</v>
      </c>
      <c r="W38" s="468">
        <f t="shared" si="64"/>
        <v>0</v>
      </c>
      <c r="X38" s="468">
        <f t="shared" si="64"/>
        <v>0</v>
      </c>
      <c r="Y38" s="468">
        <f t="shared" si="64"/>
        <v>0</v>
      </c>
      <c r="Z38" s="468">
        <f t="shared" si="64"/>
        <v>0</v>
      </c>
      <c r="AA38" s="468">
        <f t="shared" si="64"/>
        <v>2372</v>
      </c>
      <c r="AB38" s="468">
        <f t="shared" si="64"/>
        <v>0</v>
      </c>
      <c r="AC38" s="468">
        <f t="shared" si="64"/>
        <v>0</v>
      </c>
      <c r="AD38" s="468">
        <f t="shared" si="64"/>
        <v>0</v>
      </c>
      <c r="AE38" s="468">
        <f t="shared" si="64"/>
        <v>2372</v>
      </c>
      <c r="AF38" s="795">
        <f t="shared" si="64"/>
        <v>2372</v>
      </c>
      <c r="AG38" s="785">
        <f t="shared" si="64"/>
        <v>0</v>
      </c>
      <c r="AH38" s="468">
        <f t="shared" si="64"/>
        <v>0</v>
      </c>
      <c r="AI38" s="468">
        <f t="shared" si="64"/>
        <v>0</v>
      </c>
      <c r="AJ38" s="468">
        <f t="shared" si="64"/>
        <v>0</v>
      </c>
      <c r="AK38" s="468">
        <f t="shared" si="64"/>
        <v>0</v>
      </c>
      <c r="AL38" s="468">
        <f t="shared" si="64"/>
        <v>0</v>
      </c>
      <c r="AM38" s="468">
        <f t="shared" si="64"/>
        <v>0</v>
      </c>
      <c r="AN38" s="468">
        <f t="shared" si="64"/>
        <v>0</v>
      </c>
      <c r="AO38" s="468">
        <f t="shared" si="64"/>
        <v>0</v>
      </c>
      <c r="AP38" s="468">
        <f t="shared" si="64"/>
        <v>2372</v>
      </c>
      <c r="AQ38" s="468">
        <f t="shared" si="64"/>
        <v>2372</v>
      </c>
      <c r="AR38" s="468">
        <f t="shared" si="64"/>
        <v>802</v>
      </c>
      <c r="AS38" s="468">
        <f t="shared" si="64"/>
        <v>24</v>
      </c>
      <c r="AT38" s="468">
        <f t="shared" si="64"/>
        <v>0</v>
      </c>
      <c r="AU38" s="468">
        <f t="shared" si="64"/>
        <v>117</v>
      </c>
      <c r="AV38" s="468">
        <f t="shared" si="64"/>
        <v>117</v>
      </c>
      <c r="AW38" s="468">
        <f t="shared" si="64"/>
        <v>3315</v>
      </c>
      <c r="AX38" s="469">
        <f t="shared" si="64"/>
        <v>0</v>
      </c>
      <c r="AY38" s="469">
        <f t="shared" si="64"/>
        <v>0</v>
      </c>
      <c r="AZ38" s="469">
        <f t="shared" si="64"/>
        <v>0</v>
      </c>
      <c r="BA38" s="469">
        <f t="shared" si="64"/>
        <v>0</v>
      </c>
      <c r="BB38" s="469">
        <f t="shared" ref="BB38" si="65">SUM(BB33:BB37)</f>
        <v>0.01</v>
      </c>
      <c r="BC38" s="469">
        <f t="shared" si="64"/>
        <v>0</v>
      </c>
      <c r="BD38" s="469">
        <f t="shared" si="64"/>
        <v>0</v>
      </c>
      <c r="BE38" s="469">
        <f t="shared" ref="BE38" si="66">SUM(BE33:BE37)</f>
        <v>0</v>
      </c>
      <c r="BF38" s="469">
        <f t="shared" si="64"/>
        <v>0</v>
      </c>
      <c r="BG38" s="469">
        <f t="shared" si="64"/>
        <v>0.01</v>
      </c>
      <c r="BH38" s="532">
        <f t="shared" si="64"/>
        <v>0.01</v>
      </c>
      <c r="BI38" s="472">
        <f t="shared" si="64"/>
        <v>15079685</v>
      </c>
      <c r="BJ38" s="468">
        <f t="shared" si="64"/>
        <v>10931081</v>
      </c>
      <c r="BK38" s="468">
        <f t="shared" si="64"/>
        <v>10163737</v>
      </c>
      <c r="BL38" s="468">
        <f t="shared" si="64"/>
        <v>767344</v>
      </c>
      <c r="BM38" s="468">
        <f t="shared" si="64"/>
        <v>195920</v>
      </c>
      <c r="BN38" s="468">
        <f t="shared" si="64"/>
        <v>155920</v>
      </c>
      <c r="BO38" s="468">
        <f t="shared" si="64"/>
        <v>40000</v>
      </c>
      <c r="BP38" s="468">
        <f t="shared" si="64"/>
        <v>3760927</v>
      </c>
      <c r="BQ38" s="468">
        <f t="shared" si="64"/>
        <v>109311</v>
      </c>
      <c r="BR38" s="468">
        <f t="shared" si="64"/>
        <v>82446</v>
      </c>
      <c r="BS38" s="469">
        <f t="shared" si="64"/>
        <v>17.792599999999997</v>
      </c>
      <c r="BT38" s="469">
        <f t="shared" si="64"/>
        <v>15.591199999999999</v>
      </c>
      <c r="BU38" s="328">
        <f t="shared" si="64"/>
        <v>2.2013999999999996</v>
      </c>
      <c r="BV38" s="886">
        <f t="shared" si="64"/>
        <v>0</v>
      </c>
      <c r="BW38" s="727">
        <f t="shared" si="64"/>
        <v>0</v>
      </c>
      <c r="BX38" s="727">
        <f t="shared" si="64"/>
        <v>0</v>
      </c>
      <c r="BY38" s="727">
        <f t="shared" si="64"/>
        <v>0</v>
      </c>
      <c r="BZ38" s="727">
        <f t="shared" si="64"/>
        <v>0</v>
      </c>
      <c r="CA38" s="859">
        <f t="shared" si="64"/>
        <v>0</v>
      </c>
    </row>
    <row r="39" spans="1:79" ht="12.95" customHeight="1" x14ac:dyDescent="0.25">
      <c r="A39" s="280">
        <v>7</v>
      </c>
      <c r="B39" s="321">
        <v>5443</v>
      </c>
      <c r="C39" s="322">
        <v>600099237</v>
      </c>
      <c r="D39" s="281">
        <v>854841</v>
      </c>
      <c r="E39" s="323" t="s">
        <v>361</v>
      </c>
      <c r="F39" s="281">
        <v>3113</v>
      </c>
      <c r="G39" s="323" t="s">
        <v>308</v>
      </c>
      <c r="H39" s="284" t="s">
        <v>271</v>
      </c>
      <c r="I39" s="420">
        <v>20819062</v>
      </c>
      <c r="J39" s="415">
        <v>15119763</v>
      </c>
      <c r="K39" s="415">
        <v>13859234</v>
      </c>
      <c r="L39" s="415">
        <v>1260529</v>
      </c>
      <c r="M39" s="415">
        <v>151733</v>
      </c>
      <c r="N39" s="415">
        <v>151733</v>
      </c>
      <c r="O39" s="415">
        <v>0</v>
      </c>
      <c r="P39" s="68">
        <v>5127380</v>
      </c>
      <c r="Q39" s="68">
        <v>151198</v>
      </c>
      <c r="R39" s="415">
        <v>268988</v>
      </c>
      <c r="S39" s="416">
        <v>24.388800000000003</v>
      </c>
      <c r="T39" s="417">
        <v>20.709300000000002</v>
      </c>
      <c r="U39" s="423">
        <v>3.6795</v>
      </c>
      <c r="V39" s="424">
        <f t="shared" ref="V39:W43" si="67">AG39*-1</f>
        <v>0</v>
      </c>
      <c r="W39" s="418">
        <f t="shared" si="67"/>
        <v>0</v>
      </c>
      <c r="X39" s="418">
        <v>0</v>
      </c>
      <c r="Y39" s="418">
        <v>0</v>
      </c>
      <c r="Z39" s="418">
        <v>0</v>
      </c>
      <c r="AA39" s="418">
        <v>0</v>
      </c>
      <c r="AB39" s="418">
        <v>0</v>
      </c>
      <c r="AC39" s="418">
        <v>0</v>
      </c>
      <c r="AD39" s="418">
        <f>V39+X39+Y39+Z39+AB39</f>
        <v>0</v>
      </c>
      <c r="AE39" s="418">
        <f>W39+AA39+AC39</f>
        <v>0</v>
      </c>
      <c r="AF39" s="794">
        <f>SUM(AD39:AE39)</f>
        <v>0</v>
      </c>
      <c r="AG39" s="780">
        <v>0</v>
      </c>
      <c r="AH39" s="418">
        <v>0</v>
      </c>
      <c r="AI39" s="418">
        <v>0</v>
      </c>
      <c r="AJ39" s="418">
        <v>0</v>
      </c>
      <c r="AK39" s="418">
        <v>0</v>
      </c>
      <c r="AL39" s="418">
        <f>AG39+AI39+AJ39</f>
        <v>0</v>
      </c>
      <c r="AM39" s="418">
        <f>AH39+AK39</f>
        <v>0</v>
      </c>
      <c r="AN39" s="418">
        <f>SUM(AL39:AM39)</f>
        <v>0</v>
      </c>
      <c r="AO39" s="418">
        <f t="shared" ref="AO39:AP43" si="68">AD39+AL39</f>
        <v>0</v>
      </c>
      <c r="AP39" s="418">
        <f t="shared" si="68"/>
        <v>0</v>
      </c>
      <c r="AQ39" s="418">
        <f>SUM(AO39:AP39)</f>
        <v>0</v>
      </c>
      <c r="AR39" s="68">
        <f>ROUND((AF39+AG39+AH39+AI39)*33.8%,0)</f>
        <v>0</v>
      </c>
      <c r="AS39" s="68">
        <f>ROUND(AF39*1%,0)</f>
        <v>0</v>
      </c>
      <c r="AT39" s="418">
        <v>0</v>
      </c>
      <c r="AU39" s="418">
        <v>0</v>
      </c>
      <c r="AV39" s="418">
        <f>AT39+AU39</f>
        <v>0</v>
      </c>
      <c r="AW39" s="418">
        <f>AQ39+AR39+AS39+AV39</f>
        <v>0</v>
      </c>
      <c r="AX39" s="419">
        <v>0</v>
      </c>
      <c r="AY39" s="419">
        <v>0</v>
      </c>
      <c r="AZ39" s="419">
        <v>0</v>
      </c>
      <c r="BA39" s="419">
        <v>0</v>
      </c>
      <c r="BB39" s="419">
        <v>0</v>
      </c>
      <c r="BC39" s="419">
        <v>0</v>
      </c>
      <c r="BD39" s="419">
        <v>0</v>
      </c>
      <c r="BE39" s="419">
        <v>0</v>
      </c>
      <c r="BF39" s="419">
        <f>AX39+AZ39+BA39+BC39+BD39</f>
        <v>0</v>
      </c>
      <c r="BG39" s="419">
        <f>AY39+BB39+BE39</f>
        <v>0</v>
      </c>
      <c r="BH39" s="894">
        <f>SUM(BF39:BG39)</f>
        <v>0</v>
      </c>
      <c r="BI39" s="424">
        <f>I39+AW39</f>
        <v>20819062</v>
      </c>
      <c r="BJ39" s="418">
        <f>J39+AF39</f>
        <v>15119763</v>
      </c>
      <c r="BK39" s="418">
        <f t="shared" ref="BK39:BL43" si="69">K39+AD39</f>
        <v>13859234</v>
      </c>
      <c r="BL39" s="418">
        <f t="shared" si="69"/>
        <v>1260529</v>
      </c>
      <c r="BM39" s="418">
        <f>M39+AN39</f>
        <v>151733</v>
      </c>
      <c r="BN39" s="418">
        <f t="shared" ref="BN39:BO43" si="70">N39+AL39</f>
        <v>151733</v>
      </c>
      <c r="BO39" s="418">
        <f t="shared" si="70"/>
        <v>0</v>
      </c>
      <c r="BP39" s="418">
        <f t="shared" ref="BP39:BQ43" si="71">P39+AR39</f>
        <v>5127380</v>
      </c>
      <c r="BQ39" s="418">
        <f t="shared" si="71"/>
        <v>151198</v>
      </c>
      <c r="BR39" s="418">
        <f>R39+AV39</f>
        <v>268988</v>
      </c>
      <c r="BS39" s="419">
        <f>S39+BH39</f>
        <v>24.388800000000003</v>
      </c>
      <c r="BT39" s="419">
        <f t="shared" ref="BT39:BU43" si="72">T39+BF39</f>
        <v>20.709300000000002</v>
      </c>
      <c r="BU39" s="421">
        <f t="shared" si="72"/>
        <v>3.6795</v>
      </c>
      <c r="BV39" s="511">
        <v>228082</v>
      </c>
      <c r="BW39" s="415">
        <v>169200</v>
      </c>
      <c r="BX39" s="415">
        <v>0</v>
      </c>
      <c r="BY39" s="415">
        <v>57190</v>
      </c>
      <c r="BZ39" s="415">
        <v>1692</v>
      </c>
      <c r="CA39" s="510">
        <v>0.3</v>
      </c>
    </row>
    <row r="40" spans="1:79" ht="12.95" customHeight="1" x14ac:dyDescent="0.25">
      <c r="A40" s="280">
        <v>7</v>
      </c>
      <c r="B40" s="321">
        <v>5443</v>
      </c>
      <c r="C40" s="322">
        <v>600099237</v>
      </c>
      <c r="D40" s="281">
        <v>854841</v>
      </c>
      <c r="E40" s="323" t="s">
        <v>361</v>
      </c>
      <c r="F40" s="281">
        <v>3113</v>
      </c>
      <c r="G40" s="323" t="s">
        <v>298</v>
      </c>
      <c r="H40" s="284" t="s">
        <v>272</v>
      </c>
      <c r="I40" s="420">
        <v>3244365</v>
      </c>
      <c r="J40" s="415">
        <v>2406057</v>
      </c>
      <c r="K40" s="415">
        <v>2406057</v>
      </c>
      <c r="L40" s="415">
        <v>0</v>
      </c>
      <c r="M40" s="415">
        <v>0</v>
      </c>
      <c r="N40" s="415">
        <v>0</v>
      </c>
      <c r="O40" s="415">
        <v>0</v>
      </c>
      <c r="P40" s="68">
        <v>813247</v>
      </c>
      <c r="Q40" s="68">
        <v>24061</v>
      </c>
      <c r="R40" s="415">
        <v>1000</v>
      </c>
      <c r="S40" s="416">
        <v>5.5600000000000005</v>
      </c>
      <c r="T40" s="417">
        <v>5.5600000000000005</v>
      </c>
      <c r="U40" s="423">
        <v>0</v>
      </c>
      <c r="V40" s="424">
        <f t="shared" si="67"/>
        <v>0</v>
      </c>
      <c r="W40" s="418">
        <f t="shared" si="67"/>
        <v>0</v>
      </c>
      <c r="X40" s="418">
        <v>0</v>
      </c>
      <c r="Y40" s="418">
        <v>0</v>
      </c>
      <c r="Z40" s="418">
        <v>0</v>
      </c>
      <c r="AA40" s="418">
        <v>0</v>
      </c>
      <c r="AB40" s="418">
        <v>0</v>
      </c>
      <c r="AC40" s="418">
        <v>0</v>
      </c>
      <c r="AD40" s="418">
        <f>V40+X40+Y40+Z40+AB40</f>
        <v>0</v>
      </c>
      <c r="AE40" s="418">
        <f>W40+AA40+AC40</f>
        <v>0</v>
      </c>
      <c r="AF40" s="794">
        <f>SUM(AD40:AE40)</f>
        <v>0</v>
      </c>
      <c r="AG40" s="780">
        <v>0</v>
      </c>
      <c r="AH40" s="418">
        <v>0</v>
      </c>
      <c r="AI40" s="418">
        <v>0</v>
      </c>
      <c r="AJ40" s="418">
        <v>0</v>
      </c>
      <c r="AK40" s="418">
        <v>0</v>
      </c>
      <c r="AL40" s="418">
        <f>AG40+AI40+AJ40</f>
        <v>0</v>
      </c>
      <c r="AM40" s="418">
        <f>AH40+AK40</f>
        <v>0</v>
      </c>
      <c r="AN40" s="418">
        <f>SUM(AL40:AM40)</f>
        <v>0</v>
      </c>
      <c r="AO40" s="418">
        <f t="shared" si="68"/>
        <v>0</v>
      </c>
      <c r="AP40" s="418">
        <f t="shared" si="68"/>
        <v>0</v>
      </c>
      <c r="AQ40" s="418">
        <f>SUM(AO40:AP40)</f>
        <v>0</v>
      </c>
      <c r="AR40" s="68">
        <f>ROUND((AF40+AG40+AH40+AI40)*33.8%,0)</f>
        <v>0</v>
      </c>
      <c r="AS40" s="68">
        <f>ROUND(AF40*1%,0)</f>
        <v>0</v>
      </c>
      <c r="AT40" s="418">
        <v>700</v>
      </c>
      <c r="AU40" s="418">
        <v>0</v>
      </c>
      <c r="AV40" s="418">
        <f>AT40+AU40</f>
        <v>700</v>
      </c>
      <c r="AW40" s="418">
        <f>AQ40+AR40+AS40+AV40</f>
        <v>700</v>
      </c>
      <c r="AX40" s="419">
        <v>0</v>
      </c>
      <c r="AY40" s="419">
        <v>0</v>
      </c>
      <c r="AZ40" s="419">
        <v>0</v>
      </c>
      <c r="BA40" s="419">
        <v>0</v>
      </c>
      <c r="BB40" s="419">
        <v>0</v>
      </c>
      <c r="BC40" s="419">
        <v>0</v>
      </c>
      <c r="BD40" s="419">
        <v>0</v>
      </c>
      <c r="BE40" s="419">
        <v>0</v>
      </c>
      <c r="BF40" s="419">
        <f>AX40+AZ40+BA40+BC40+BD40</f>
        <v>0</v>
      </c>
      <c r="BG40" s="419">
        <f>AY40+BB40+BE40</f>
        <v>0</v>
      </c>
      <c r="BH40" s="894">
        <f>SUM(BF40:BG40)</f>
        <v>0</v>
      </c>
      <c r="BI40" s="424">
        <f>I40+AW40</f>
        <v>3245065</v>
      </c>
      <c r="BJ40" s="418">
        <f>J40+AF40</f>
        <v>2406057</v>
      </c>
      <c r="BK40" s="418">
        <f t="shared" si="69"/>
        <v>2406057</v>
      </c>
      <c r="BL40" s="418">
        <f t="shared" si="69"/>
        <v>0</v>
      </c>
      <c r="BM40" s="418">
        <f>M40+AN40</f>
        <v>0</v>
      </c>
      <c r="BN40" s="418">
        <f t="shared" si="70"/>
        <v>0</v>
      </c>
      <c r="BO40" s="418">
        <f t="shared" si="70"/>
        <v>0</v>
      </c>
      <c r="BP40" s="418">
        <f t="shared" si="71"/>
        <v>813247</v>
      </c>
      <c r="BQ40" s="418">
        <f t="shared" si="71"/>
        <v>24061</v>
      </c>
      <c r="BR40" s="418">
        <f>R40+AV40</f>
        <v>1700</v>
      </c>
      <c r="BS40" s="419">
        <f>S40+BH40</f>
        <v>5.5600000000000005</v>
      </c>
      <c r="BT40" s="419">
        <f t="shared" si="72"/>
        <v>5.5600000000000005</v>
      </c>
      <c r="BU40" s="421">
        <f t="shared" si="72"/>
        <v>0</v>
      </c>
      <c r="BV40" s="511"/>
      <c r="BW40" s="415"/>
      <c r="BX40" s="415"/>
      <c r="BY40" s="415"/>
      <c r="BZ40" s="415"/>
      <c r="CA40" s="510"/>
    </row>
    <row r="41" spans="1:79" ht="12.95" customHeight="1" x14ac:dyDescent="0.25">
      <c r="A41" s="280">
        <v>7</v>
      </c>
      <c r="B41" s="321">
        <v>5443</v>
      </c>
      <c r="C41" s="322">
        <v>600099237</v>
      </c>
      <c r="D41" s="281">
        <v>854841</v>
      </c>
      <c r="E41" s="323" t="s">
        <v>361</v>
      </c>
      <c r="F41" s="281">
        <v>3141</v>
      </c>
      <c r="G41" s="323" t="s">
        <v>294</v>
      </c>
      <c r="H41" s="284" t="s">
        <v>272</v>
      </c>
      <c r="I41" s="420">
        <v>2312649</v>
      </c>
      <c r="J41" s="415">
        <v>1642391</v>
      </c>
      <c r="K41" s="415">
        <v>0</v>
      </c>
      <c r="L41" s="415">
        <v>1642391</v>
      </c>
      <c r="M41" s="415">
        <v>79880</v>
      </c>
      <c r="N41" s="415">
        <v>0</v>
      </c>
      <c r="O41" s="415">
        <v>79880</v>
      </c>
      <c r="P41" s="68">
        <v>556818</v>
      </c>
      <c r="Q41" s="68">
        <v>16424</v>
      </c>
      <c r="R41" s="415">
        <v>17136</v>
      </c>
      <c r="S41" s="416">
        <v>4.9400000000000004</v>
      </c>
      <c r="T41" s="417">
        <v>0</v>
      </c>
      <c r="U41" s="423">
        <v>4.9400000000000004</v>
      </c>
      <c r="V41" s="424">
        <f t="shared" si="67"/>
        <v>0</v>
      </c>
      <c r="W41" s="418">
        <f t="shared" si="67"/>
        <v>0</v>
      </c>
      <c r="X41" s="418">
        <v>0</v>
      </c>
      <c r="Y41" s="418">
        <v>0</v>
      </c>
      <c r="Z41" s="418">
        <v>0</v>
      </c>
      <c r="AA41" s="418">
        <v>822153</v>
      </c>
      <c r="AB41" s="418">
        <v>0</v>
      </c>
      <c r="AC41" s="418">
        <v>0</v>
      </c>
      <c r="AD41" s="418">
        <f>V41+X41+Y41+Z41+AB41</f>
        <v>0</v>
      </c>
      <c r="AE41" s="418">
        <f>W41+AA41+AC41</f>
        <v>822153</v>
      </c>
      <c r="AF41" s="794">
        <f>SUM(AD41:AE41)</f>
        <v>822153</v>
      </c>
      <c r="AG41" s="780">
        <v>0</v>
      </c>
      <c r="AH41" s="418">
        <v>0</v>
      </c>
      <c r="AI41" s="418">
        <v>0</v>
      </c>
      <c r="AJ41" s="418">
        <v>0</v>
      </c>
      <c r="AK41" s="418">
        <v>0</v>
      </c>
      <c r="AL41" s="418">
        <f>AG41+AI41+AJ41</f>
        <v>0</v>
      </c>
      <c r="AM41" s="418">
        <f>AH41+AK41</f>
        <v>0</v>
      </c>
      <c r="AN41" s="418">
        <f>SUM(AL41:AM41)</f>
        <v>0</v>
      </c>
      <c r="AO41" s="418">
        <f t="shared" si="68"/>
        <v>0</v>
      </c>
      <c r="AP41" s="418">
        <f t="shared" si="68"/>
        <v>822153</v>
      </c>
      <c r="AQ41" s="418">
        <f>SUM(AO41:AP41)</f>
        <v>822153</v>
      </c>
      <c r="AR41" s="68">
        <f>ROUND((AF41+AG41+AH41+AI41)*33.8%,0)</f>
        <v>277888</v>
      </c>
      <c r="AS41" s="68">
        <f>ROUND(AF41*1%,0)</f>
        <v>8222</v>
      </c>
      <c r="AT41" s="418">
        <v>0</v>
      </c>
      <c r="AU41" s="418">
        <v>8292</v>
      </c>
      <c r="AV41" s="418">
        <f>AT41+AU41</f>
        <v>8292</v>
      </c>
      <c r="AW41" s="418">
        <f>AQ41+AR41+AS41+AV41</f>
        <v>1116555</v>
      </c>
      <c r="AX41" s="419">
        <v>0</v>
      </c>
      <c r="AY41" s="419">
        <v>0</v>
      </c>
      <c r="AZ41" s="419">
        <v>0</v>
      </c>
      <c r="BA41" s="419">
        <v>0</v>
      </c>
      <c r="BB41" s="419">
        <v>2.4700000000000002</v>
      </c>
      <c r="BC41" s="419">
        <v>0</v>
      </c>
      <c r="BD41" s="419">
        <v>0</v>
      </c>
      <c r="BE41" s="419">
        <v>0</v>
      </c>
      <c r="BF41" s="419">
        <f>AX41+AZ41+BA41+BC41+BD41</f>
        <v>0</v>
      </c>
      <c r="BG41" s="419">
        <f>AY41+BB41+BE41</f>
        <v>2.4700000000000002</v>
      </c>
      <c r="BH41" s="894">
        <f>SUM(BF41:BG41)</f>
        <v>2.4700000000000002</v>
      </c>
      <c r="BI41" s="424">
        <f>I41+AW41</f>
        <v>3429204</v>
      </c>
      <c r="BJ41" s="418">
        <f>J41+AF41</f>
        <v>2464544</v>
      </c>
      <c r="BK41" s="418">
        <f t="shared" si="69"/>
        <v>0</v>
      </c>
      <c r="BL41" s="418">
        <f t="shared" si="69"/>
        <v>2464544</v>
      </c>
      <c r="BM41" s="418">
        <f>M41+AN41</f>
        <v>79880</v>
      </c>
      <c r="BN41" s="418">
        <f t="shared" si="70"/>
        <v>0</v>
      </c>
      <c r="BO41" s="418">
        <f t="shared" si="70"/>
        <v>79880</v>
      </c>
      <c r="BP41" s="418">
        <f t="shared" si="71"/>
        <v>834706</v>
      </c>
      <c r="BQ41" s="418">
        <f t="shared" si="71"/>
        <v>24646</v>
      </c>
      <c r="BR41" s="418">
        <f>R41+AV41</f>
        <v>25428</v>
      </c>
      <c r="BS41" s="419">
        <f>S41+BH41</f>
        <v>7.41</v>
      </c>
      <c r="BT41" s="419">
        <f t="shared" si="72"/>
        <v>0</v>
      </c>
      <c r="BU41" s="421">
        <f t="shared" si="72"/>
        <v>7.41</v>
      </c>
      <c r="BV41" s="511"/>
      <c r="BW41" s="415"/>
      <c r="BX41" s="415"/>
      <c r="BY41" s="415"/>
      <c r="BZ41" s="415"/>
      <c r="CA41" s="510"/>
    </row>
    <row r="42" spans="1:79" ht="12.95" customHeight="1" x14ac:dyDescent="0.25">
      <c r="A42" s="280">
        <v>7</v>
      </c>
      <c r="B42" s="321">
        <v>5443</v>
      </c>
      <c r="C42" s="322">
        <v>600099237</v>
      </c>
      <c r="D42" s="281">
        <v>854841</v>
      </c>
      <c r="E42" s="323" t="s">
        <v>361</v>
      </c>
      <c r="F42" s="281">
        <v>3143</v>
      </c>
      <c r="G42" s="323" t="s">
        <v>595</v>
      </c>
      <c r="H42" s="284" t="s">
        <v>271</v>
      </c>
      <c r="I42" s="420">
        <v>1384013</v>
      </c>
      <c r="J42" s="415">
        <v>1011827</v>
      </c>
      <c r="K42" s="415">
        <v>1011827</v>
      </c>
      <c r="L42" s="415">
        <v>0</v>
      </c>
      <c r="M42" s="415">
        <v>15000</v>
      </c>
      <c r="N42" s="415">
        <v>15000</v>
      </c>
      <c r="O42" s="415">
        <v>0</v>
      </c>
      <c r="P42" s="68">
        <v>347068</v>
      </c>
      <c r="Q42" s="68">
        <v>10118</v>
      </c>
      <c r="R42" s="415">
        <v>0</v>
      </c>
      <c r="S42" s="416">
        <v>1.97</v>
      </c>
      <c r="T42" s="417">
        <v>1.97</v>
      </c>
      <c r="U42" s="423">
        <v>0</v>
      </c>
      <c r="V42" s="424">
        <f t="shared" si="67"/>
        <v>-5400</v>
      </c>
      <c r="W42" s="418">
        <f t="shared" si="67"/>
        <v>0</v>
      </c>
      <c r="X42" s="418">
        <v>0</v>
      </c>
      <c r="Y42" s="418">
        <v>0</v>
      </c>
      <c r="Z42" s="418">
        <v>0</v>
      </c>
      <c r="AA42" s="418">
        <v>0</v>
      </c>
      <c r="AB42" s="418">
        <v>0</v>
      </c>
      <c r="AC42" s="418">
        <v>0</v>
      </c>
      <c r="AD42" s="418">
        <f>V42+X42+Y42+Z42+AB42</f>
        <v>-5400</v>
      </c>
      <c r="AE42" s="418">
        <f>W42+AA42+AC42</f>
        <v>0</v>
      </c>
      <c r="AF42" s="794">
        <f>SUM(AD42:AE42)</f>
        <v>-5400</v>
      </c>
      <c r="AG42" s="780">
        <v>5400</v>
      </c>
      <c r="AH42" s="418">
        <v>0</v>
      </c>
      <c r="AI42" s="418">
        <v>0</v>
      </c>
      <c r="AJ42" s="418">
        <v>0</v>
      </c>
      <c r="AK42" s="418">
        <v>0</v>
      </c>
      <c r="AL42" s="418">
        <f>AG42+AI42+AJ42</f>
        <v>5400</v>
      </c>
      <c r="AM42" s="418">
        <f>AH42+AK42</f>
        <v>0</v>
      </c>
      <c r="AN42" s="418">
        <f>SUM(AL42:AM42)</f>
        <v>5400</v>
      </c>
      <c r="AO42" s="418">
        <f t="shared" si="68"/>
        <v>0</v>
      </c>
      <c r="AP42" s="418">
        <f t="shared" si="68"/>
        <v>0</v>
      </c>
      <c r="AQ42" s="418">
        <f>SUM(AO42:AP42)</f>
        <v>0</v>
      </c>
      <c r="AR42" s="68">
        <f>ROUND((AF42+AG42+AH42+AI42)*33.8%,0)</f>
        <v>0</v>
      </c>
      <c r="AS42" s="68">
        <f>ROUND(AF42*1%,0)</f>
        <v>-54</v>
      </c>
      <c r="AT42" s="418">
        <v>0</v>
      </c>
      <c r="AU42" s="418">
        <v>0</v>
      </c>
      <c r="AV42" s="418">
        <f>AT42+AU42</f>
        <v>0</v>
      </c>
      <c r="AW42" s="418">
        <f>AQ42+AR42+AS42+AV42</f>
        <v>-54</v>
      </c>
      <c r="AX42" s="419">
        <v>-0.01</v>
      </c>
      <c r="AY42" s="419">
        <v>0</v>
      </c>
      <c r="AZ42" s="419">
        <v>0</v>
      </c>
      <c r="BA42" s="419">
        <v>0</v>
      </c>
      <c r="BB42" s="419">
        <v>0</v>
      </c>
      <c r="BC42" s="419">
        <v>0</v>
      </c>
      <c r="BD42" s="419">
        <v>0</v>
      </c>
      <c r="BE42" s="419">
        <v>0</v>
      </c>
      <c r="BF42" s="419">
        <f>AX42+AZ42+BA42+BC42+BD42</f>
        <v>-0.01</v>
      </c>
      <c r="BG42" s="419">
        <f>AY42+BB42+BE42</f>
        <v>0</v>
      </c>
      <c r="BH42" s="894">
        <f>SUM(BF42:BG42)</f>
        <v>-0.01</v>
      </c>
      <c r="BI42" s="424">
        <f>I42+AW42</f>
        <v>1383959</v>
      </c>
      <c r="BJ42" s="418">
        <f>J42+AF42</f>
        <v>1006427</v>
      </c>
      <c r="BK42" s="418">
        <f t="shared" si="69"/>
        <v>1006427</v>
      </c>
      <c r="BL42" s="418">
        <f t="shared" si="69"/>
        <v>0</v>
      </c>
      <c r="BM42" s="418">
        <f>M42+AN42</f>
        <v>20400</v>
      </c>
      <c r="BN42" s="418">
        <f t="shared" si="70"/>
        <v>20400</v>
      </c>
      <c r="BO42" s="418">
        <f t="shared" si="70"/>
        <v>0</v>
      </c>
      <c r="BP42" s="418">
        <f t="shared" si="71"/>
        <v>347068</v>
      </c>
      <c r="BQ42" s="418">
        <f t="shared" si="71"/>
        <v>10064</v>
      </c>
      <c r="BR42" s="418">
        <f>R42+AV42</f>
        <v>0</v>
      </c>
      <c r="BS42" s="419">
        <f>S42+BH42</f>
        <v>1.96</v>
      </c>
      <c r="BT42" s="419">
        <f t="shared" si="72"/>
        <v>1.96</v>
      </c>
      <c r="BU42" s="421">
        <f t="shared" si="72"/>
        <v>0</v>
      </c>
      <c r="BV42" s="511"/>
      <c r="BW42" s="415"/>
      <c r="BX42" s="415"/>
      <c r="BY42" s="415"/>
      <c r="BZ42" s="415"/>
      <c r="CA42" s="510"/>
    </row>
    <row r="43" spans="1:79" ht="12.95" customHeight="1" x14ac:dyDescent="0.25">
      <c r="A43" s="280">
        <v>7</v>
      </c>
      <c r="B43" s="321">
        <v>5443</v>
      </c>
      <c r="C43" s="322">
        <v>600099237</v>
      </c>
      <c r="D43" s="281">
        <v>854841</v>
      </c>
      <c r="E43" s="323" t="s">
        <v>361</v>
      </c>
      <c r="F43" s="281">
        <v>3143</v>
      </c>
      <c r="G43" s="323" t="s">
        <v>596</v>
      </c>
      <c r="H43" s="284" t="s">
        <v>272</v>
      </c>
      <c r="I43" s="420">
        <v>28179</v>
      </c>
      <c r="J43" s="415">
        <v>20170</v>
      </c>
      <c r="K43" s="415">
        <v>5400</v>
      </c>
      <c r="L43" s="415">
        <v>14770</v>
      </c>
      <c r="M43" s="415">
        <v>0</v>
      </c>
      <c r="N43" s="415">
        <v>-5400</v>
      </c>
      <c r="O43" s="415">
        <v>5400</v>
      </c>
      <c r="P43" s="68">
        <v>6817</v>
      </c>
      <c r="Q43" s="68">
        <v>202</v>
      </c>
      <c r="R43" s="415">
        <v>990</v>
      </c>
      <c r="S43" s="416">
        <v>7.6399999999999996E-2</v>
      </c>
      <c r="T43" s="417">
        <v>0</v>
      </c>
      <c r="U43" s="423">
        <v>7.6399999999999996E-2</v>
      </c>
      <c r="V43" s="424">
        <f t="shared" si="67"/>
        <v>5400</v>
      </c>
      <c r="W43" s="418">
        <f t="shared" si="67"/>
        <v>0</v>
      </c>
      <c r="X43" s="418">
        <v>0</v>
      </c>
      <c r="Y43" s="418">
        <v>0</v>
      </c>
      <c r="Z43" s="418">
        <v>0</v>
      </c>
      <c r="AA43" s="418">
        <v>10080</v>
      </c>
      <c r="AB43" s="418">
        <v>0</v>
      </c>
      <c r="AC43" s="418">
        <v>0</v>
      </c>
      <c r="AD43" s="418">
        <f>V43+X43+Y43+Z43+AB43</f>
        <v>5400</v>
      </c>
      <c r="AE43" s="418">
        <f>W43+AA43+AC43</f>
        <v>10080</v>
      </c>
      <c r="AF43" s="794">
        <f>SUM(AD43:AE43)</f>
        <v>15480</v>
      </c>
      <c r="AG43" s="780">
        <v>-5400</v>
      </c>
      <c r="AH43" s="418">
        <v>0</v>
      </c>
      <c r="AI43" s="418">
        <v>0</v>
      </c>
      <c r="AJ43" s="418">
        <v>0</v>
      </c>
      <c r="AK43" s="418">
        <v>0</v>
      </c>
      <c r="AL43" s="418">
        <f>AG43+AI43+AJ43</f>
        <v>-5400</v>
      </c>
      <c r="AM43" s="418">
        <f>AH43+AK43</f>
        <v>0</v>
      </c>
      <c r="AN43" s="418">
        <f>SUM(AL43:AM43)</f>
        <v>-5400</v>
      </c>
      <c r="AO43" s="418">
        <f t="shared" si="68"/>
        <v>0</v>
      </c>
      <c r="AP43" s="418">
        <f t="shared" si="68"/>
        <v>10080</v>
      </c>
      <c r="AQ43" s="418">
        <f>SUM(AO43:AP43)</f>
        <v>10080</v>
      </c>
      <c r="AR43" s="68">
        <f>ROUND((AF43+AG43+AH43+AI43)*33.8%,0)</f>
        <v>3407</v>
      </c>
      <c r="AS43" s="68">
        <f>ROUND(AF43*1%,0)</f>
        <v>155</v>
      </c>
      <c r="AT43" s="418">
        <v>0</v>
      </c>
      <c r="AU43" s="418">
        <v>495</v>
      </c>
      <c r="AV43" s="418">
        <f>AT43+AU43</f>
        <v>495</v>
      </c>
      <c r="AW43" s="418">
        <f>AQ43+AR43+AS43+AV43</f>
        <v>14137</v>
      </c>
      <c r="AX43" s="419">
        <v>0.01</v>
      </c>
      <c r="AY43" s="419">
        <v>0</v>
      </c>
      <c r="AZ43" s="419">
        <v>0</v>
      </c>
      <c r="BA43" s="419">
        <v>0</v>
      </c>
      <c r="BB43" s="419">
        <v>0.04</v>
      </c>
      <c r="BC43" s="419">
        <v>0</v>
      </c>
      <c r="BD43" s="419">
        <v>0</v>
      </c>
      <c r="BE43" s="419">
        <v>0</v>
      </c>
      <c r="BF43" s="419">
        <f>AX43+AZ43+BA43+BC43+BD43</f>
        <v>0.01</v>
      </c>
      <c r="BG43" s="419">
        <f>AY43+BB43+BE43</f>
        <v>0.04</v>
      </c>
      <c r="BH43" s="894">
        <f>SUM(BF43:BG43)</f>
        <v>0.05</v>
      </c>
      <c r="BI43" s="424">
        <f>I43+AW43</f>
        <v>42316</v>
      </c>
      <c r="BJ43" s="418">
        <f>J43+AF43</f>
        <v>35650</v>
      </c>
      <c r="BK43" s="418">
        <f t="shared" si="69"/>
        <v>10800</v>
      </c>
      <c r="BL43" s="418">
        <f t="shared" si="69"/>
        <v>24850</v>
      </c>
      <c r="BM43" s="418">
        <f>M43+AN43</f>
        <v>-5400</v>
      </c>
      <c r="BN43" s="418">
        <f t="shared" si="70"/>
        <v>-10800</v>
      </c>
      <c r="BO43" s="418">
        <f t="shared" si="70"/>
        <v>5400</v>
      </c>
      <c r="BP43" s="418">
        <f t="shared" si="71"/>
        <v>10224</v>
      </c>
      <c r="BQ43" s="418">
        <f t="shared" si="71"/>
        <v>357</v>
      </c>
      <c r="BR43" s="418">
        <f>R43+AV43</f>
        <v>1485</v>
      </c>
      <c r="BS43" s="419">
        <f>S43+BH43</f>
        <v>0.12640000000000001</v>
      </c>
      <c r="BT43" s="419">
        <f t="shared" si="72"/>
        <v>0.01</v>
      </c>
      <c r="BU43" s="421">
        <f t="shared" si="72"/>
        <v>0.1164</v>
      </c>
      <c r="BV43" s="511"/>
      <c r="BW43" s="415"/>
      <c r="BX43" s="415"/>
      <c r="BY43" s="415"/>
      <c r="BZ43" s="415"/>
      <c r="CA43" s="510"/>
    </row>
    <row r="44" spans="1:79" ht="12.95" customHeight="1" x14ac:dyDescent="0.25">
      <c r="A44" s="324">
        <v>7</v>
      </c>
      <c r="B44" s="325">
        <v>5443</v>
      </c>
      <c r="C44" s="332">
        <v>600099237</v>
      </c>
      <c r="D44" s="325">
        <v>854841</v>
      </c>
      <c r="E44" s="327" t="s">
        <v>362</v>
      </c>
      <c r="F44" s="291"/>
      <c r="G44" s="329"/>
      <c r="H44" s="292"/>
      <c r="I44" s="473">
        <v>27788268</v>
      </c>
      <c r="J44" s="470">
        <v>20200208</v>
      </c>
      <c r="K44" s="470">
        <v>17282518</v>
      </c>
      <c r="L44" s="470">
        <v>2917690</v>
      </c>
      <c r="M44" s="470">
        <v>246613</v>
      </c>
      <c r="N44" s="470">
        <v>161333</v>
      </c>
      <c r="O44" s="470">
        <v>85280</v>
      </c>
      <c r="P44" s="470">
        <v>6851330</v>
      </c>
      <c r="Q44" s="470">
        <v>202003</v>
      </c>
      <c r="R44" s="470">
        <v>288114</v>
      </c>
      <c r="S44" s="471">
        <v>36.935200000000002</v>
      </c>
      <c r="T44" s="471">
        <v>28.2393</v>
      </c>
      <c r="U44" s="533">
        <v>8.6959</v>
      </c>
      <c r="V44" s="473">
        <f t="shared" ref="V44:CA44" si="73">SUM(V39:V43)</f>
        <v>0</v>
      </c>
      <c r="W44" s="470">
        <f t="shared" si="73"/>
        <v>0</v>
      </c>
      <c r="X44" s="470">
        <f t="shared" si="73"/>
        <v>0</v>
      </c>
      <c r="Y44" s="470">
        <f t="shared" si="73"/>
        <v>0</v>
      </c>
      <c r="Z44" s="470">
        <f t="shared" si="73"/>
        <v>0</v>
      </c>
      <c r="AA44" s="470">
        <f t="shared" si="73"/>
        <v>832233</v>
      </c>
      <c r="AB44" s="470">
        <f t="shared" si="73"/>
        <v>0</v>
      </c>
      <c r="AC44" s="470">
        <f t="shared" si="73"/>
        <v>0</v>
      </c>
      <c r="AD44" s="470">
        <f t="shared" si="73"/>
        <v>0</v>
      </c>
      <c r="AE44" s="470">
        <f t="shared" si="73"/>
        <v>832233</v>
      </c>
      <c r="AF44" s="796">
        <f t="shared" si="73"/>
        <v>832233</v>
      </c>
      <c r="AG44" s="786">
        <f t="shared" si="73"/>
        <v>0</v>
      </c>
      <c r="AH44" s="470">
        <f t="shared" si="73"/>
        <v>0</v>
      </c>
      <c r="AI44" s="470">
        <f t="shared" si="73"/>
        <v>0</v>
      </c>
      <c r="AJ44" s="470">
        <f t="shared" si="73"/>
        <v>0</v>
      </c>
      <c r="AK44" s="470">
        <f t="shared" si="73"/>
        <v>0</v>
      </c>
      <c r="AL44" s="470">
        <f t="shared" si="73"/>
        <v>0</v>
      </c>
      <c r="AM44" s="470">
        <f t="shared" si="73"/>
        <v>0</v>
      </c>
      <c r="AN44" s="470">
        <f t="shared" si="73"/>
        <v>0</v>
      </c>
      <c r="AO44" s="470">
        <f t="shared" si="73"/>
        <v>0</v>
      </c>
      <c r="AP44" s="470">
        <f t="shared" si="73"/>
        <v>832233</v>
      </c>
      <c r="AQ44" s="470">
        <f t="shared" si="73"/>
        <v>832233</v>
      </c>
      <c r="AR44" s="470">
        <f t="shared" si="73"/>
        <v>281295</v>
      </c>
      <c r="AS44" s="470">
        <f t="shared" si="73"/>
        <v>8323</v>
      </c>
      <c r="AT44" s="470">
        <f t="shared" si="73"/>
        <v>700</v>
      </c>
      <c r="AU44" s="470">
        <f t="shared" si="73"/>
        <v>8787</v>
      </c>
      <c r="AV44" s="470">
        <f t="shared" si="73"/>
        <v>9487</v>
      </c>
      <c r="AW44" s="470">
        <f t="shared" si="73"/>
        <v>1131338</v>
      </c>
      <c r="AX44" s="471">
        <f t="shared" si="73"/>
        <v>0</v>
      </c>
      <c r="AY44" s="471">
        <f t="shared" si="73"/>
        <v>0</v>
      </c>
      <c r="AZ44" s="471">
        <f t="shared" si="73"/>
        <v>0</v>
      </c>
      <c r="BA44" s="471">
        <f t="shared" si="73"/>
        <v>0</v>
      </c>
      <c r="BB44" s="471">
        <f t="shared" ref="BB44" si="74">SUM(BB39:BB43)</f>
        <v>2.5100000000000002</v>
      </c>
      <c r="BC44" s="471">
        <f t="shared" si="73"/>
        <v>0</v>
      </c>
      <c r="BD44" s="471">
        <f t="shared" si="73"/>
        <v>0</v>
      </c>
      <c r="BE44" s="471">
        <f t="shared" ref="BE44" si="75">SUM(BE39:BE43)</f>
        <v>0</v>
      </c>
      <c r="BF44" s="471">
        <f t="shared" si="73"/>
        <v>0</v>
      </c>
      <c r="BG44" s="471">
        <f t="shared" si="73"/>
        <v>2.5100000000000002</v>
      </c>
      <c r="BH44" s="533">
        <f t="shared" si="73"/>
        <v>2.5100000000000002</v>
      </c>
      <c r="BI44" s="473">
        <f t="shared" si="73"/>
        <v>28919606</v>
      </c>
      <c r="BJ44" s="470">
        <f t="shared" si="73"/>
        <v>21032441</v>
      </c>
      <c r="BK44" s="470">
        <f t="shared" si="73"/>
        <v>17282518</v>
      </c>
      <c r="BL44" s="470">
        <f t="shared" si="73"/>
        <v>3749923</v>
      </c>
      <c r="BM44" s="470">
        <f t="shared" si="73"/>
        <v>246613</v>
      </c>
      <c r="BN44" s="470">
        <f t="shared" si="73"/>
        <v>161333</v>
      </c>
      <c r="BO44" s="470">
        <f t="shared" si="73"/>
        <v>85280</v>
      </c>
      <c r="BP44" s="470">
        <f t="shared" si="73"/>
        <v>7132625</v>
      </c>
      <c r="BQ44" s="470">
        <f t="shared" si="73"/>
        <v>210326</v>
      </c>
      <c r="BR44" s="470">
        <f t="shared" si="73"/>
        <v>297601</v>
      </c>
      <c r="BS44" s="471">
        <f t="shared" si="73"/>
        <v>39.4452</v>
      </c>
      <c r="BT44" s="471">
        <f t="shared" si="73"/>
        <v>28.239300000000004</v>
      </c>
      <c r="BU44" s="333">
        <f t="shared" si="73"/>
        <v>11.205900000000002</v>
      </c>
      <c r="BV44" s="887">
        <f t="shared" si="73"/>
        <v>228082</v>
      </c>
      <c r="BW44" s="728">
        <f t="shared" si="73"/>
        <v>169200</v>
      </c>
      <c r="BX44" s="728">
        <f t="shared" si="73"/>
        <v>0</v>
      </c>
      <c r="BY44" s="728">
        <f t="shared" si="73"/>
        <v>57190</v>
      </c>
      <c r="BZ44" s="728">
        <f t="shared" si="73"/>
        <v>1692</v>
      </c>
      <c r="CA44" s="860">
        <f t="shared" si="73"/>
        <v>0.3</v>
      </c>
    </row>
    <row r="45" spans="1:79" ht="12.95" customHeight="1" x14ac:dyDescent="0.25">
      <c r="A45" s="280">
        <v>8</v>
      </c>
      <c r="B45" s="321">
        <v>5445</v>
      </c>
      <c r="C45" s="322">
        <v>600099351</v>
      </c>
      <c r="D45" s="281">
        <v>70155771</v>
      </c>
      <c r="E45" s="323" t="s">
        <v>363</v>
      </c>
      <c r="F45" s="281">
        <v>3113</v>
      </c>
      <c r="G45" s="323" t="s">
        <v>308</v>
      </c>
      <c r="H45" s="284" t="s">
        <v>271</v>
      </c>
      <c r="I45" s="420">
        <v>27661472</v>
      </c>
      <c r="J45" s="415">
        <v>20214277</v>
      </c>
      <c r="K45" s="415">
        <v>18658446</v>
      </c>
      <c r="L45" s="415">
        <v>1555831</v>
      </c>
      <c r="M45" s="415">
        <v>5000</v>
      </c>
      <c r="N45" s="415">
        <v>0</v>
      </c>
      <c r="O45" s="415">
        <v>5000</v>
      </c>
      <c r="P45" s="68">
        <v>6834116</v>
      </c>
      <c r="Q45" s="68">
        <v>202143</v>
      </c>
      <c r="R45" s="415">
        <v>405936</v>
      </c>
      <c r="S45" s="416">
        <v>31.029799999999998</v>
      </c>
      <c r="T45" s="417">
        <v>26.3904</v>
      </c>
      <c r="U45" s="423">
        <v>4.6394000000000002</v>
      </c>
      <c r="V45" s="424">
        <f t="shared" ref="V45:W50" si="76">AG45*-1</f>
        <v>0</v>
      </c>
      <c r="W45" s="418">
        <f t="shared" si="76"/>
        <v>0</v>
      </c>
      <c r="X45" s="418">
        <v>0</v>
      </c>
      <c r="Y45" s="418">
        <v>0</v>
      </c>
      <c r="Z45" s="418">
        <v>0</v>
      </c>
      <c r="AA45" s="418">
        <v>0</v>
      </c>
      <c r="AB45" s="418">
        <v>0</v>
      </c>
      <c r="AC45" s="418">
        <v>0</v>
      </c>
      <c r="AD45" s="418">
        <f t="shared" ref="AD45:AD50" si="77">V45+X45+Y45+Z45+AB45</f>
        <v>0</v>
      </c>
      <c r="AE45" s="418">
        <f t="shared" ref="AE45:AE50" si="78">W45+AA45+AC45</f>
        <v>0</v>
      </c>
      <c r="AF45" s="794">
        <f t="shared" ref="AF45:AF50" si="79">SUM(AD45:AE45)</f>
        <v>0</v>
      </c>
      <c r="AG45" s="780">
        <v>0</v>
      </c>
      <c r="AH45" s="418">
        <v>0</v>
      </c>
      <c r="AI45" s="418">
        <v>0</v>
      </c>
      <c r="AJ45" s="418">
        <v>0</v>
      </c>
      <c r="AK45" s="418">
        <v>0</v>
      </c>
      <c r="AL45" s="418">
        <f t="shared" ref="AL45:AL50" si="80">AG45+AI45+AJ45</f>
        <v>0</v>
      </c>
      <c r="AM45" s="418">
        <f t="shared" ref="AM45:AM50" si="81">AH45+AK45</f>
        <v>0</v>
      </c>
      <c r="AN45" s="418">
        <f t="shared" ref="AN45:AN50" si="82">SUM(AL45:AM45)</f>
        <v>0</v>
      </c>
      <c r="AO45" s="418">
        <f t="shared" ref="AO45:AP50" si="83">AD45+AL45</f>
        <v>0</v>
      </c>
      <c r="AP45" s="418">
        <f t="shared" si="83"/>
        <v>0</v>
      </c>
      <c r="AQ45" s="418">
        <f t="shared" ref="AQ45:AQ50" si="84">SUM(AO45:AP45)</f>
        <v>0</v>
      </c>
      <c r="AR45" s="68">
        <f t="shared" ref="AR45:AR50" si="85">ROUND((AF45+AG45+AH45+AI45)*33.8%,0)</f>
        <v>0</v>
      </c>
      <c r="AS45" s="68">
        <f t="shared" ref="AS45:AS50" si="86">ROUND(AF45*1%,0)</f>
        <v>0</v>
      </c>
      <c r="AT45" s="418">
        <v>0</v>
      </c>
      <c r="AU45" s="418">
        <v>0</v>
      </c>
      <c r="AV45" s="418">
        <f t="shared" ref="AV45:AV50" si="87">AT45+AU45</f>
        <v>0</v>
      </c>
      <c r="AW45" s="418">
        <f t="shared" ref="AW45:AW50" si="88">AQ45+AR45+AS45+AV45</f>
        <v>0</v>
      </c>
      <c r="AX45" s="419">
        <v>0</v>
      </c>
      <c r="AY45" s="419">
        <v>0</v>
      </c>
      <c r="AZ45" s="419">
        <v>0</v>
      </c>
      <c r="BA45" s="419">
        <v>0</v>
      </c>
      <c r="BB45" s="419">
        <v>0</v>
      </c>
      <c r="BC45" s="419">
        <v>0</v>
      </c>
      <c r="BD45" s="419">
        <v>0</v>
      </c>
      <c r="BE45" s="419">
        <v>0</v>
      </c>
      <c r="BF45" s="419">
        <f t="shared" ref="BF45:BF50" si="89">AX45+AZ45+BA45+BC45+BD45</f>
        <v>0</v>
      </c>
      <c r="BG45" s="419">
        <f t="shared" ref="BG45:BG50" si="90">AY45+BB45+BE45</f>
        <v>0</v>
      </c>
      <c r="BH45" s="894">
        <f t="shared" ref="BH45:BH50" si="91">SUM(BF45:BG45)</f>
        <v>0</v>
      </c>
      <c r="BI45" s="424">
        <f t="shared" ref="BI45:BI50" si="92">I45+AW45</f>
        <v>27661472</v>
      </c>
      <c r="BJ45" s="418">
        <f t="shared" ref="BJ45:BJ50" si="93">J45+AF45</f>
        <v>20214277</v>
      </c>
      <c r="BK45" s="418">
        <f t="shared" ref="BK45:BL50" si="94">K45+AD45</f>
        <v>18658446</v>
      </c>
      <c r="BL45" s="418">
        <f t="shared" si="94"/>
        <v>1555831</v>
      </c>
      <c r="BM45" s="418">
        <f t="shared" ref="BM45:BM50" si="95">M45+AN45</f>
        <v>5000</v>
      </c>
      <c r="BN45" s="418">
        <f t="shared" ref="BN45:BO50" si="96">N45+AL45</f>
        <v>0</v>
      </c>
      <c r="BO45" s="418">
        <f t="shared" si="96"/>
        <v>5000</v>
      </c>
      <c r="BP45" s="418">
        <f t="shared" ref="BP45:BQ50" si="97">P45+AR45</f>
        <v>6834116</v>
      </c>
      <c r="BQ45" s="418">
        <f t="shared" si="97"/>
        <v>202143</v>
      </c>
      <c r="BR45" s="418">
        <f t="shared" ref="BR45:BR50" si="98">R45+AV45</f>
        <v>405936</v>
      </c>
      <c r="BS45" s="419">
        <f t="shared" ref="BS45:BS50" si="99">S45+BH45</f>
        <v>31.029799999999998</v>
      </c>
      <c r="BT45" s="419">
        <f t="shared" ref="BT45:BU50" si="100">T45+BF45</f>
        <v>26.3904</v>
      </c>
      <c r="BU45" s="421">
        <f t="shared" si="100"/>
        <v>4.6394000000000002</v>
      </c>
      <c r="BV45" s="511">
        <v>608218</v>
      </c>
      <c r="BW45" s="415">
        <v>451200</v>
      </c>
      <c r="BX45" s="415">
        <v>0</v>
      </c>
      <c r="BY45" s="415">
        <v>152506</v>
      </c>
      <c r="BZ45" s="415">
        <v>4512</v>
      </c>
      <c r="CA45" s="510">
        <v>0.8</v>
      </c>
    </row>
    <row r="46" spans="1:79" ht="12.95" customHeight="1" x14ac:dyDescent="0.25">
      <c r="A46" s="280">
        <v>8</v>
      </c>
      <c r="B46" s="321">
        <v>5445</v>
      </c>
      <c r="C46" s="322">
        <v>600099351</v>
      </c>
      <c r="D46" s="281">
        <v>70155771</v>
      </c>
      <c r="E46" s="323" t="s">
        <v>363</v>
      </c>
      <c r="F46" s="281">
        <v>3113</v>
      </c>
      <c r="G46" s="323" t="s">
        <v>298</v>
      </c>
      <c r="H46" s="284" t="s">
        <v>272</v>
      </c>
      <c r="I46" s="420">
        <v>2293819</v>
      </c>
      <c r="J46" s="415">
        <v>1700163</v>
      </c>
      <c r="K46" s="415">
        <v>1700163</v>
      </c>
      <c r="L46" s="415">
        <v>0</v>
      </c>
      <c r="M46" s="415">
        <v>0</v>
      </c>
      <c r="N46" s="415">
        <v>0</v>
      </c>
      <c r="O46" s="415">
        <v>0</v>
      </c>
      <c r="P46" s="68">
        <v>574655</v>
      </c>
      <c r="Q46" s="68">
        <v>17001</v>
      </c>
      <c r="R46" s="415">
        <v>2000</v>
      </c>
      <c r="S46" s="416">
        <v>4.29</v>
      </c>
      <c r="T46" s="417">
        <v>4.29</v>
      </c>
      <c r="U46" s="423">
        <v>0</v>
      </c>
      <c r="V46" s="424">
        <f t="shared" si="76"/>
        <v>0</v>
      </c>
      <c r="W46" s="418">
        <f t="shared" si="76"/>
        <v>0</v>
      </c>
      <c r="X46" s="418">
        <v>0</v>
      </c>
      <c r="Y46" s="418">
        <v>0</v>
      </c>
      <c r="Z46" s="418">
        <v>0</v>
      </c>
      <c r="AA46" s="418">
        <v>0</v>
      </c>
      <c r="AB46" s="418">
        <v>0</v>
      </c>
      <c r="AC46" s="418">
        <v>0</v>
      </c>
      <c r="AD46" s="418">
        <f t="shared" si="77"/>
        <v>0</v>
      </c>
      <c r="AE46" s="418">
        <f t="shared" si="78"/>
        <v>0</v>
      </c>
      <c r="AF46" s="794">
        <f t="shared" si="79"/>
        <v>0</v>
      </c>
      <c r="AG46" s="780">
        <v>0</v>
      </c>
      <c r="AH46" s="418">
        <v>0</v>
      </c>
      <c r="AI46" s="418">
        <v>0</v>
      </c>
      <c r="AJ46" s="418">
        <v>0</v>
      </c>
      <c r="AK46" s="418">
        <v>0</v>
      </c>
      <c r="AL46" s="418">
        <f t="shared" si="80"/>
        <v>0</v>
      </c>
      <c r="AM46" s="418">
        <f t="shared" si="81"/>
        <v>0</v>
      </c>
      <c r="AN46" s="418">
        <f t="shared" si="82"/>
        <v>0</v>
      </c>
      <c r="AO46" s="418">
        <f t="shared" si="83"/>
        <v>0</v>
      </c>
      <c r="AP46" s="418">
        <f t="shared" si="83"/>
        <v>0</v>
      </c>
      <c r="AQ46" s="418">
        <f t="shared" si="84"/>
        <v>0</v>
      </c>
      <c r="AR46" s="68">
        <f t="shared" si="85"/>
        <v>0</v>
      </c>
      <c r="AS46" s="68">
        <f t="shared" si="86"/>
        <v>0</v>
      </c>
      <c r="AT46" s="418">
        <v>0</v>
      </c>
      <c r="AU46" s="418">
        <v>0</v>
      </c>
      <c r="AV46" s="418">
        <f t="shared" si="87"/>
        <v>0</v>
      </c>
      <c r="AW46" s="418">
        <f t="shared" si="88"/>
        <v>0</v>
      </c>
      <c r="AX46" s="419">
        <v>0</v>
      </c>
      <c r="AY46" s="419">
        <v>0</v>
      </c>
      <c r="AZ46" s="419">
        <v>0</v>
      </c>
      <c r="BA46" s="419">
        <v>0</v>
      </c>
      <c r="BB46" s="419">
        <v>0</v>
      </c>
      <c r="BC46" s="419">
        <v>0</v>
      </c>
      <c r="BD46" s="419">
        <v>0</v>
      </c>
      <c r="BE46" s="419">
        <v>0</v>
      </c>
      <c r="BF46" s="419">
        <f t="shared" si="89"/>
        <v>0</v>
      </c>
      <c r="BG46" s="419">
        <f t="shared" si="90"/>
        <v>0</v>
      </c>
      <c r="BH46" s="894">
        <f t="shared" si="91"/>
        <v>0</v>
      </c>
      <c r="BI46" s="424">
        <f t="shared" si="92"/>
        <v>2293819</v>
      </c>
      <c r="BJ46" s="418">
        <f t="shared" si="93"/>
        <v>1700163</v>
      </c>
      <c r="BK46" s="418">
        <f t="shared" si="94"/>
        <v>1700163</v>
      </c>
      <c r="BL46" s="418">
        <f t="shared" si="94"/>
        <v>0</v>
      </c>
      <c r="BM46" s="418">
        <f t="shared" si="95"/>
        <v>0</v>
      </c>
      <c r="BN46" s="418">
        <f t="shared" si="96"/>
        <v>0</v>
      </c>
      <c r="BO46" s="418">
        <f t="shared" si="96"/>
        <v>0</v>
      </c>
      <c r="BP46" s="418">
        <f t="shared" si="97"/>
        <v>574655</v>
      </c>
      <c r="BQ46" s="418">
        <f t="shared" si="97"/>
        <v>17001</v>
      </c>
      <c r="BR46" s="418">
        <f t="shared" si="98"/>
        <v>2000</v>
      </c>
      <c r="BS46" s="419">
        <f t="shared" si="99"/>
        <v>4.29</v>
      </c>
      <c r="BT46" s="419">
        <f t="shared" si="100"/>
        <v>4.29</v>
      </c>
      <c r="BU46" s="421">
        <f t="shared" si="100"/>
        <v>0</v>
      </c>
      <c r="BV46" s="511"/>
      <c r="BW46" s="415"/>
      <c r="BX46" s="415"/>
      <c r="BY46" s="415"/>
      <c r="BZ46" s="415"/>
      <c r="CA46" s="510"/>
    </row>
    <row r="47" spans="1:79" ht="12.95" customHeight="1" x14ac:dyDescent="0.25">
      <c r="A47" s="280">
        <v>8</v>
      </c>
      <c r="B47" s="321">
        <v>5445</v>
      </c>
      <c r="C47" s="322">
        <v>600099351</v>
      </c>
      <c r="D47" s="281">
        <v>70155771</v>
      </c>
      <c r="E47" s="323" t="s">
        <v>363</v>
      </c>
      <c r="F47" s="281">
        <v>3141</v>
      </c>
      <c r="G47" s="323" t="s">
        <v>294</v>
      </c>
      <c r="H47" s="284" t="s">
        <v>272</v>
      </c>
      <c r="I47" s="420">
        <v>908094</v>
      </c>
      <c r="J47" s="415">
        <v>669194</v>
      </c>
      <c r="K47" s="415">
        <v>0</v>
      </c>
      <c r="L47" s="415">
        <v>669194</v>
      </c>
      <c r="M47" s="415">
        <v>0</v>
      </c>
      <c r="N47" s="415">
        <v>0</v>
      </c>
      <c r="O47" s="415">
        <v>0</v>
      </c>
      <c r="P47" s="68">
        <v>226188</v>
      </c>
      <c r="Q47" s="68">
        <v>6692</v>
      </c>
      <c r="R47" s="415">
        <v>6020</v>
      </c>
      <c r="S47" s="416">
        <v>2.0066999999999999</v>
      </c>
      <c r="T47" s="417">
        <v>0</v>
      </c>
      <c r="U47" s="423">
        <v>2.0066999999999999</v>
      </c>
      <c r="V47" s="424">
        <f t="shared" si="76"/>
        <v>0</v>
      </c>
      <c r="W47" s="418">
        <f t="shared" si="76"/>
        <v>0</v>
      </c>
      <c r="X47" s="418">
        <v>0</v>
      </c>
      <c r="Y47" s="418">
        <v>0</v>
      </c>
      <c r="Z47" s="418">
        <v>0</v>
      </c>
      <c r="AA47" s="418">
        <v>333256</v>
      </c>
      <c r="AB47" s="418">
        <v>0</v>
      </c>
      <c r="AC47" s="418">
        <v>0</v>
      </c>
      <c r="AD47" s="418">
        <f t="shared" si="77"/>
        <v>0</v>
      </c>
      <c r="AE47" s="418">
        <f t="shared" si="78"/>
        <v>333256</v>
      </c>
      <c r="AF47" s="794">
        <f t="shared" si="79"/>
        <v>333256</v>
      </c>
      <c r="AG47" s="780">
        <v>0</v>
      </c>
      <c r="AH47" s="418">
        <v>0</v>
      </c>
      <c r="AI47" s="418">
        <v>0</v>
      </c>
      <c r="AJ47" s="418">
        <v>0</v>
      </c>
      <c r="AK47" s="418">
        <v>0</v>
      </c>
      <c r="AL47" s="418">
        <f t="shared" si="80"/>
        <v>0</v>
      </c>
      <c r="AM47" s="418">
        <f t="shared" si="81"/>
        <v>0</v>
      </c>
      <c r="AN47" s="418">
        <f t="shared" si="82"/>
        <v>0</v>
      </c>
      <c r="AO47" s="418">
        <f t="shared" si="83"/>
        <v>0</v>
      </c>
      <c r="AP47" s="418">
        <f t="shared" si="83"/>
        <v>333256</v>
      </c>
      <c r="AQ47" s="418">
        <f t="shared" si="84"/>
        <v>333256</v>
      </c>
      <c r="AR47" s="68">
        <f t="shared" si="85"/>
        <v>112641</v>
      </c>
      <c r="AS47" s="68">
        <f t="shared" si="86"/>
        <v>3333</v>
      </c>
      <c r="AT47" s="418">
        <v>0</v>
      </c>
      <c r="AU47" s="418">
        <v>2924</v>
      </c>
      <c r="AV47" s="418">
        <f t="shared" si="87"/>
        <v>2924</v>
      </c>
      <c r="AW47" s="418">
        <f t="shared" si="88"/>
        <v>452154</v>
      </c>
      <c r="AX47" s="419">
        <v>0</v>
      </c>
      <c r="AY47" s="419">
        <v>0</v>
      </c>
      <c r="AZ47" s="419">
        <v>0</v>
      </c>
      <c r="BA47" s="419">
        <v>0</v>
      </c>
      <c r="BB47" s="419">
        <v>1</v>
      </c>
      <c r="BC47" s="419">
        <v>0</v>
      </c>
      <c r="BD47" s="419">
        <v>0</v>
      </c>
      <c r="BE47" s="419">
        <v>0</v>
      </c>
      <c r="BF47" s="419">
        <f t="shared" si="89"/>
        <v>0</v>
      </c>
      <c r="BG47" s="419">
        <f t="shared" si="90"/>
        <v>1</v>
      </c>
      <c r="BH47" s="894">
        <f t="shared" si="91"/>
        <v>1</v>
      </c>
      <c r="BI47" s="424">
        <f t="shared" si="92"/>
        <v>1360248</v>
      </c>
      <c r="BJ47" s="418">
        <f t="shared" si="93"/>
        <v>1002450</v>
      </c>
      <c r="BK47" s="418">
        <f t="shared" si="94"/>
        <v>0</v>
      </c>
      <c r="BL47" s="418">
        <f t="shared" si="94"/>
        <v>1002450</v>
      </c>
      <c r="BM47" s="418">
        <f t="shared" si="95"/>
        <v>0</v>
      </c>
      <c r="BN47" s="418">
        <f t="shared" si="96"/>
        <v>0</v>
      </c>
      <c r="BO47" s="418">
        <f t="shared" si="96"/>
        <v>0</v>
      </c>
      <c r="BP47" s="418">
        <f t="shared" si="97"/>
        <v>338829</v>
      </c>
      <c r="BQ47" s="418">
        <f t="shared" si="97"/>
        <v>10025</v>
      </c>
      <c r="BR47" s="418">
        <f t="shared" si="98"/>
        <v>8944</v>
      </c>
      <c r="BS47" s="419">
        <f t="shared" si="99"/>
        <v>3.0066999999999999</v>
      </c>
      <c r="BT47" s="419">
        <f t="shared" si="100"/>
        <v>0</v>
      </c>
      <c r="BU47" s="421">
        <f t="shared" si="100"/>
        <v>3.0066999999999999</v>
      </c>
      <c r="BV47" s="511"/>
      <c r="BW47" s="415"/>
      <c r="BX47" s="415"/>
      <c r="BY47" s="415"/>
      <c r="BZ47" s="415"/>
      <c r="CA47" s="510"/>
    </row>
    <row r="48" spans="1:79" ht="12.95" customHeight="1" x14ac:dyDescent="0.25">
      <c r="A48" s="280">
        <v>8</v>
      </c>
      <c r="B48" s="321">
        <v>5445</v>
      </c>
      <c r="C48" s="322">
        <v>600099351</v>
      </c>
      <c r="D48" s="281">
        <v>70155771</v>
      </c>
      <c r="E48" s="323" t="s">
        <v>363</v>
      </c>
      <c r="F48" s="281">
        <v>3143</v>
      </c>
      <c r="G48" s="323" t="s">
        <v>595</v>
      </c>
      <c r="H48" s="284" t="s">
        <v>271</v>
      </c>
      <c r="I48" s="420">
        <v>1943650</v>
      </c>
      <c r="J48" s="415">
        <v>1441877</v>
      </c>
      <c r="K48" s="415">
        <v>1441877</v>
      </c>
      <c r="L48" s="415">
        <v>0</v>
      </c>
      <c r="M48" s="415">
        <v>0</v>
      </c>
      <c r="N48" s="415">
        <v>0</v>
      </c>
      <c r="O48" s="415">
        <v>0</v>
      </c>
      <c r="P48" s="68">
        <v>487354</v>
      </c>
      <c r="Q48" s="68">
        <v>14419</v>
      </c>
      <c r="R48" s="415">
        <v>0</v>
      </c>
      <c r="S48" s="416">
        <v>2.7585999999999999</v>
      </c>
      <c r="T48" s="417">
        <v>2.7585999999999999</v>
      </c>
      <c r="U48" s="423">
        <v>0</v>
      </c>
      <c r="V48" s="424">
        <f t="shared" si="76"/>
        <v>0</v>
      </c>
      <c r="W48" s="418">
        <f t="shared" si="76"/>
        <v>0</v>
      </c>
      <c r="X48" s="418">
        <v>0</v>
      </c>
      <c r="Y48" s="418">
        <v>0</v>
      </c>
      <c r="Z48" s="418">
        <v>0</v>
      </c>
      <c r="AA48" s="418">
        <v>0</v>
      </c>
      <c r="AB48" s="418">
        <v>0</v>
      </c>
      <c r="AC48" s="418">
        <v>0</v>
      </c>
      <c r="AD48" s="418">
        <f t="shared" si="77"/>
        <v>0</v>
      </c>
      <c r="AE48" s="418">
        <f t="shared" si="78"/>
        <v>0</v>
      </c>
      <c r="AF48" s="794">
        <f t="shared" si="79"/>
        <v>0</v>
      </c>
      <c r="AG48" s="780">
        <v>0</v>
      </c>
      <c r="AH48" s="418">
        <v>0</v>
      </c>
      <c r="AI48" s="418">
        <v>0</v>
      </c>
      <c r="AJ48" s="418">
        <v>0</v>
      </c>
      <c r="AK48" s="418">
        <v>0</v>
      </c>
      <c r="AL48" s="418">
        <f t="shared" si="80"/>
        <v>0</v>
      </c>
      <c r="AM48" s="418">
        <f t="shared" si="81"/>
        <v>0</v>
      </c>
      <c r="AN48" s="418">
        <f t="shared" si="82"/>
        <v>0</v>
      </c>
      <c r="AO48" s="418">
        <f t="shared" si="83"/>
        <v>0</v>
      </c>
      <c r="AP48" s="418">
        <f t="shared" si="83"/>
        <v>0</v>
      </c>
      <c r="AQ48" s="418">
        <f t="shared" si="84"/>
        <v>0</v>
      </c>
      <c r="AR48" s="68">
        <f t="shared" si="85"/>
        <v>0</v>
      </c>
      <c r="AS48" s="68">
        <f t="shared" si="86"/>
        <v>0</v>
      </c>
      <c r="AT48" s="418">
        <v>0</v>
      </c>
      <c r="AU48" s="418">
        <v>0</v>
      </c>
      <c r="AV48" s="418">
        <f t="shared" si="87"/>
        <v>0</v>
      </c>
      <c r="AW48" s="418">
        <f t="shared" si="88"/>
        <v>0</v>
      </c>
      <c r="AX48" s="419">
        <v>0</v>
      </c>
      <c r="AY48" s="419">
        <v>0</v>
      </c>
      <c r="AZ48" s="419">
        <v>0</v>
      </c>
      <c r="BA48" s="419">
        <v>0</v>
      </c>
      <c r="BB48" s="419">
        <v>0</v>
      </c>
      <c r="BC48" s="419">
        <v>0</v>
      </c>
      <c r="BD48" s="419">
        <v>0</v>
      </c>
      <c r="BE48" s="419">
        <v>0</v>
      </c>
      <c r="BF48" s="419">
        <f t="shared" si="89"/>
        <v>0</v>
      </c>
      <c r="BG48" s="419">
        <f t="shared" si="90"/>
        <v>0</v>
      </c>
      <c r="BH48" s="894">
        <f t="shared" si="91"/>
        <v>0</v>
      </c>
      <c r="BI48" s="424">
        <f t="shared" si="92"/>
        <v>1943650</v>
      </c>
      <c r="BJ48" s="418">
        <f t="shared" si="93"/>
        <v>1441877</v>
      </c>
      <c r="BK48" s="418">
        <f t="shared" si="94"/>
        <v>1441877</v>
      </c>
      <c r="BL48" s="418">
        <f t="shared" si="94"/>
        <v>0</v>
      </c>
      <c r="BM48" s="418">
        <f t="shared" si="95"/>
        <v>0</v>
      </c>
      <c r="BN48" s="418">
        <f t="shared" si="96"/>
        <v>0</v>
      </c>
      <c r="BO48" s="418">
        <f t="shared" si="96"/>
        <v>0</v>
      </c>
      <c r="BP48" s="418">
        <f t="shared" si="97"/>
        <v>487354</v>
      </c>
      <c r="BQ48" s="418">
        <f t="shared" si="97"/>
        <v>14419</v>
      </c>
      <c r="BR48" s="418">
        <f t="shared" si="98"/>
        <v>0</v>
      </c>
      <c r="BS48" s="419">
        <f t="shared" si="99"/>
        <v>2.7585999999999999</v>
      </c>
      <c r="BT48" s="419">
        <f t="shared" si="100"/>
        <v>2.7585999999999999</v>
      </c>
      <c r="BU48" s="421">
        <f t="shared" si="100"/>
        <v>0</v>
      </c>
      <c r="BV48" s="511"/>
      <c r="BW48" s="415"/>
      <c r="BX48" s="415"/>
      <c r="BY48" s="415"/>
      <c r="BZ48" s="415"/>
      <c r="CA48" s="510"/>
    </row>
    <row r="49" spans="1:79" ht="12.95" customHeight="1" x14ac:dyDescent="0.25">
      <c r="A49" s="280">
        <v>8</v>
      </c>
      <c r="B49" s="321">
        <v>5445</v>
      </c>
      <c r="C49" s="322">
        <v>600099351</v>
      </c>
      <c r="D49" s="281">
        <v>70155771</v>
      </c>
      <c r="E49" s="323" t="s">
        <v>363</v>
      </c>
      <c r="F49" s="281">
        <v>3143</v>
      </c>
      <c r="G49" s="323" t="s">
        <v>596</v>
      </c>
      <c r="H49" s="284" t="s">
        <v>272</v>
      </c>
      <c r="I49" s="420">
        <v>45587</v>
      </c>
      <c r="J49" s="415">
        <v>32630</v>
      </c>
      <c r="K49" s="415">
        <v>0</v>
      </c>
      <c r="L49" s="415">
        <v>32630</v>
      </c>
      <c r="M49" s="415">
        <v>0</v>
      </c>
      <c r="N49" s="415">
        <v>0</v>
      </c>
      <c r="O49" s="415">
        <v>0</v>
      </c>
      <c r="P49" s="68">
        <v>11029</v>
      </c>
      <c r="Q49" s="68">
        <v>326</v>
      </c>
      <c r="R49" s="415">
        <v>1602</v>
      </c>
      <c r="S49" s="416">
        <v>0.1236</v>
      </c>
      <c r="T49" s="417">
        <v>0</v>
      </c>
      <c r="U49" s="423">
        <v>0.1236</v>
      </c>
      <c r="V49" s="424">
        <f t="shared" si="76"/>
        <v>0</v>
      </c>
      <c r="W49" s="418">
        <f t="shared" si="76"/>
        <v>0</v>
      </c>
      <c r="X49" s="418">
        <v>0</v>
      </c>
      <c r="Y49" s="418">
        <v>0</v>
      </c>
      <c r="Z49" s="418">
        <v>0</v>
      </c>
      <c r="AA49" s="418">
        <v>16320</v>
      </c>
      <c r="AB49" s="418">
        <v>0</v>
      </c>
      <c r="AC49" s="418">
        <v>0</v>
      </c>
      <c r="AD49" s="418">
        <f t="shared" si="77"/>
        <v>0</v>
      </c>
      <c r="AE49" s="418">
        <f t="shared" si="78"/>
        <v>16320</v>
      </c>
      <c r="AF49" s="794">
        <f t="shared" si="79"/>
        <v>16320</v>
      </c>
      <c r="AG49" s="780">
        <v>0</v>
      </c>
      <c r="AH49" s="418">
        <v>0</v>
      </c>
      <c r="AI49" s="418">
        <v>0</v>
      </c>
      <c r="AJ49" s="418">
        <v>0</v>
      </c>
      <c r="AK49" s="418">
        <v>0</v>
      </c>
      <c r="AL49" s="418">
        <f t="shared" si="80"/>
        <v>0</v>
      </c>
      <c r="AM49" s="418">
        <f t="shared" si="81"/>
        <v>0</v>
      </c>
      <c r="AN49" s="418">
        <f t="shared" si="82"/>
        <v>0</v>
      </c>
      <c r="AO49" s="418">
        <f t="shared" si="83"/>
        <v>0</v>
      </c>
      <c r="AP49" s="418">
        <f t="shared" si="83"/>
        <v>16320</v>
      </c>
      <c r="AQ49" s="418">
        <f t="shared" si="84"/>
        <v>16320</v>
      </c>
      <c r="AR49" s="68">
        <f t="shared" si="85"/>
        <v>5516</v>
      </c>
      <c r="AS49" s="68">
        <f t="shared" si="86"/>
        <v>163</v>
      </c>
      <c r="AT49" s="418">
        <v>0</v>
      </c>
      <c r="AU49" s="418">
        <v>801</v>
      </c>
      <c r="AV49" s="418">
        <f t="shared" si="87"/>
        <v>801</v>
      </c>
      <c r="AW49" s="418">
        <f t="shared" si="88"/>
        <v>22800</v>
      </c>
      <c r="AX49" s="419">
        <v>0</v>
      </c>
      <c r="AY49" s="419">
        <v>0</v>
      </c>
      <c r="AZ49" s="419">
        <v>0</v>
      </c>
      <c r="BA49" s="419">
        <v>0</v>
      </c>
      <c r="BB49" s="419">
        <v>0.06</v>
      </c>
      <c r="BC49" s="419">
        <v>0</v>
      </c>
      <c r="BD49" s="419">
        <v>0</v>
      </c>
      <c r="BE49" s="419">
        <v>0</v>
      </c>
      <c r="BF49" s="419">
        <f t="shared" si="89"/>
        <v>0</v>
      </c>
      <c r="BG49" s="419">
        <f t="shared" si="90"/>
        <v>0.06</v>
      </c>
      <c r="BH49" s="894">
        <f t="shared" si="91"/>
        <v>0.06</v>
      </c>
      <c r="BI49" s="424">
        <f t="shared" si="92"/>
        <v>68387</v>
      </c>
      <c r="BJ49" s="418">
        <f t="shared" si="93"/>
        <v>48950</v>
      </c>
      <c r="BK49" s="418">
        <f t="shared" si="94"/>
        <v>0</v>
      </c>
      <c r="BL49" s="418">
        <f t="shared" si="94"/>
        <v>48950</v>
      </c>
      <c r="BM49" s="418">
        <f t="shared" si="95"/>
        <v>0</v>
      </c>
      <c r="BN49" s="418">
        <f t="shared" si="96"/>
        <v>0</v>
      </c>
      <c r="BO49" s="418">
        <f t="shared" si="96"/>
        <v>0</v>
      </c>
      <c r="BP49" s="418">
        <f t="shared" si="97"/>
        <v>16545</v>
      </c>
      <c r="BQ49" s="418">
        <f t="shared" si="97"/>
        <v>489</v>
      </c>
      <c r="BR49" s="418">
        <f t="shared" si="98"/>
        <v>2403</v>
      </c>
      <c r="BS49" s="419">
        <f t="shared" si="99"/>
        <v>0.18359999999999999</v>
      </c>
      <c r="BT49" s="419">
        <f t="shared" si="100"/>
        <v>0</v>
      </c>
      <c r="BU49" s="421">
        <f t="shared" si="100"/>
        <v>0.18359999999999999</v>
      </c>
      <c r="BV49" s="511"/>
      <c r="BW49" s="415"/>
      <c r="BX49" s="415"/>
      <c r="BY49" s="415"/>
      <c r="BZ49" s="415"/>
      <c r="CA49" s="510"/>
    </row>
    <row r="50" spans="1:79" ht="12.95" customHeight="1" x14ac:dyDescent="0.25">
      <c r="A50" s="280">
        <v>8</v>
      </c>
      <c r="B50" s="321">
        <v>5445</v>
      </c>
      <c r="C50" s="322">
        <v>600099351</v>
      </c>
      <c r="D50" s="281">
        <v>70155771</v>
      </c>
      <c r="E50" s="323" t="s">
        <v>363</v>
      </c>
      <c r="F50" s="281">
        <v>3143</v>
      </c>
      <c r="G50" s="323" t="s">
        <v>296</v>
      </c>
      <c r="H50" s="284" t="s">
        <v>272</v>
      </c>
      <c r="I50" s="420">
        <v>267342</v>
      </c>
      <c r="J50" s="415">
        <v>143288</v>
      </c>
      <c r="K50" s="415">
        <v>124966</v>
      </c>
      <c r="L50" s="634">
        <v>18322</v>
      </c>
      <c r="M50" s="415">
        <v>55000</v>
      </c>
      <c r="N50" s="415">
        <v>55000</v>
      </c>
      <c r="O50" s="415">
        <v>0</v>
      </c>
      <c r="P50" s="635">
        <v>67021</v>
      </c>
      <c r="Q50" s="635">
        <v>1433</v>
      </c>
      <c r="R50" s="634">
        <v>600</v>
      </c>
      <c r="S50" s="636">
        <v>0.39899999999999997</v>
      </c>
      <c r="T50" s="637">
        <v>0.32999999999999996</v>
      </c>
      <c r="U50" s="772">
        <v>6.9000000000000006E-2</v>
      </c>
      <c r="V50" s="424">
        <f t="shared" si="76"/>
        <v>0</v>
      </c>
      <c r="W50" s="418">
        <f t="shared" si="76"/>
        <v>0</v>
      </c>
      <c r="X50" s="418">
        <v>0</v>
      </c>
      <c r="Y50" s="418">
        <v>0</v>
      </c>
      <c r="Z50" s="418">
        <v>0</v>
      </c>
      <c r="AA50" s="418">
        <v>9178</v>
      </c>
      <c r="AB50" s="418">
        <v>0</v>
      </c>
      <c r="AC50" s="418">
        <v>0</v>
      </c>
      <c r="AD50" s="418">
        <f t="shared" si="77"/>
        <v>0</v>
      </c>
      <c r="AE50" s="418">
        <f t="shared" si="78"/>
        <v>9178</v>
      </c>
      <c r="AF50" s="794">
        <f t="shared" si="79"/>
        <v>9178</v>
      </c>
      <c r="AG50" s="780">
        <v>0</v>
      </c>
      <c r="AH50" s="418">
        <v>0</v>
      </c>
      <c r="AI50" s="418">
        <v>0</v>
      </c>
      <c r="AJ50" s="418">
        <v>0</v>
      </c>
      <c r="AK50" s="418">
        <v>0</v>
      </c>
      <c r="AL50" s="418">
        <f t="shared" si="80"/>
        <v>0</v>
      </c>
      <c r="AM50" s="418">
        <f t="shared" si="81"/>
        <v>0</v>
      </c>
      <c r="AN50" s="418">
        <f t="shared" si="82"/>
        <v>0</v>
      </c>
      <c r="AO50" s="418">
        <f t="shared" si="83"/>
        <v>0</v>
      </c>
      <c r="AP50" s="418">
        <f t="shared" si="83"/>
        <v>9178</v>
      </c>
      <c r="AQ50" s="418">
        <f t="shared" si="84"/>
        <v>9178</v>
      </c>
      <c r="AR50" s="68">
        <f t="shared" si="85"/>
        <v>3102</v>
      </c>
      <c r="AS50" s="68">
        <f t="shared" si="86"/>
        <v>92</v>
      </c>
      <c r="AT50" s="418">
        <v>0</v>
      </c>
      <c r="AU50" s="418">
        <v>300</v>
      </c>
      <c r="AV50" s="418">
        <f t="shared" si="87"/>
        <v>300</v>
      </c>
      <c r="AW50" s="418">
        <f t="shared" si="88"/>
        <v>12672</v>
      </c>
      <c r="AX50" s="419">
        <v>0</v>
      </c>
      <c r="AY50" s="419">
        <v>0</v>
      </c>
      <c r="AZ50" s="419">
        <v>0</v>
      </c>
      <c r="BA50" s="419">
        <v>0</v>
      </c>
      <c r="BB50" s="419">
        <v>0.03</v>
      </c>
      <c r="BC50" s="419">
        <v>0</v>
      </c>
      <c r="BD50" s="419">
        <v>0</v>
      </c>
      <c r="BE50" s="419">
        <v>0</v>
      </c>
      <c r="BF50" s="419">
        <f t="shared" si="89"/>
        <v>0</v>
      </c>
      <c r="BG50" s="419">
        <f t="shared" si="90"/>
        <v>0.03</v>
      </c>
      <c r="BH50" s="894">
        <f t="shared" si="91"/>
        <v>0.03</v>
      </c>
      <c r="BI50" s="424">
        <f t="shared" si="92"/>
        <v>280014</v>
      </c>
      <c r="BJ50" s="418">
        <f t="shared" si="93"/>
        <v>152466</v>
      </c>
      <c r="BK50" s="418">
        <f t="shared" si="94"/>
        <v>124966</v>
      </c>
      <c r="BL50" s="418">
        <f t="shared" si="94"/>
        <v>27500</v>
      </c>
      <c r="BM50" s="418">
        <f t="shared" si="95"/>
        <v>55000</v>
      </c>
      <c r="BN50" s="418">
        <f t="shared" si="96"/>
        <v>55000</v>
      </c>
      <c r="BO50" s="418">
        <f t="shared" si="96"/>
        <v>0</v>
      </c>
      <c r="BP50" s="418">
        <f t="shared" si="97"/>
        <v>70123</v>
      </c>
      <c r="BQ50" s="418">
        <f t="shared" si="97"/>
        <v>1525</v>
      </c>
      <c r="BR50" s="418">
        <f t="shared" si="98"/>
        <v>900</v>
      </c>
      <c r="BS50" s="419">
        <f t="shared" si="99"/>
        <v>0.42899999999999994</v>
      </c>
      <c r="BT50" s="419">
        <f t="shared" si="100"/>
        <v>0.32999999999999996</v>
      </c>
      <c r="BU50" s="421">
        <f t="shared" si="100"/>
        <v>9.9000000000000005E-2</v>
      </c>
      <c r="BV50" s="511"/>
      <c r="BW50" s="415"/>
      <c r="BX50" s="415"/>
      <c r="BY50" s="415"/>
      <c r="BZ50" s="415"/>
      <c r="CA50" s="510"/>
    </row>
    <row r="51" spans="1:79" ht="12.95" customHeight="1" x14ac:dyDescent="0.25">
      <c r="A51" s="324">
        <v>8</v>
      </c>
      <c r="B51" s="325">
        <v>5445</v>
      </c>
      <c r="C51" s="326">
        <v>600099351</v>
      </c>
      <c r="D51" s="325">
        <v>70155771</v>
      </c>
      <c r="E51" s="327" t="s">
        <v>364</v>
      </c>
      <c r="F51" s="291"/>
      <c r="G51" s="329"/>
      <c r="H51" s="292"/>
      <c r="I51" s="472">
        <v>33119964</v>
      </c>
      <c r="J51" s="468">
        <v>24201429</v>
      </c>
      <c r="K51" s="468">
        <v>21925452</v>
      </c>
      <c r="L51" s="468">
        <v>2275977</v>
      </c>
      <c r="M51" s="468">
        <v>60000</v>
      </c>
      <c r="N51" s="468">
        <v>55000</v>
      </c>
      <c r="O51" s="468">
        <v>5000</v>
      </c>
      <c r="P51" s="468">
        <v>8200363</v>
      </c>
      <c r="Q51" s="468">
        <v>242014</v>
      </c>
      <c r="R51" s="468">
        <v>416158</v>
      </c>
      <c r="S51" s="469">
        <v>40.607700000000008</v>
      </c>
      <c r="T51" s="469">
        <v>33.768999999999998</v>
      </c>
      <c r="U51" s="532">
        <v>6.8387000000000002</v>
      </c>
      <c r="V51" s="472">
        <f t="shared" ref="V51:CA51" si="101">SUM(V45:V50)</f>
        <v>0</v>
      </c>
      <c r="W51" s="468">
        <f t="shared" si="101"/>
        <v>0</v>
      </c>
      <c r="X51" s="468">
        <f t="shared" si="101"/>
        <v>0</v>
      </c>
      <c r="Y51" s="468">
        <f t="shared" si="101"/>
        <v>0</v>
      </c>
      <c r="Z51" s="468">
        <f t="shared" si="101"/>
        <v>0</v>
      </c>
      <c r="AA51" s="468">
        <f t="shared" si="101"/>
        <v>358754</v>
      </c>
      <c r="AB51" s="468">
        <f t="shared" si="101"/>
        <v>0</v>
      </c>
      <c r="AC51" s="468">
        <f t="shared" si="101"/>
        <v>0</v>
      </c>
      <c r="AD51" s="468">
        <f t="shared" si="101"/>
        <v>0</v>
      </c>
      <c r="AE51" s="468">
        <f t="shared" si="101"/>
        <v>358754</v>
      </c>
      <c r="AF51" s="795">
        <f t="shared" si="101"/>
        <v>358754</v>
      </c>
      <c r="AG51" s="785">
        <f t="shared" si="101"/>
        <v>0</v>
      </c>
      <c r="AH51" s="468">
        <f t="shared" si="101"/>
        <v>0</v>
      </c>
      <c r="AI51" s="468">
        <f t="shared" si="101"/>
        <v>0</v>
      </c>
      <c r="AJ51" s="468">
        <f t="shared" si="101"/>
        <v>0</v>
      </c>
      <c r="AK51" s="468">
        <f t="shared" si="101"/>
        <v>0</v>
      </c>
      <c r="AL51" s="468">
        <f t="shared" si="101"/>
        <v>0</v>
      </c>
      <c r="AM51" s="468">
        <f t="shared" si="101"/>
        <v>0</v>
      </c>
      <c r="AN51" s="468">
        <f t="shared" si="101"/>
        <v>0</v>
      </c>
      <c r="AO51" s="468">
        <f t="shared" si="101"/>
        <v>0</v>
      </c>
      <c r="AP51" s="468">
        <f t="shared" si="101"/>
        <v>358754</v>
      </c>
      <c r="AQ51" s="468">
        <f t="shared" si="101"/>
        <v>358754</v>
      </c>
      <c r="AR51" s="468">
        <f t="shared" si="101"/>
        <v>121259</v>
      </c>
      <c r="AS51" s="468">
        <f t="shared" si="101"/>
        <v>3588</v>
      </c>
      <c r="AT51" s="468">
        <f t="shared" si="101"/>
        <v>0</v>
      </c>
      <c r="AU51" s="468">
        <f t="shared" si="101"/>
        <v>4025</v>
      </c>
      <c r="AV51" s="468">
        <f t="shared" si="101"/>
        <v>4025</v>
      </c>
      <c r="AW51" s="468">
        <f t="shared" si="101"/>
        <v>487626</v>
      </c>
      <c r="AX51" s="469">
        <f t="shared" si="101"/>
        <v>0</v>
      </c>
      <c r="AY51" s="469">
        <f t="shared" si="101"/>
        <v>0</v>
      </c>
      <c r="AZ51" s="469">
        <f t="shared" si="101"/>
        <v>0</v>
      </c>
      <c r="BA51" s="469">
        <f t="shared" si="101"/>
        <v>0</v>
      </c>
      <c r="BB51" s="469">
        <f t="shared" ref="BB51" si="102">SUM(BB45:BB50)</f>
        <v>1.0900000000000001</v>
      </c>
      <c r="BC51" s="469">
        <f t="shared" si="101"/>
        <v>0</v>
      </c>
      <c r="BD51" s="469">
        <f t="shared" si="101"/>
        <v>0</v>
      </c>
      <c r="BE51" s="469">
        <f t="shared" ref="BE51" si="103">SUM(BE45:BE50)</f>
        <v>0</v>
      </c>
      <c r="BF51" s="469">
        <f t="shared" si="101"/>
        <v>0</v>
      </c>
      <c r="BG51" s="469">
        <f t="shared" si="101"/>
        <v>1.0900000000000001</v>
      </c>
      <c r="BH51" s="532">
        <f t="shared" si="101"/>
        <v>1.0900000000000001</v>
      </c>
      <c r="BI51" s="472">
        <f t="shared" si="101"/>
        <v>33607590</v>
      </c>
      <c r="BJ51" s="468">
        <f t="shared" si="101"/>
        <v>24560183</v>
      </c>
      <c r="BK51" s="468">
        <f t="shared" si="101"/>
        <v>21925452</v>
      </c>
      <c r="BL51" s="468">
        <f t="shared" si="101"/>
        <v>2634731</v>
      </c>
      <c r="BM51" s="468">
        <f t="shared" si="101"/>
        <v>60000</v>
      </c>
      <c r="BN51" s="468">
        <f t="shared" si="101"/>
        <v>55000</v>
      </c>
      <c r="BO51" s="468">
        <f t="shared" si="101"/>
        <v>5000</v>
      </c>
      <c r="BP51" s="468">
        <f t="shared" si="101"/>
        <v>8321622</v>
      </c>
      <c r="BQ51" s="468">
        <f t="shared" si="101"/>
        <v>245602</v>
      </c>
      <c r="BR51" s="468">
        <f t="shared" si="101"/>
        <v>420183</v>
      </c>
      <c r="BS51" s="469">
        <f t="shared" si="101"/>
        <v>41.697700000000005</v>
      </c>
      <c r="BT51" s="469">
        <f t="shared" si="101"/>
        <v>33.768999999999998</v>
      </c>
      <c r="BU51" s="328">
        <f t="shared" si="101"/>
        <v>7.928700000000001</v>
      </c>
      <c r="BV51" s="886">
        <f t="shared" si="101"/>
        <v>608218</v>
      </c>
      <c r="BW51" s="727">
        <f t="shared" si="101"/>
        <v>451200</v>
      </c>
      <c r="BX51" s="727">
        <f t="shared" si="101"/>
        <v>0</v>
      </c>
      <c r="BY51" s="727">
        <f t="shared" si="101"/>
        <v>152506</v>
      </c>
      <c r="BZ51" s="727">
        <f t="shared" si="101"/>
        <v>4512</v>
      </c>
      <c r="CA51" s="859">
        <f t="shared" si="101"/>
        <v>0.8</v>
      </c>
    </row>
    <row r="52" spans="1:79" ht="12.95" customHeight="1" x14ac:dyDescent="0.25">
      <c r="A52" s="280">
        <v>9</v>
      </c>
      <c r="B52" s="321">
        <v>5446</v>
      </c>
      <c r="C52" s="334">
        <v>600099393</v>
      </c>
      <c r="D52" s="281">
        <v>856096</v>
      </c>
      <c r="E52" s="323" t="s">
        <v>365</v>
      </c>
      <c r="F52" s="281">
        <v>3231</v>
      </c>
      <c r="G52" s="323" t="s">
        <v>295</v>
      </c>
      <c r="H52" s="284" t="s">
        <v>271</v>
      </c>
      <c r="I52" s="420">
        <v>22203727</v>
      </c>
      <c r="J52" s="415">
        <v>16364540</v>
      </c>
      <c r="K52" s="415">
        <v>15757233</v>
      </c>
      <c r="L52" s="415">
        <v>607307</v>
      </c>
      <c r="M52" s="415">
        <v>87800</v>
      </c>
      <c r="N52" s="415">
        <v>74000</v>
      </c>
      <c r="O52" s="415">
        <v>13800</v>
      </c>
      <c r="P52" s="68">
        <v>5560891</v>
      </c>
      <c r="Q52" s="68">
        <v>163645</v>
      </c>
      <c r="R52" s="415">
        <v>26851</v>
      </c>
      <c r="S52" s="416">
        <v>26.686899999999998</v>
      </c>
      <c r="T52" s="417">
        <v>24.974099999999996</v>
      </c>
      <c r="U52" s="423">
        <v>1.7127999999999999</v>
      </c>
      <c r="V52" s="424">
        <f>AG52*-1</f>
        <v>0</v>
      </c>
      <c r="W52" s="418">
        <f>AH52*-1</f>
        <v>0</v>
      </c>
      <c r="X52" s="418">
        <v>0</v>
      </c>
      <c r="Y52" s="418">
        <v>0</v>
      </c>
      <c r="Z52" s="418">
        <v>0</v>
      </c>
      <c r="AA52" s="418">
        <v>0</v>
      </c>
      <c r="AB52" s="418">
        <v>0</v>
      </c>
      <c r="AC52" s="418">
        <v>0</v>
      </c>
      <c r="AD52" s="418">
        <f>V52+X52+Y52+Z52+AB52</f>
        <v>0</v>
      </c>
      <c r="AE52" s="418">
        <f>W52+AA52+AC52</f>
        <v>0</v>
      </c>
      <c r="AF52" s="794">
        <f>SUM(AD52:AE52)</f>
        <v>0</v>
      </c>
      <c r="AG52" s="780">
        <v>0</v>
      </c>
      <c r="AH52" s="418">
        <v>0</v>
      </c>
      <c r="AI52" s="418">
        <v>0</v>
      </c>
      <c r="AJ52" s="418">
        <v>0</v>
      </c>
      <c r="AK52" s="418">
        <v>0</v>
      </c>
      <c r="AL52" s="418">
        <f>AG52+AI52+AJ52</f>
        <v>0</v>
      </c>
      <c r="AM52" s="418">
        <f>AH52+AK52</f>
        <v>0</v>
      </c>
      <c r="AN52" s="418">
        <f>SUM(AL52:AM52)</f>
        <v>0</v>
      </c>
      <c r="AO52" s="418">
        <f>AD52+AL52</f>
        <v>0</v>
      </c>
      <c r="AP52" s="418">
        <f>AE52+AM52</f>
        <v>0</v>
      </c>
      <c r="AQ52" s="418">
        <f>SUM(AO52:AP52)</f>
        <v>0</v>
      </c>
      <c r="AR52" s="68">
        <f>ROUND((AF52+AG52+AH52+AI52)*33.8%,0)</f>
        <v>0</v>
      </c>
      <c r="AS52" s="68">
        <f>ROUND(AF52*1%,0)</f>
        <v>0</v>
      </c>
      <c r="AT52" s="418">
        <v>0</v>
      </c>
      <c r="AU52" s="418">
        <v>0</v>
      </c>
      <c r="AV52" s="418">
        <f>AT52+AU52</f>
        <v>0</v>
      </c>
      <c r="AW52" s="418">
        <f>AQ52+AR52+AS52+AV52</f>
        <v>0</v>
      </c>
      <c r="AX52" s="419">
        <v>0</v>
      </c>
      <c r="AY52" s="419">
        <v>0</v>
      </c>
      <c r="AZ52" s="419">
        <v>0</v>
      </c>
      <c r="BA52" s="419">
        <v>0</v>
      </c>
      <c r="BB52" s="419">
        <v>0</v>
      </c>
      <c r="BC52" s="419">
        <v>0</v>
      </c>
      <c r="BD52" s="419">
        <v>0</v>
      </c>
      <c r="BE52" s="419">
        <v>0</v>
      </c>
      <c r="BF52" s="419">
        <f>AX52+AZ52+BA52+BC52+BD52</f>
        <v>0</v>
      </c>
      <c r="BG52" s="419">
        <f>AY52+BB52+BE52</f>
        <v>0</v>
      </c>
      <c r="BH52" s="894">
        <f>SUM(BF52:BG52)</f>
        <v>0</v>
      </c>
      <c r="BI52" s="424">
        <f>I52+AW52</f>
        <v>22203727</v>
      </c>
      <c r="BJ52" s="418">
        <f>J52+AF52</f>
        <v>16364540</v>
      </c>
      <c r="BK52" s="418">
        <f>K52+AD52</f>
        <v>15757233</v>
      </c>
      <c r="BL52" s="418">
        <f>L52+AE52</f>
        <v>607307</v>
      </c>
      <c r="BM52" s="418">
        <f>M52+AN52</f>
        <v>87800</v>
      </c>
      <c r="BN52" s="418">
        <f>N52+AL52</f>
        <v>74000</v>
      </c>
      <c r="BO52" s="418">
        <f>O52+AM52</f>
        <v>13800</v>
      </c>
      <c r="BP52" s="418">
        <f>P52+AR52</f>
        <v>5560891</v>
      </c>
      <c r="BQ52" s="418">
        <f>Q52+AS52</f>
        <v>163645</v>
      </c>
      <c r="BR52" s="418">
        <f>R52+AV52</f>
        <v>26851</v>
      </c>
      <c r="BS52" s="419">
        <f>S52+BH52</f>
        <v>26.686899999999998</v>
      </c>
      <c r="BT52" s="419">
        <f>T52+BF52</f>
        <v>24.974099999999996</v>
      </c>
      <c r="BU52" s="421">
        <f>U52+BG52</f>
        <v>1.7127999999999999</v>
      </c>
      <c r="BV52" s="511"/>
      <c r="BW52" s="415"/>
      <c r="BX52" s="415"/>
      <c r="BY52" s="415"/>
      <c r="BZ52" s="415"/>
      <c r="CA52" s="510"/>
    </row>
    <row r="53" spans="1:79" ht="12.95" customHeight="1" x14ac:dyDescent="0.25">
      <c r="A53" s="324">
        <v>9</v>
      </c>
      <c r="B53" s="325">
        <v>5446</v>
      </c>
      <c r="C53" s="326">
        <v>600099393</v>
      </c>
      <c r="D53" s="325">
        <v>856096</v>
      </c>
      <c r="E53" s="327" t="s">
        <v>366</v>
      </c>
      <c r="F53" s="291"/>
      <c r="G53" s="329"/>
      <c r="H53" s="292"/>
      <c r="I53" s="472">
        <v>22203727</v>
      </c>
      <c r="J53" s="468">
        <v>16364540</v>
      </c>
      <c r="K53" s="468">
        <v>15757233</v>
      </c>
      <c r="L53" s="468">
        <v>607307</v>
      </c>
      <c r="M53" s="468">
        <v>87800</v>
      </c>
      <c r="N53" s="468">
        <v>74000</v>
      </c>
      <c r="O53" s="468">
        <v>13800</v>
      </c>
      <c r="P53" s="468">
        <v>5560891</v>
      </c>
      <c r="Q53" s="468">
        <v>163645</v>
      </c>
      <c r="R53" s="468">
        <v>26851</v>
      </c>
      <c r="S53" s="469">
        <v>26.686899999999998</v>
      </c>
      <c r="T53" s="469">
        <v>24.974099999999996</v>
      </c>
      <c r="U53" s="532">
        <v>1.7127999999999999</v>
      </c>
      <c r="V53" s="472">
        <f t="shared" ref="V53:CA53" si="104">SUM(V52)</f>
        <v>0</v>
      </c>
      <c r="W53" s="468">
        <f t="shared" si="104"/>
        <v>0</v>
      </c>
      <c r="X53" s="468">
        <f t="shared" si="104"/>
        <v>0</v>
      </c>
      <c r="Y53" s="468">
        <f t="shared" si="104"/>
        <v>0</v>
      </c>
      <c r="Z53" s="468">
        <f t="shared" si="104"/>
        <v>0</v>
      </c>
      <c r="AA53" s="468">
        <f t="shared" si="104"/>
        <v>0</v>
      </c>
      <c r="AB53" s="468">
        <f t="shared" si="104"/>
        <v>0</v>
      </c>
      <c r="AC53" s="468">
        <f t="shared" si="104"/>
        <v>0</v>
      </c>
      <c r="AD53" s="468">
        <f t="shared" si="104"/>
        <v>0</v>
      </c>
      <c r="AE53" s="468">
        <f t="shared" si="104"/>
        <v>0</v>
      </c>
      <c r="AF53" s="795">
        <f t="shared" si="104"/>
        <v>0</v>
      </c>
      <c r="AG53" s="785">
        <f t="shared" si="104"/>
        <v>0</v>
      </c>
      <c r="AH53" s="468">
        <f t="shared" si="104"/>
        <v>0</v>
      </c>
      <c r="AI53" s="468">
        <f t="shared" si="104"/>
        <v>0</v>
      </c>
      <c r="AJ53" s="468">
        <f t="shared" si="104"/>
        <v>0</v>
      </c>
      <c r="AK53" s="468">
        <f t="shared" si="104"/>
        <v>0</v>
      </c>
      <c r="AL53" s="468">
        <f t="shared" si="104"/>
        <v>0</v>
      </c>
      <c r="AM53" s="468">
        <f t="shared" si="104"/>
        <v>0</v>
      </c>
      <c r="AN53" s="468">
        <f t="shared" si="104"/>
        <v>0</v>
      </c>
      <c r="AO53" s="468">
        <f t="shared" si="104"/>
        <v>0</v>
      </c>
      <c r="AP53" s="468">
        <f t="shared" si="104"/>
        <v>0</v>
      </c>
      <c r="AQ53" s="468">
        <f t="shared" si="104"/>
        <v>0</v>
      </c>
      <c r="AR53" s="468">
        <f t="shared" si="104"/>
        <v>0</v>
      </c>
      <c r="AS53" s="468">
        <f t="shared" si="104"/>
        <v>0</v>
      </c>
      <c r="AT53" s="468">
        <f t="shared" si="104"/>
        <v>0</v>
      </c>
      <c r="AU53" s="468">
        <f t="shared" si="104"/>
        <v>0</v>
      </c>
      <c r="AV53" s="468">
        <f t="shared" si="104"/>
        <v>0</v>
      </c>
      <c r="AW53" s="468">
        <f t="shared" si="104"/>
        <v>0</v>
      </c>
      <c r="AX53" s="469">
        <f t="shared" si="104"/>
        <v>0</v>
      </c>
      <c r="AY53" s="469">
        <f t="shared" si="104"/>
        <v>0</v>
      </c>
      <c r="AZ53" s="469">
        <f t="shared" si="104"/>
        <v>0</v>
      </c>
      <c r="BA53" s="469">
        <f t="shared" si="104"/>
        <v>0</v>
      </c>
      <c r="BB53" s="469">
        <f t="shared" ref="BB53" si="105">SUM(BB52)</f>
        <v>0</v>
      </c>
      <c r="BC53" s="469">
        <f t="shared" si="104"/>
        <v>0</v>
      </c>
      <c r="BD53" s="469">
        <f t="shared" si="104"/>
        <v>0</v>
      </c>
      <c r="BE53" s="469">
        <f t="shared" ref="BE53" si="106">SUM(BE52)</f>
        <v>0</v>
      </c>
      <c r="BF53" s="469">
        <f t="shared" si="104"/>
        <v>0</v>
      </c>
      <c r="BG53" s="469">
        <f t="shared" si="104"/>
        <v>0</v>
      </c>
      <c r="BH53" s="532">
        <f t="shared" si="104"/>
        <v>0</v>
      </c>
      <c r="BI53" s="472">
        <f t="shared" si="104"/>
        <v>22203727</v>
      </c>
      <c r="BJ53" s="468">
        <f t="shared" si="104"/>
        <v>16364540</v>
      </c>
      <c r="BK53" s="468">
        <f t="shared" si="104"/>
        <v>15757233</v>
      </c>
      <c r="BL53" s="468">
        <f t="shared" si="104"/>
        <v>607307</v>
      </c>
      <c r="BM53" s="468">
        <f t="shared" si="104"/>
        <v>87800</v>
      </c>
      <c r="BN53" s="468">
        <f t="shared" si="104"/>
        <v>74000</v>
      </c>
      <c r="BO53" s="468">
        <f t="shared" si="104"/>
        <v>13800</v>
      </c>
      <c r="BP53" s="468">
        <f t="shared" si="104"/>
        <v>5560891</v>
      </c>
      <c r="BQ53" s="468">
        <f t="shared" si="104"/>
        <v>163645</v>
      </c>
      <c r="BR53" s="468">
        <f t="shared" si="104"/>
        <v>26851</v>
      </c>
      <c r="BS53" s="469">
        <f t="shared" si="104"/>
        <v>26.686899999999998</v>
      </c>
      <c r="BT53" s="469">
        <f t="shared" si="104"/>
        <v>24.974099999999996</v>
      </c>
      <c r="BU53" s="328">
        <f t="shared" si="104"/>
        <v>1.7127999999999999</v>
      </c>
      <c r="BV53" s="886">
        <f t="shared" si="104"/>
        <v>0</v>
      </c>
      <c r="BW53" s="727">
        <f t="shared" si="104"/>
        <v>0</v>
      </c>
      <c r="BX53" s="727">
        <f t="shared" si="104"/>
        <v>0</v>
      </c>
      <c r="BY53" s="727">
        <f t="shared" si="104"/>
        <v>0</v>
      </c>
      <c r="BZ53" s="727">
        <f t="shared" si="104"/>
        <v>0</v>
      </c>
      <c r="CA53" s="859">
        <f t="shared" si="104"/>
        <v>0</v>
      </c>
    </row>
    <row r="54" spans="1:79" ht="12.95" customHeight="1" x14ac:dyDescent="0.25">
      <c r="A54" s="280">
        <v>10</v>
      </c>
      <c r="B54" s="321">
        <v>5403</v>
      </c>
      <c r="C54" s="322">
        <v>600098966</v>
      </c>
      <c r="D54" s="281">
        <v>75016931</v>
      </c>
      <c r="E54" s="323" t="s">
        <v>367</v>
      </c>
      <c r="F54" s="281">
        <v>3111</v>
      </c>
      <c r="G54" s="323" t="s">
        <v>304</v>
      </c>
      <c r="H54" s="284" t="s">
        <v>271</v>
      </c>
      <c r="I54" s="420">
        <v>2974436</v>
      </c>
      <c r="J54" s="415">
        <v>2185922</v>
      </c>
      <c r="K54" s="415">
        <v>2071514</v>
      </c>
      <c r="L54" s="415">
        <v>114408</v>
      </c>
      <c r="M54" s="415">
        <v>15000</v>
      </c>
      <c r="N54" s="415">
        <v>9600</v>
      </c>
      <c r="O54" s="415">
        <v>5400</v>
      </c>
      <c r="P54" s="68">
        <v>743912</v>
      </c>
      <c r="Q54" s="68">
        <v>21859</v>
      </c>
      <c r="R54" s="415">
        <v>7743</v>
      </c>
      <c r="S54" s="416">
        <v>4.3210000000000006</v>
      </c>
      <c r="T54" s="417">
        <v>3.871</v>
      </c>
      <c r="U54" s="423">
        <v>0.44999999999999996</v>
      </c>
      <c r="V54" s="424">
        <f t="shared" ref="V54:W59" si="107">AG54*-1</f>
        <v>0</v>
      </c>
      <c r="W54" s="418">
        <f t="shared" si="107"/>
        <v>0</v>
      </c>
      <c r="X54" s="418">
        <v>0</v>
      </c>
      <c r="Y54" s="418">
        <v>0</v>
      </c>
      <c r="Z54" s="418">
        <v>0</v>
      </c>
      <c r="AA54" s="418">
        <v>0</v>
      </c>
      <c r="AB54" s="418">
        <v>0</v>
      </c>
      <c r="AC54" s="418">
        <v>0</v>
      </c>
      <c r="AD54" s="418">
        <f t="shared" ref="AD54:AD59" si="108">V54+X54+Y54+Z54+AB54</f>
        <v>0</v>
      </c>
      <c r="AE54" s="418">
        <f t="shared" ref="AE54:AE59" si="109">W54+AA54+AC54</f>
        <v>0</v>
      </c>
      <c r="AF54" s="794">
        <f t="shared" ref="AF54:AF59" si="110">SUM(AD54:AE54)</f>
        <v>0</v>
      </c>
      <c r="AG54" s="780">
        <v>0</v>
      </c>
      <c r="AH54" s="418">
        <v>0</v>
      </c>
      <c r="AI54" s="418">
        <v>0</v>
      </c>
      <c r="AJ54" s="418">
        <v>0</v>
      </c>
      <c r="AK54" s="418">
        <v>0</v>
      </c>
      <c r="AL54" s="418">
        <f t="shared" ref="AL54:AL59" si="111">AG54+AI54+AJ54</f>
        <v>0</v>
      </c>
      <c r="AM54" s="418">
        <f t="shared" ref="AM54:AM59" si="112">AH54+AK54</f>
        <v>0</v>
      </c>
      <c r="AN54" s="418">
        <f t="shared" ref="AN54:AN59" si="113">SUM(AL54:AM54)</f>
        <v>0</v>
      </c>
      <c r="AO54" s="418">
        <f t="shared" ref="AO54:AP59" si="114">AD54+AL54</f>
        <v>0</v>
      </c>
      <c r="AP54" s="418">
        <f t="shared" si="114"/>
        <v>0</v>
      </c>
      <c r="AQ54" s="418">
        <f t="shared" ref="AQ54:AQ59" si="115">SUM(AO54:AP54)</f>
        <v>0</v>
      </c>
      <c r="AR54" s="68">
        <f t="shared" ref="AR54:AR59" si="116">ROUND((AF54+AG54+AH54+AI54)*33.8%,0)</f>
        <v>0</v>
      </c>
      <c r="AS54" s="68">
        <f t="shared" ref="AS54:AS59" si="117">ROUND(AF54*1%,0)</f>
        <v>0</v>
      </c>
      <c r="AT54" s="418">
        <v>0</v>
      </c>
      <c r="AU54" s="418">
        <v>0</v>
      </c>
      <c r="AV54" s="418">
        <f t="shared" ref="AV54:AV59" si="118">AT54+AU54</f>
        <v>0</v>
      </c>
      <c r="AW54" s="418">
        <f t="shared" ref="AW54:AW59" si="119">AQ54+AR54+AS54+AV54</f>
        <v>0</v>
      </c>
      <c r="AX54" s="419">
        <v>0</v>
      </c>
      <c r="AY54" s="419">
        <v>0</v>
      </c>
      <c r="AZ54" s="419">
        <v>0</v>
      </c>
      <c r="BA54" s="419">
        <v>0</v>
      </c>
      <c r="BB54" s="419">
        <v>0</v>
      </c>
      <c r="BC54" s="419">
        <v>0</v>
      </c>
      <c r="BD54" s="419">
        <v>0</v>
      </c>
      <c r="BE54" s="419">
        <v>0</v>
      </c>
      <c r="BF54" s="419">
        <f t="shared" ref="BF54:BF59" si="120">AX54+AZ54+BA54+BC54+BD54</f>
        <v>0</v>
      </c>
      <c r="BG54" s="419">
        <f t="shared" ref="BG54:BG59" si="121">AY54+BB54+BE54</f>
        <v>0</v>
      </c>
      <c r="BH54" s="894">
        <f t="shared" ref="BH54:BH59" si="122">SUM(BF54:BG54)</f>
        <v>0</v>
      </c>
      <c r="BI54" s="424">
        <f t="shared" ref="BI54:BI59" si="123">I54+AW54</f>
        <v>2974436</v>
      </c>
      <c r="BJ54" s="418">
        <f t="shared" ref="BJ54:BJ59" si="124">J54+AF54</f>
        <v>2185922</v>
      </c>
      <c r="BK54" s="418">
        <f t="shared" ref="BK54:BL59" si="125">K54+AD54</f>
        <v>2071514</v>
      </c>
      <c r="BL54" s="418">
        <f t="shared" si="125"/>
        <v>114408</v>
      </c>
      <c r="BM54" s="418">
        <f t="shared" ref="BM54:BM59" si="126">M54+AN54</f>
        <v>15000</v>
      </c>
      <c r="BN54" s="418">
        <f t="shared" ref="BN54:BO59" si="127">N54+AL54</f>
        <v>9600</v>
      </c>
      <c r="BO54" s="418">
        <f t="shared" si="127"/>
        <v>5400</v>
      </c>
      <c r="BP54" s="418">
        <f t="shared" ref="BP54:BQ59" si="128">P54+AR54</f>
        <v>743912</v>
      </c>
      <c r="BQ54" s="418">
        <f t="shared" si="128"/>
        <v>21859</v>
      </c>
      <c r="BR54" s="418">
        <f t="shared" ref="BR54:BR59" si="129">R54+AV54</f>
        <v>7743</v>
      </c>
      <c r="BS54" s="419">
        <f t="shared" ref="BS54:BS59" si="130">S54+BH54</f>
        <v>4.3210000000000006</v>
      </c>
      <c r="BT54" s="419">
        <f t="shared" ref="BT54:BU59" si="131">T54+BF54</f>
        <v>3.871</v>
      </c>
      <c r="BU54" s="421">
        <f t="shared" si="131"/>
        <v>0.44999999999999996</v>
      </c>
      <c r="BV54" s="511"/>
      <c r="BW54" s="415"/>
      <c r="BX54" s="415"/>
      <c r="BY54" s="415"/>
      <c r="BZ54" s="415"/>
      <c r="CA54" s="510"/>
    </row>
    <row r="55" spans="1:79" ht="12.95" customHeight="1" x14ac:dyDescent="0.25">
      <c r="A55" s="280">
        <v>10</v>
      </c>
      <c r="B55" s="321">
        <v>5403</v>
      </c>
      <c r="C55" s="322">
        <v>600098966</v>
      </c>
      <c r="D55" s="281">
        <v>75016931</v>
      </c>
      <c r="E55" s="323" t="s">
        <v>367</v>
      </c>
      <c r="F55" s="281">
        <v>3117</v>
      </c>
      <c r="G55" s="323" t="s">
        <v>293</v>
      </c>
      <c r="H55" s="284" t="s">
        <v>271</v>
      </c>
      <c r="I55" s="420">
        <v>3171730</v>
      </c>
      <c r="J55" s="415">
        <v>2203105</v>
      </c>
      <c r="K55" s="415">
        <v>1951053</v>
      </c>
      <c r="L55" s="415">
        <v>252052</v>
      </c>
      <c r="M55" s="415">
        <v>110000</v>
      </c>
      <c r="N55" s="415">
        <v>63600</v>
      </c>
      <c r="O55" s="415">
        <v>46400</v>
      </c>
      <c r="P55" s="68">
        <v>781829</v>
      </c>
      <c r="Q55" s="68">
        <v>22031</v>
      </c>
      <c r="R55" s="415">
        <v>54765</v>
      </c>
      <c r="S55" s="416">
        <v>3.7965000000000004</v>
      </c>
      <c r="T55" s="417">
        <v>3</v>
      </c>
      <c r="U55" s="423">
        <v>0.79649999999999999</v>
      </c>
      <c r="V55" s="424">
        <f t="shared" si="107"/>
        <v>0</v>
      </c>
      <c r="W55" s="418">
        <f t="shared" si="107"/>
        <v>0</v>
      </c>
      <c r="X55" s="418">
        <v>0</v>
      </c>
      <c r="Y55" s="418">
        <v>0</v>
      </c>
      <c r="Z55" s="418">
        <v>0</v>
      </c>
      <c r="AA55" s="418">
        <v>0</v>
      </c>
      <c r="AB55" s="418">
        <v>0</v>
      </c>
      <c r="AC55" s="418">
        <v>0</v>
      </c>
      <c r="AD55" s="418">
        <f t="shared" si="108"/>
        <v>0</v>
      </c>
      <c r="AE55" s="418">
        <f t="shared" si="109"/>
        <v>0</v>
      </c>
      <c r="AF55" s="794">
        <f t="shared" si="110"/>
        <v>0</v>
      </c>
      <c r="AG55" s="780">
        <v>0</v>
      </c>
      <c r="AH55" s="418">
        <v>0</v>
      </c>
      <c r="AI55" s="418">
        <v>0</v>
      </c>
      <c r="AJ55" s="418">
        <v>0</v>
      </c>
      <c r="AK55" s="418">
        <v>0</v>
      </c>
      <c r="AL55" s="418">
        <f t="shared" si="111"/>
        <v>0</v>
      </c>
      <c r="AM55" s="418">
        <f t="shared" si="112"/>
        <v>0</v>
      </c>
      <c r="AN55" s="418">
        <f t="shared" si="113"/>
        <v>0</v>
      </c>
      <c r="AO55" s="418">
        <f t="shared" si="114"/>
        <v>0</v>
      </c>
      <c r="AP55" s="418">
        <f t="shared" si="114"/>
        <v>0</v>
      </c>
      <c r="AQ55" s="418">
        <f t="shared" si="115"/>
        <v>0</v>
      </c>
      <c r="AR55" s="68">
        <f t="shared" si="116"/>
        <v>0</v>
      </c>
      <c r="AS55" s="68">
        <f t="shared" si="117"/>
        <v>0</v>
      </c>
      <c r="AT55" s="418">
        <v>0</v>
      </c>
      <c r="AU55" s="418">
        <v>0</v>
      </c>
      <c r="AV55" s="418">
        <f t="shared" si="118"/>
        <v>0</v>
      </c>
      <c r="AW55" s="418">
        <f t="shared" si="119"/>
        <v>0</v>
      </c>
      <c r="AX55" s="419">
        <v>0</v>
      </c>
      <c r="AY55" s="419">
        <v>0</v>
      </c>
      <c r="AZ55" s="419">
        <v>0</v>
      </c>
      <c r="BA55" s="419">
        <v>0</v>
      </c>
      <c r="BB55" s="419">
        <v>0</v>
      </c>
      <c r="BC55" s="419">
        <v>0</v>
      </c>
      <c r="BD55" s="419">
        <v>0</v>
      </c>
      <c r="BE55" s="419">
        <v>0</v>
      </c>
      <c r="BF55" s="419">
        <f t="shared" si="120"/>
        <v>0</v>
      </c>
      <c r="BG55" s="419">
        <f t="shared" si="121"/>
        <v>0</v>
      </c>
      <c r="BH55" s="894">
        <f t="shared" si="122"/>
        <v>0</v>
      </c>
      <c r="BI55" s="424">
        <f t="shared" si="123"/>
        <v>3171730</v>
      </c>
      <c r="BJ55" s="418">
        <f t="shared" si="124"/>
        <v>2203105</v>
      </c>
      <c r="BK55" s="418">
        <f t="shared" si="125"/>
        <v>1951053</v>
      </c>
      <c r="BL55" s="418">
        <f t="shared" si="125"/>
        <v>252052</v>
      </c>
      <c r="BM55" s="418">
        <f t="shared" si="126"/>
        <v>110000</v>
      </c>
      <c r="BN55" s="418">
        <f t="shared" si="127"/>
        <v>63600</v>
      </c>
      <c r="BO55" s="418">
        <f t="shared" si="127"/>
        <v>46400</v>
      </c>
      <c r="BP55" s="418">
        <f t="shared" si="128"/>
        <v>781829</v>
      </c>
      <c r="BQ55" s="418">
        <f t="shared" si="128"/>
        <v>22031</v>
      </c>
      <c r="BR55" s="418">
        <f t="shared" si="129"/>
        <v>54765</v>
      </c>
      <c r="BS55" s="419">
        <f t="shared" si="130"/>
        <v>3.7965000000000004</v>
      </c>
      <c r="BT55" s="419">
        <f t="shared" si="131"/>
        <v>3</v>
      </c>
      <c r="BU55" s="421">
        <f t="shared" si="131"/>
        <v>0.79649999999999999</v>
      </c>
      <c r="BV55" s="511"/>
      <c r="BW55" s="415"/>
      <c r="BX55" s="415"/>
      <c r="BY55" s="415"/>
      <c r="BZ55" s="415"/>
      <c r="CA55" s="510"/>
    </row>
    <row r="56" spans="1:79" ht="12.95" customHeight="1" x14ac:dyDescent="0.25">
      <c r="A56" s="280">
        <v>10</v>
      </c>
      <c r="B56" s="321">
        <v>5403</v>
      </c>
      <c r="C56" s="322">
        <v>600098966</v>
      </c>
      <c r="D56" s="281">
        <v>75016931</v>
      </c>
      <c r="E56" s="323" t="s">
        <v>367</v>
      </c>
      <c r="F56" s="281">
        <v>3117</v>
      </c>
      <c r="G56" s="323" t="s">
        <v>298</v>
      </c>
      <c r="H56" s="284" t="s">
        <v>272</v>
      </c>
      <c r="I56" s="420">
        <v>611922</v>
      </c>
      <c r="J56" s="415">
        <v>451537</v>
      </c>
      <c r="K56" s="415">
        <v>451537</v>
      </c>
      <c r="L56" s="415">
        <v>0</v>
      </c>
      <c r="M56" s="415">
        <v>0</v>
      </c>
      <c r="N56" s="415">
        <v>0</v>
      </c>
      <c r="O56" s="415">
        <v>0</v>
      </c>
      <c r="P56" s="68">
        <v>152620</v>
      </c>
      <c r="Q56" s="68">
        <v>4515</v>
      </c>
      <c r="R56" s="415">
        <v>3250</v>
      </c>
      <c r="S56" s="416">
        <v>1.04</v>
      </c>
      <c r="T56" s="417">
        <v>1.04</v>
      </c>
      <c r="U56" s="423">
        <v>0</v>
      </c>
      <c r="V56" s="424">
        <f t="shared" si="107"/>
        <v>0</v>
      </c>
      <c r="W56" s="418">
        <f t="shared" si="107"/>
        <v>0</v>
      </c>
      <c r="X56" s="418">
        <v>0</v>
      </c>
      <c r="Y56" s="418">
        <v>0</v>
      </c>
      <c r="Z56" s="418">
        <v>0</v>
      </c>
      <c r="AA56" s="418">
        <v>0</v>
      </c>
      <c r="AB56" s="418">
        <v>0</v>
      </c>
      <c r="AC56" s="418">
        <v>0</v>
      </c>
      <c r="AD56" s="418">
        <f t="shared" si="108"/>
        <v>0</v>
      </c>
      <c r="AE56" s="418">
        <f t="shared" si="109"/>
        <v>0</v>
      </c>
      <c r="AF56" s="794">
        <f t="shared" si="110"/>
        <v>0</v>
      </c>
      <c r="AG56" s="780">
        <v>0</v>
      </c>
      <c r="AH56" s="418">
        <v>0</v>
      </c>
      <c r="AI56" s="418">
        <v>0</v>
      </c>
      <c r="AJ56" s="418">
        <v>0</v>
      </c>
      <c r="AK56" s="418">
        <v>0</v>
      </c>
      <c r="AL56" s="418">
        <f t="shared" si="111"/>
        <v>0</v>
      </c>
      <c r="AM56" s="418">
        <f t="shared" si="112"/>
        <v>0</v>
      </c>
      <c r="AN56" s="418">
        <f t="shared" si="113"/>
        <v>0</v>
      </c>
      <c r="AO56" s="418">
        <f t="shared" si="114"/>
        <v>0</v>
      </c>
      <c r="AP56" s="418">
        <f t="shared" si="114"/>
        <v>0</v>
      </c>
      <c r="AQ56" s="418">
        <f t="shared" si="115"/>
        <v>0</v>
      </c>
      <c r="AR56" s="68">
        <f t="shared" si="116"/>
        <v>0</v>
      </c>
      <c r="AS56" s="68">
        <f t="shared" si="117"/>
        <v>0</v>
      </c>
      <c r="AT56" s="418">
        <v>0</v>
      </c>
      <c r="AU56" s="418">
        <v>0</v>
      </c>
      <c r="AV56" s="418">
        <f t="shared" si="118"/>
        <v>0</v>
      </c>
      <c r="AW56" s="418">
        <f t="shared" si="119"/>
        <v>0</v>
      </c>
      <c r="AX56" s="419">
        <v>0</v>
      </c>
      <c r="AY56" s="419">
        <v>0</v>
      </c>
      <c r="AZ56" s="419">
        <v>0</v>
      </c>
      <c r="BA56" s="419">
        <v>0</v>
      </c>
      <c r="BB56" s="419">
        <v>0</v>
      </c>
      <c r="BC56" s="419">
        <v>0</v>
      </c>
      <c r="BD56" s="419">
        <v>0</v>
      </c>
      <c r="BE56" s="419">
        <v>0</v>
      </c>
      <c r="BF56" s="419">
        <f t="shared" si="120"/>
        <v>0</v>
      </c>
      <c r="BG56" s="419">
        <f t="shared" si="121"/>
        <v>0</v>
      </c>
      <c r="BH56" s="894">
        <f t="shared" si="122"/>
        <v>0</v>
      </c>
      <c r="BI56" s="424">
        <f t="shared" si="123"/>
        <v>611922</v>
      </c>
      <c r="BJ56" s="418">
        <f t="shared" si="124"/>
        <v>451537</v>
      </c>
      <c r="BK56" s="418">
        <f t="shared" si="125"/>
        <v>451537</v>
      </c>
      <c r="BL56" s="418">
        <f t="shared" si="125"/>
        <v>0</v>
      </c>
      <c r="BM56" s="418">
        <f t="shared" si="126"/>
        <v>0</v>
      </c>
      <c r="BN56" s="418">
        <f t="shared" si="127"/>
        <v>0</v>
      </c>
      <c r="BO56" s="418">
        <f t="shared" si="127"/>
        <v>0</v>
      </c>
      <c r="BP56" s="418">
        <f t="shared" si="128"/>
        <v>152620</v>
      </c>
      <c r="BQ56" s="418">
        <f t="shared" si="128"/>
        <v>4515</v>
      </c>
      <c r="BR56" s="418">
        <f t="shared" si="129"/>
        <v>3250</v>
      </c>
      <c r="BS56" s="419">
        <f t="shared" si="130"/>
        <v>1.04</v>
      </c>
      <c r="BT56" s="419">
        <f t="shared" si="131"/>
        <v>1.04</v>
      </c>
      <c r="BU56" s="421">
        <f t="shared" si="131"/>
        <v>0</v>
      </c>
      <c r="BV56" s="511"/>
      <c r="BW56" s="415"/>
      <c r="BX56" s="415"/>
      <c r="BY56" s="415"/>
      <c r="BZ56" s="415"/>
      <c r="CA56" s="510"/>
    </row>
    <row r="57" spans="1:79" ht="12.95" customHeight="1" x14ac:dyDescent="0.25">
      <c r="A57" s="280">
        <v>10</v>
      </c>
      <c r="B57" s="321">
        <v>5403</v>
      </c>
      <c r="C57" s="322">
        <v>600098966</v>
      </c>
      <c r="D57" s="281">
        <v>75016931</v>
      </c>
      <c r="E57" s="323" t="s">
        <v>367</v>
      </c>
      <c r="F57" s="281">
        <v>3141</v>
      </c>
      <c r="G57" s="323" t="s">
        <v>294</v>
      </c>
      <c r="H57" s="284" t="s">
        <v>272</v>
      </c>
      <c r="I57" s="420">
        <v>634725</v>
      </c>
      <c r="J57" s="415">
        <v>454106</v>
      </c>
      <c r="K57" s="415">
        <v>0</v>
      </c>
      <c r="L57" s="415">
        <v>454106</v>
      </c>
      <c r="M57" s="415">
        <v>15000</v>
      </c>
      <c r="N57" s="415">
        <v>0</v>
      </c>
      <c r="O57" s="415">
        <v>15000</v>
      </c>
      <c r="P57" s="68">
        <v>158558</v>
      </c>
      <c r="Q57" s="68">
        <v>4541</v>
      </c>
      <c r="R57" s="415">
        <v>2520</v>
      </c>
      <c r="S57" s="416">
        <v>1.4067000000000001</v>
      </c>
      <c r="T57" s="417">
        <v>0</v>
      </c>
      <c r="U57" s="423">
        <v>1.4067000000000001</v>
      </c>
      <c r="V57" s="424">
        <f t="shared" si="107"/>
        <v>0</v>
      </c>
      <c r="W57" s="418">
        <f t="shared" si="107"/>
        <v>0</v>
      </c>
      <c r="X57" s="418">
        <v>0</v>
      </c>
      <c r="Y57" s="418">
        <v>0</v>
      </c>
      <c r="Z57" s="418">
        <v>0</v>
      </c>
      <c r="AA57" s="418">
        <v>232902</v>
      </c>
      <c r="AB57" s="418">
        <v>0</v>
      </c>
      <c r="AC57" s="418">
        <v>0</v>
      </c>
      <c r="AD57" s="418">
        <f t="shared" si="108"/>
        <v>0</v>
      </c>
      <c r="AE57" s="418">
        <f t="shared" si="109"/>
        <v>232902</v>
      </c>
      <c r="AF57" s="794">
        <f t="shared" si="110"/>
        <v>232902</v>
      </c>
      <c r="AG57" s="780">
        <v>0</v>
      </c>
      <c r="AH57" s="418">
        <v>0</v>
      </c>
      <c r="AI57" s="418">
        <v>0</v>
      </c>
      <c r="AJ57" s="418">
        <v>0</v>
      </c>
      <c r="AK57" s="418">
        <v>0</v>
      </c>
      <c r="AL57" s="418">
        <f t="shared" si="111"/>
        <v>0</v>
      </c>
      <c r="AM57" s="418">
        <f t="shared" si="112"/>
        <v>0</v>
      </c>
      <c r="AN57" s="418">
        <f t="shared" si="113"/>
        <v>0</v>
      </c>
      <c r="AO57" s="418">
        <f t="shared" si="114"/>
        <v>0</v>
      </c>
      <c r="AP57" s="418">
        <f t="shared" si="114"/>
        <v>232902</v>
      </c>
      <c r="AQ57" s="418">
        <f t="shared" si="115"/>
        <v>232902</v>
      </c>
      <c r="AR57" s="68">
        <f t="shared" si="116"/>
        <v>78721</v>
      </c>
      <c r="AS57" s="68">
        <f t="shared" si="117"/>
        <v>2329</v>
      </c>
      <c r="AT57" s="418">
        <v>0</v>
      </c>
      <c r="AU57" s="418">
        <v>1224</v>
      </c>
      <c r="AV57" s="418">
        <f t="shared" si="118"/>
        <v>1224</v>
      </c>
      <c r="AW57" s="418">
        <f t="shared" si="119"/>
        <v>315176</v>
      </c>
      <c r="AX57" s="419">
        <v>0</v>
      </c>
      <c r="AY57" s="419">
        <v>0</v>
      </c>
      <c r="AZ57" s="419">
        <v>0</v>
      </c>
      <c r="BA57" s="419">
        <v>0</v>
      </c>
      <c r="BB57" s="419">
        <v>0.7</v>
      </c>
      <c r="BC57" s="419">
        <v>0</v>
      </c>
      <c r="BD57" s="419">
        <v>0</v>
      </c>
      <c r="BE57" s="419">
        <v>0</v>
      </c>
      <c r="BF57" s="419">
        <f t="shared" si="120"/>
        <v>0</v>
      </c>
      <c r="BG57" s="419">
        <f t="shared" si="121"/>
        <v>0.7</v>
      </c>
      <c r="BH57" s="894">
        <f t="shared" si="122"/>
        <v>0.7</v>
      </c>
      <c r="BI57" s="424">
        <f t="shared" si="123"/>
        <v>949901</v>
      </c>
      <c r="BJ57" s="418">
        <f t="shared" si="124"/>
        <v>687008</v>
      </c>
      <c r="BK57" s="418">
        <f t="shared" si="125"/>
        <v>0</v>
      </c>
      <c r="BL57" s="418">
        <f t="shared" si="125"/>
        <v>687008</v>
      </c>
      <c r="BM57" s="418">
        <f t="shared" si="126"/>
        <v>15000</v>
      </c>
      <c r="BN57" s="418">
        <f t="shared" si="127"/>
        <v>0</v>
      </c>
      <c r="BO57" s="418">
        <f t="shared" si="127"/>
        <v>15000</v>
      </c>
      <c r="BP57" s="418">
        <f t="shared" si="128"/>
        <v>237279</v>
      </c>
      <c r="BQ57" s="418">
        <f t="shared" si="128"/>
        <v>6870</v>
      </c>
      <c r="BR57" s="418">
        <f t="shared" si="129"/>
        <v>3744</v>
      </c>
      <c r="BS57" s="419">
        <f t="shared" si="130"/>
        <v>2.1067</v>
      </c>
      <c r="BT57" s="419">
        <f t="shared" si="131"/>
        <v>0</v>
      </c>
      <c r="BU57" s="421">
        <f t="shared" si="131"/>
        <v>2.1067</v>
      </c>
      <c r="BV57" s="511"/>
      <c r="BW57" s="415"/>
      <c r="BX57" s="415"/>
      <c r="BY57" s="415"/>
      <c r="BZ57" s="415"/>
      <c r="CA57" s="510"/>
    </row>
    <row r="58" spans="1:79" ht="12.95" customHeight="1" x14ac:dyDescent="0.25">
      <c r="A58" s="280">
        <v>10</v>
      </c>
      <c r="B58" s="321">
        <v>5403</v>
      </c>
      <c r="C58" s="322">
        <v>600098966</v>
      </c>
      <c r="D58" s="281">
        <v>75016931</v>
      </c>
      <c r="E58" s="323" t="s">
        <v>367</v>
      </c>
      <c r="F58" s="281">
        <v>3143</v>
      </c>
      <c r="G58" s="323" t="s">
        <v>595</v>
      </c>
      <c r="H58" s="284" t="s">
        <v>271</v>
      </c>
      <c r="I58" s="420">
        <v>602477</v>
      </c>
      <c r="J58" s="415">
        <v>441978</v>
      </c>
      <c r="K58" s="415">
        <v>441978</v>
      </c>
      <c r="L58" s="415">
        <v>0</v>
      </c>
      <c r="M58" s="415">
        <v>5000</v>
      </c>
      <c r="N58" s="415">
        <v>5000</v>
      </c>
      <c r="O58" s="415">
        <v>0</v>
      </c>
      <c r="P58" s="68">
        <v>151079</v>
      </c>
      <c r="Q58" s="68">
        <v>4420</v>
      </c>
      <c r="R58" s="415">
        <v>0</v>
      </c>
      <c r="S58" s="416">
        <v>0.89280000000000004</v>
      </c>
      <c r="T58" s="417">
        <v>0.89280000000000004</v>
      </c>
      <c r="U58" s="423">
        <v>0</v>
      </c>
      <c r="V58" s="424">
        <f t="shared" si="107"/>
        <v>0</v>
      </c>
      <c r="W58" s="418">
        <f t="shared" si="107"/>
        <v>0</v>
      </c>
      <c r="X58" s="418">
        <v>0</v>
      </c>
      <c r="Y58" s="418">
        <v>0</v>
      </c>
      <c r="Z58" s="418">
        <v>0</v>
      </c>
      <c r="AA58" s="418">
        <v>0</v>
      </c>
      <c r="AB58" s="418">
        <v>0</v>
      </c>
      <c r="AC58" s="418">
        <v>0</v>
      </c>
      <c r="AD58" s="418">
        <f t="shared" si="108"/>
        <v>0</v>
      </c>
      <c r="AE58" s="418">
        <f t="shared" si="109"/>
        <v>0</v>
      </c>
      <c r="AF58" s="794">
        <f t="shared" si="110"/>
        <v>0</v>
      </c>
      <c r="AG58" s="780">
        <v>0</v>
      </c>
      <c r="AH58" s="418">
        <v>0</v>
      </c>
      <c r="AI58" s="418">
        <v>0</v>
      </c>
      <c r="AJ58" s="418">
        <v>0</v>
      </c>
      <c r="AK58" s="418">
        <v>0</v>
      </c>
      <c r="AL58" s="418">
        <f t="shared" si="111"/>
        <v>0</v>
      </c>
      <c r="AM58" s="418">
        <f t="shared" si="112"/>
        <v>0</v>
      </c>
      <c r="AN58" s="418">
        <f t="shared" si="113"/>
        <v>0</v>
      </c>
      <c r="AO58" s="418">
        <f t="shared" si="114"/>
        <v>0</v>
      </c>
      <c r="AP58" s="418">
        <f t="shared" si="114"/>
        <v>0</v>
      </c>
      <c r="AQ58" s="418">
        <f t="shared" si="115"/>
        <v>0</v>
      </c>
      <c r="AR58" s="68">
        <f t="shared" si="116"/>
        <v>0</v>
      </c>
      <c r="AS58" s="68">
        <f t="shared" si="117"/>
        <v>0</v>
      </c>
      <c r="AT58" s="418">
        <v>0</v>
      </c>
      <c r="AU58" s="418">
        <v>0</v>
      </c>
      <c r="AV58" s="418">
        <f t="shared" si="118"/>
        <v>0</v>
      </c>
      <c r="AW58" s="418">
        <f t="shared" si="119"/>
        <v>0</v>
      </c>
      <c r="AX58" s="419">
        <v>0</v>
      </c>
      <c r="AY58" s="419">
        <v>0</v>
      </c>
      <c r="AZ58" s="419">
        <v>0</v>
      </c>
      <c r="BA58" s="419">
        <v>0</v>
      </c>
      <c r="BB58" s="419">
        <v>0</v>
      </c>
      <c r="BC58" s="419">
        <v>0</v>
      </c>
      <c r="BD58" s="419">
        <v>0</v>
      </c>
      <c r="BE58" s="419">
        <v>0</v>
      </c>
      <c r="BF58" s="419">
        <f t="shared" si="120"/>
        <v>0</v>
      </c>
      <c r="BG58" s="419">
        <f t="shared" si="121"/>
        <v>0</v>
      </c>
      <c r="BH58" s="894">
        <f t="shared" si="122"/>
        <v>0</v>
      </c>
      <c r="BI58" s="424">
        <f t="shared" si="123"/>
        <v>602477</v>
      </c>
      <c r="BJ58" s="418">
        <f t="shared" si="124"/>
        <v>441978</v>
      </c>
      <c r="BK58" s="418">
        <f t="shared" si="125"/>
        <v>441978</v>
      </c>
      <c r="BL58" s="418">
        <f t="shared" si="125"/>
        <v>0</v>
      </c>
      <c r="BM58" s="418">
        <f t="shared" si="126"/>
        <v>5000</v>
      </c>
      <c r="BN58" s="418">
        <f t="shared" si="127"/>
        <v>5000</v>
      </c>
      <c r="BO58" s="418">
        <f t="shared" si="127"/>
        <v>0</v>
      </c>
      <c r="BP58" s="418">
        <f t="shared" si="128"/>
        <v>151079</v>
      </c>
      <c r="BQ58" s="418">
        <f t="shared" si="128"/>
        <v>4420</v>
      </c>
      <c r="BR58" s="418">
        <f t="shared" si="129"/>
        <v>0</v>
      </c>
      <c r="BS58" s="419">
        <f t="shared" si="130"/>
        <v>0.89280000000000004</v>
      </c>
      <c r="BT58" s="419">
        <f t="shared" si="131"/>
        <v>0.89280000000000004</v>
      </c>
      <c r="BU58" s="421">
        <f t="shared" si="131"/>
        <v>0</v>
      </c>
      <c r="BV58" s="511"/>
      <c r="BW58" s="415"/>
      <c r="BX58" s="415"/>
      <c r="BY58" s="415"/>
      <c r="BZ58" s="415"/>
      <c r="CA58" s="510"/>
    </row>
    <row r="59" spans="1:79" ht="12.95" customHeight="1" x14ac:dyDescent="0.25">
      <c r="A59" s="280">
        <v>10</v>
      </c>
      <c r="B59" s="321">
        <v>5403</v>
      </c>
      <c r="C59" s="322">
        <v>600098966</v>
      </c>
      <c r="D59" s="281">
        <v>75016931</v>
      </c>
      <c r="E59" s="323" t="s">
        <v>367</v>
      </c>
      <c r="F59" s="281">
        <v>3143</v>
      </c>
      <c r="G59" s="323" t="s">
        <v>596</v>
      </c>
      <c r="H59" s="284" t="s">
        <v>272</v>
      </c>
      <c r="I59" s="420">
        <v>15380</v>
      </c>
      <c r="J59" s="415">
        <v>11009</v>
      </c>
      <c r="K59" s="415">
        <v>0</v>
      </c>
      <c r="L59" s="415">
        <v>11009</v>
      </c>
      <c r="M59" s="415">
        <v>0</v>
      </c>
      <c r="N59" s="415">
        <v>0</v>
      </c>
      <c r="O59" s="415">
        <v>0</v>
      </c>
      <c r="P59" s="68">
        <v>3721</v>
      </c>
      <c r="Q59" s="68">
        <v>110</v>
      </c>
      <c r="R59" s="415">
        <v>540</v>
      </c>
      <c r="S59" s="416">
        <v>4.1700000000000001E-2</v>
      </c>
      <c r="T59" s="417">
        <v>0</v>
      </c>
      <c r="U59" s="423">
        <v>4.1700000000000001E-2</v>
      </c>
      <c r="V59" s="424">
        <f t="shared" si="107"/>
        <v>0</v>
      </c>
      <c r="W59" s="418">
        <f t="shared" si="107"/>
        <v>0</v>
      </c>
      <c r="X59" s="418">
        <v>0</v>
      </c>
      <c r="Y59" s="418">
        <v>0</v>
      </c>
      <c r="Z59" s="418">
        <v>0</v>
      </c>
      <c r="AA59" s="418">
        <v>5491</v>
      </c>
      <c r="AB59" s="418">
        <v>0</v>
      </c>
      <c r="AC59" s="418">
        <v>0</v>
      </c>
      <c r="AD59" s="418">
        <f t="shared" si="108"/>
        <v>0</v>
      </c>
      <c r="AE59" s="418">
        <f t="shared" si="109"/>
        <v>5491</v>
      </c>
      <c r="AF59" s="794">
        <f t="shared" si="110"/>
        <v>5491</v>
      </c>
      <c r="AG59" s="780">
        <v>0</v>
      </c>
      <c r="AH59" s="418">
        <v>0</v>
      </c>
      <c r="AI59" s="418">
        <v>0</v>
      </c>
      <c r="AJ59" s="418">
        <v>0</v>
      </c>
      <c r="AK59" s="418">
        <v>0</v>
      </c>
      <c r="AL59" s="418">
        <f t="shared" si="111"/>
        <v>0</v>
      </c>
      <c r="AM59" s="418">
        <f t="shared" si="112"/>
        <v>0</v>
      </c>
      <c r="AN59" s="418">
        <f t="shared" si="113"/>
        <v>0</v>
      </c>
      <c r="AO59" s="418">
        <f t="shared" si="114"/>
        <v>0</v>
      </c>
      <c r="AP59" s="418">
        <f t="shared" si="114"/>
        <v>5491</v>
      </c>
      <c r="AQ59" s="418">
        <f t="shared" si="115"/>
        <v>5491</v>
      </c>
      <c r="AR59" s="68">
        <f t="shared" si="116"/>
        <v>1856</v>
      </c>
      <c r="AS59" s="68">
        <f t="shared" si="117"/>
        <v>55</v>
      </c>
      <c r="AT59" s="418">
        <v>0</v>
      </c>
      <c r="AU59" s="418">
        <v>270</v>
      </c>
      <c r="AV59" s="418">
        <f t="shared" si="118"/>
        <v>270</v>
      </c>
      <c r="AW59" s="418">
        <f t="shared" si="119"/>
        <v>7672</v>
      </c>
      <c r="AX59" s="419">
        <v>0</v>
      </c>
      <c r="AY59" s="419">
        <v>0</v>
      </c>
      <c r="AZ59" s="419">
        <v>0</v>
      </c>
      <c r="BA59" s="419">
        <v>0</v>
      </c>
      <c r="BB59" s="419">
        <v>0.02</v>
      </c>
      <c r="BC59" s="419">
        <v>0</v>
      </c>
      <c r="BD59" s="419">
        <v>0</v>
      </c>
      <c r="BE59" s="419">
        <v>0</v>
      </c>
      <c r="BF59" s="419">
        <f t="shared" si="120"/>
        <v>0</v>
      </c>
      <c r="BG59" s="419">
        <f t="shared" si="121"/>
        <v>0.02</v>
      </c>
      <c r="BH59" s="894">
        <f t="shared" si="122"/>
        <v>0.02</v>
      </c>
      <c r="BI59" s="424">
        <f t="shared" si="123"/>
        <v>23052</v>
      </c>
      <c r="BJ59" s="418">
        <f t="shared" si="124"/>
        <v>16500</v>
      </c>
      <c r="BK59" s="418">
        <f t="shared" si="125"/>
        <v>0</v>
      </c>
      <c r="BL59" s="418">
        <f t="shared" si="125"/>
        <v>16500</v>
      </c>
      <c r="BM59" s="418">
        <f t="shared" si="126"/>
        <v>0</v>
      </c>
      <c r="BN59" s="418">
        <f t="shared" si="127"/>
        <v>0</v>
      </c>
      <c r="BO59" s="418">
        <f t="shared" si="127"/>
        <v>0</v>
      </c>
      <c r="BP59" s="418">
        <f t="shared" si="128"/>
        <v>5577</v>
      </c>
      <c r="BQ59" s="418">
        <f t="shared" si="128"/>
        <v>165</v>
      </c>
      <c r="BR59" s="418">
        <f t="shared" si="129"/>
        <v>810</v>
      </c>
      <c r="BS59" s="419">
        <f t="shared" si="130"/>
        <v>6.1700000000000005E-2</v>
      </c>
      <c r="BT59" s="419">
        <f t="shared" si="131"/>
        <v>0</v>
      </c>
      <c r="BU59" s="421">
        <f t="shared" si="131"/>
        <v>6.1700000000000005E-2</v>
      </c>
      <c r="BV59" s="511"/>
      <c r="BW59" s="415"/>
      <c r="BX59" s="415"/>
      <c r="BY59" s="415"/>
      <c r="BZ59" s="415"/>
      <c r="CA59" s="510"/>
    </row>
    <row r="60" spans="1:79" ht="12.95" customHeight="1" x14ac:dyDescent="0.25">
      <c r="A60" s="324">
        <v>10</v>
      </c>
      <c r="B60" s="325">
        <v>5403</v>
      </c>
      <c r="C60" s="326">
        <v>600098966</v>
      </c>
      <c r="D60" s="325">
        <v>75016931</v>
      </c>
      <c r="E60" s="327" t="s">
        <v>368</v>
      </c>
      <c r="F60" s="291"/>
      <c r="G60" s="329"/>
      <c r="H60" s="292"/>
      <c r="I60" s="472">
        <v>8010670</v>
      </c>
      <c r="J60" s="468">
        <v>5747657</v>
      </c>
      <c r="K60" s="468">
        <v>4916082</v>
      </c>
      <c r="L60" s="468">
        <v>831575</v>
      </c>
      <c r="M60" s="468">
        <v>145000</v>
      </c>
      <c r="N60" s="468">
        <v>78200</v>
      </c>
      <c r="O60" s="468">
        <v>66800</v>
      </c>
      <c r="P60" s="468">
        <v>1991719</v>
      </c>
      <c r="Q60" s="468">
        <v>57476</v>
      </c>
      <c r="R60" s="468">
        <v>68818</v>
      </c>
      <c r="S60" s="469">
        <v>11.498700000000003</v>
      </c>
      <c r="T60" s="469">
        <v>8.8038000000000007</v>
      </c>
      <c r="U60" s="532">
        <v>2.6949000000000001</v>
      </c>
      <c r="V60" s="472">
        <f t="shared" ref="V60:CA60" si="132">SUM(V54:V59)</f>
        <v>0</v>
      </c>
      <c r="W60" s="468">
        <f t="shared" si="132"/>
        <v>0</v>
      </c>
      <c r="X60" s="468">
        <f t="shared" si="132"/>
        <v>0</v>
      </c>
      <c r="Y60" s="468">
        <f t="shared" si="132"/>
        <v>0</v>
      </c>
      <c r="Z60" s="468">
        <f t="shared" si="132"/>
        <v>0</v>
      </c>
      <c r="AA60" s="468">
        <f t="shared" si="132"/>
        <v>238393</v>
      </c>
      <c r="AB60" s="468">
        <f t="shared" si="132"/>
        <v>0</v>
      </c>
      <c r="AC60" s="468">
        <f t="shared" si="132"/>
        <v>0</v>
      </c>
      <c r="AD60" s="468">
        <f t="shared" si="132"/>
        <v>0</v>
      </c>
      <c r="AE60" s="468">
        <f t="shared" si="132"/>
        <v>238393</v>
      </c>
      <c r="AF60" s="795">
        <f t="shared" si="132"/>
        <v>238393</v>
      </c>
      <c r="AG60" s="785">
        <f t="shared" si="132"/>
        <v>0</v>
      </c>
      <c r="AH60" s="468">
        <f t="shared" si="132"/>
        <v>0</v>
      </c>
      <c r="AI60" s="468">
        <f t="shared" si="132"/>
        <v>0</v>
      </c>
      <c r="AJ60" s="468">
        <f t="shared" si="132"/>
        <v>0</v>
      </c>
      <c r="AK60" s="468">
        <f t="shared" si="132"/>
        <v>0</v>
      </c>
      <c r="AL60" s="468">
        <f t="shared" si="132"/>
        <v>0</v>
      </c>
      <c r="AM60" s="468">
        <f t="shared" si="132"/>
        <v>0</v>
      </c>
      <c r="AN60" s="468">
        <f t="shared" si="132"/>
        <v>0</v>
      </c>
      <c r="AO60" s="468">
        <f t="shared" si="132"/>
        <v>0</v>
      </c>
      <c r="AP60" s="468">
        <f t="shared" si="132"/>
        <v>238393</v>
      </c>
      <c r="AQ60" s="468">
        <f t="shared" si="132"/>
        <v>238393</v>
      </c>
      <c r="AR60" s="468">
        <f t="shared" si="132"/>
        <v>80577</v>
      </c>
      <c r="AS60" s="468">
        <f t="shared" si="132"/>
        <v>2384</v>
      </c>
      <c r="AT60" s="468">
        <f t="shared" si="132"/>
        <v>0</v>
      </c>
      <c r="AU60" s="468">
        <f t="shared" si="132"/>
        <v>1494</v>
      </c>
      <c r="AV60" s="468">
        <f t="shared" si="132"/>
        <v>1494</v>
      </c>
      <c r="AW60" s="468">
        <f t="shared" si="132"/>
        <v>322848</v>
      </c>
      <c r="AX60" s="469">
        <f t="shared" si="132"/>
        <v>0</v>
      </c>
      <c r="AY60" s="469">
        <f t="shared" si="132"/>
        <v>0</v>
      </c>
      <c r="AZ60" s="469">
        <f t="shared" si="132"/>
        <v>0</v>
      </c>
      <c r="BA60" s="469">
        <f t="shared" si="132"/>
        <v>0</v>
      </c>
      <c r="BB60" s="469">
        <f t="shared" ref="BB60" si="133">SUM(BB54:BB59)</f>
        <v>0.72</v>
      </c>
      <c r="BC60" s="469">
        <f t="shared" si="132"/>
        <v>0</v>
      </c>
      <c r="BD60" s="469">
        <f t="shared" si="132"/>
        <v>0</v>
      </c>
      <c r="BE60" s="469">
        <f t="shared" ref="BE60" si="134">SUM(BE54:BE59)</f>
        <v>0</v>
      </c>
      <c r="BF60" s="469">
        <f t="shared" si="132"/>
        <v>0</v>
      </c>
      <c r="BG60" s="469">
        <f t="shared" si="132"/>
        <v>0.72</v>
      </c>
      <c r="BH60" s="532">
        <f t="shared" si="132"/>
        <v>0.72</v>
      </c>
      <c r="BI60" s="472">
        <f t="shared" si="132"/>
        <v>8333518</v>
      </c>
      <c r="BJ60" s="468">
        <f t="shared" si="132"/>
        <v>5986050</v>
      </c>
      <c r="BK60" s="468">
        <f t="shared" si="132"/>
        <v>4916082</v>
      </c>
      <c r="BL60" s="468">
        <f t="shared" si="132"/>
        <v>1069968</v>
      </c>
      <c r="BM60" s="468">
        <f t="shared" si="132"/>
        <v>145000</v>
      </c>
      <c r="BN60" s="468">
        <f t="shared" si="132"/>
        <v>78200</v>
      </c>
      <c r="BO60" s="468">
        <f t="shared" si="132"/>
        <v>66800</v>
      </c>
      <c r="BP60" s="468">
        <f t="shared" si="132"/>
        <v>2072296</v>
      </c>
      <c r="BQ60" s="468">
        <f t="shared" si="132"/>
        <v>59860</v>
      </c>
      <c r="BR60" s="468">
        <f t="shared" si="132"/>
        <v>70312</v>
      </c>
      <c r="BS60" s="469">
        <f t="shared" si="132"/>
        <v>12.218700000000002</v>
      </c>
      <c r="BT60" s="469">
        <f t="shared" si="132"/>
        <v>8.8038000000000007</v>
      </c>
      <c r="BU60" s="328">
        <f t="shared" si="132"/>
        <v>3.4149000000000003</v>
      </c>
      <c r="BV60" s="886">
        <f t="shared" si="132"/>
        <v>0</v>
      </c>
      <c r="BW60" s="727">
        <f t="shared" si="132"/>
        <v>0</v>
      </c>
      <c r="BX60" s="727">
        <f t="shared" si="132"/>
        <v>0</v>
      </c>
      <c r="BY60" s="727">
        <f t="shared" si="132"/>
        <v>0</v>
      </c>
      <c r="BZ60" s="727">
        <f t="shared" si="132"/>
        <v>0</v>
      </c>
      <c r="CA60" s="859">
        <f t="shared" si="132"/>
        <v>0</v>
      </c>
    </row>
    <row r="61" spans="1:79" ht="12.95" customHeight="1" x14ac:dyDescent="0.25">
      <c r="A61" s="280">
        <v>11</v>
      </c>
      <c r="B61" s="321">
        <v>5404</v>
      </c>
      <c r="C61" s="322">
        <v>600098974</v>
      </c>
      <c r="D61" s="281">
        <v>70979812</v>
      </c>
      <c r="E61" s="323" t="s">
        <v>369</v>
      </c>
      <c r="F61" s="281">
        <v>3111</v>
      </c>
      <c r="G61" s="323" t="s">
        <v>304</v>
      </c>
      <c r="H61" s="284" t="s">
        <v>271</v>
      </c>
      <c r="I61" s="420">
        <v>2129502</v>
      </c>
      <c r="J61" s="415">
        <v>1575392</v>
      </c>
      <c r="K61" s="415">
        <v>1508824</v>
      </c>
      <c r="L61" s="415">
        <v>66568</v>
      </c>
      <c r="M61" s="415">
        <v>0</v>
      </c>
      <c r="N61" s="415">
        <v>0</v>
      </c>
      <c r="O61" s="415">
        <v>0</v>
      </c>
      <c r="P61" s="68">
        <v>532482</v>
      </c>
      <c r="Q61" s="68">
        <v>15754</v>
      </c>
      <c r="R61" s="415">
        <v>5874</v>
      </c>
      <c r="S61" s="416">
        <v>2.5732000000000004</v>
      </c>
      <c r="T61" s="417">
        <v>2.3065000000000002</v>
      </c>
      <c r="U61" s="423">
        <v>0.26669999999999999</v>
      </c>
      <c r="V61" s="424">
        <f t="shared" ref="V61:W66" si="135">AG61*-1</f>
        <v>0</v>
      </c>
      <c r="W61" s="418">
        <f t="shared" si="135"/>
        <v>0</v>
      </c>
      <c r="X61" s="418">
        <v>0</v>
      </c>
      <c r="Y61" s="418">
        <v>0</v>
      </c>
      <c r="Z61" s="418">
        <v>0</v>
      </c>
      <c r="AA61" s="418">
        <v>0</v>
      </c>
      <c r="AB61" s="418">
        <v>0</v>
      </c>
      <c r="AC61" s="418">
        <v>0</v>
      </c>
      <c r="AD61" s="418">
        <f t="shared" ref="AD61:AD66" si="136">V61+X61+Y61+Z61+AB61</f>
        <v>0</v>
      </c>
      <c r="AE61" s="418">
        <f t="shared" ref="AE61:AE66" si="137">W61+AA61+AC61</f>
        <v>0</v>
      </c>
      <c r="AF61" s="794">
        <f t="shared" ref="AF61:AF66" si="138">SUM(AD61:AE61)</f>
        <v>0</v>
      </c>
      <c r="AG61" s="780">
        <v>0</v>
      </c>
      <c r="AH61" s="418">
        <v>0</v>
      </c>
      <c r="AI61" s="418">
        <v>0</v>
      </c>
      <c r="AJ61" s="418">
        <v>0</v>
      </c>
      <c r="AK61" s="418">
        <v>0</v>
      </c>
      <c r="AL61" s="418">
        <f t="shared" ref="AL61:AL66" si="139">AG61+AI61+AJ61</f>
        <v>0</v>
      </c>
      <c r="AM61" s="418">
        <f t="shared" ref="AM61:AM66" si="140">AH61+AK61</f>
        <v>0</v>
      </c>
      <c r="AN61" s="418">
        <f t="shared" ref="AN61:AN66" si="141">SUM(AL61:AM61)</f>
        <v>0</v>
      </c>
      <c r="AO61" s="418">
        <f t="shared" ref="AO61:AP66" si="142">AD61+AL61</f>
        <v>0</v>
      </c>
      <c r="AP61" s="418">
        <f t="shared" si="142"/>
        <v>0</v>
      </c>
      <c r="AQ61" s="418">
        <f t="shared" ref="AQ61:AQ66" si="143">SUM(AO61:AP61)</f>
        <v>0</v>
      </c>
      <c r="AR61" s="68">
        <f t="shared" ref="AR61:AR66" si="144">ROUND((AF61+AG61+AH61+AI61)*33.8%,0)</f>
        <v>0</v>
      </c>
      <c r="AS61" s="68">
        <f t="shared" ref="AS61:AS66" si="145">ROUND(AF61*1%,0)</f>
        <v>0</v>
      </c>
      <c r="AT61" s="418">
        <v>0</v>
      </c>
      <c r="AU61" s="418">
        <v>0</v>
      </c>
      <c r="AV61" s="418">
        <f t="shared" ref="AV61:AV66" si="146">AT61+AU61</f>
        <v>0</v>
      </c>
      <c r="AW61" s="418">
        <f t="shared" ref="AW61:AW66" si="147">AQ61+AR61+AS61+AV61</f>
        <v>0</v>
      </c>
      <c r="AX61" s="419">
        <v>0</v>
      </c>
      <c r="AY61" s="419">
        <v>0</v>
      </c>
      <c r="AZ61" s="419">
        <v>0</v>
      </c>
      <c r="BA61" s="419">
        <v>0</v>
      </c>
      <c r="BB61" s="419">
        <v>0</v>
      </c>
      <c r="BC61" s="419">
        <v>0</v>
      </c>
      <c r="BD61" s="419">
        <v>0</v>
      </c>
      <c r="BE61" s="419">
        <v>0</v>
      </c>
      <c r="BF61" s="419">
        <f t="shared" ref="BF61:BF66" si="148">AX61+AZ61+BA61+BC61+BD61</f>
        <v>0</v>
      </c>
      <c r="BG61" s="419">
        <f t="shared" ref="BG61:BG66" si="149">AY61+BB61+BE61</f>
        <v>0</v>
      </c>
      <c r="BH61" s="894">
        <f t="shared" ref="BH61:BH66" si="150">SUM(BF61:BG61)</f>
        <v>0</v>
      </c>
      <c r="BI61" s="424">
        <f t="shared" ref="BI61:BI66" si="151">I61+AW61</f>
        <v>2129502</v>
      </c>
      <c r="BJ61" s="418">
        <f t="shared" ref="BJ61:BJ66" si="152">J61+AF61</f>
        <v>1575392</v>
      </c>
      <c r="BK61" s="418">
        <f t="shared" ref="BK61:BL66" si="153">K61+AD61</f>
        <v>1508824</v>
      </c>
      <c r="BL61" s="418">
        <f t="shared" si="153"/>
        <v>66568</v>
      </c>
      <c r="BM61" s="418">
        <f t="shared" ref="BM61:BM66" si="154">M61+AN61</f>
        <v>0</v>
      </c>
      <c r="BN61" s="418">
        <f t="shared" ref="BN61:BO66" si="155">N61+AL61</f>
        <v>0</v>
      </c>
      <c r="BO61" s="418">
        <f t="shared" si="155"/>
        <v>0</v>
      </c>
      <c r="BP61" s="418">
        <f t="shared" ref="BP61:BQ66" si="156">P61+AR61</f>
        <v>532482</v>
      </c>
      <c r="BQ61" s="418">
        <f t="shared" si="156"/>
        <v>15754</v>
      </c>
      <c r="BR61" s="418">
        <f t="shared" ref="BR61:BR66" si="157">R61+AV61</f>
        <v>5874</v>
      </c>
      <c r="BS61" s="419">
        <f t="shared" ref="BS61:BS66" si="158">S61+BH61</f>
        <v>2.5732000000000004</v>
      </c>
      <c r="BT61" s="419">
        <f t="shared" ref="BT61:BU66" si="159">T61+BF61</f>
        <v>2.3065000000000002</v>
      </c>
      <c r="BU61" s="421">
        <f t="shared" si="159"/>
        <v>0.26669999999999999</v>
      </c>
      <c r="BV61" s="511"/>
      <c r="BW61" s="415"/>
      <c r="BX61" s="415"/>
      <c r="BY61" s="415"/>
      <c r="BZ61" s="415"/>
      <c r="CA61" s="510"/>
    </row>
    <row r="62" spans="1:79" ht="12.95" customHeight="1" x14ac:dyDescent="0.25">
      <c r="A62" s="280">
        <v>11</v>
      </c>
      <c r="B62" s="321">
        <v>5404</v>
      </c>
      <c r="C62" s="322">
        <v>600098974</v>
      </c>
      <c r="D62" s="281">
        <v>70979812</v>
      </c>
      <c r="E62" s="323" t="s">
        <v>369</v>
      </c>
      <c r="F62" s="281">
        <v>3117</v>
      </c>
      <c r="G62" s="323" t="s">
        <v>293</v>
      </c>
      <c r="H62" s="284" t="s">
        <v>271</v>
      </c>
      <c r="I62" s="420">
        <v>2266215</v>
      </c>
      <c r="J62" s="415">
        <v>1652278</v>
      </c>
      <c r="K62" s="415">
        <v>1330671</v>
      </c>
      <c r="L62" s="415">
        <v>321607</v>
      </c>
      <c r="M62" s="415">
        <v>0</v>
      </c>
      <c r="N62" s="415">
        <v>0</v>
      </c>
      <c r="O62" s="415">
        <v>0</v>
      </c>
      <c r="P62" s="68">
        <v>558470</v>
      </c>
      <c r="Q62" s="68">
        <v>16523</v>
      </c>
      <c r="R62" s="415">
        <v>38944</v>
      </c>
      <c r="S62" s="416">
        <v>3.1872000000000003</v>
      </c>
      <c r="T62" s="417">
        <v>2.2273000000000001</v>
      </c>
      <c r="U62" s="423">
        <v>0.95990000000000009</v>
      </c>
      <c r="V62" s="424">
        <f t="shared" si="135"/>
        <v>0</v>
      </c>
      <c r="W62" s="418">
        <f t="shared" si="135"/>
        <v>0</v>
      </c>
      <c r="X62" s="418">
        <v>0</v>
      </c>
      <c r="Y62" s="418">
        <v>0</v>
      </c>
      <c r="Z62" s="418">
        <v>0</v>
      </c>
      <c r="AA62" s="418">
        <v>0</v>
      </c>
      <c r="AB62" s="418">
        <v>0</v>
      </c>
      <c r="AC62" s="418">
        <v>0</v>
      </c>
      <c r="AD62" s="418">
        <f t="shared" si="136"/>
        <v>0</v>
      </c>
      <c r="AE62" s="418">
        <f t="shared" si="137"/>
        <v>0</v>
      </c>
      <c r="AF62" s="794">
        <f t="shared" si="138"/>
        <v>0</v>
      </c>
      <c r="AG62" s="780">
        <v>0</v>
      </c>
      <c r="AH62" s="418">
        <v>0</v>
      </c>
      <c r="AI62" s="418">
        <v>0</v>
      </c>
      <c r="AJ62" s="418">
        <v>0</v>
      </c>
      <c r="AK62" s="418">
        <v>0</v>
      </c>
      <c r="AL62" s="418">
        <f t="shared" si="139"/>
        <v>0</v>
      </c>
      <c r="AM62" s="418">
        <f t="shared" si="140"/>
        <v>0</v>
      </c>
      <c r="AN62" s="418">
        <f t="shared" si="141"/>
        <v>0</v>
      </c>
      <c r="AO62" s="418">
        <f t="shared" si="142"/>
        <v>0</v>
      </c>
      <c r="AP62" s="418">
        <f t="shared" si="142"/>
        <v>0</v>
      </c>
      <c r="AQ62" s="418">
        <f t="shared" si="143"/>
        <v>0</v>
      </c>
      <c r="AR62" s="68">
        <f t="shared" si="144"/>
        <v>0</v>
      </c>
      <c r="AS62" s="68">
        <f t="shared" si="145"/>
        <v>0</v>
      </c>
      <c r="AT62" s="418">
        <v>0</v>
      </c>
      <c r="AU62" s="418">
        <v>0</v>
      </c>
      <c r="AV62" s="418">
        <f t="shared" si="146"/>
        <v>0</v>
      </c>
      <c r="AW62" s="418">
        <f t="shared" si="147"/>
        <v>0</v>
      </c>
      <c r="AX62" s="419">
        <v>0</v>
      </c>
      <c r="AY62" s="419">
        <v>0</v>
      </c>
      <c r="AZ62" s="419">
        <v>0</v>
      </c>
      <c r="BA62" s="419">
        <v>0</v>
      </c>
      <c r="BB62" s="419">
        <v>0</v>
      </c>
      <c r="BC62" s="419">
        <v>0</v>
      </c>
      <c r="BD62" s="419">
        <v>0</v>
      </c>
      <c r="BE62" s="419">
        <v>0</v>
      </c>
      <c r="BF62" s="419">
        <f t="shared" si="148"/>
        <v>0</v>
      </c>
      <c r="BG62" s="419">
        <f t="shared" si="149"/>
        <v>0</v>
      </c>
      <c r="BH62" s="894">
        <f t="shared" si="150"/>
        <v>0</v>
      </c>
      <c r="BI62" s="424">
        <f t="shared" si="151"/>
        <v>2266215</v>
      </c>
      <c r="BJ62" s="418">
        <f t="shared" si="152"/>
        <v>1652278</v>
      </c>
      <c r="BK62" s="418">
        <f t="shared" si="153"/>
        <v>1330671</v>
      </c>
      <c r="BL62" s="418">
        <f t="shared" si="153"/>
        <v>321607</v>
      </c>
      <c r="BM62" s="418">
        <f t="shared" si="154"/>
        <v>0</v>
      </c>
      <c r="BN62" s="418">
        <f t="shared" si="155"/>
        <v>0</v>
      </c>
      <c r="BO62" s="418">
        <f t="shared" si="155"/>
        <v>0</v>
      </c>
      <c r="BP62" s="418">
        <f t="shared" si="156"/>
        <v>558470</v>
      </c>
      <c r="BQ62" s="418">
        <f t="shared" si="156"/>
        <v>16523</v>
      </c>
      <c r="BR62" s="418">
        <f t="shared" si="157"/>
        <v>38944</v>
      </c>
      <c r="BS62" s="419">
        <f t="shared" si="158"/>
        <v>3.1872000000000003</v>
      </c>
      <c r="BT62" s="419">
        <f t="shared" si="159"/>
        <v>2.2273000000000001</v>
      </c>
      <c r="BU62" s="421">
        <f t="shared" si="159"/>
        <v>0.95990000000000009</v>
      </c>
      <c r="BV62" s="511"/>
      <c r="BW62" s="415"/>
      <c r="BX62" s="415"/>
      <c r="BY62" s="415"/>
      <c r="BZ62" s="415"/>
      <c r="CA62" s="510"/>
    </row>
    <row r="63" spans="1:79" ht="12.95" customHeight="1" x14ac:dyDescent="0.25">
      <c r="A63" s="280">
        <v>11</v>
      </c>
      <c r="B63" s="321">
        <v>5404</v>
      </c>
      <c r="C63" s="322">
        <v>600098974</v>
      </c>
      <c r="D63" s="281">
        <v>70979812</v>
      </c>
      <c r="E63" s="323" t="s">
        <v>369</v>
      </c>
      <c r="F63" s="281">
        <v>3117</v>
      </c>
      <c r="G63" s="323" t="s">
        <v>298</v>
      </c>
      <c r="H63" s="284" t="s">
        <v>272</v>
      </c>
      <c r="I63" s="420">
        <v>569268</v>
      </c>
      <c r="J63" s="415">
        <v>422306</v>
      </c>
      <c r="K63" s="415">
        <v>422306</v>
      </c>
      <c r="L63" s="415">
        <v>0</v>
      </c>
      <c r="M63" s="415">
        <v>0</v>
      </c>
      <c r="N63" s="415">
        <v>0</v>
      </c>
      <c r="O63" s="415">
        <v>0</v>
      </c>
      <c r="P63" s="68">
        <v>142739</v>
      </c>
      <c r="Q63" s="68">
        <v>4223</v>
      </c>
      <c r="R63" s="415">
        <v>0</v>
      </c>
      <c r="S63" s="416">
        <v>1.1399999999999999</v>
      </c>
      <c r="T63" s="417">
        <v>1.1399999999999999</v>
      </c>
      <c r="U63" s="423">
        <v>0</v>
      </c>
      <c r="V63" s="424">
        <f t="shared" si="135"/>
        <v>0</v>
      </c>
      <c r="W63" s="418">
        <f t="shared" si="135"/>
        <v>0</v>
      </c>
      <c r="X63" s="418">
        <v>0</v>
      </c>
      <c r="Y63" s="418">
        <v>0</v>
      </c>
      <c r="Z63" s="418">
        <v>0</v>
      </c>
      <c r="AA63" s="418">
        <v>0</v>
      </c>
      <c r="AB63" s="418">
        <v>0</v>
      </c>
      <c r="AC63" s="418">
        <v>0</v>
      </c>
      <c r="AD63" s="418">
        <f t="shared" si="136"/>
        <v>0</v>
      </c>
      <c r="AE63" s="418">
        <f t="shared" si="137"/>
        <v>0</v>
      </c>
      <c r="AF63" s="794">
        <f t="shared" si="138"/>
        <v>0</v>
      </c>
      <c r="AG63" s="780">
        <v>0</v>
      </c>
      <c r="AH63" s="418">
        <v>0</v>
      </c>
      <c r="AI63" s="418">
        <v>0</v>
      </c>
      <c r="AJ63" s="418">
        <v>0</v>
      </c>
      <c r="AK63" s="418">
        <v>0</v>
      </c>
      <c r="AL63" s="418">
        <f t="shared" si="139"/>
        <v>0</v>
      </c>
      <c r="AM63" s="418">
        <f t="shared" si="140"/>
        <v>0</v>
      </c>
      <c r="AN63" s="418">
        <f t="shared" si="141"/>
        <v>0</v>
      </c>
      <c r="AO63" s="418">
        <f t="shared" si="142"/>
        <v>0</v>
      </c>
      <c r="AP63" s="418">
        <f t="shared" si="142"/>
        <v>0</v>
      </c>
      <c r="AQ63" s="418">
        <f t="shared" si="143"/>
        <v>0</v>
      </c>
      <c r="AR63" s="68">
        <f t="shared" si="144"/>
        <v>0</v>
      </c>
      <c r="AS63" s="68">
        <f t="shared" si="145"/>
        <v>0</v>
      </c>
      <c r="AT63" s="418">
        <v>0</v>
      </c>
      <c r="AU63" s="418">
        <v>0</v>
      </c>
      <c r="AV63" s="418">
        <f t="shared" si="146"/>
        <v>0</v>
      </c>
      <c r="AW63" s="418">
        <f t="shared" si="147"/>
        <v>0</v>
      </c>
      <c r="AX63" s="419">
        <v>0</v>
      </c>
      <c r="AY63" s="419">
        <v>0</v>
      </c>
      <c r="AZ63" s="419">
        <v>0</v>
      </c>
      <c r="BA63" s="419">
        <v>0</v>
      </c>
      <c r="BB63" s="419">
        <v>0</v>
      </c>
      <c r="BC63" s="419">
        <v>0</v>
      </c>
      <c r="BD63" s="419">
        <v>0</v>
      </c>
      <c r="BE63" s="419">
        <v>0</v>
      </c>
      <c r="BF63" s="419">
        <f t="shared" si="148"/>
        <v>0</v>
      </c>
      <c r="BG63" s="419">
        <f t="shared" si="149"/>
        <v>0</v>
      </c>
      <c r="BH63" s="894">
        <f t="shared" si="150"/>
        <v>0</v>
      </c>
      <c r="BI63" s="424">
        <f t="shared" si="151"/>
        <v>569268</v>
      </c>
      <c r="BJ63" s="418">
        <f t="shared" si="152"/>
        <v>422306</v>
      </c>
      <c r="BK63" s="418">
        <f t="shared" si="153"/>
        <v>422306</v>
      </c>
      <c r="BL63" s="418">
        <f t="shared" si="153"/>
        <v>0</v>
      </c>
      <c r="BM63" s="418">
        <f t="shared" si="154"/>
        <v>0</v>
      </c>
      <c r="BN63" s="418">
        <f t="shared" si="155"/>
        <v>0</v>
      </c>
      <c r="BO63" s="418">
        <f t="shared" si="155"/>
        <v>0</v>
      </c>
      <c r="BP63" s="418">
        <f t="shared" si="156"/>
        <v>142739</v>
      </c>
      <c r="BQ63" s="418">
        <f t="shared" si="156"/>
        <v>4223</v>
      </c>
      <c r="BR63" s="418">
        <f t="shared" si="157"/>
        <v>0</v>
      </c>
      <c r="BS63" s="419">
        <f t="shared" si="158"/>
        <v>1.1399999999999999</v>
      </c>
      <c r="BT63" s="419">
        <f t="shared" si="159"/>
        <v>1.1399999999999999</v>
      </c>
      <c r="BU63" s="421">
        <f t="shared" si="159"/>
        <v>0</v>
      </c>
      <c r="BV63" s="511"/>
      <c r="BW63" s="415"/>
      <c r="BX63" s="415"/>
      <c r="BY63" s="415"/>
      <c r="BZ63" s="415"/>
      <c r="CA63" s="510"/>
    </row>
    <row r="64" spans="1:79" ht="12.95" customHeight="1" x14ac:dyDescent="0.25">
      <c r="A64" s="280">
        <v>11</v>
      </c>
      <c r="B64" s="321">
        <v>5404</v>
      </c>
      <c r="C64" s="322">
        <v>600098974</v>
      </c>
      <c r="D64" s="281">
        <v>70979812</v>
      </c>
      <c r="E64" s="323" t="s">
        <v>369</v>
      </c>
      <c r="F64" s="281">
        <v>3141</v>
      </c>
      <c r="G64" s="323" t="s">
        <v>294</v>
      </c>
      <c r="H64" s="284" t="s">
        <v>272</v>
      </c>
      <c r="I64" s="420">
        <v>514255</v>
      </c>
      <c r="J64" s="415">
        <v>370167</v>
      </c>
      <c r="K64" s="415">
        <v>0</v>
      </c>
      <c r="L64" s="415">
        <v>370167</v>
      </c>
      <c r="M64" s="415">
        <v>10000</v>
      </c>
      <c r="N64" s="415">
        <v>0</v>
      </c>
      <c r="O64" s="415">
        <v>10000</v>
      </c>
      <c r="P64" s="68">
        <v>128496</v>
      </c>
      <c r="Q64" s="68">
        <v>3702</v>
      </c>
      <c r="R64" s="415">
        <v>1890</v>
      </c>
      <c r="S64" s="416">
        <v>1.1399999999999999</v>
      </c>
      <c r="T64" s="417">
        <v>0</v>
      </c>
      <c r="U64" s="423">
        <v>1.1399999999999999</v>
      </c>
      <c r="V64" s="424">
        <f t="shared" si="135"/>
        <v>0</v>
      </c>
      <c r="W64" s="418">
        <f t="shared" si="135"/>
        <v>0</v>
      </c>
      <c r="X64" s="418">
        <v>0</v>
      </c>
      <c r="Y64" s="418">
        <v>0</v>
      </c>
      <c r="Z64" s="418">
        <v>0</v>
      </c>
      <c r="AA64" s="418">
        <v>189642</v>
      </c>
      <c r="AB64" s="418">
        <v>0</v>
      </c>
      <c r="AC64" s="418">
        <v>0</v>
      </c>
      <c r="AD64" s="418">
        <f t="shared" si="136"/>
        <v>0</v>
      </c>
      <c r="AE64" s="418">
        <f t="shared" si="137"/>
        <v>189642</v>
      </c>
      <c r="AF64" s="794">
        <f t="shared" si="138"/>
        <v>189642</v>
      </c>
      <c r="AG64" s="780">
        <v>0</v>
      </c>
      <c r="AH64" s="418">
        <v>0</v>
      </c>
      <c r="AI64" s="418">
        <v>0</v>
      </c>
      <c r="AJ64" s="418">
        <v>0</v>
      </c>
      <c r="AK64" s="418">
        <v>0</v>
      </c>
      <c r="AL64" s="418">
        <f t="shared" si="139"/>
        <v>0</v>
      </c>
      <c r="AM64" s="418">
        <f t="shared" si="140"/>
        <v>0</v>
      </c>
      <c r="AN64" s="418">
        <f t="shared" si="141"/>
        <v>0</v>
      </c>
      <c r="AO64" s="418">
        <f t="shared" si="142"/>
        <v>0</v>
      </c>
      <c r="AP64" s="418">
        <f t="shared" si="142"/>
        <v>189642</v>
      </c>
      <c r="AQ64" s="418">
        <f t="shared" si="143"/>
        <v>189642</v>
      </c>
      <c r="AR64" s="68">
        <f t="shared" si="144"/>
        <v>64099</v>
      </c>
      <c r="AS64" s="68">
        <f t="shared" si="145"/>
        <v>1896</v>
      </c>
      <c r="AT64" s="418">
        <v>0</v>
      </c>
      <c r="AU64" s="418">
        <v>918</v>
      </c>
      <c r="AV64" s="418">
        <f t="shared" si="146"/>
        <v>918</v>
      </c>
      <c r="AW64" s="418">
        <f t="shared" si="147"/>
        <v>256555</v>
      </c>
      <c r="AX64" s="419">
        <v>0</v>
      </c>
      <c r="AY64" s="419">
        <v>0</v>
      </c>
      <c r="AZ64" s="419">
        <v>0</v>
      </c>
      <c r="BA64" s="419">
        <v>0</v>
      </c>
      <c r="BB64" s="419">
        <v>0.56999999999999995</v>
      </c>
      <c r="BC64" s="419">
        <v>0</v>
      </c>
      <c r="BD64" s="419">
        <v>0</v>
      </c>
      <c r="BE64" s="419">
        <v>0</v>
      </c>
      <c r="BF64" s="419">
        <f t="shared" si="148"/>
        <v>0</v>
      </c>
      <c r="BG64" s="419">
        <f t="shared" si="149"/>
        <v>0.56999999999999995</v>
      </c>
      <c r="BH64" s="894">
        <f t="shared" si="150"/>
        <v>0.56999999999999995</v>
      </c>
      <c r="BI64" s="424">
        <f t="shared" si="151"/>
        <v>770810</v>
      </c>
      <c r="BJ64" s="418">
        <f t="shared" si="152"/>
        <v>559809</v>
      </c>
      <c r="BK64" s="418">
        <f t="shared" si="153"/>
        <v>0</v>
      </c>
      <c r="BL64" s="418">
        <f t="shared" si="153"/>
        <v>559809</v>
      </c>
      <c r="BM64" s="418">
        <f t="shared" si="154"/>
        <v>10000</v>
      </c>
      <c r="BN64" s="418">
        <f t="shared" si="155"/>
        <v>0</v>
      </c>
      <c r="BO64" s="418">
        <f t="shared" si="155"/>
        <v>10000</v>
      </c>
      <c r="BP64" s="418">
        <f t="shared" si="156"/>
        <v>192595</v>
      </c>
      <c r="BQ64" s="418">
        <f t="shared" si="156"/>
        <v>5598</v>
      </c>
      <c r="BR64" s="418">
        <f t="shared" si="157"/>
        <v>2808</v>
      </c>
      <c r="BS64" s="419">
        <f t="shared" si="158"/>
        <v>1.71</v>
      </c>
      <c r="BT64" s="419">
        <f t="shared" si="159"/>
        <v>0</v>
      </c>
      <c r="BU64" s="421">
        <f t="shared" si="159"/>
        <v>1.71</v>
      </c>
      <c r="BV64" s="511"/>
      <c r="BW64" s="415"/>
      <c r="BX64" s="415"/>
      <c r="BY64" s="415"/>
      <c r="BZ64" s="415"/>
      <c r="CA64" s="510"/>
    </row>
    <row r="65" spans="1:79" ht="12.95" customHeight="1" x14ac:dyDescent="0.25">
      <c r="A65" s="280">
        <v>11</v>
      </c>
      <c r="B65" s="321">
        <v>5404</v>
      </c>
      <c r="C65" s="322">
        <v>600098974</v>
      </c>
      <c r="D65" s="281">
        <v>70979812</v>
      </c>
      <c r="E65" s="323" t="s">
        <v>369</v>
      </c>
      <c r="F65" s="281">
        <v>3143</v>
      </c>
      <c r="G65" s="323" t="s">
        <v>595</v>
      </c>
      <c r="H65" s="284" t="s">
        <v>271</v>
      </c>
      <c r="I65" s="420">
        <v>471819</v>
      </c>
      <c r="J65" s="415">
        <v>350014</v>
      </c>
      <c r="K65" s="415">
        <v>350014</v>
      </c>
      <c r="L65" s="415">
        <v>0</v>
      </c>
      <c r="M65" s="415">
        <v>0</v>
      </c>
      <c r="N65" s="415">
        <v>0</v>
      </c>
      <c r="O65" s="415">
        <v>0</v>
      </c>
      <c r="P65" s="68">
        <v>118305</v>
      </c>
      <c r="Q65" s="68">
        <v>3500</v>
      </c>
      <c r="R65" s="415">
        <v>0</v>
      </c>
      <c r="S65" s="416">
        <v>0.70520000000000005</v>
      </c>
      <c r="T65" s="417">
        <v>0.70520000000000005</v>
      </c>
      <c r="U65" s="423">
        <v>0</v>
      </c>
      <c r="V65" s="424">
        <f t="shared" si="135"/>
        <v>0</v>
      </c>
      <c r="W65" s="418">
        <f t="shared" si="135"/>
        <v>0</v>
      </c>
      <c r="X65" s="418">
        <v>0</v>
      </c>
      <c r="Y65" s="418">
        <v>0</v>
      </c>
      <c r="Z65" s="418">
        <v>0</v>
      </c>
      <c r="AA65" s="418">
        <v>0</v>
      </c>
      <c r="AB65" s="418">
        <v>0</v>
      </c>
      <c r="AC65" s="418">
        <v>0</v>
      </c>
      <c r="AD65" s="418">
        <f t="shared" si="136"/>
        <v>0</v>
      </c>
      <c r="AE65" s="418">
        <f t="shared" si="137"/>
        <v>0</v>
      </c>
      <c r="AF65" s="794">
        <f t="shared" si="138"/>
        <v>0</v>
      </c>
      <c r="AG65" s="780">
        <v>0</v>
      </c>
      <c r="AH65" s="418">
        <v>0</v>
      </c>
      <c r="AI65" s="418">
        <v>0</v>
      </c>
      <c r="AJ65" s="418">
        <v>0</v>
      </c>
      <c r="AK65" s="418">
        <v>0</v>
      </c>
      <c r="AL65" s="418">
        <f t="shared" si="139"/>
        <v>0</v>
      </c>
      <c r="AM65" s="418">
        <f t="shared" si="140"/>
        <v>0</v>
      </c>
      <c r="AN65" s="418">
        <f t="shared" si="141"/>
        <v>0</v>
      </c>
      <c r="AO65" s="418">
        <f t="shared" si="142"/>
        <v>0</v>
      </c>
      <c r="AP65" s="418">
        <f t="shared" si="142"/>
        <v>0</v>
      </c>
      <c r="AQ65" s="418">
        <f t="shared" si="143"/>
        <v>0</v>
      </c>
      <c r="AR65" s="68">
        <f t="shared" si="144"/>
        <v>0</v>
      </c>
      <c r="AS65" s="68">
        <f t="shared" si="145"/>
        <v>0</v>
      </c>
      <c r="AT65" s="418">
        <v>0</v>
      </c>
      <c r="AU65" s="418">
        <v>0</v>
      </c>
      <c r="AV65" s="418">
        <f t="shared" si="146"/>
        <v>0</v>
      </c>
      <c r="AW65" s="418">
        <f t="shared" si="147"/>
        <v>0</v>
      </c>
      <c r="AX65" s="419">
        <v>0</v>
      </c>
      <c r="AY65" s="419">
        <v>0</v>
      </c>
      <c r="AZ65" s="419">
        <v>0</v>
      </c>
      <c r="BA65" s="419">
        <v>0</v>
      </c>
      <c r="BB65" s="419">
        <v>0</v>
      </c>
      <c r="BC65" s="419">
        <v>0</v>
      </c>
      <c r="BD65" s="419">
        <v>0</v>
      </c>
      <c r="BE65" s="419">
        <v>0</v>
      </c>
      <c r="BF65" s="419">
        <f t="shared" si="148"/>
        <v>0</v>
      </c>
      <c r="BG65" s="419">
        <f t="shared" si="149"/>
        <v>0</v>
      </c>
      <c r="BH65" s="894">
        <f t="shared" si="150"/>
        <v>0</v>
      </c>
      <c r="BI65" s="424">
        <f t="shared" si="151"/>
        <v>471819</v>
      </c>
      <c r="BJ65" s="418">
        <f t="shared" si="152"/>
        <v>350014</v>
      </c>
      <c r="BK65" s="418">
        <f t="shared" si="153"/>
        <v>350014</v>
      </c>
      <c r="BL65" s="418">
        <f t="shared" si="153"/>
        <v>0</v>
      </c>
      <c r="BM65" s="418">
        <f t="shared" si="154"/>
        <v>0</v>
      </c>
      <c r="BN65" s="418">
        <f t="shared" si="155"/>
        <v>0</v>
      </c>
      <c r="BO65" s="418">
        <f t="shared" si="155"/>
        <v>0</v>
      </c>
      <c r="BP65" s="418">
        <f t="shared" si="156"/>
        <v>118305</v>
      </c>
      <c r="BQ65" s="418">
        <f t="shared" si="156"/>
        <v>3500</v>
      </c>
      <c r="BR65" s="418">
        <f t="shared" si="157"/>
        <v>0</v>
      </c>
      <c r="BS65" s="419">
        <f t="shared" si="158"/>
        <v>0.70520000000000005</v>
      </c>
      <c r="BT65" s="419">
        <f t="shared" si="159"/>
        <v>0.70520000000000005</v>
      </c>
      <c r="BU65" s="421">
        <f t="shared" si="159"/>
        <v>0</v>
      </c>
      <c r="BV65" s="511"/>
      <c r="BW65" s="415"/>
      <c r="BX65" s="415"/>
      <c r="BY65" s="415"/>
      <c r="BZ65" s="415"/>
      <c r="CA65" s="510"/>
    </row>
    <row r="66" spans="1:79" ht="12.95" customHeight="1" x14ac:dyDescent="0.25">
      <c r="A66" s="280">
        <v>11</v>
      </c>
      <c r="B66" s="321">
        <v>5404</v>
      </c>
      <c r="C66" s="322">
        <v>600098974</v>
      </c>
      <c r="D66" s="281">
        <v>70979812</v>
      </c>
      <c r="E66" s="323" t="s">
        <v>369</v>
      </c>
      <c r="F66" s="281">
        <v>3143</v>
      </c>
      <c r="G66" s="323" t="s">
        <v>596</v>
      </c>
      <c r="H66" s="284" t="s">
        <v>272</v>
      </c>
      <c r="I66" s="420">
        <v>6675</v>
      </c>
      <c r="J66" s="415">
        <v>4778</v>
      </c>
      <c r="K66" s="415">
        <v>0</v>
      </c>
      <c r="L66" s="415">
        <v>4778</v>
      </c>
      <c r="M66" s="415">
        <v>0</v>
      </c>
      <c r="N66" s="415">
        <v>0</v>
      </c>
      <c r="O66" s="415">
        <v>0</v>
      </c>
      <c r="P66" s="68">
        <v>1615</v>
      </c>
      <c r="Q66" s="68">
        <v>48</v>
      </c>
      <c r="R66" s="415">
        <v>234</v>
      </c>
      <c r="S66" s="416">
        <v>1.8100000000000002E-2</v>
      </c>
      <c r="T66" s="417">
        <v>0</v>
      </c>
      <c r="U66" s="423">
        <v>1.8100000000000002E-2</v>
      </c>
      <c r="V66" s="424">
        <f t="shared" si="135"/>
        <v>0</v>
      </c>
      <c r="W66" s="418">
        <f t="shared" si="135"/>
        <v>0</v>
      </c>
      <c r="X66" s="418">
        <v>0</v>
      </c>
      <c r="Y66" s="418">
        <v>0</v>
      </c>
      <c r="Z66" s="418">
        <v>0</v>
      </c>
      <c r="AA66" s="418">
        <v>2372</v>
      </c>
      <c r="AB66" s="418">
        <v>0</v>
      </c>
      <c r="AC66" s="418">
        <v>0</v>
      </c>
      <c r="AD66" s="418">
        <f t="shared" si="136"/>
        <v>0</v>
      </c>
      <c r="AE66" s="418">
        <f t="shared" si="137"/>
        <v>2372</v>
      </c>
      <c r="AF66" s="794">
        <f t="shared" si="138"/>
        <v>2372</v>
      </c>
      <c r="AG66" s="780">
        <v>0</v>
      </c>
      <c r="AH66" s="418">
        <v>0</v>
      </c>
      <c r="AI66" s="418">
        <v>0</v>
      </c>
      <c r="AJ66" s="418">
        <v>0</v>
      </c>
      <c r="AK66" s="418">
        <v>0</v>
      </c>
      <c r="AL66" s="418">
        <f t="shared" si="139"/>
        <v>0</v>
      </c>
      <c r="AM66" s="418">
        <f t="shared" si="140"/>
        <v>0</v>
      </c>
      <c r="AN66" s="418">
        <f t="shared" si="141"/>
        <v>0</v>
      </c>
      <c r="AO66" s="418">
        <f t="shared" si="142"/>
        <v>0</v>
      </c>
      <c r="AP66" s="418">
        <f t="shared" si="142"/>
        <v>2372</v>
      </c>
      <c r="AQ66" s="418">
        <f t="shared" si="143"/>
        <v>2372</v>
      </c>
      <c r="AR66" s="68">
        <f t="shared" si="144"/>
        <v>802</v>
      </c>
      <c r="AS66" s="68">
        <f t="shared" si="145"/>
        <v>24</v>
      </c>
      <c r="AT66" s="418">
        <v>0</v>
      </c>
      <c r="AU66" s="418">
        <v>117</v>
      </c>
      <c r="AV66" s="418">
        <f t="shared" si="146"/>
        <v>117</v>
      </c>
      <c r="AW66" s="418">
        <f t="shared" si="147"/>
        <v>3315</v>
      </c>
      <c r="AX66" s="419">
        <v>0</v>
      </c>
      <c r="AY66" s="419">
        <v>0</v>
      </c>
      <c r="AZ66" s="419">
        <v>0</v>
      </c>
      <c r="BA66" s="419">
        <v>0</v>
      </c>
      <c r="BB66" s="419">
        <v>0.01</v>
      </c>
      <c r="BC66" s="419">
        <v>0</v>
      </c>
      <c r="BD66" s="419">
        <v>0</v>
      </c>
      <c r="BE66" s="419">
        <v>0</v>
      </c>
      <c r="BF66" s="419">
        <f t="shared" si="148"/>
        <v>0</v>
      </c>
      <c r="BG66" s="419">
        <f t="shared" si="149"/>
        <v>0.01</v>
      </c>
      <c r="BH66" s="894">
        <f t="shared" si="150"/>
        <v>0.01</v>
      </c>
      <c r="BI66" s="424">
        <f t="shared" si="151"/>
        <v>9990</v>
      </c>
      <c r="BJ66" s="418">
        <f t="shared" si="152"/>
        <v>7150</v>
      </c>
      <c r="BK66" s="418">
        <f t="shared" si="153"/>
        <v>0</v>
      </c>
      <c r="BL66" s="418">
        <f t="shared" si="153"/>
        <v>7150</v>
      </c>
      <c r="BM66" s="418">
        <f t="shared" si="154"/>
        <v>0</v>
      </c>
      <c r="BN66" s="418">
        <f t="shared" si="155"/>
        <v>0</v>
      </c>
      <c r="BO66" s="418">
        <f t="shared" si="155"/>
        <v>0</v>
      </c>
      <c r="BP66" s="418">
        <f t="shared" si="156"/>
        <v>2417</v>
      </c>
      <c r="BQ66" s="418">
        <f t="shared" si="156"/>
        <v>72</v>
      </c>
      <c r="BR66" s="418">
        <f t="shared" si="157"/>
        <v>351</v>
      </c>
      <c r="BS66" s="419">
        <f t="shared" si="158"/>
        <v>2.81E-2</v>
      </c>
      <c r="BT66" s="419">
        <f t="shared" si="159"/>
        <v>0</v>
      </c>
      <c r="BU66" s="421">
        <f t="shared" si="159"/>
        <v>2.81E-2</v>
      </c>
      <c r="BV66" s="511"/>
      <c r="BW66" s="415"/>
      <c r="BX66" s="415"/>
      <c r="BY66" s="415"/>
      <c r="BZ66" s="415"/>
      <c r="CA66" s="510"/>
    </row>
    <row r="67" spans="1:79" ht="12.95" customHeight="1" x14ac:dyDescent="0.25">
      <c r="A67" s="324">
        <v>11</v>
      </c>
      <c r="B67" s="325">
        <v>5404</v>
      </c>
      <c r="C67" s="326">
        <v>600098974</v>
      </c>
      <c r="D67" s="325">
        <v>70979812</v>
      </c>
      <c r="E67" s="327" t="s">
        <v>370</v>
      </c>
      <c r="F67" s="291"/>
      <c r="G67" s="329"/>
      <c r="H67" s="292"/>
      <c r="I67" s="472">
        <v>5957734</v>
      </c>
      <c r="J67" s="468">
        <v>4374935</v>
      </c>
      <c r="K67" s="468">
        <v>3611815</v>
      </c>
      <c r="L67" s="468">
        <v>763120</v>
      </c>
      <c r="M67" s="468">
        <v>10000</v>
      </c>
      <c r="N67" s="468">
        <v>0</v>
      </c>
      <c r="O67" s="468">
        <v>10000</v>
      </c>
      <c r="P67" s="468">
        <v>1482107</v>
      </c>
      <c r="Q67" s="468">
        <v>43750</v>
      </c>
      <c r="R67" s="468">
        <v>46942</v>
      </c>
      <c r="S67" s="469">
        <v>8.7637</v>
      </c>
      <c r="T67" s="469">
        <v>6.3789999999999996</v>
      </c>
      <c r="U67" s="532">
        <v>2.3847</v>
      </c>
      <c r="V67" s="472">
        <f t="shared" ref="V67:CA67" si="160">SUM(V61:V66)</f>
        <v>0</v>
      </c>
      <c r="W67" s="468">
        <f t="shared" si="160"/>
        <v>0</v>
      </c>
      <c r="X67" s="468">
        <f t="shared" si="160"/>
        <v>0</v>
      </c>
      <c r="Y67" s="468">
        <f t="shared" si="160"/>
        <v>0</v>
      </c>
      <c r="Z67" s="468">
        <f t="shared" si="160"/>
        <v>0</v>
      </c>
      <c r="AA67" s="468">
        <f t="shared" si="160"/>
        <v>192014</v>
      </c>
      <c r="AB67" s="468">
        <f t="shared" si="160"/>
        <v>0</v>
      </c>
      <c r="AC67" s="468">
        <f t="shared" si="160"/>
        <v>0</v>
      </c>
      <c r="AD67" s="468">
        <f t="shared" si="160"/>
        <v>0</v>
      </c>
      <c r="AE67" s="468">
        <f t="shared" si="160"/>
        <v>192014</v>
      </c>
      <c r="AF67" s="795">
        <f t="shared" si="160"/>
        <v>192014</v>
      </c>
      <c r="AG67" s="785">
        <f t="shared" si="160"/>
        <v>0</v>
      </c>
      <c r="AH67" s="468">
        <f t="shared" si="160"/>
        <v>0</v>
      </c>
      <c r="AI67" s="468">
        <f t="shared" si="160"/>
        <v>0</v>
      </c>
      <c r="AJ67" s="468">
        <f t="shared" si="160"/>
        <v>0</v>
      </c>
      <c r="AK67" s="468">
        <f t="shared" si="160"/>
        <v>0</v>
      </c>
      <c r="AL67" s="468">
        <f t="shared" si="160"/>
        <v>0</v>
      </c>
      <c r="AM67" s="468">
        <f t="shared" si="160"/>
        <v>0</v>
      </c>
      <c r="AN67" s="468">
        <f t="shared" si="160"/>
        <v>0</v>
      </c>
      <c r="AO67" s="468">
        <f t="shared" si="160"/>
        <v>0</v>
      </c>
      <c r="AP67" s="468">
        <f t="shared" si="160"/>
        <v>192014</v>
      </c>
      <c r="AQ67" s="468">
        <f t="shared" si="160"/>
        <v>192014</v>
      </c>
      <c r="AR67" s="468">
        <f t="shared" si="160"/>
        <v>64901</v>
      </c>
      <c r="AS67" s="468">
        <f t="shared" si="160"/>
        <v>1920</v>
      </c>
      <c r="AT67" s="468">
        <f t="shared" si="160"/>
        <v>0</v>
      </c>
      <c r="AU67" s="468">
        <f t="shared" si="160"/>
        <v>1035</v>
      </c>
      <c r="AV67" s="468">
        <f t="shared" si="160"/>
        <v>1035</v>
      </c>
      <c r="AW67" s="468">
        <f t="shared" si="160"/>
        <v>259870</v>
      </c>
      <c r="AX67" s="469">
        <f t="shared" si="160"/>
        <v>0</v>
      </c>
      <c r="AY67" s="469">
        <f t="shared" si="160"/>
        <v>0</v>
      </c>
      <c r="AZ67" s="469">
        <f t="shared" si="160"/>
        <v>0</v>
      </c>
      <c r="BA67" s="469">
        <f t="shared" si="160"/>
        <v>0</v>
      </c>
      <c r="BB67" s="469">
        <f t="shared" ref="BB67" si="161">SUM(BB61:BB66)</f>
        <v>0.57999999999999996</v>
      </c>
      <c r="BC67" s="469">
        <f t="shared" si="160"/>
        <v>0</v>
      </c>
      <c r="BD67" s="469">
        <f t="shared" si="160"/>
        <v>0</v>
      </c>
      <c r="BE67" s="469">
        <f t="shared" ref="BE67" si="162">SUM(BE61:BE66)</f>
        <v>0</v>
      </c>
      <c r="BF67" s="469">
        <f t="shared" si="160"/>
        <v>0</v>
      </c>
      <c r="BG67" s="469">
        <f t="shared" si="160"/>
        <v>0.57999999999999996</v>
      </c>
      <c r="BH67" s="532">
        <f t="shared" si="160"/>
        <v>0.57999999999999996</v>
      </c>
      <c r="BI67" s="472">
        <f t="shared" si="160"/>
        <v>6217604</v>
      </c>
      <c r="BJ67" s="468">
        <f t="shared" si="160"/>
        <v>4566949</v>
      </c>
      <c r="BK67" s="468">
        <f t="shared" si="160"/>
        <v>3611815</v>
      </c>
      <c r="BL67" s="468">
        <f t="shared" si="160"/>
        <v>955134</v>
      </c>
      <c r="BM67" s="468">
        <f t="shared" si="160"/>
        <v>10000</v>
      </c>
      <c r="BN67" s="468">
        <f t="shared" si="160"/>
        <v>0</v>
      </c>
      <c r="BO67" s="468">
        <f t="shared" si="160"/>
        <v>10000</v>
      </c>
      <c r="BP67" s="468">
        <f t="shared" si="160"/>
        <v>1547008</v>
      </c>
      <c r="BQ67" s="468">
        <f t="shared" si="160"/>
        <v>45670</v>
      </c>
      <c r="BR67" s="468">
        <f t="shared" si="160"/>
        <v>47977</v>
      </c>
      <c r="BS67" s="469">
        <f t="shared" si="160"/>
        <v>9.3437000000000001</v>
      </c>
      <c r="BT67" s="469">
        <f t="shared" si="160"/>
        <v>6.3789999999999996</v>
      </c>
      <c r="BU67" s="328">
        <f t="shared" si="160"/>
        <v>2.9647000000000001</v>
      </c>
      <c r="BV67" s="886">
        <f t="shared" si="160"/>
        <v>0</v>
      </c>
      <c r="BW67" s="727">
        <f t="shared" si="160"/>
        <v>0</v>
      </c>
      <c r="BX67" s="727">
        <f t="shared" si="160"/>
        <v>0</v>
      </c>
      <c r="BY67" s="727">
        <f t="shared" si="160"/>
        <v>0</v>
      </c>
      <c r="BZ67" s="727">
        <f t="shared" si="160"/>
        <v>0</v>
      </c>
      <c r="CA67" s="859">
        <f t="shared" si="160"/>
        <v>0</v>
      </c>
    </row>
    <row r="68" spans="1:79" ht="12.95" customHeight="1" x14ac:dyDescent="0.25">
      <c r="A68" s="280">
        <v>12</v>
      </c>
      <c r="B68" s="321">
        <v>5407</v>
      </c>
      <c r="C68" s="322">
        <v>600099148</v>
      </c>
      <c r="D68" s="281">
        <v>70939403</v>
      </c>
      <c r="E68" s="323" t="s">
        <v>371</v>
      </c>
      <c r="F68" s="281">
        <v>3111</v>
      </c>
      <c r="G68" s="323" t="s">
        <v>304</v>
      </c>
      <c r="H68" s="284" t="s">
        <v>271</v>
      </c>
      <c r="I68" s="420">
        <v>3082308</v>
      </c>
      <c r="J68" s="415">
        <v>2280835</v>
      </c>
      <c r="K68" s="415">
        <v>2161027</v>
      </c>
      <c r="L68" s="415">
        <v>119808</v>
      </c>
      <c r="M68" s="415">
        <v>0</v>
      </c>
      <c r="N68" s="415">
        <v>0</v>
      </c>
      <c r="O68" s="415">
        <v>0</v>
      </c>
      <c r="P68" s="68">
        <v>770922</v>
      </c>
      <c r="Q68" s="68">
        <v>22808</v>
      </c>
      <c r="R68" s="415">
        <v>7743</v>
      </c>
      <c r="S68" s="416">
        <v>4.4800000000000004</v>
      </c>
      <c r="T68" s="417">
        <v>4</v>
      </c>
      <c r="U68" s="423">
        <v>0.48</v>
      </c>
      <c r="V68" s="424">
        <f t="shared" ref="V68:W73" si="163">AG68*-1</f>
        <v>0</v>
      </c>
      <c r="W68" s="418">
        <f t="shared" si="163"/>
        <v>0</v>
      </c>
      <c r="X68" s="418">
        <v>0</v>
      </c>
      <c r="Y68" s="418">
        <v>0</v>
      </c>
      <c r="Z68" s="418">
        <v>0</v>
      </c>
      <c r="AA68" s="418">
        <v>0</v>
      </c>
      <c r="AB68" s="418">
        <v>0</v>
      </c>
      <c r="AC68" s="418">
        <v>0</v>
      </c>
      <c r="AD68" s="418">
        <f t="shared" ref="AD68:AD73" si="164">V68+X68+Y68+Z68+AB68</f>
        <v>0</v>
      </c>
      <c r="AE68" s="418">
        <f t="shared" ref="AE68:AE73" si="165">W68+AA68+AC68</f>
        <v>0</v>
      </c>
      <c r="AF68" s="794">
        <f t="shared" ref="AF68:AF73" si="166">SUM(AD68:AE68)</f>
        <v>0</v>
      </c>
      <c r="AG68" s="780">
        <v>0</v>
      </c>
      <c r="AH68" s="418">
        <v>0</v>
      </c>
      <c r="AI68" s="418">
        <v>0</v>
      </c>
      <c r="AJ68" s="418">
        <v>0</v>
      </c>
      <c r="AK68" s="418">
        <v>0</v>
      </c>
      <c r="AL68" s="418">
        <f t="shared" ref="AL68:AL73" si="167">AG68+AI68+AJ68</f>
        <v>0</v>
      </c>
      <c r="AM68" s="418">
        <f t="shared" ref="AM68:AM73" si="168">AH68+AK68</f>
        <v>0</v>
      </c>
      <c r="AN68" s="418">
        <f t="shared" ref="AN68:AN73" si="169">SUM(AL68:AM68)</f>
        <v>0</v>
      </c>
      <c r="AO68" s="418">
        <f t="shared" ref="AO68:AP73" si="170">AD68+AL68</f>
        <v>0</v>
      </c>
      <c r="AP68" s="418">
        <f t="shared" si="170"/>
        <v>0</v>
      </c>
      <c r="AQ68" s="418">
        <f t="shared" ref="AQ68:AQ73" si="171">SUM(AO68:AP68)</f>
        <v>0</v>
      </c>
      <c r="AR68" s="68">
        <f t="shared" ref="AR68:AR73" si="172">ROUND((AF68+AG68+AH68+AI68)*33.8%,0)</f>
        <v>0</v>
      </c>
      <c r="AS68" s="68">
        <f t="shared" ref="AS68:AS73" si="173">ROUND(AF68*1%,0)</f>
        <v>0</v>
      </c>
      <c r="AT68" s="418">
        <v>0</v>
      </c>
      <c r="AU68" s="418">
        <v>0</v>
      </c>
      <c r="AV68" s="418">
        <f t="shared" ref="AV68:AV73" si="174">AT68+AU68</f>
        <v>0</v>
      </c>
      <c r="AW68" s="418">
        <f t="shared" ref="AW68:AW73" si="175">AQ68+AR68+AS68+AV68</f>
        <v>0</v>
      </c>
      <c r="AX68" s="419">
        <v>0</v>
      </c>
      <c r="AY68" s="419">
        <v>0</v>
      </c>
      <c r="AZ68" s="419">
        <v>0</v>
      </c>
      <c r="BA68" s="419">
        <v>0</v>
      </c>
      <c r="BB68" s="419">
        <v>0</v>
      </c>
      <c r="BC68" s="419">
        <v>0</v>
      </c>
      <c r="BD68" s="419">
        <v>0</v>
      </c>
      <c r="BE68" s="419">
        <v>0</v>
      </c>
      <c r="BF68" s="419">
        <f t="shared" ref="BF68:BF73" si="176">AX68+AZ68+BA68+BC68+BD68</f>
        <v>0</v>
      </c>
      <c r="BG68" s="419">
        <f t="shared" ref="BG68:BG73" si="177">AY68+BB68+BE68</f>
        <v>0</v>
      </c>
      <c r="BH68" s="894">
        <f t="shared" ref="BH68:BH73" si="178">SUM(BF68:BG68)</f>
        <v>0</v>
      </c>
      <c r="BI68" s="424">
        <f t="shared" ref="BI68:BI73" si="179">I68+AW68</f>
        <v>3082308</v>
      </c>
      <c r="BJ68" s="418">
        <f t="shared" ref="BJ68:BJ73" si="180">J68+AF68</f>
        <v>2280835</v>
      </c>
      <c r="BK68" s="418">
        <f t="shared" ref="BK68:BL73" si="181">K68+AD68</f>
        <v>2161027</v>
      </c>
      <c r="BL68" s="418">
        <f t="shared" si="181"/>
        <v>119808</v>
      </c>
      <c r="BM68" s="418">
        <f t="shared" ref="BM68:BM73" si="182">M68+AN68</f>
        <v>0</v>
      </c>
      <c r="BN68" s="418">
        <f t="shared" ref="BN68:BO73" si="183">N68+AL68</f>
        <v>0</v>
      </c>
      <c r="BO68" s="418">
        <f t="shared" si="183"/>
        <v>0</v>
      </c>
      <c r="BP68" s="418">
        <f t="shared" ref="BP68:BQ73" si="184">P68+AR68</f>
        <v>770922</v>
      </c>
      <c r="BQ68" s="418">
        <f t="shared" si="184"/>
        <v>22808</v>
      </c>
      <c r="BR68" s="418">
        <f t="shared" ref="BR68:BR73" si="185">R68+AV68</f>
        <v>7743</v>
      </c>
      <c r="BS68" s="419">
        <f t="shared" ref="BS68:BS73" si="186">S68+BH68</f>
        <v>4.4800000000000004</v>
      </c>
      <c r="BT68" s="419">
        <f t="shared" ref="BT68:BU73" si="187">T68+BF68</f>
        <v>4</v>
      </c>
      <c r="BU68" s="421">
        <f t="shared" si="187"/>
        <v>0.48</v>
      </c>
      <c r="BV68" s="511"/>
      <c r="BW68" s="415"/>
      <c r="BX68" s="415"/>
      <c r="BY68" s="415"/>
      <c r="BZ68" s="415"/>
      <c r="CA68" s="510"/>
    </row>
    <row r="69" spans="1:79" ht="12.95" customHeight="1" x14ac:dyDescent="0.25">
      <c r="A69" s="280">
        <v>12</v>
      </c>
      <c r="B69" s="321">
        <v>5407</v>
      </c>
      <c r="C69" s="322">
        <v>600099148</v>
      </c>
      <c r="D69" s="281">
        <v>70939403</v>
      </c>
      <c r="E69" s="323" t="s">
        <v>371</v>
      </c>
      <c r="F69" s="281">
        <v>3113</v>
      </c>
      <c r="G69" s="323" t="s">
        <v>308</v>
      </c>
      <c r="H69" s="284" t="s">
        <v>271</v>
      </c>
      <c r="I69" s="420">
        <v>8924027</v>
      </c>
      <c r="J69" s="415">
        <v>6548644</v>
      </c>
      <c r="K69" s="415">
        <v>5978564</v>
      </c>
      <c r="L69" s="415">
        <v>570080</v>
      </c>
      <c r="M69" s="415">
        <v>10000</v>
      </c>
      <c r="N69" s="415">
        <v>0</v>
      </c>
      <c r="O69" s="415">
        <v>10000</v>
      </c>
      <c r="P69" s="68">
        <v>2216822</v>
      </c>
      <c r="Q69" s="68">
        <v>65487</v>
      </c>
      <c r="R69" s="415">
        <v>83074</v>
      </c>
      <c r="S69" s="416">
        <v>10.7689</v>
      </c>
      <c r="T69" s="417">
        <v>9.3079000000000001</v>
      </c>
      <c r="U69" s="423">
        <v>1.4610000000000001</v>
      </c>
      <c r="V69" s="424">
        <f t="shared" si="163"/>
        <v>0</v>
      </c>
      <c r="W69" s="418">
        <f t="shared" si="163"/>
        <v>0</v>
      </c>
      <c r="X69" s="418">
        <v>0</v>
      </c>
      <c r="Y69" s="418">
        <v>0</v>
      </c>
      <c r="Z69" s="418">
        <v>0</v>
      </c>
      <c r="AA69" s="418">
        <v>0</v>
      </c>
      <c r="AB69" s="418">
        <v>0</v>
      </c>
      <c r="AC69" s="418">
        <v>0</v>
      </c>
      <c r="AD69" s="418">
        <f t="shared" si="164"/>
        <v>0</v>
      </c>
      <c r="AE69" s="418">
        <f t="shared" si="165"/>
        <v>0</v>
      </c>
      <c r="AF69" s="794">
        <f t="shared" si="166"/>
        <v>0</v>
      </c>
      <c r="AG69" s="780">
        <v>0</v>
      </c>
      <c r="AH69" s="418">
        <v>0</v>
      </c>
      <c r="AI69" s="418">
        <v>0</v>
      </c>
      <c r="AJ69" s="418">
        <v>0</v>
      </c>
      <c r="AK69" s="418">
        <v>0</v>
      </c>
      <c r="AL69" s="418">
        <f t="shared" si="167"/>
        <v>0</v>
      </c>
      <c r="AM69" s="418">
        <f t="shared" si="168"/>
        <v>0</v>
      </c>
      <c r="AN69" s="418">
        <f t="shared" si="169"/>
        <v>0</v>
      </c>
      <c r="AO69" s="418">
        <f t="shared" si="170"/>
        <v>0</v>
      </c>
      <c r="AP69" s="418">
        <f t="shared" si="170"/>
        <v>0</v>
      </c>
      <c r="AQ69" s="418">
        <f t="shared" si="171"/>
        <v>0</v>
      </c>
      <c r="AR69" s="68">
        <f t="shared" si="172"/>
        <v>0</v>
      </c>
      <c r="AS69" s="68">
        <f t="shared" si="173"/>
        <v>0</v>
      </c>
      <c r="AT69" s="418">
        <v>0</v>
      </c>
      <c r="AU69" s="418">
        <v>0</v>
      </c>
      <c r="AV69" s="418">
        <f t="shared" si="174"/>
        <v>0</v>
      </c>
      <c r="AW69" s="418">
        <f t="shared" si="175"/>
        <v>0</v>
      </c>
      <c r="AX69" s="419">
        <v>0</v>
      </c>
      <c r="AY69" s="419">
        <v>0</v>
      </c>
      <c r="AZ69" s="419">
        <v>0</v>
      </c>
      <c r="BA69" s="419">
        <v>0</v>
      </c>
      <c r="BB69" s="419">
        <v>0</v>
      </c>
      <c r="BC69" s="419">
        <v>0</v>
      </c>
      <c r="BD69" s="419">
        <v>0</v>
      </c>
      <c r="BE69" s="419">
        <v>0</v>
      </c>
      <c r="BF69" s="419">
        <f t="shared" si="176"/>
        <v>0</v>
      </c>
      <c r="BG69" s="419">
        <f t="shared" si="177"/>
        <v>0</v>
      </c>
      <c r="BH69" s="894">
        <f t="shared" si="178"/>
        <v>0</v>
      </c>
      <c r="BI69" s="424">
        <f t="shared" si="179"/>
        <v>8924027</v>
      </c>
      <c r="BJ69" s="418">
        <f t="shared" si="180"/>
        <v>6548644</v>
      </c>
      <c r="BK69" s="418">
        <f t="shared" si="181"/>
        <v>5978564</v>
      </c>
      <c r="BL69" s="418">
        <f t="shared" si="181"/>
        <v>570080</v>
      </c>
      <c r="BM69" s="418">
        <f t="shared" si="182"/>
        <v>10000</v>
      </c>
      <c r="BN69" s="418">
        <f t="shared" si="183"/>
        <v>0</v>
      </c>
      <c r="BO69" s="418">
        <f t="shared" si="183"/>
        <v>10000</v>
      </c>
      <c r="BP69" s="418">
        <f t="shared" si="184"/>
        <v>2216822</v>
      </c>
      <c r="BQ69" s="418">
        <f t="shared" si="184"/>
        <v>65487</v>
      </c>
      <c r="BR69" s="418">
        <f t="shared" si="185"/>
        <v>83074</v>
      </c>
      <c r="BS69" s="419">
        <f t="shared" si="186"/>
        <v>10.7689</v>
      </c>
      <c r="BT69" s="419">
        <f t="shared" si="187"/>
        <v>9.3079000000000001</v>
      </c>
      <c r="BU69" s="421">
        <f t="shared" si="187"/>
        <v>1.4610000000000001</v>
      </c>
      <c r="BV69" s="511">
        <v>152054</v>
      </c>
      <c r="BW69" s="415">
        <v>112800</v>
      </c>
      <c r="BX69" s="415">
        <v>0</v>
      </c>
      <c r="BY69" s="415">
        <v>38126</v>
      </c>
      <c r="BZ69" s="415">
        <v>1128</v>
      </c>
      <c r="CA69" s="510">
        <v>0.2</v>
      </c>
    </row>
    <row r="70" spans="1:79" ht="12.95" customHeight="1" x14ac:dyDescent="0.25">
      <c r="A70" s="280">
        <v>12</v>
      </c>
      <c r="B70" s="321">
        <v>5407</v>
      </c>
      <c r="C70" s="322">
        <v>600099148</v>
      </c>
      <c r="D70" s="281">
        <v>70939403</v>
      </c>
      <c r="E70" s="323" t="s">
        <v>371</v>
      </c>
      <c r="F70" s="281">
        <v>3113</v>
      </c>
      <c r="G70" s="323" t="s">
        <v>298</v>
      </c>
      <c r="H70" s="284" t="s">
        <v>272</v>
      </c>
      <c r="I70" s="420">
        <v>1263497</v>
      </c>
      <c r="J70" s="415">
        <v>937312</v>
      </c>
      <c r="K70" s="415">
        <v>937312</v>
      </c>
      <c r="L70" s="415">
        <v>0</v>
      </c>
      <c r="M70" s="415">
        <v>0</v>
      </c>
      <c r="N70" s="415">
        <v>0</v>
      </c>
      <c r="O70" s="415">
        <v>0</v>
      </c>
      <c r="P70" s="68">
        <v>316812</v>
      </c>
      <c r="Q70" s="68">
        <v>9373</v>
      </c>
      <c r="R70" s="415">
        <v>0</v>
      </c>
      <c r="S70" s="416">
        <v>2.5299999999999998</v>
      </c>
      <c r="T70" s="417">
        <v>2.5299999999999998</v>
      </c>
      <c r="U70" s="423">
        <v>0</v>
      </c>
      <c r="V70" s="424">
        <f t="shared" si="163"/>
        <v>0</v>
      </c>
      <c r="W70" s="418">
        <f t="shared" si="163"/>
        <v>0</v>
      </c>
      <c r="X70" s="418">
        <v>0</v>
      </c>
      <c r="Y70" s="418">
        <v>0</v>
      </c>
      <c r="Z70" s="418">
        <v>0</v>
      </c>
      <c r="AA70" s="418">
        <v>0</v>
      </c>
      <c r="AB70" s="418">
        <v>0</v>
      </c>
      <c r="AC70" s="418">
        <v>0</v>
      </c>
      <c r="AD70" s="418">
        <f t="shared" si="164"/>
        <v>0</v>
      </c>
      <c r="AE70" s="418">
        <f t="shared" si="165"/>
        <v>0</v>
      </c>
      <c r="AF70" s="794">
        <f t="shared" si="166"/>
        <v>0</v>
      </c>
      <c r="AG70" s="780">
        <v>0</v>
      </c>
      <c r="AH70" s="418">
        <v>0</v>
      </c>
      <c r="AI70" s="418">
        <v>0</v>
      </c>
      <c r="AJ70" s="418">
        <v>0</v>
      </c>
      <c r="AK70" s="418">
        <v>0</v>
      </c>
      <c r="AL70" s="418">
        <f t="shared" si="167"/>
        <v>0</v>
      </c>
      <c r="AM70" s="418">
        <f t="shared" si="168"/>
        <v>0</v>
      </c>
      <c r="AN70" s="418">
        <f t="shared" si="169"/>
        <v>0</v>
      </c>
      <c r="AO70" s="418">
        <f t="shared" si="170"/>
        <v>0</v>
      </c>
      <c r="AP70" s="418">
        <f t="shared" si="170"/>
        <v>0</v>
      </c>
      <c r="AQ70" s="418">
        <f t="shared" si="171"/>
        <v>0</v>
      </c>
      <c r="AR70" s="68">
        <f t="shared" si="172"/>
        <v>0</v>
      </c>
      <c r="AS70" s="68">
        <f t="shared" si="173"/>
        <v>0</v>
      </c>
      <c r="AT70" s="418">
        <v>0</v>
      </c>
      <c r="AU70" s="418">
        <v>0</v>
      </c>
      <c r="AV70" s="418">
        <f t="shared" si="174"/>
        <v>0</v>
      </c>
      <c r="AW70" s="418">
        <f t="shared" si="175"/>
        <v>0</v>
      </c>
      <c r="AX70" s="419">
        <v>0</v>
      </c>
      <c r="AY70" s="419">
        <v>0</v>
      </c>
      <c r="AZ70" s="419">
        <v>0</v>
      </c>
      <c r="BA70" s="419">
        <v>0</v>
      </c>
      <c r="BB70" s="419">
        <v>0</v>
      </c>
      <c r="BC70" s="419">
        <v>0</v>
      </c>
      <c r="BD70" s="419">
        <v>0</v>
      </c>
      <c r="BE70" s="419">
        <v>0</v>
      </c>
      <c r="BF70" s="419">
        <f t="shared" si="176"/>
        <v>0</v>
      </c>
      <c r="BG70" s="419">
        <f t="shared" si="177"/>
        <v>0</v>
      </c>
      <c r="BH70" s="894">
        <f t="shared" si="178"/>
        <v>0</v>
      </c>
      <c r="BI70" s="424">
        <f t="shared" si="179"/>
        <v>1263497</v>
      </c>
      <c r="BJ70" s="418">
        <f t="shared" si="180"/>
        <v>937312</v>
      </c>
      <c r="BK70" s="418">
        <f t="shared" si="181"/>
        <v>937312</v>
      </c>
      <c r="BL70" s="418">
        <f t="shared" si="181"/>
        <v>0</v>
      </c>
      <c r="BM70" s="418">
        <f t="shared" si="182"/>
        <v>0</v>
      </c>
      <c r="BN70" s="418">
        <f t="shared" si="183"/>
        <v>0</v>
      </c>
      <c r="BO70" s="418">
        <f t="shared" si="183"/>
        <v>0</v>
      </c>
      <c r="BP70" s="418">
        <f t="shared" si="184"/>
        <v>316812</v>
      </c>
      <c r="BQ70" s="418">
        <f t="shared" si="184"/>
        <v>9373</v>
      </c>
      <c r="BR70" s="418">
        <f t="shared" si="185"/>
        <v>0</v>
      </c>
      <c r="BS70" s="419">
        <f t="shared" si="186"/>
        <v>2.5299999999999998</v>
      </c>
      <c r="BT70" s="419">
        <f t="shared" si="187"/>
        <v>2.5299999999999998</v>
      </c>
      <c r="BU70" s="421">
        <f t="shared" si="187"/>
        <v>0</v>
      </c>
      <c r="BV70" s="511"/>
      <c r="BW70" s="415"/>
      <c r="BX70" s="415"/>
      <c r="BY70" s="415"/>
      <c r="BZ70" s="415"/>
      <c r="CA70" s="510"/>
    </row>
    <row r="71" spans="1:79" ht="12.95" customHeight="1" x14ac:dyDescent="0.25">
      <c r="A71" s="280">
        <v>12</v>
      </c>
      <c r="B71" s="321">
        <v>5407</v>
      </c>
      <c r="C71" s="322">
        <v>600099148</v>
      </c>
      <c r="D71" s="281">
        <v>70939403</v>
      </c>
      <c r="E71" s="323" t="s">
        <v>371</v>
      </c>
      <c r="F71" s="281">
        <v>3141</v>
      </c>
      <c r="G71" s="323" t="s">
        <v>294</v>
      </c>
      <c r="H71" s="284" t="s">
        <v>272</v>
      </c>
      <c r="I71" s="420">
        <v>870150</v>
      </c>
      <c r="J71" s="415">
        <v>642483</v>
      </c>
      <c r="K71" s="415">
        <v>0</v>
      </c>
      <c r="L71" s="415">
        <v>642483</v>
      </c>
      <c r="M71" s="415">
        <v>0</v>
      </c>
      <c r="N71" s="415">
        <v>0</v>
      </c>
      <c r="O71" s="415">
        <v>0</v>
      </c>
      <c r="P71" s="68">
        <v>217159</v>
      </c>
      <c r="Q71" s="68">
        <v>6425</v>
      </c>
      <c r="R71" s="415">
        <v>4083</v>
      </c>
      <c r="S71" s="416">
        <v>1.9266000000000001</v>
      </c>
      <c r="T71" s="417">
        <v>0</v>
      </c>
      <c r="U71" s="423">
        <v>1.9266000000000001</v>
      </c>
      <c r="V71" s="424">
        <f t="shared" si="163"/>
        <v>0</v>
      </c>
      <c r="W71" s="418">
        <f t="shared" si="163"/>
        <v>0</v>
      </c>
      <c r="X71" s="418">
        <v>0</v>
      </c>
      <c r="Y71" s="418">
        <v>0</v>
      </c>
      <c r="Z71" s="418">
        <v>0</v>
      </c>
      <c r="AA71" s="418">
        <f>288150+32125</f>
        <v>320275</v>
      </c>
      <c r="AB71" s="418">
        <v>0</v>
      </c>
      <c r="AC71" s="418">
        <v>0</v>
      </c>
      <c r="AD71" s="418">
        <f t="shared" si="164"/>
        <v>0</v>
      </c>
      <c r="AE71" s="418">
        <f t="shared" si="165"/>
        <v>320275</v>
      </c>
      <c r="AF71" s="794">
        <f t="shared" si="166"/>
        <v>320275</v>
      </c>
      <c r="AG71" s="780">
        <v>0</v>
      </c>
      <c r="AH71" s="418">
        <v>0</v>
      </c>
      <c r="AI71" s="418">
        <v>0</v>
      </c>
      <c r="AJ71" s="418">
        <v>0</v>
      </c>
      <c r="AK71" s="418">
        <v>0</v>
      </c>
      <c r="AL71" s="418">
        <f t="shared" si="167"/>
        <v>0</v>
      </c>
      <c r="AM71" s="418">
        <f t="shared" si="168"/>
        <v>0</v>
      </c>
      <c r="AN71" s="418">
        <f t="shared" si="169"/>
        <v>0</v>
      </c>
      <c r="AO71" s="418">
        <f t="shared" si="170"/>
        <v>0</v>
      </c>
      <c r="AP71" s="418">
        <f t="shared" si="170"/>
        <v>320275</v>
      </c>
      <c r="AQ71" s="418">
        <f t="shared" si="171"/>
        <v>320275</v>
      </c>
      <c r="AR71" s="68">
        <f t="shared" si="172"/>
        <v>108253</v>
      </c>
      <c r="AS71" s="68">
        <f t="shared" si="173"/>
        <v>3203</v>
      </c>
      <c r="AT71" s="418">
        <v>0</v>
      </c>
      <c r="AU71" s="418">
        <f>1779+198</f>
        <v>1977</v>
      </c>
      <c r="AV71" s="418">
        <f t="shared" si="174"/>
        <v>1977</v>
      </c>
      <c r="AW71" s="418">
        <f t="shared" si="175"/>
        <v>433708</v>
      </c>
      <c r="AX71" s="419">
        <v>0</v>
      </c>
      <c r="AY71" s="419">
        <v>0</v>
      </c>
      <c r="AZ71" s="419">
        <v>0</v>
      </c>
      <c r="BA71" s="419">
        <v>0</v>
      </c>
      <c r="BB71" s="419">
        <f>0.87+0.1</f>
        <v>0.97</v>
      </c>
      <c r="BC71" s="419">
        <v>0</v>
      </c>
      <c r="BD71" s="419">
        <v>0</v>
      </c>
      <c r="BE71" s="419">
        <v>0</v>
      </c>
      <c r="BF71" s="419">
        <f t="shared" si="176"/>
        <v>0</v>
      </c>
      <c r="BG71" s="419">
        <f t="shared" si="177"/>
        <v>0.97</v>
      </c>
      <c r="BH71" s="894">
        <f t="shared" si="178"/>
        <v>0.97</v>
      </c>
      <c r="BI71" s="424">
        <f t="shared" si="179"/>
        <v>1303858</v>
      </c>
      <c r="BJ71" s="418">
        <f t="shared" si="180"/>
        <v>962758</v>
      </c>
      <c r="BK71" s="418">
        <f t="shared" si="181"/>
        <v>0</v>
      </c>
      <c r="BL71" s="418">
        <f t="shared" si="181"/>
        <v>962758</v>
      </c>
      <c r="BM71" s="418">
        <f t="shared" si="182"/>
        <v>0</v>
      </c>
      <c r="BN71" s="418">
        <f t="shared" si="183"/>
        <v>0</v>
      </c>
      <c r="BO71" s="418">
        <f t="shared" si="183"/>
        <v>0</v>
      </c>
      <c r="BP71" s="418">
        <f t="shared" si="184"/>
        <v>325412</v>
      </c>
      <c r="BQ71" s="418">
        <f t="shared" si="184"/>
        <v>9628</v>
      </c>
      <c r="BR71" s="418">
        <f t="shared" si="185"/>
        <v>6060</v>
      </c>
      <c r="BS71" s="419">
        <f t="shared" si="186"/>
        <v>2.8966000000000003</v>
      </c>
      <c r="BT71" s="419">
        <f t="shared" si="187"/>
        <v>0</v>
      </c>
      <c r="BU71" s="421">
        <f t="shared" si="187"/>
        <v>2.8966000000000003</v>
      </c>
      <c r="BV71" s="511"/>
      <c r="BW71" s="415"/>
      <c r="BX71" s="415"/>
      <c r="BY71" s="415"/>
      <c r="BZ71" s="415"/>
      <c r="CA71" s="510"/>
    </row>
    <row r="72" spans="1:79" ht="12.95" customHeight="1" x14ac:dyDescent="0.25">
      <c r="A72" s="280">
        <v>12</v>
      </c>
      <c r="B72" s="321">
        <v>5407</v>
      </c>
      <c r="C72" s="322">
        <v>600099148</v>
      </c>
      <c r="D72" s="281">
        <v>70939403</v>
      </c>
      <c r="E72" s="323" t="s">
        <v>371</v>
      </c>
      <c r="F72" s="281">
        <v>3143</v>
      </c>
      <c r="G72" s="323" t="s">
        <v>595</v>
      </c>
      <c r="H72" s="284" t="s">
        <v>271</v>
      </c>
      <c r="I72" s="420">
        <v>422611</v>
      </c>
      <c r="J72" s="415">
        <v>313510</v>
      </c>
      <c r="K72" s="415">
        <v>313510</v>
      </c>
      <c r="L72" s="415">
        <v>0</v>
      </c>
      <c r="M72" s="415">
        <v>0</v>
      </c>
      <c r="N72" s="415">
        <v>0</v>
      </c>
      <c r="O72" s="415">
        <v>0</v>
      </c>
      <c r="P72" s="68">
        <v>105966</v>
      </c>
      <c r="Q72" s="68">
        <v>3135</v>
      </c>
      <c r="R72" s="415">
        <v>0</v>
      </c>
      <c r="S72" s="416">
        <v>0.65</v>
      </c>
      <c r="T72" s="417">
        <v>0.65</v>
      </c>
      <c r="U72" s="423">
        <v>0</v>
      </c>
      <c r="V72" s="424">
        <f t="shared" si="163"/>
        <v>0</v>
      </c>
      <c r="W72" s="418">
        <f t="shared" si="163"/>
        <v>0</v>
      </c>
      <c r="X72" s="418">
        <v>0</v>
      </c>
      <c r="Y72" s="418">
        <v>0</v>
      </c>
      <c r="Z72" s="418">
        <v>0</v>
      </c>
      <c r="AA72" s="418">
        <v>0</v>
      </c>
      <c r="AB72" s="418">
        <v>0</v>
      </c>
      <c r="AC72" s="418">
        <v>0</v>
      </c>
      <c r="AD72" s="418">
        <f t="shared" si="164"/>
        <v>0</v>
      </c>
      <c r="AE72" s="418">
        <f t="shared" si="165"/>
        <v>0</v>
      </c>
      <c r="AF72" s="794">
        <f t="shared" si="166"/>
        <v>0</v>
      </c>
      <c r="AG72" s="780">
        <v>0</v>
      </c>
      <c r="AH72" s="418">
        <v>0</v>
      </c>
      <c r="AI72" s="418">
        <v>0</v>
      </c>
      <c r="AJ72" s="418">
        <v>0</v>
      </c>
      <c r="AK72" s="418">
        <v>0</v>
      </c>
      <c r="AL72" s="418">
        <f t="shared" si="167"/>
        <v>0</v>
      </c>
      <c r="AM72" s="418">
        <f t="shared" si="168"/>
        <v>0</v>
      </c>
      <c r="AN72" s="418">
        <f t="shared" si="169"/>
        <v>0</v>
      </c>
      <c r="AO72" s="418">
        <f t="shared" si="170"/>
        <v>0</v>
      </c>
      <c r="AP72" s="418">
        <f t="shared" si="170"/>
        <v>0</v>
      </c>
      <c r="AQ72" s="418">
        <f t="shared" si="171"/>
        <v>0</v>
      </c>
      <c r="AR72" s="68">
        <f t="shared" si="172"/>
        <v>0</v>
      </c>
      <c r="AS72" s="68">
        <f t="shared" si="173"/>
        <v>0</v>
      </c>
      <c r="AT72" s="418">
        <v>0</v>
      </c>
      <c r="AU72" s="418">
        <v>0</v>
      </c>
      <c r="AV72" s="418">
        <f t="shared" si="174"/>
        <v>0</v>
      </c>
      <c r="AW72" s="418">
        <f t="shared" si="175"/>
        <v>0</v>
      </c>
      <c r="AX72" s="419">
        <v>0</v>
      </c>
      <c r="AY72" s="419">
        <v>0</v>
      </c>
      <c r="AZ72" s="419">
        <v>0</v>
      </c>
      <c r="BA72" s="419">
        <v>0</v>
      </c>
      <c r="BB72" s="419">
        <v>0</v>
      </c>
      <c r="BC72" s="419">
        <v>0</v>
      </c>
      <c r="BD72" s="419">
        <v>0</v>
      </c>
      <c r="BE72" s="419">
        <v>0</v>
      </c>
      <c r="BF72" s="419">
        <f t="shared" si="176"/>
        <v>0</v>
      </c>
      <c r="BG72" s="419">
        <f t="shared" si="177"/>
        <v>0</v>
      </c>
      <c r="BH72" s="894">
        <f t="shared" si="178"/>
        <v>0</v>
      </c>
      <c r="BI72" s="424">
        <f t="shared" si="179"/>
        <v>422611</v>
      </c>
      <c r="BJ72" s="418">
        <f t="shared" si="180"/>
        <v>313510</v>
      </c>
      <c r="BK72" s="418">
        <f t="shared" si="181"/>
        <v>313510</v>
      </c>
      <c r="BL72" s="418">
        <f t="shared" si="181"/>
        <v>0</v>
      </c>
      <c r="BM72" s="418">
        <f t="shared" si="182"/>
        <v>0</v>
      </c>
      <c r="BN72" s="418">
        <f t="shared" si="183"/>
        <v>0</v>
      </c>
      <c r="BO72" s="418">
        <f t="shared" si="183"/>
        <v>0</v>
      </c>
      <c r="BP72" s="418">
        <f t="shared" si="184"/>
        <v>105966</v>
      </c>
      <c r="BQ72" s="418">
        <f t="shared" si="184"/>
        <v>3135</v>
      </c>
      <c r="BR72" s="418">
        <f t="shared" si="185"/>
        <v>0</v>
      </c>
      <c r="BS72" s="419">
        <f t="shared" si="186"/>
        <v>0.65</v>
      </c>
      <c r="BT72" s="419">
        <f t="shared" si="187"/>
        <v>0.65</v>
      </c>
      <c r="BU72" s="421">
        <f t="shared" si="187"/>
        <v>0</v>
      </c>
      <c r="BV72" s="511"/>
      <c r="BW72" s="415"/>
      <c r="BX72" s="415"/>
      <c r="BY72" s="415"/>
      <c r="BZ72" s="415"/>
      <c r="CA72" s="510"/>
    </row>
    <row r="73" spans="1:79" ht="12.95" customHeight="1" x14ac:dyDescent="0.25">
      <c r="A73" s="280">
        <v>12</v>
      </c>
      <c r="B73" s="321">
        <v>5407</v>
      </c>
      <c r="C73" s="322">
        <v>600099148</v>
      </c>
      <c r="D73" s="281">
        <v>70939403</v>
      </c>
      <c r="E73" s="323" t="s">
        <v>371</v>
      </c>
      <c r="F73" s="281">
        <v>3143</v>
      </c>
      <c r="G73" s="323" t="s">
        <v>596</v>
      </c>
      <c r="H73" s="284" t="s">
        <v>272</v>
      </c>
      <c r="I73" s="420">
        <v>10253</v>
      </c>
      <c r="J73" s="415">
        <v>7339</v>
      </c>
      <c r="K73" s="415">
        <v>0</v>
      </c>
      <c r="L73" s="415">
        <v>7339</v>
      </c>
      <c r="M73" s="415">
        <v>0</v>
      </c>
      <c r="N73" s="415">
        <v>0</v>
      </c>
      <c r="O73" s="415">
        <v>0</v>
      </c>
      <c r="P73" s="68">
        <v>2481</v>
      </c>
      <c r="Q73" s="68">
        <v>73</v>
      </c>
      <c r="R73" s="415">
        <v>360</v>
      </c>
      <c r="S73" s="416">
        <v>2.7799999999999998E-2</v>
      </c>
      <c r="T73" s="417">
        <v>0</v>
      </c>
      <c r="U73" s="423">
        <v>2.7799999999999998E-2</v>
      </c>
      <c r="V73" s="424">
        <f t="shared" si="163"/>
        <v>0</v>
      </c>
      <c r="W73" s="418">
        <f t="shared" si="163"/>
        <v>0</v>
      </c>
      <c r="X73" s="418">
        <v>0</v>
      </c>
      <c r="Y73" s="418">
        <v>0</v>
      </c>
      <c r="Z73" s="418">
        <v>0</v>
      </c>
      <c r="AA73" s="418">
        <v>3661</v>
      </c>
      <c r="AB73" s="418">
        <v>0</v>
      </c>
      <c r="AC73" s="418">
        <v>0</v>
      </c>
      <c r="AD73" s="418">
        <f t="shared" si="164"/>
        <v>0</v>
      </c>
      <c r="AE73" s="418">
        <f t="shared" si="165"/>
        <v>3661</v>
      </c>
      <c r="AF73" s="794">
        <f t="shared" si="166"/>
        <v>3661</v>
      </c>
      <c r="AG73" s="780">
        <v>0</v>
      </c>
      <c r="AH73" s="418">
        <v>0</v>
      </c>
      <c r="AI73" s="418">
        <v>0</v>
      </c>
      <c r="AJ73" s="418">
        <v>0</v>
      </c>
      <c r="AK73" s="418">
        <v>0</v>
      </c>
      <c r="AL73" s="418">
        <f t="shared" si="167"/>
        <v>0</v>
      </c>
      <c r="AM73" s="418">
        <f t="shared" si="168"/>
        <v>0</v>
      </c>
      <c r="AN73" s="418">
        <f t="shared" si="169"/>
        <v>0</v>
      </c>
      <c r="AO73" s="418">
        <f t="shared" si="170"/>
        <v>0</v>
      </c>
      <c r="AP73" s="418">
        <f t="shared" si="170"/>
        <v>3661</v>
      </c>
      <c r="AQ73" s="418">
        <f t="shared" si="171"/>
        <v>3661</v>
      </c>
      <c r="AR73" s="68">
        <f t="shared" si="172"/>
        <v>1237</v>
      </c>
      <c r="AS73" s="68">
        <f t="shared" si="173"/>
        <v>37</v>
      </c>
      <c r="AT73" s="418">
        <v>0</v>
      </c>
      <c r="AU73" s="418">
        <v>180</v>
      </c>
      <c r="AV73" s="418">
        <f t="shared" si="174"/>
        <v>180</v>
      </c>
      <c r="AW73" s="418">
        <f t="shared" si="175"/>
        <v>5115</v>
      </c>
      <c r="AX73" s="419">
        <v>0</v>
      </c>
      <c r="AY73" s="419">
        <v>0</v>
      </c>
      <c r="AZ73" s="419">
        <v>0</v>
      </c>
      <c r="BA73" s="419">
        <v>0</v>
      </c>
      <c r="BB73" s="419">
        <v>0.01</v>
      </c>
      <c r="BC73" s="419">
        <v>0</v>
      </c>
      <c r="BD73" s="419">
        <v>0</v>
      </c>
      <c r="BE73" s="419">
        <v>0</v>
      </c>
      <c r="BF73" s="419">
        <f t="shared" si="176"/>
        <v>0</v>
      </c>
      <c r="BG73" s="419">
        <f t="shared" si="177"/>
        <v>0.01</v>
      </c>
      <c r="BH73" s="894">
        <f t="shared" si="178"/>
        <v>0.01</v>
      </c>
      <c r="BI73" s="424">
        <f t="shared" si="179"/>
        <v>15368</v>
      </c>
      <c r="BJ73" s="418">
        <f t="shared" si="180"/>
        <v>11000</v>
      </c>
      <c r="BK73" s="418">
        <f t="shared" si="181"/>
        <v>0</v>
      </c>
      <c r="BL73" s="418">
        <f t="shared" si="181"/>
        <v>11000</v>
      </c>
      <c r="BM73" s="418">
        <f t="shared" si="182"/>
        <v>0</v>
      </c>
      <c r="BN73" s="418">
        <f t="shared" si="183"/>
        <v>0</v>
      </c>
      <c r="BO73" s="418">
        <f t="shared" si="183"/>
        <v>0</v>
      </c>
      <c r="BP73" s="418">
        <f t="shared" si="184"/>
        <v>3718</v>
      </c>
      <c r="BQ73" s="418">
        <f t="shared" si="184"/>
        <v>110</v>
      </c>
      <c r="BR73" s="418">
        <f t="shared" si="185"/>
        <v>540</v>
      </c>
      <c r="BS73" s="419">
        <f t="shared" si="186"/>
        <v>3.78E-2</v>
      </c>
      <c r="BT73" s="419">
        <f t="shared" si="187"/>
        <v>0</v>
      </c>
      <c r="BU73" s="421">
        <f t="shared" si="187"/>
        <v>3.78E-2</v>
      </c>
      <c r="BV73" s="511"/>
      <c r="BW73" s="415"/>
      <c r="BX73" s="415"/>
      <c r="BY73" s="415"/>
      <c r="BZ73" s="415"/>
      <c r="CA73" s="510"/>
    </row>
    <row r="74" spans="1:79" ht="12.95" customHeight="1" x14ac:dyDescent="0.25">
      <c r="A74" s="324">
        <v>12</v>
      </c>
      <c r="B74" s="325">
        <v>5407</v>
      </c>
      <c r="C74" s="326">
        <v>600099148</v>
      </c>
      <c r="D74" s="325">
        <v>70939403</v>
      </c>
      <c r="E74" s="327" t="s">
        <v>372</v>
      </c>
      <c r="F74" s="291"/>
      <c r="G74" s="329"/>
      <c r="H74" s="292"/>
      <c r="I74" s="472">
        <v>14572846</v>
      </c>
      <c r="J74" s="468">
        <v>10730123</v>
      </c>
      <c r="K74" s="468">
        <v>9390413</v>
      </c>
      <c r="L74" s="468">
        <v>1339710</v>
      </c>
      <c r="M74" s="468">
        <v>10000</v>
      </c>
      <c r="N74" s="468">
        <v>0</v>
      </c>
      <c r="O74" s="468">
        <v>10000</v>
      </c>
      <c r="P74" s="468">
        <v>3630162</v>
      </c>
      <c r="Q74" s="468">
        <v>107301</v>
      </c>
      <c r="R74" s="468">
        <v>95260</v>
      </c>
      <c r="S74" s="469">
        <v>20.383299999999998</v>
      </c>
      <c r="T74" s="469">
        <v>16.4879</v>
      </c>
      <c r="U74" s="532">
        <v>3.8954000000000004</v>
      </c>
      <c r="V74" s="472">
        <f t="shared" ref="V74:CA74" si="188">SUM(V68:V73)</f>
        <v>0</v>
      </c>
      <c r="W74" s="468">
        <f t="shared" si="188"/>
        <v>0</v>
      </c>
      <c r="X74" s="468">
        <f t="shared" si="188"/>
        <v>0</v>
      </c>
      <c r="Y74" s="468">
        <f t="shared" si="188"/>
        <v>0</v>
      </c>
      <c r="Z74" s="468">
        <f t="shared" si="188"/>
        <v>0</v>
      </c>
      <c r="AA74" s="468">
        <f t="shared" si="188"/>
        <v>323936</v>
      </c>
      <c r="AB74" s="468">
        <f t="shared" si="188"/>
        <v>0</v>
      </c>
      <c r="AC74" s="468">
        <f t="shared" si="188"/>
        <v>0</v>
      </c>
      <c r="AD74" s="468">
        <f t="shared" si="188"/>
        <v>0</v>
      </c>
      <c r="AE74" s="468">
        <f t="shared" si="188"/>
        <v>323936</v>
      </c>
      <c r="AF74" s="795">
        <f t="shared" si="188"/>
        <v>323936</v>
      </c>
      <c r="AG74" s="785">
        <f t="shared" si="188"/>
        <v>0</v>
      </c>
      <c r="AH74" s="468">
        <f t="shared" si="188"/>
        <v>0</v>
      </c>
      <c r="AI74" s="468">
        <f t="shared" si="188"/>
        <v>0</v>
      </c>
      <c r="AJ74" s="468">
        <f t="shared" si="188"/>
        <v>0</v>
      </c>
      <c r="AK74" s="468">
        <f t="shared" si="188"/>
        <v>0</v>
      </c>
      <c r="AL74" s="468">
        <f t="shared" si="188"/>
        <v>0</v>
      </c>
      <c r="AM74" s="468">
        <f t="shared" si="188"/>
        <v>0</v>
      </c>
      <c r="AN74" s="468">
        <f t="shared" si="188"/>
        <v>0</v>
      </c>
      <c r="AO74" s="468">
        <f t="shared" si="188"/>
        <v>0</v>
      </c>
      <c r="AP74" s="468">
        <f t="shared" si="188"/>
        <v>323936</v>
      </c>
      <c r="AQ74" s="468">
        <f t="shared" si="188"/>
        <v>323936</v>
      </c>
      <c r="AR74" s="468">
        <f t="shared" si="188"/>
        <v>109490</v>
      </c>
      <c r="AS74" s="468">
        <f t="shared" si="188"/>
        <v>3240</v>
      </c>
      <c r="AT74" s="468">
        <f t="shared" si="188"/>
        <v>0</v>
      </c>
      <c r="AU74" s="468">
        <f t="shared" si="188"/>
        <v>2157</v>
      </c>
      <c r="AV74" s="468">
        <f t="shared" si="188"/>
        <v>2157</v>
      </c>
      <c r="AW74" s="468">
        <f t="shared" si="188"/>
        <v>438823</v>
      </c>
      <c r="AX74" s="469">
        <f t="shared" si="188"/>
        <v>0</v>
      </c>
      <c r="AY74" s="469">
        <f t="shared" si="188"/>
        <v>0</v>
      </c>
      <c r="AZ74" s="469">
        <f t="shared" si="188"/>
        <v>0</v>
      </c>
      <c r="BA74" s="469">
        <f t="shared" si="188"/>
        <v>0</v>
      </c>
      <c r="BB74" s="469">
        <f t="shared" ref="BB74" si="189">SUM(BB68:BB73)</f>
        <v>0.98</v>
      </c>
      <c r="BC74" s="469">
        <f t="shared" si="188"/>
        <v>0</v>
      </c>
      <c r="BD74" s="469">
        <f t="shared" si="188"/>
        <v>0</v>
      </c>
      <c r="BE74" s="469">
        <f t="shared" ref="BE74" si="190">SUM(BE68:BE73)</f>
        <v>0</v>
      </c>
      <c r="BF74" s="469">
        <f t="shared" si="188"/>
        <v>0</v>
      </c>
      <c r="BG74" s="469">
        <f t="shared" si="188"/>
        <v>0.98</v>
      </c>
      <c r="BH74" s="532">
        <f t="shared" si="188"/>
        <v>0.98</v>
      </c>
      <c r="BI74" s="472">
        <f t="shared" si="188"/>
        <v>15011669</v>
      </c>
      <c r="BJ74" s="468">
        <f t="shared" si="188"/>
        <v>11054059</v>
      </c>
      <c r="BK74" s="468">
        <f t="shared" si="188"/>
        <v>9390413</v>
      </c>
      <c r="BL74" s="468">
        <f t="shared" si="188"/>
        <v>1663646</v>
      </c>
      <c r="BM74" s="468">
        <f t="shared" si="188"/>
        <v>10000</v>
      </c>
      <c r="BN74" s="468">
        <f t="shared" si="188"/>
        <v>0</v>
      </c>
      <c r="BO74" s="468">
        <f t="shared" si="188"/>
        <v>10000</v>
      </c>
      <c r="BP74" s="468">
        <f t="shared" si="188"/>
        <v>3739652</v>
      </c>
      <c r="BQ74" s="468">
        <f t="shared" si="188"/>
        <v>110541</v>
      </c>
      <c r="BR74" s="468">
        <f t="shared" si="188"/>
        <v>97417</v>
      </c>
      <c r="BS74" s="469">
        <f t="shared" si="188"/>
        <v>21.363299999999999</v>
      </c>
      <c r="BT74" s="469">
        <f t="shared" si="188"/>
        <v>16.4879</v>
      </c>
      <c r="BU74" s="328">
        <f t="shared" si="188"/>
        <v>4.8754</v>
      </c>
      <c r="BV74" s="886">
        <f t="shared" si="188"/>
        <v>152054</v>
      </c>
      <c r="BW74" s="727">
        <f t="shared" si="188"/>
        <v>112800</v>
      </c>
      <c r="BX74" s="727">
        <f t="shared" si="188"/>
        <v>0</v>
      </c>
      <c r="BY74" s="727">
        <f t="shared" si="188"/>
        <v>38126</v>
      </c>
      <c r="BZ74" s="727">
        <f t="shared" si="188"/>
        <v>1128</v>
      </c>
      <c r="CA74" s="859">
        <f t="shared" si="188"/>
        <v>0.2</v>
      </c>
    </row>
    <row r="75" spans="1:79" ht="12.95" customHeight="1" x14ac:dyDescent="0.25">
      <c r="A75" s="280">
        <v>13</v>
      </c>
      <c r="B75" s="321">
        <v>5411</v>
      </c>
      <c r="C75" s="322">
        <v>650034244</v>
      </c>
      <c r="D75" s="281">
        <v>70985375</v>
      </c>
      <c r="E75" s="323" t="s">
        <v>373</v>
      </c>
      <c r="F75" s="281">
        <v>3111</v>
      </c>
      <c r="G75" s="323" t="s">
        <v>304</v>
      </c>
      <c r="H75" s="284" t="s">
        <v>271</v>
      </c>
      <c r="I75" s="420">
        <v>2498134</v>
      </c>
      <c r="J75" s="415">
        <v>1711945</v>
      </c>
      <c r="K75" s="415">
        <v>1592137</v>
      </c>
      <c r="L75" s="415">
        <v>119808</v>
      </c>
      <c r="M75" s="415">
        <v>162015</v>
      </c>
      <c r="N75" s="415">
        <v>162015</v>
      </c>
      <c r="O75" s="415">
        <v>0</v>
      </c>
      <c r="P75" s="68">
        <v>598511</v>
      </c>
      <c r="Q75" s="68">
        <v>17119</v>
      </c>
      <c r="R75" s="415">
        <v>8544</v>
      </c>
      <c r="S75" s="416">
        <v>3.4600000000000004</v>
      </c>
      <c r="T75" s="417">
        <v>2.9800000000000004</v>
      </c>
      <c r="U75" s="423">
        <v>0.48</v>
      </c>
      <c r="V75" s="424">
        <f t="shared" ref="V75:W80" si="191">AG75*-1</f>
        <v>0</v>
      </c>
      <c r="W75" s="418">
        <f t="shared" si="191"/>
        <v>0</v>
      </c>
      <c r="X75" s="418">
        <v>0</v>
      </c>
      <c r="Y75" s="418">
        <v>0</v>
      </c>
      <c r="Z75" s="418">
        <v>0</v>
      </c>
      <c r="AA75" s="418">
        <v>0</v>
      </c>
      <c r="AB75" s="418">
        <v>0</v>
      </c>
      <c r="AC75" s="418">
        <v>0</v>
      </c>
      <c r="AD75" s="418">
        <f t="shared" ref="AD75:AD80" si="192">V75+X75+Y75+Z75+AB75</f>
        <v>0</v>
      </c>
      <c r="AE75" s="418">
        <f t="shared" ref="AE75:AE80" si="193">W75+AA75+AC75</f>
        <v>0</v>
      </c>
      <c r="AF75" s="794">
        <f t="shared" ref="AF75:AF80" si="194">SUM(AD75:AE75)</f>
        <v>0</v>
      </c>
      <c r="AG75" s="780">
        <v>0</v>
      </c>
      <c r="AH75" s="418">
        <v>0</v>
      </c>
      <c r="AI75" s="418">
        <v>0</v>
      </c>
      <c r="AJ75" s="418">
        <v>0</v>
      </c>
      <c r="AK75" s="418">
        <v>0</v>
      </c>
      <c r="AL75" s="418">
        <f t="shared" ref="AL75:AL80" si="195">AG75+AI75+AJ75</f>
        <v>0</v>
      </c>
      <c r="AM75" s="418">
        <f t="shared" ref="AM75:AM80" si="196">AH75+AK75</f>
        <v>0</v>
      </c>
      <c r="AN75" s="418">
        <f t="shared" ref="AN75:AN80" si="197">SUM(AL75:AM75)</f>
        <v>0</v>
      </c>
      <c r="AO75" s="418">
        <f t="shared" ref="AO75:AP80" si="198">AD75+AL75</f>
        <v>0</v>
      </c>
      <c r="AP75" s="418">
        <f t="shared" si="198"/>
        <v>0</v>
      </c>
      <c r="AQ75" s="418">
        <f t="shared" ref="AQ75:AQ80" si="199">SUM(AO75:AP75)</f>
        <v>0</v>
      </c>
      <c r="AR75" s="68">
        <f t="shared" ref="AR75:AR80" si="200">ROUND((AF75+AG75+AH75+AI75)*33.8%,0)</f>
        <v>0</v>
      </c>
      <c r="AS75" s="68">
        <f t="shared" ref="AS75:AS80" si="201">ROUND(AF75*1%,0)</f>
        <v>0</v>
      </c>
      <c r="AT75" s="418">
        <v>0</v>
      </c>
      <c r="AU75" s="418">
        <v>0</v>
      </c>
      <c r="AV75" s="418">
        <f t="shared" ref="AV75:AV80" si="202">AT75+AU75</f>
        <v>0</v>
      </c>
      <c r="AW75" s="418">
        <f t="shared" ref="AW75:AW80" si="203">AQ75+AR75+AS75+AV75</f>
        <v>0</v>
      </c>
      <c r="AX75" s="419">
        <v>0</v>
      </c>
      <c r="AY75" s="419">
        <v>0</v>
      </c>
      <c r="AZ75" s="419">
        <v>0</v>
      </c>
      <c r="BA75" s="419">
        <v>0</v>
      </c>
      <c r="BB75" s="419">
        <v>0</v>
      </c>
      <c r="BC75" s="419">
        <v>0</v>
      </c>
      <c r="BD75" s="419">
        <v>0</v>
      </c>
      <c r="BE75" s="419">
        <v>0</v>
      </c>
      <c r="BF75" s="419">
        <f t="shared" ref="BF75:BF80" si="204">AX75+AZ75+BA75+BC75+BD75</f>
        <v>0</v>
      </c>
      <c r="BG75" s="419">
        <f t="shared" ref="BG75:BG80" si="205">AY75+BB75+BE75</f>
        <v>0</v>
      </c>
      <c r="BH75" s="894">
        <f t="shared" ref="BH75:BH80" si="206">SUM(BF75:BG75)</f>
        <v>0</v>
      </c>
      <c r="BI75" s="424">
        <f t="shared" ref="BI75:BI80" si="207">I75+AW75</f>
        <v>2498134</v>
      </c>
      <c r="BJ75" s="418">
        <f t="shared" ref="BJ75:BJ80" si="208">J75+AF75</f>
        <v>1711945</v>
      </c>
      <c r="BK75" s="418">
        <f t="shared" ref="BK75:BL80" si="209">K75+AD75</f>
        <v>1592137</v>
      </c>
      <c r="BL75" s="418">
        <f t="shared" si="209"/>
        <v>119808</v>
      </c>
      <c r="BM75" s="418">
        <f t="shared" ref="BM75:BM80" si="210">M75+AN75</f>
        <v>162015</v>
      </c>
      <c r="BN75" s="418">
        <f t="shared" ref="BN75:BO80" si="211">N75+AL75</f>
        <v>162015</v>
      </c>
      <c r="BO75" s="418">
        <f t="shared" si="211"/>
        <v>0</v>
      </c>
      <c r="BP75" s="418">
        <f t="shared" ref="BP75:BQ80" si="212">P75+AR75</f>
        <v>598511</v>
      </c>
      <c r="BQ75" s="418">
        <f t="shared" si="212"/>
        <v>17119</v>
      </c>
      <c r="BR75" s="418">
        <f t="shared" ref="BR75:BR80" si="213">R75+AV75</f>
        <v>8544</v>
      </c>
      <c r="BS75" s="419">
        <f t="shared" ref="BS75:BS80" si="214">S75+BH75</f>
        <v>3.4600000000000004</v>
      </c>
      <c r="BT75" s="419">
        <f t="shared" ref="BT75:BU80" si="215">T75+BF75</f>
        <v>2.9800000000000004</v>
      </c>
      <c r="BU75" s="421">
        <f t="shared" si="215"/>
        <v>0.48</v>
      </c>
      <c r="BV75" s="511"/>
      <c r="BW75" s="415"/>
      <c r="BX75" s="415"/>
      <c r="BY75" s="415"/>
      <c r="BZ75" s="415"/>
      <c r="CA75" s="510"/>
    </row>
    <row r="76" spans="1:79" ht="12.95" customHeight="1" x14ac:dyDescent="0.25">
      <c r="A76" s="280">
        <v>13</v>
      </c>
      <c r="B76" s="321">
        <v>5411</v>
      </c>
      <c r="C76" s="322">
        <v>650034244</v>
      </c>
      <c r="D76" s="281">
        <v>70985375</v>
      </c>
      <c r="E76" s="323" t="s">
        <v>373</v>
      </c>
      <c r="F76" s="281">
        <v>3117</v>
      </c>
      <c r="G76" s="323" t="s">
        <v>293</v>
      </c>
      <c r="H76" s="284" t="s">
        <v>271</v>
      </c>
      <c r="I76" s="420">
        <v>3071054</v>
      </c>
      <c r="J76" s="415">
        <v>2235202</v>
      </c>
      <c r="K76" s="415">
        <v>1936750</v>
      </c>
      <c r="L76" s="415">
        <v>298452</v>
      </c>
      <c r="M76" s="415">
        <v>12000</v>
      </c>
      <c r="N76" s="415">
        <v>12000</v>
      </c>
      <c r="O76" s="415">
        <v>0</v>
      </c>
      <c r="P76" s="68">
        <v>759555</v>
      </c>
      <c r="Q76" s="68">
        <v>22353</v>
      </c>
      <c r="R76" s="415">
        <v>41944</v>
      </c>
      <c r="S76" s="416">
        <v>3.3974000000000002</v>
      </c>
      <c r="T76" s="417">
        <v>2.5709000000000004</v>
      </c>
      <c r="U76" s="423">
        <v>0.82650000000000001</v>
      </c>
      <c r="V76" s="424">
        <f t="shared" si="191"/>
        <v>0</v>
      </c>
      <c r="W76" s="418">
        <f t="shared" si="191"/>
        <v>0</v>
      </c>
      <c r="X76" s="418">
        <v>0</v>
      </c>
      <c r="Y76" s="418">
        <v>0</v>
      </c>
      <c r="Z76" s="418">
        <v>0</v>
      </c>
      <c r="AA76" s="418">
        <v>0</v>
      </c>
      <c r="AB76" s="418">
        <v>0</v>
      </c>
      <c r="AC76" s="418">
        <v>0</v>
      </c>
      <c r="AD76" s="418">
        <f t="shared" si="192"/>
        <v>0</v>
      </c>
      <c r="AE76" s="418">
        <f t="shared" si="193"/>
        <v>0</v>
      </c>
      <c r="AF76" s="794">
        <f t="shared" si="194"/>
        <v>0</v>
      </c>
      <c r="AG76" s="780">
        <v>0</v>
      </c>
      <c r="AH76" s="418">
        <v>0</v>
      </c>
      <c r="AI76" s="418">
        <v>0</v>
      </c>
      <c r="AJ76" s="418">
        <v>0</v>
      </c>
      <c r="AK76" s="418">
        <v>0</v>
      </c>
      <c r="AL76" s="418">
        <f t="shared" si="195"/>
        <v>0</v>
      </c>
      <c r="AM76" s="418">
        <f t="shared" si="196"/>
        <v>0</v>
      </c>
      <c r="AN76" s="418">
        <f t="shared" si="197"/>
        <v>0</v>
      </c>
      <c r="AO76" s="418">
        <f t="shared" si="198"/>
        <v>0</v>
      </c>
      <c r="AP76" s="418">
        <f t="shared" si="198"/>
        <v>0</v>
      </c>
      <c r="AQ76" s="418">
        <f t="shared" si="199"/>
        <v>0</v>
      </c>
      <c r="AR76" s="68">
        <f t="shared" si="200"/>
        <v>0</v>
      </c>
      <c r="AS76" s="68">
        <f t="shared" si="201"/>
        <v>0</v>
      </c>
      <c r="AT76" s="418">
        <v>0</v>
      </c>
      <c r="AU76" s="418">
        <v>0</v>
      </c>
      <c r="AV76" s="418">
        <f t="shared" si="202"/>
        <v>0</v>
      </c>
      <c r="AW76" s="418">
        <f t="shared" si="203"/>
        <v>0</v>
      </c>
      <c r="AX76" s="419">
        <v>0</v>
      </c>
      <c r="AY76" s="419">
        <v>0</v>
      </c>
      <c r="AZ76" s="419">
        <v>0</v>
      </c>
      <c r="BA76" s="419">
        <v>0</v>
      </c>
      <c r="BB76" s="419">
        <v>0</v>
      </c>
      <c r="BC76" s="419">
        <v>0</v>
      </c>
      <c r="BD76" s="419">
        <v>0</v>
      </c>
      <c r="BE76" s="419">
        <v>0</v>
      </c>
      <c r="BF76" s="419">
        <f t="shared" si="204"/>
        <v>0</v>
      </c>
      <c r="BG76" s="419">
        <f t="shared" si="205"/>
        <v>0</v>
      </c>
      <c r="BH76" s="894">
        <f t="shared" si="206"/>
        <v>0</v>
      </c>
      <c r="BI76" s="424">
        <f t="shared" si="207"/>
        <v>3071054</v>
      </c>
      <c r="BJ76" s="418">
        <f t="shared" si="208"/>
        <v>2235202</v>
      </c>
      <c r="BK76" s="418">
        <f t="shared" si="209"/>
        <v>1936750</v>
      </c>
      <c r="BL76" s="418">
        <f t="shared" si="209"/>
        <v>298452</v>
      </c>
      <c r="BM76" s="418">
        <f t="shared" si="210"/>
        <v>12000</v>
      </c>
      <c r="BN76" s="418">
        <f t="shared" si="211"/>
        <v>12000</v>
      </c>
      <c r="BO76" s="418">
        <f t="shared" si="211"/>
        <v>0</v>
      </c>
      <c r="BP76" s="418">
        <f t="shared" si="212"/>
        <v>759555</v>
      </c>
      <c r="BQ76" s="418">
        <f t="shared" si="212"/>
        <v>22353</v>
      </c>
      <c r="BR76" s="418">
        <f t="shared" si="213"/>
        <v>41944</v>
      </c>
      <c r="BS76" s="419">
        <f t="shared" si="214"/>
        <v>3.3974000000000002</v>
      </c>
      <c r="BT76" s="419">
        <f t="shared" si="215"/>
        <v>2.5709000000000004</v>
      </c>
      <c r="BU76" s="421">
        <f t="shared" si="215"/>
        <v>0.82650000000000001</v>
      </c>
      <c r="BV76" s="511"/>
      <c r="BW76" s="415"/>
      <c r="BX76" s="415"/>
      <c r="BY76" s="415"/>
      <c r="BZ76" s="415"/>
      <c r="CA76" s="510"/>
    </row>
    <row r="77" spans="1:79" ht="12.95" customHeight="1" x14ac:dyDescent="0.25">
      <c r="A77" s="280">
        <v>13</v>
      </c>
      <c r="B77" s="321">
        <v>5411</v>
      </c>
      <c r="C77" s="322">
        <v>650034244</v>
      </c>
      <c r="D77" s="281">
        <v>70985375</v>
      </c>
      <c r="E77" s="323" t="s">
        <v>373</v>
      </c>
      <c r="F77" s="281">
        <v>3117</v>
      </c>
      <c r="G77" s="323" t="s">
        <v>298</v>
      </c>
      <c r="H77" s="284" t="s">
        <v>272</v>
      </c>
      <c r="I77" s="420">
        <v>0</v>
      </c>
      <c r="J77" s="415">
        <v>0</v>
      </c>
      <c r="K77" s="415">
        <v>0</v>
      </c>
      <c r="L77" s="415">
        <v>0</v>
      </c>
      <c r="M77" s="415">
        <v>0</v>
      </c>
      <c r="N77" s="415">
        <v>0</v>
      </c>
      <c r="O77" s="415">
        <v>0</v>
      </c>
      <c r="P77" s="68">
        <v>0</v>
      </c>
      <c r="Q77" s="68">
        <v>0</v>
      </c>
      <c r="R77" s="415">
        <v>0</v>
      </c>
      <c r="S77" s="416">
        <v>0</v>
      </c>
      <c r="T77" s="417">
        <v>0</v>
      </c>
      <c r="U77" s="423">
        <v>0</v>
      </c>
      <c r="V77" s="424">
        <f t="shared" si="191"/>
        <v>0</v>
      </c>
      <c r="W77" s="418">
        <f t="shared" si="191"/>
        <v>0</v>
      </c>
      <c r="X77" s="418">
        <v>0</v>
      </c>
      <c r="Y77" s="418">
        <v>0</v>
      </c>
      <c r="Z77" s="418">
        <v>0</v>
      </c>
      <c r="AA77" s="418">
        <v>0</v>
      </c>
      <c r="AB77" s="418">
        <v>0</v>
      </c>
      <c r="AC77" s="418">
        <v>0</v>
      </c>
      <c r="AD77" s="418">
        <f t="shared" si="192"/>
        <v>0</v>
      </c>
      <c r="AE77" s="418">
        <f t="shared" si="193"/>
        <v>0</v>
      </c>
      <c r="AF77" s="794">
        <f t="shared" si="194"/>
        <v>0</v>
      </c>
      <c r="AG77" s="780">
        <v>0</v>
      </c>
      <c r="AH77" s="418">
        <v>0</v>
      </c>
      <c r="AI77" s="418">
        <v>0</v>
      </c>
      <c r="AJ77" s="418">
        <v>0</v>
      </c>
      <c r="AK77" s="418">
        <v>0</v>
      </c>
      <c r="AL77" s="418">
        <f t="shared" si="195"/>
        <v>0</v>
      </c>
      <c r="AM77" s="418">
        <f t="shared" si="196"/>
        <v>0</v>
      </c>
      <c r="AN77" s="418">
        <f t="shared" si="197"/>
        <v>0</v>
      </c>
      <c r="AO77" s="418">
        <f t="shared" si="198"/>
        <v>0</v>
      </c>
      <c r="AP77" s="418">
        <f t="shared" si="198"/>
        <v>0</v>
      </c>
      <c r="AQ77" s="418">
        <f t="shared" si="199"/>
        <v>0</v>
      </c>
      <c r="AR77" s="68">
        <f t="shared" si="200"/>
        <v>0</v>
      </c>
      <c r="AS77" s="68">
        <f t="shared" si="201"/>
        <v>0</v>
      </c>
      <c r="AT77" s="418">
        <v>0</v>
      </c>
      <c r="AU77" s="418">
        <v>0</v>
      </c>
      <c r="AV77" s="418">
        <f t="shared" si="202"/>
        <v>0</v>
      </c>
      <c r="AW77" s="418">
        <f t="shared" si="203"/>
        <v>0</v>
      </c>
      <c r="AX77" s="419">
        <v>0</v>
      </c>
      <c r="AY77" s="419">
        <v>0</v>
      </c>
      <c r="AZ77" s="419">
        <v>0</v>
      </c>
      <c r="BA77" s="419">
        <v>0</v>
      </c>
      <c r="BB77" s="419">
        <v>0</v>
      </c>
      <c r="BC77" s="419">
        <v>0</v>
      </c>
      <c r="BD77" s="419">
        <v>0</v>
      </c>
      <c r="BE77" s="419">
        <v>0</v>
      </c>
      <c r="BF77" s="419">
        <f t="shared" si="204"/>
        <v>0</v>
      </c>
      <c r="BG77" s="419">
        <f t="shared" si="205"/>
        <v>0</v>
      </c>
      <c r="BH77" s="894">
        <f t="shared" si="206"/>
        <v>0</v>
      </c>
      <c r="BI77" s="424">
        <f t="shared" si="207"/>
        <v>0</v>
      </c>
      <c r="BJ77" s="418">
        <f t="shared" si="208"/>
        <v>0</v>
      </c>
      <c r="BK77" s="418">
        <f t="shared" si="209"/>
        <v>0</v>
      </c>
      <c r="BL77" s="418">
        <f t="shared" si="209"/>
        <v>0</v>
      </c>
      <c r="BM77" s="418">
        <f t="shared" si="210"/>
        <v>0</v>
      </c>
      <c r="BN77" s="418">
        <f t="shared" si="211"/>
        <v>0</v>
      </c>
      <c r="BO77" s="418">
        <f t="shared" si="211"/>
        <v>0</v>
      </c>
      <c r="BP77" s="418">
        <f t="shared" si="212"/>
        <v>0</v>
      </c>
      <c r="BQ77" s="418">
        <f t="shared" si="212"/>
        <v>0</v>
      </c>
      <c r="BR77" s="418">
        <f t="shared" si="213"/>
        <v>0</v>
      </c>
      <c r="BS77" s="419">
        <f t="shared" si="214"/>
        <v>0</v>
      </c>
      <c r="BT77" s="419">
        <f t="shared" si="215"/>
        <v>0</v>
      </c>
      <c r="BU77" s="421">
        <f t="shared" si="215"/>
        <v>0</v>
      </c>
      <c r="BV77" s="511"/>
      <c r="BW77" s="415"/>
      <c r="BX77" s="415"/>
      <c r="BY77" s="415"/>
      <c r="BZ77" s="415"/>
      <c r="CA77" s="510"/>
    </row>
    <row r="78" spans="1:79" ht="12.95" customHeight="1" x14ac:dyDescent="0.25">
      <c r="A78" s="280">
        <v>13</v>
      </c>
      <c r="B78" s="321">
        <v>5411</v>
      </c>
      <c r="C78" s="322">
        <v>650034244</v>
      </c>
      <c r="D78" s="281">
        <v>70985375</v>
      </c>
      <c r="E78" s="323" t="s">
        <v>373</v>
      </c>
      <c r="F78" s="281">
        <v>3141</v>
      </c>
      <c r="G78" s="323" t="s">
        <v>294</v>
      </c>
      <c r="H78" s="284" t="s">
        <v>272</v>
      </c>
      <c r="I78" s="420">
        <v>598633</v>
      </c>
      <c r="J78" s="415">
        <v>442428</v>
      </c>
      <c r="K78" s="415">
        <v>0</v>
      </c>
      <c r="L78" s="415">
        <v>442428</v>
      </c>
      <c r="M78" s="415">
        <v>0</v>
      </c>
      <c r="N78" s="415">
        <v>0</v>
      </c>
      <c r="O78" s="415">
        <v>0</v>
      </c>
      <c r="P78" s="68">
        <v>149541</v>
      </c>
      <c r="Q78" s="68">
        <v>4424</v>
      </c>
      <c r="R78" s="415">
        <v>2240</v>
      </c>
      <c r="S78" s="416">
        <v>1.3267</v>
      </c>
      <c r="T78" s="417">
        <v>0</v>
      </c>
      <c r="U78" s="423">
        <v>1.3267</v>
      </c>
      <c r="V78" s="424">
        <f t="shared" si="191"/>
        <v>0</v>
      </c>
      <c r="W78" s="418">
        <f t="shared" si="191"/>
        <v>0</v>
      </c>
      <c r="X78" s="418">
        <v>0</v>
      </c>
      <c r="Y78" s="418">
        <v>0</v>
      </c>
      <c r="Z78" s="418">
        <v>0</v>
      </c>
      <c r="AA78" s="418">
        <v>219880</v>
      </c>
      <c r="AB78" s="418">
        <v>0</v>
      </c>
      <c r="AC78" s="418">
        <v>0</v>
      </c>
      <c r="AD78" s="418">
        <f t="shared" si="192"/>
        <v>0</v>
      </c>
      <c r="AE78" s="418">
        <f t="shared" si="193"/>
        <v>219880</v>
      </c>
      <c r="AF78" s="794">
        <f t="shared" si="194"/>
        <v>219880</v>
      </c>
      <c r="AG78" s="780">
        <v>0</v>
      </c>
      <c r="AH78" s="418">
        <v>0</v>
      </c>
      <c r="AI78" s="418">
        <v>0</v>
      </c>
      <c r="AJ78" s="418">
        <v>0</v>
      </c>
      <c r="AK78" s="418">
        <v>0</v>
      </c>
      <c r="AL78" s="418">
        <f t="shared" si="195"/>
        <v>0</v>
      </c>
      <c r="AM78" s="418">
        <f t="shared" si="196"/>
        <v>0</v>
      </c>
      <c r="AN78" s="418">
        <f t="shared" si="197"/>
        <v>0</v>
      </c>
      <c r="AO78" s="418">
        <f t="shared" si="198"/>
        <v>0</v>
      </c>
      <c r="AP78" s="418">
        <f t="shared" si="198"/>
        <v>219880</v>
      </c>
      <c r="AQ78" s="418">
        <f t="shared" si="199"/>
        <v>219880</v>
      </c>
      <c r="AR78" s="68">
        <f t="shared" si="200"/>
        <v>74319</v>
      </c>
      <c r="AS78" s="68">
        <f t="shared" si="201"/>
        <v>2199</v>
      </c>
      <c r="AT78" s="418">
        <v>0</v>
      </c>
      <c r="AU78" s="418">
        <v>1088</v>
      </c>
      <c r="AV78" s="418">
        <f t="shared" si="202"/>
        <v>1088</v>
      </c>
      <c r="AW78" s="418">
        <f t="shared" si="203"/>
        <v>297486</v>
      </c>
      <c r="AX78" s="419">
        <v>0</v>
      </c>
      <c r="AY78" s="419">
        <v>0</v>
      </c>
      <c r="AZ78" s="419">
        <v>0</v>
      </c>
      <c r="BA78" s="419">
        <v>0</v>
      </c>
      <c r="BB78" s="419">
        <v>0.66</v>
      </c>
      <c r="BC78" s="419">
        <v>0</v>
      </c>
      <c r="BD78" s="419">
        <v>0</v>
      </c>
      <c r="BE78" s="419">
        <v>0</v>
      </c>
      <c r="BF78" s="419">
        <f t="shared" si="204"/>
        <v>0</v>
      </c>
      <c r="BG78" s="419">
        <f t="shared" si="205"/>
        <v>0.66</v>
      </c>
      <c r="BH78" s="894">
        <f t="shared" si="206"/>
        <v>0.66</v>
      </c>
      <c r="BI78" s="424">
        <f t="shared" si="207"/>
        <v>896119</v>
      </c>
      <c r="BJ78" s="418">
        <f t="shared" si="208"/>
        <v>662308</v>
      </c>
      <c r="BK78" s="418">
        <f t="shared" si="209"/>
        <v>0</v>
      </c>
      <c r="BL78" s="418">
        <f t="shared" si="209"/>
        <v>662308</v>
      </c>
      <c r="BM78" s="418">
        <f t="shared" si="210"/>
        <v>0</v>
      </c>
      <c r="BN78" s="418">
        <f t="shared" si="211"/>
        <v>0</v>
      </c>
      <c r="BO78" s="418">
        <f t="shared" si="211"/>
        <v>0</v>
      </c>
      <c r="BP78" s="418">
        <f t="shared" si="212"/>
        <v>223860</v>
      </c>
      <c r="BQ78" s="418">
        <f t="shared" si="212"/>
        <v>6623</v>
      </c>
      <c r="BR78" s="418">
        <f t="shared" si="213"/>
        <v>3328</v>
      </c>
      <c r="BS78" s="419">
        <f t="shared" si="214"/>
        <v>1.9866999999999999</v>
      </c>
      <c r="BT78" s="419">
        <f t="shared" si="215"/>
        <v>0</v>
      </c>
      <c r="BU78" s="421">
        <f t="shared" si="215"/>
        <v>1.9866999999999999</v>
      </c>
      <c r="BV78" s="511"/>
      <c r="BW78" s="415"/>
      <c r="BX78" s="415"/>
      <c r="BY78" s="415"/>
      <c r="BZ78" s="415"/>
      <c r="CA78" s="510"/>
    </row>
    <row r="79" spans="1:79" ht="12.95" customHeight="1" x14ac:dyDescent="0.25">
      <c r="A79" s="280">
        <v>13</v>
      </c>
      <c r="B79" s="321">
        <v>5411</v>
      </c>
      <c r="C79" s="322">
        <v>650034244</v>
      </c>
      <c r="D79" s="281">
        <v>70985375</v>
      </c>
      <c r="E79" s="323" t="s">
        <v>373</v>
      </c>
      <c r="F79" s="281">
        <v>3143</v>
      </c>
      <c r="G79" s="323" t="s">
        <v>595</v>
      </c>
      <c r="H79" s="284" t="s">
        <v>271</v>
      </c>
      <c r="I79" s="420">
        <v>447010</v>
      </c>
      <c r="J79" s="415">
        <v>331610</v>
      </c>
      <c r="K79" s="415">
        <v>331610</v>
      </c>
      <c r="L79" s="415">
        <v>0</v>
      </c>
      <c r="M79" s="415">
        <v>0</v>
      </c>
      <c r="N79" s="415">
        <v>0</v>
      </c>
      <c r="O79" s="415">
        <v>0</v>
      </c>
      <c r="P79" s="68">
        <v>112084</v>
      </c>
      <c r="Q79" s="68">
        <v>3316</v>
      </c>
      <c r="R79" s="415">
        <v>0</v>
      </c>
      <c r="S79" s="416">
        <v>0.72729999999999995</v>
      </c>
      <c r="T79" s="417">
        <v>0.72729999999999995</v>
      </c>
      <c r="U79" s="423">
        <v>0</v>
      </c>
      <c r="V79" s="424">
        <f t="shared" si="191"/>
        <v>0</v>
      </c>
      <c r="W79" s="418">
        <f t="shared" si="191"/>
        <v>0</v>
      </c>
      <c r="X79" s="418">
        <v>0</v>
      </c>
      <c r="Y79" s="418">
        <v>0</v>
      </c>
      <c r="Z79" s="418">
        <v>0</v>
      </c>
      <c r="AA79" s="418">
        <v>0</v>
      </c>
      <c r="AB79" s="418">
        <v>0</v>
      </c>
      <c r="AC79" s="418">
        <v>0</v>
      </c>
      <c r="AD79" s="418">
        <f t="shared" si="192"/>
        <v>0</v>
      </c>
      <c r="AE79" s="418">
        <f t="shared" si="193"/>
        <v>0</v>
      </c>
      <c r="AF79" s="794">
        <f t="shared" si="194"/>
        <v>0</v>
      </c>
      <c r="AG79" s="780">
        <v>0</v>
      </c>
      <c r="AH79" s="418">
        <v>0</v>
      </c>
      <c r="AI79" s="418">
        <v>0</v>
      </c>
      <c r="AJ79" s="418">
        <v>0</v>
      </c>
      <c r="AK79" s="418">
        <v>0</v>
      </c>
      <c r="AL79" s="418">
        <f t="shared" si="195"/>
        <v>0</v>
      </c>
      <c r="AM79" s="418">
        <f t="shared" si="196"/>
        <v>0</v>
      </c>
      <c r="AN79" s="418">
        <f t="shared" si="197"/>
        <v>0</v>
      </c>
      <c r="AO79" s="418">
        <f t="shared" si="198"/>
        <v>0</v>
      </c>
      <c r="AP79" s="418">
        <f t="shared" si="198"/>
        <v>0</v>
      </c>
      <c r="AQ79" s="418">
        <f t="shared" si="199"/>
        <v>0</v>
      </c>
      <c r="AR79" s="68">
        <f t="shared" si="200"/>
        <v>0</v>
      </c>
      <c r="AS79" s="68">
        <f t="shared" si="201"/>
        <v>0</v>
      </c>
      <c r="AT79" s="418">
        <v>0</v>
      </c>
      <c r="AU79" s="418">
        <v>0</v>
      </c>
      <c r="AV79" s="418">
        <f t="shared" si="202"/>
        <v>0</v>
      </c>
      <c r="AW79" s="418">
        <f t="shared" si="203"/>
        <v>0</v>
      </c>
      <c r="AX79" s="419">
        <v>0</v>
      </c>
      <c r="AY79" s="419">
        <v>0</v>
      </c>
      <c r="AZ79" s="419">
        <v>0</v>
      </c>
      <c r="BA79" s="419">
        <v>0</v>
      </c>
      <c r="BB79" s="419">
        <v>0</v>
      </c>
      <c r="BC79" s="419">
        <v>0</v>
      </c>
      <c r="BD79" s="419">
        <v>0</v>
      </c>
      <c r="BE79" s="419">
        <v>0</v>
      </c>
      <c r="BF79" s="419">
        <f t="shared" si="204"/>
        <v>0</v>
      </c>
      <c r="BG79" s="419">
        <f t="shared" si="205"/>
        <v>0</v>
      </c>
      <c r="BH79" s="894">
        <f t="shared" si="206"/>
        <v>0</v>
      </c>
      <c r="BI79" s="424">
        <f t="shared" si="207"/>
        <v>447010</v>
      </c>
      <c r="BJ79" s="418">
        <f t="shared" si="208"/>
        <v>331610</v>
      </c>
      <c r="BK79" s="418">
        <f t="shared" si="209"/>
        <v>331610</v>
      </c>
      <c r="BL79" s="418">
        <f t="shared" si="209"/>
        <v>0</v>
      </c>
      <c r="BM79" s="418">
        <f t="shared" si="210"/>
        <v>0</v>
      </c>
      <c r="BN79" s="418">
        <f t="shared" si="211"/>
        <v>0</v>
      </c>
      <c r="BO79" s="418">
        <f t="shared" si="211"/>
        <v>0</v>
      </c>
      <c r="BP79" s="418">
        <f t="shared" si="212"/>
        <v>112084</v>
      </c>
      <c r="BQ79" s="418">
        <f t="shared" si="212"/>
        <v>3316</v>
      </c>
      <c r="BR79" s="418">
        <f t="shared" si="213"/>
        <v>0</v>
      </c>
      <c r="BS79" s="419">
        <f t="shared" si="214"/>
        <v>0.72729999999999995</v>
      </c>
      <c r="BT79" s="419">
        <f t="shared" si="215"/>
        <v>0.72729999999999995</v>
      </c>
      <c r="BU79" s="421">
        <f t="shared" si="215"/>
        <v>0</v>
      </c>
      <c r="BV79" s="511"/>
      <c r="BW79" s="415"/>
      <c r="BX79" s="415"/>
      <c r="BY79" s="415"/>
      <c r="BZ79" s="415"/>
      <c r="CA79" s="510"/>
    </row>
    <row r="80" spans="1:79" ht="12.95" customHeight="1" x14ac:dyDescent="0.25">
      <c r="A80" s="280">
        <v>13</v>
      </c>
      <c r="B80" s="321">
        <v>5411</v>
      </c>
      <c r="C80" s="322">
        <v>650034244</v>
      </c>
      <c r="D80" s="281">
        <v>70985375</v>
      </c>
      <c r="E80" s="323" t="s">
        <v>373</v>
      </c>
      <c r="F80" s="281">
        <v>3143</v>
      </c>
      <c r="G80" s="323" t="s">
        <v>596</v>
      </c>
      <c r="H80" s="284" t="s">
        <v>272</v>
      </c>
      <c r="I80" s="420">
        <v>10770</v>
      </c>
      <c r="J80" s="415">
        <v>7709</v>
      </c>
      <c r="K80" s="415">
        <v>0</v>
      </c>
      <c r="L80" s="415">
        <v>7709</v>
      </c>
      <c r="M80" s="415">
        <v>0</v>
      </c>
      <c r="N80" s="415">
        <v>0</v>
      </c>
      <c r="O80" s="415">
        <v>0</v>
      </c>
      <c r="P80" s="68">
        <v>2606</v>
      </c>
      <c r="Q80" s="68">
        <v>77</v>
      </c>
      <c r="R80" s="415">
        <v>378</v>
      </c>
      <c r="S80" s="416">
        <v>2.92E-2</v>
      </c>
      <c r="T80" s="417">
        <v>0</v>
      </c>
      <c r="U80" s="423">
        <v>2.92E-2</v>
      </c>
      <c r="V80" s="424">
        <f t="shared" si="191"/>
        <v>0</v>
      </c>
      <c r="W80" s="418">
        <f t="shared" si="191"/>
        <v>0</v>
      </c>
      <c r="X80" s="418">
        <v>0</v>
      </c>
      <c r="Y80" s="418">
        <v>0</v>
      </c>
      <c r="Z80" s="418">
        <v>0</v>
      </c>
      <c r="AA80" s="418">
        <v>3841</v>
      </c>
      <c r="AB80" s="418">
        <v>0</v>
      </c>
      <c r="AC80" s="418">
        <v>0</v>
      </c>
      <c r="AD80" s="418">
        <f t="shared" si="192"/>
        <v>0</v>
      </c>
      <c r="AE80" s="418">
        <f t="shared" si="193"/>
        <v>3841</v>
      </c>
      <c r="AF80" s="794">
        <f t="shared" si="194"/>
        <v>3841</v>
      </c>
      <c r="AG80" s="780">
        <v>0</v>
      </c>
      <c r="AH80" s="418">
        <v>0</v>
      </c>
      <c r="AI80" s="418">
        <v>0</v>
      </c>
      <c r="AJ80" s="418">
        <v>0</v>
      </c>
      <c r="AK80" s="418">
        <v>0</v>
      </c>
      <c r="AL80" s="418">
        <f t="shared" si="195"/>
        <v>0</v>
      </c>
      <c r="AM80" s="418">
        <f t="shared" si="196"/>
        <v>0</v>
      </c>
      <c r="AN80" s="418">
        <f t="shared" si="197"/>
        <v>0</v>
      </c>
      <c r="AO80" s="418">
        <f t="shared" si="198"/>
        <v>0</v>
      </c>
      <c r="AP80" s="418">
        <f t="shared" si="198"/>
        <v>3841</v>
      </c>
      <c r="AQ80" s="418">
        <f t="shared" si="199"/>
        <v>3841</v>
      </c>
      <c r="AR80" s="68">
        <f t="shared" si="200"/>
        <v>1298</v>
      </c>
      <c r="AS80" s="68">
        <f t="shared" si="201"/>
        <v>38</v>
      </c>
      <c r="AT80" s="418">
        <v>0</v>
      </c>
      <c r="AU80" s="418">
        <v>189</v>
      </c>
      <c r="AV80" s="418">
        <f t="shared" si="202"/>
        <v>189</v>
      </c>
      <c r="AW80" s="418">
        <f t="shared" si="203"/>
        <v>5366</v>
      </c>
      <c r="AX80" s="419">
        <v>0</v>
      </c>
      <c r="AY80" s="419">
        <v>0</v>
      </c>
      <c r="AZ80" s="419">
        <v>0</v>
      </c>
      <c r="BA80" s="419">
        <v>0</v>
      </c>
      <c r="BB80" s="419">
        <v>0.01</v>
      </c>
      <c r="BC80" s="419">
        <v>0</v>
      </c>
      <c r="BD80" s="419">
        <v>0</v>
      </c>
      <c r="BE80" s="419">
        <v>0</v>
      </c>
      <c r="BF80" s="419">
        <f t="shared" si="204"/>
        <v>0</v>
      </c>
      <c r="BG80" s="419">
        <f t="shared" si="205"/>
        <v>0.01</v>
      </c>
      <c r="BH80" s="894">
        <f t="shared" si="206"/>
        <v>0.01</v>
      </c>
      <c r="BI80" s="424">
        <f t="shared" si="207"/>
        <v>16136</v>
      </c>
      <c r="BJ80" s="418">
        <f t="shared" si="208"/>
        <v>11550</v>
      </c>
      <c r="BK80" s="418">
        <f t="shared" si="209"/>
        <v>0</v>
      </c>
      <c r="BL80" s="418">
        <f t="shared" si="209"/>
        <v>11550</v>
      </c>
      <c r="BM80" s="418">
        <f t="shared" si="210"/>
        <v>0</v>
      </c>
      <c r="BN80" s="418">
        <f t="shared" si="211"/>
        <v>0</v>
      </c>
      <c r="BO80" s="418">
        <f t="shared" si="211"/>
        <v>0</v>
      </c>
      <c r="BP80" s="418">
        <f t="shared" si="212"/>
        <v>3904</v>
      </c>
      <c r="BQ80" s="418">
        <f t="shared" si="212"/>
        <v>115</v>
      </c>
      <c r="BR80" s="418">
        <f t="shared" si="213"/>
        <v>567</v>
      </c>
      <c r="BS80" s="419">
        <f t="shared" si="214"/>
        <v>3.9199999999999999E-2</v>
      </c>
      <c r="BT80" s="419">
        <f t="shared" si="215"/>
        <v>0</v>
      </c>
      <c r="BU80" s="421">
        <f t="shared" si="215"/>
        <v>3.9199999999999999E-2</v>
      </c>
      <c r="BV80" s="511"/>
      <c r="BW80" s="415"/>
      <c r="BX80" s="415"/>
      <c r="BY80" s="415"/>
      <c r="BZ80" s="415"/>
      <c r="CA80" s="510"/>
    </row>
    <row r="81" spans="1:79" ht="12.95" customHeight="1" x14ac:dyDescent="0.25">
      <c r="A81" s="324">
        <v>13</v>
      </c>
      <c r="B81" s="325">
        <v>5411</v>
      </c>
      <c r="C81" s="326">
        <v>650034244</v>
      </c>
      <c r="D81" s="325">
        <v>70985375</v>
      </c>
      <c r="E81" s="327" t="s">
        <v>374</v>
      </c>
      <c r="F81" s="291"/>
      <c r="G81" s="329"/>
      <c r="H81" s="292"/>
      <c r="I81" s="472">
        <v>6625601</v>
      </c>
      <c r="J81" s="468">
        <v>4728894</v>
      </c>
      <c r="K81" s="468">
        <v>3860497</v>
      </c>
      <c r="L81" s="468">
        <v>868397</v>
      </c>
      <c r="M81" s="468">
        <v>174015</v>
      </c>
      <c r="N81" s="468">
        <v>174015</v>
      </c>
      <c r="O81" s="468">
        <v>0</v>
      </c>
      <c r="P81" s="468">
        <v>1622297</v>
      </c>
      <c r="Q81" s="468">
        <v>47289</v>
      </c>
      <c r="R81" s="468">
        <v>53106</v>
      </c>
      <c r="S81" s="469">
        <v>8.9405999999999999</v>
      </c>
      <c r="T81" s="469">
        <v>6.2782</v>
      </c>
      <c r="U81" s="532">
        <v>2.6623999999999999</v>
      </c>
      <c r="V81" s="472">
        <f t="shared" ref="V81:CA81" si="216">SUM(V75:V80)</f>
        <v>0</v>
      </c>
      <c r="W81" s="468">
        <f t="shared" si="216"/>
        <v>0</v>
      </c>
      <c r="X81" s="468">
        <f t="shared" si="216"/>
        <v>0</v>
      </c>
      <c r="Y81" s="468">
        <f t="shared" si="216"/>
        <v>0</v>
      </c>
      <c r="Z81" s="468">
        <f t="shared" si="216"/>
        <v>0</v>
      </c>
      <c r="AA81" s="468">
        <f t="shared" si="216"/>
        <v>223721</v>
      </c>
      <c r="AB81" s="468">
        <f t="shared" si="216"/>
        <v>0</v>
      </c>
      <c r="AC81" s="468">
        <f t="shared" si="216"/>
        <v>0</v>
      </c>
      <c r="AD81" s="468">
        <f t="shared" si="216"/>
        <v>0</v>
      </c>
      <c r="AE81" s="468">
        <f t="shared" si="216"/>
        <v>223721</v>
      </c>
      <c r="AF81" s="795">
        <f t="shared" si="216"/>
        <v>223721</v>
      </c>
      <c r="AG81" s="785">
        <f t="shared" si="216"/>
        <v>0</v>
      </c>
      <c r="AH81" s="468">
        <f t="shared" si="216"/>
        <v>0</v>
      </c>
      <c r="AI81" s="468">
        <f t="shared" si="216"/>
        <v>0</v>
      </c>
      <c r="AJ81" s="468">
        <f t="shared" si="216"/>
        <v>0</v>
      </c>
      <c r="AK81" s="468">
        <f t="shared" si="216"/>
        <v>0</v>
      </c>
      <c r="AL81" s="468">
        <f t="shared" si="216"/>
        <v>0</v>
      </c>
      <c r="AM81" s="468">
        <f t="shared" si="216"/>
        <v>0</v>
      </c>
      <c r="AN81" s="468">
        <f t="shared" si="216"/>
        <v>0</v>
      </c>
      <c r="AO81" s="468">
        <f t="shared" si="216"/>
        <v>0</v>
      </c>
      <c r="AP81" s="468">
        <f t="shared" si="216"/>
        <v>223721</v>
      </c>
      <c r="AQ81" s="468">
        <f t="shared" si="216"/>
        <v>223721</v>
      </c>
      <c r="AR81" s="468">
        <f t="shared" si="216"/>
        <v>75617</v>
      </c>
      <c r="AS81" s="468">
        <f t="shared" si="216"/>
        <v>2237</v>
      </c>
      <c r="AT81" s="468">
        <f t="shared" si="216"/>
        <v>0</v>
      </c>
      <c r="AU81" s="468">
        <f t="shared" si="216"/>
        <v>1277</v>
      </c>
      <c r="AV81" s="468">
        <f t="shared" si="216"/>
        <v>1277</v>
      </c>
      <c r="AW81" s="468">
        <f t="shared" si="216"/>
        <v>302852</v>
      </c>
      <c r="AX81" s="469">
        <f t="shared" si="216"/>
        <v>0</v>
      </c>
      <c r="AY81" s="469">
        <f t="shared" si="216"/>
        <v>0</v>
      </c>
      <c r="AZ81" s="469">
        <f t="shared" si="216"/>
        <v>0</v>
      </c>
      <c r="BA81" s="469">
        <f t="shared" si="216"/>
        <v>0</v>
      </c>
      <c r="BB81" s="469">
        <f t="shared" ref="BB81" si="217">SUM(BB75:BB80)</f>
        <v>0.67</v>
      </c>
      <c r="BC81" s="469">
        <f t="shared" si="216"/>
        <v>0</v>
      </c>
      <c r="BD81" s="469">
        <f t="shared" si="216"/>
        <v>0</v>
      </c>
      <c r="BE81" s="469">
        <f t="shared" ref="BE81" si="218">SUM(BE75:BE80)</f>
        <v>0</v>
      </c>
      <c r="BF81" s="469">
        <f t="shared" si="216"/>
        <v>0</v>
      </c>
      <c r="BG81" s="469">
        <f t="shared" si="216"/>
        <v>0.67</v>
      </c>
      <c r="BH81" s="532">
        <f t="shared" si="216"/>
        <v>0.67</v>
      </c>
      <c r="BI81" s="472">
        <f t="shared" si="216"/>
        <v>6928453</v>
      </c>
      <c r="BJ81" s="468">
        <f t="shared" si="216"/>
        <v>4952615</v>
      </c>
      <c r="BK81" s="468">
        <f t="shared" si="216"/>
        <v>3860497</v>
      </c>
      <c r="BL81" s="468">
        <f t="shared" si="216"/>
        <v>1092118</v>
      </c>
      <c r="BM81" s="468">
        <f t="shared" si="216"/>
        <v>174015</v>
      </c>
      <c r="BN81" s="468">
        <f t="shared" si="216"/>
        <v>174015</v>
      </c>
      <c r="BO81" s="468">
        <f t="shared" si="216"/>
        <v>0</v>
      </c>
      <c r="BP81" s="468">
        <f t="shared" si="216"/>
        <v>1697914</v>
      </c>
      <c r="BQ81" s="468">
        <f t="shared" si="216"/>
        <v>49526</v>
      </c>
      <c r="BR81" s="468">
        <f t="shared" si="216"/>
        <v>54383</v>
      </c>
      <c r="BS81" s="469">
        <f t="shared" si="216"/>
        <v>9.6105999999999998</v>
      </c>
      <c r="BT81" s="469">
        <f t="shared" si="216"/>
        <v>6.2782</v>
      </c>
      <c r="BU81" s="328">
        <f t="shared" si="216"/>
        <v>3.3323999999999998</v>
      </c>
      <c r="BV81" s="886">
        <f t="shared" si="216"/>
        <v>0</v>
      </c>
      <c r="BW81" s="727">
        <f t="shared" si="216"/>
        <v>0</v>
      </c>
      <c r="BX81" s="727">
        <f t="shared" si="216"/>
        <v>0</v>
      </c>
      <c r="BY81" s="727">
        <f t="shared" si="216"/>
        <v>0</v>
      </c>
      <c r="BZ81" s="727">
        <f t="shared" si="216"/>
        <v>0</v>
      </c>
      <c r="CA81" s="859">
        <f t="shared" si="216"/>
        <v>0</v>
      </c>
    </row>
    <row r="82" spans="1:79" ht="12.95" customHeight="1" x14ac:dyDescent="0.25">
      <c r="A82" s="280">
        <v>14</v>
      </c>
      <c r="B82" s="321">
        <v>5412</v>
      </c>
      <c r="C82" s="322">
        <v>600099130</v>
      </c>
      <c r="D82" s="281">
        <v>70698066</v>
      </c>
      <c r="E82" s="323" t="s">
        <v>375</v>
      </c>
      <c r="F82" s="281">
        <v>3111</v>
      </c>
      <c r="G82" s="323" t="s">
        <v>304</v>
      </c>
      <c r="H82" s="284" t="s">
        <v>271</v>
      </c>
      <c r="I82" s="420">
        <v>2096014</v>
      </c>
      <c r="J82" s="415">
        <v>1550945</v>
      </c>
      <c r="K82" s="415">
        <v>1491041</v>
      </c>
      <c r="L82" s="415">
        <v>59904</v>
      </c>
      <c r="M82" s="415">
        <v>0</v>
      </c>
      <c r="N82" s="415">
        <v>0</v>
      </c>
      <c r="O82" s="415">
        <v>0</v>
      </c>
      <c r="P82" s="68">
        <v>524219</v>
      </c>
      <c r="Q82" s="68">
        <v>15510</v>
      </c>
      <c r="R82" s="415">
        <v>5340</v>
      </c>
      <c r="S82" s="416">
        <v>2.6908000000000003</v>
      </c>
      <c r="T82" s="417">
        <v>2.4508000000000001</v>
      </c>
      <c r="U82" s="423">
        <v>0.24</v>
      </c>
      <c r="V82" s="424">
        <f t="shared" ref="V82:W87" si="219">AG82*-1</f>
        <v>0</v>
      </c>
      <c r="W82" s="418">
        <f t="shared" si="219"/>
        <v>0</v>
      </c>
      <c r="X82" s="418">
        <v>0</v>
      </c>
      <c r="Y82" s="418">
        <v>0</v>
      </c>
      <c r="Z82" s="418">
        <v>0</v>
      </c>
      <c r="AA82" s="418">
        <v>0</v>
      </c>
      <c r="AB82" s="418">
        <v>0</v>
      </c>
      <c r="AC82" s="418">
        <v>0</v>
      </c>
      <c r="AD82" s="418">
        <f t="shared" ref="AD82:AD87" si="220">V82+X82+Y82+Z82+AB82</f>
        <v>0</v>
      </c>
      <c r="AE82" s="418">
        <f t="shared" ref="AE82:AE87" si="221">W82+AA82+AC82</f>
        <v>0</v>
      </c>
      <c r="AF82" s="794">
        <f t="shared" ref="AF82:AF87" si="222">SUM(AD82:AE82)</f>
        <v>0</v>
      </c>
      <c r="AG82" s="780">
        <v>0</v>
      </c>
      <c r="AH82" s="418">
        <v>0</v>
      </c>
      <c r="AI82" s="418">
        <v>0</v>
      </c>
      <c r="AJ82" s="418">
        <v>0</v>
      </c>
      <c r="AK82" s="418">
        <v>0</v>
      </c>
      <c r="AL82" s="418">
        <f t="shared" ref="AL82:AL87" si="223">AG82+AI82+AJ82</f>
        <v>0</v>
      </c>
      <c r="AM82" s="418">
        <f t="shared" ref="AM82:AM87" si="224">AH82+AK82</f>
        <v>0</v>
      </c>
      <c r="AN82" s="418">
        <f t="shared" ref="AN82:AN87" si="225">SUM(AL82:AM82)</f>
        <v>0</v>
      </c>
      <c r="AO82" s="418">
        <f t="shared" ref="AO82:AP87" si="226">AD82+AL82</f>
        <v>0</v>
      </c>
      <c r="AP82" s="418">
        <f t="shared" si="226"/>
        <v>0</v>
      </c>
      <c r="AQ82" s="418">
        <f t="shared" ref="AQ82:AQ87" si="227">SUM(AO82:AP82)</f>
        <v>0</v>
      </c>
      <c r="AR82" s="68">
        <f t="shared" ref="AR82:AR87" si="228">ROUND((AF82+AG82+AH82+AI82)*33.8%,0)</f>
        <v>0</v>
      </c>
      <c r="AS82" s="68">
        <f t="shared" ref="AS82:AS87" si="229">ROUND(AF82*1%,0)</f>
        <v>0</v>
      </c>
      <c r="AT82" s="418">
        <v>0</v>
      </c>
      <c r="AU82" s="418">
        <v>0</v>
      </c>
      <c r="AV82" s="418">
        <f t="shared" ref="AV82:AV87" si="230">AT82+AU82</f>
        <v>0</v>
      </c>
      <c r="AW82" s="418">
        <f t="shared" ref="AW82:AW87" si="231">AQ82+AR82+AS82+AV82</f>
        <v>0</v>
      </c>
      <c r="AX82" s="419">
        <v>0</v>
      </c>
      <c r="AY82" s="419">
        <v>0</v>
      </c>
      <c r="AZ82" s="419">
        <v>0</v>
      </c>
      <c r="BA82" s="419">
        <v>0</v>
      </c>
      <c r="BB82" s="419">
        <v>0</v>
      </c>
      <c r="BC82" s="419">
        <v>0</v>
      </c>
      <c r="BD82" s="419">
        <v>0</v>
      </c>
      <c r="BE82" s="419">
        <v>0</v>
      </c>
      <c r="BF82" s="419">
        <f t="shared" ref="BF82:BF87" si="232">AX82+AZ82+BA82+BC82+BD82</f>
        <v>0</v>
      </c>
      <c r="BG82" s="419">
        <f t="shared" ref="BG82:BG87" si="233">AY82+BB82+BE82</f>
        <v>0</v>
      </c>
      <c r="BH82" s="894">
        <f t="shared" ref="BH82:BH87" si="234">SUM(BF82:BG82)</f>
        <v>0</v>
      </c>
      <c r="BI82" s="424">
        <f t="shared" ref="BI82:BI87" si="235">I82+AW82</f>
        <v>2096014</v>
      </c>
      <c r="BJ82" s="418">
        <f t="shared" ref="BJ82:BJ87" si="236">J82+AF82</f>
        <v>1550945</v>
      </c>
      <c r="BK82" s="418">
        <f t="shared" ref="BK82:BL87" si="237">K82+AD82</f>
        <v>1491041</v>
      </c>
      <c r="BL82" s="418">
        <f t="shared" si="237"/>
        <v>59904</v>
      </c>
      <c r="BM82" s="418">
        <f t="shared" ref="BM82:BM87" si="238">M82+AN82</f>
        <v>0</v>
      </c>
      <c r="BN82" s="418">
        <f t="shared" ref="BN82:BO87" si="239">N82+AL82</f>
        <v>0</v>
      </c>
      <c r="BO82" s="418">
        <f t="shared" si="239"/>
        <v>0</v>
      </c>
      <c r="BP82" s="418">
        <f t="shared" ref="BP82:BQ87" si="240">P82+AR82</f>
        <v>524219</v>
      </c>
      <c r="BQ82" s="418">
        <f t="shared" si="240"/>
        <v>15510</v>
      </c>
      <c r="BR82" s="418">
        <f t="shared" ref="BR82:BR87" si="241">R82+AV82</f>
        <v>5340</v>
      </c>
      <c r="BS82" s="419">
        <f t="shared" ref="BS82:BS87" si="242">S82+BH82</f>
        <v>2.6908000000000003</v>
      </c>
      <c r="BT82" s="419">
        <f t="shared" ref="BT82:BU87" si="243">T82+BF82</f>
        <v>2.4508000000000001</v>
      </c>
      <c r="BU82" s="421">
        <f t="shared" si="243"/>
        <v>0.24</v>
      </c>
      <c r="BV82" s="511"/>
      <c r="BW82" s="415"/>
      <c r="BX82" s="415"/>
      <c r="BY82" s="415"/>
      <c r="BZ82" s="415"/>
      <c r="CA82" s="510"/>
    </row>
    <row r="83" spans="1:79" ht="12.95" customHeight="1" x14ac:dyDescent="0.25">
      <c r="A83" s="280">
        <v>14</v>
      </c>
      <c r="B83" s="321">
        <v>5412</v>
      </c>
      <c r="C83" s="322">
        <v>600099130</v>
      </c>
      <c r="D83" s="281">
        <v>70698066</v>
      </c>
      <c r="E83" s="323" t="s">
        <v>375</v>
      </c>
      <c r="F83" s="281">
        <v>3117</v>
      </c>
      <c r="G83" s="323" t="s">
        <v>293</v>
      </c>
      <c r="H83" s="284" t="s">
        <v>271</v>
      </c>
      <c r="I83" s="420">
        <v>2054704</v>
      </c>
      <c r="J83" s="415">
        <v>1504399</v>
      </c>
      <c r="K83" s="415">
        <v>1300567</v>
      </c>
      <c r="L83" s="415">
        <v>203832</v>
      </c>
      <c r="M83" s="415">
        <v>0</v>
      </c>
      <c r="N83" s="415">
        <v>0</v>
      </c>
      <c r="O83" s="415">
        <v>0</v>
      </c>
      <c r="P83" s="68">
        <v>508487</v>
      </c>
      <c r="Q83" s="68">
        <v>15044</v>
      </c>
      <c r="R83" s="415">
        <v>26774</v>
      </c>
      <c r="S83" s="416">
        <v>2.5277000000000003</v>
      </c>
      <c r="T83" s="417">
        <v>2</v>
      </c>
      <c r="U83" s="423">
        <v>0.52770000000000006</v>
      </c>
      <c r="V83" s="424">
        <f t="shared" si="219"/>
        <v>0</v>
      </c>
      <c r="W83" s="418">
        <f t="shared" si="219"/>
        <v>0</v>
      </c>
      <c r="X83" s="418">
        <v>0</v>
      </c>
      <c r="Y83" s="418">
        <v>0</v>
      </c>
      <c r="Z83" s="418">
        <v>0</v>
      </c>
      <c r="AA83" s="418">
        <v>0</v>
      </c>
      <c r="AB83" s="418">
        <v>0</v>
      </c>
      <c r="AC83" s="418">
        <v>0</v>
      </c>
      <c r="AD83" s="418">
        <f t="shared" si="220"/>
        <v>0</v>
      </c>
      <c r="AE83" s="418">
        <f t="shared" si="221"/>
        <v>0</v>
      </c>
      <c r="AF83" s="794">
        <f t="shared" si="222"/>
        <v>0</v>
      </c>
      <c r="AG83" s="780">
        <v>0</v>
      </c>
      <c r="AH83" s="418">
        <v>0</v>
      </c>
      <c r="AI83" s="418">
        <v>0</v>
      </c>
      <c r="AJ83" s="418">
        <v>0</v>
      </c>
      <c r="AK83" s="418">
        <v>0</v>
      </c>
      <c r="AL83" s="418">
        <f t="shared" si="223"/>
        <v>0</v>
      </c>
      <c r="AM83" s="418">
        <f t="shared" si="224"/>
        <v>0</v>
      </c>
      <c r="AN83" s="418">
        <f t="shared" si="225"/>
        <v>0</v>
      </c>
      <c r="AO83" s="418">
        <f t="shared" si="226"/>
        <v>0</v>
      </c>
      <c r="AP83" s="418">
        <f t="shared" si="226"/>
        <v>0</v>
      </c>
      <c r="AQ83" s="418">
        <f t="shared" si="227"/>
        <v>0</v>
      </c>
      <c r="AR83" s="68">
        <f t="shared" si="228"/>
        <v>0</v>
      </c>
      <c r="AS83" s="68">
        <f t="shared" si="229"/>
        <v>0</v>
      </c>
      <c r="AT83" s="418">
        <v>0</v>
      </c>
      <c r="AU83" s="418">
        <v>0</v>
      </c>
      <c r="AV83" s="418">
        <f t="shared" si="230"/>
        <v>0</v>
      </c>
      <c r="AW83" s="418">
        <f t="shared" si="231"/>
        <v>0</v>
      </c>
      <c r="AX83" s="419">
        <v>0</v>
      </c>
      <c r="AY83" s="419">
        <v>0</v>
      </c>
      <c r="AZ83" s="419">
        <v>0</v>
      </c>
      <c r="BA83" s="419">
        <v>0</v>
      </c>
      <c r="BB83" s="419">
        <v>0</v>
      </c>
      <c r="BC83" s="419">
        <v>0</v>
      </c>
      <c r="BD83" s="419">
        <v>0</v>
      </c>
      <c r="BE83" s="419">
        <v>0</v>
      </c>
      <c r="BF83" s="419">
        <f t="shared" si="232"/>
        <v>0</v>
      </c>
      <c r="BG83" s="419">
        <f t="shared" si="233"/>
        <v>0</v>
      </c>
      <c r="BH83" s="894">
        <f t="shared" si="234"/>
        <v>0</v>
      </c>
      <c r="BI83" s="424">
        <f t="shared" si="235"/>
        <v>2054704</v>
      </c>
      <c r="BJ83" s="418">
        <f t="shared" si="236"/>
        <v>1504399</v>
      </c>
      <c r="BK83" s="418">
        <f t="shared" si="237"/>
        <v>1300567</v>
      </c>
      <c r="BL83" s="418">
        <f t="shared" si="237"/>
        <v>203832</v>
      </c>
      <c r="BM83" s="418">
        <f t="shared" si="238"/>
        <v>0</v>
      </c>
      <c r="BN83" s="418">
        <f t="shared" si="239"/>
        <v>0</v>
      </c>
      <c r="BO83" s="418">
        <f t="shared" si="239"/>
        <v>0</v>
      </c>
      <c r="BP83" s="418">
        <f t="shared" si="240"/>
        <v>508487</v>
      </c>
      <c r="BQ83" s="418">
        <f t="shared" si="240"/>
        <v>15044</v>
      </c>
      <c r="BR83" s="418">
        <f t="shared" si="241"/>
        <v>26774</v>
      </c>
      <c r="BS83" s="419">
        <f t="shared" si="242"/>
        <v>2.5277000000000003</v>
      </c>
      <c r="BT83" s="419">
        <f t="shared" si="243"/>
        <v>2</v>
      </c>
      <c r="BU83" s="421">
        <f t="shared" si="243"/>
        <v>0.52770000000000006</v>
      </c>
      <c r="BV83" s="511"/>
      <c r="BW83" s="415"/>
      <c r="BX83" s="415"/>
      <c r="BY83" s="415"/>
      <c r="BZ83" s="415"/>
      <c r="CA83" s="510"/>
    </row>
    <row r="84" spans="1:79" ht="12.95" customHeight="1" x14ac:dyDescent="0.25">
      <c r="A84" s="280">
        <v>14</v>
      </c>
      <c r="B84" s="321">
        <v>5412</v>
      </c>
      <c r="C84" s="322">
        <v>600099130</v>
      </c>
      <c r="D84" s="281">
        <v>70698066</v>
      </c>
      <c r="E84" s="323" t="s">
        <v>375</v>
      </c>
      <c r="F84" s="281">
        <v>3117</v>
      </c>
      <c r="G84" s="323" t="s">
        <v>298</v>
      </c>
      <c r="H84" s="284" t="s">
        <v>272</v>
      </c>
      <c r="I84" s="420">
        <v>0</v>
      </c>
      <c r="J84" s="415">
        <v>0</v>
      </c>
      <c r="K84" s="415">
        <v>0</v>
      </c>
      <c r="L84" s="415">
        <v>0</v>
      </c>
      <c r="M84" s="415">
        <v>0</v>
      </c>
      <c r="N84" s="415">
        <v>0</v>
      </c>
      <c r="O84" s="415">
        <v>0</v>
      </c>
      <c r="P84" s="68">
        <v>0</v>
      </c>
      <c r="Q84" s="68">
        <v>0</v>
      </c>
      <c r="R84" s="415">
        <v>0</v>
      </c>
      <c r="S84" s="416">
        <v>0</v>
      </c>
      <c r="T84" s="417">
        <v>0</v>
      </c>
      <c r="U84" s="423">
        <v>0</v>
      </c>
      <c r="V84" s="424">
        <f t="shared" si="219"/>
        <v>0</v>
      </c>
      <c r="W84" s="418">
        <f t="shared" si="219"/>
        <v>0</v>
      </c>
      <c r="X84" s="418">
        <v>0</v>
      </c>
      <c r="Y84" s="418">
        <v>0</v>
      </c>
      <c r="Z84" s="418">
        <v>0</v>
      </c>
      <c r="AA84" s="418">
        <v>0</v>
      </c>
      <c r="AB84" s="418">
        <v>0</v>
      </c>
      <c r="AC84" s="418">
        <v>0</v>
      </c>
      <c r="AD84" s="418">
        <f t="shared" si="220"/>
        <v>0</v>
      </c>
      <c r="AE84" s="418">
        <f t="shared" si="221"/>
        <v>0</v>
      </c>
      <c r="AF84" s="794">
        <f t="shared" si="222"/>
        <v>0</v>
      </c>
      <c r="AG84" s="780">
        <v>0</v>
      </c>
      <c r="AH84" s="418">
        <v>0</v>
      </c>
      <c r="AI84" s="418">
        <v>0</v>
      </c>
      <c r="AJ84" s="418">
        <v>0</v>
      </c>
      <c r="AK84" s="418">
        <v>0</v>
      </c>
      <c r="AL84" s="418">
        <f t="shared" si="223"/>
        <v>0</v>
      </c>
      <c r="AM84" s="418">
        <f t="shared" si="224"/>
        <v>0</v>
      </c>
      <c r="AN84" s="418">
        <f t="shared" si="225"/>
        <v>0</v>
      </c>
      <c r="AO84" s="418">
        <f t="shared" si="226"/>
        <v>0</v>
      </c>
      <c r="AP84" s="418">
        <f t="shared" si="226"/>
        <v>0</v>
      </c>
      <c r="AQ84" s="418">
        <f t="shared" si="227"/>
        <v>0</v>
      </c>
      <c r="AR84" s="68">
        <f t="shared" si="228"/>
        <v>0</v>
      </c>
      <c r="AS84" s="68">
        <f t="shared" si="229"/>
        <v>0</v>
      </c>
      <c r="AT84" s="418">
        <v>0</v>
      </c>
      <c r="AU84" s="418">
        <v>0</v>
      </c>
      <c r="AV84" s="418">
        <f t="shared" si="230"/>
        <v>0</v>
      </c>
      <c r="AW84" s="418">
        <f t="shared" si="231"/>
        <v>0</v>
      </c>
      <c r="AX84" s="419">
        <v>0</v>
      </c>
      <c r="AY84" s="419">
        <v>0</v>
      </c>
      <c r="AZ84" s="419">
        <v>0</v>
      </c>
      <c r="BA84" s="419">
        <v>0</v>
      </c>
      <c r="BB84" s="419">
        <v>0</v>
      </c>
      <c r="BC84" s="419">
        <v>0</v>
      </c>
      <c r="BD84" s="419">
        <v>0</v>
      </c>
      <c r="BE84" s="419">
        <v>0</v>
      </c>
      <c r="BF84" s="419">
        <f t="shared" si="232"/>
        <v>0</v>
      </c>
      <c r="BG84" s="419">
        <f t="shared" si="233"/>
        <v>0</v>
      </c>
      <c r="BH84" s="894">
        <f t="shared" si="234"/>
        <v>0</v>
      </c>
      <c r="BI84" s="424">
        <f t="shared" si="235"/>
        <v>0</v>
      </c>
      <c r="BJ84" s="418">
        <f t="shared" si="236"/>
        <v>0</v>
      </c>
      <c r="BK84" s="418">
        <f t="shared" si="237"/>
        <v>0</v>
      </c>
      <c r="BL84" s="418">
        <f t="shared" si="237"/>
        <v>0</v>
      </c>
      <c r="BM84" s="418">
        <f t="shared" si="238"/>
        <v>0</v>
      </c>
      <c r="BN84" s="418">
        <f t="shared" si="239"/>
        <v>0</v>
      </c>
      <c r="BO84" s="418">
        <f t="shared" si="239"/>
        <v>0</v>
      </c>
      <c r="BP84" s="418">
        <f t="shared" si="240"/>
        <v>0</v>
      </c>
      <c r="BQ84" s="418">
        <f t="shared" si="240"/>
        <v>0</v>
      </c>
      <c r="BR84" s="418">
        <f t="shared" si="241"/>
        <v>0</v>
      </c>
      <c r="BS84" s="419">
        <f t="shared" si="242"/>
        <v>0</v>
      </c>
      <c r="BT84" s="419">
        <f t="shared" si="243"/>
        <v>0</v>
      </c>
      <c r="BU84" s="421">
        <f t="shared" si="243"/>
        <v>0</v>
      </c>
      <c r="BV84" s="511"/>
      <c r="BW84" s="415"/>
      <c r="BX84" s="415"/>
      <c r="BY84" s="415"/>
      <c r="BZ84" s="415"/>
      <c r="CA84" s="510"/>
    </row>
    <row r="85" spans="1:79" ht="12.95" customHeight="1" x14ac:dyDescent="0.25">
      <c r="A85" s="280">
        <v>14</v>
      </c>
      <c r="B85" s="321">
        <v>5412</v>
      </c>
      <c r="C85" s="322">
        <v>600099130</v>
      </c>
      <c r="D85" s="281">
        <v>70698066</v>
      </c>
      <c r="E85" s="323" t="s">
        <v>375</v>
      </c>
      <c r="F85" s="281">
        <v>3141</v>
      </c>
      <c r="G85" s="323" t="s">
        <v>294</v>
      </c>
      <c r="H85" s="284" t="s">
        <v>272</v>
      </c>
      <c r="I85" s="420">
        <v>415039</v>
      </c>
      <c r="J85" s="415">
        <v>306802</v>
      </c>
      <c r="K85" s="415">
        <v>0</v>
      </c>
      <c r="L85" s="415">
        <v>306802</v>
      </c>
      <c r="M85" s="415">
        <v>0</v>
      </c>
      <c r="N85" s="415">
        <v>0</v>
      </c>
      <c r="O85" s="415">
        <v>0</v>
      </c>
      <c r="P85" s="68">
        <v>103699</v>
      </c>
      <c r="Q85" s="68">
        <v>3068</v>
      </c>
      <c r="R85" s="415">
        <v>1470</v>
      </c>
      <c r="S85" s="416">
        <v>0.92</v>
      </c>
      <c r="T85" s="417">
        <v>0</v>
      </c>
      <c r="U85" s="423">
        <v>0.92</v>
      </c>
      <c r="V85" s="424">
        <f t="shared" si="219"/>
        <v>0</v>
      </c>
      <c r="W85" s="418">
        <f t="shared" si="219"/>
        <v>0</v>
      </c>
      <c r="X85" s="418">
        <v>0</v>
      </c>
      <c r="Y85" s="418">
        <v>0</v>
      </c>
      <c r="Z85" s="418">
        <v>0</v>
      </c>
      <c r="AA85" s="418">
        <v>154949</v>
      </c>
      <c r="AB85" s="418">
        <v>0</v>
      </c>
      <c r="AC85" s="418">
        <v>0</v>
      </c>
      <c r="AD85" s="418">
        <f t="shared" si="220"/>
        <v>0</v>
      </c>
      <c r="AE85" s="418">
        <f t="shared" si="221"/>
        <v>154949</v>
      </c>
      <c r="AF85" s="794">
        <f t="shared" si="222"/>
        <v>154949</v>
      </c>
      <c r="AG85" s="780">
        <v>0</v>
      </c>
      <c r="AH85" s="418">
        <v>0</v>
      </c>
      <c r="AI85" s="418">
        <v>0</v>
      </c>
      <c r="AJ85" s="418">
        <v>0</v>
      </c>
      <c r="AK85" s="418">
        <v>0</v>
      </c>
      <c r="AL85" s="418">
        <f t="shared" si="223"/>
        <v>0</v>
      </c>
      <c r="AM85" s="418">
        <f t="shared" si="224"/>
        <v>0</v>
      </c>
      <c r="AN85" s="418">
        <f t="shared" si="225"/>
        <v>0</v>
      </c>
      <c r="AO85" s="418">
        <f t="shared" si="226"/>
        <v>0</v>
      </c>
      <c r="AP85" s="418">
        <f t="shared" si="226"/>
        <v>154949</v>
      </c>
      <c r="AQ85" s="418">
        <f t="shared" si="227"/>
        <v>154949</v>
      </c>
      <c r="AR85" s="68">
        <f t="shared" si="228"/>
        <v>52373</v>
      </c>
      <c r="AS85" s="68">
        <f t="shared" si="229"/>
        <v>1549</v>
      </c>
      <c r="AT85" s="418">
        <v>0</v>
      </c>
      <c r="AU85" s="418">
        <v>714</v>
      </c>
      <c r="AV85" s="418">
        <f t="shared" si="230"/>
        <v>714</v>
      </c>
      <c r="AW85" s="418">
        <f t="shared" si="231"/>
        <v>209585</v>
      </c>
      <c r="AX85" s="419">
        <v>0</v>
      </c>
      <c r="AY85" s="419">
        <v>0</v>
      </c>
      <c r="AZ85" s="419">
        <v>0</v>
      </c>
      <c r="BA85" s="419">
        <v>0</v>
      </c>
      <c r="BB85" s="419">
        <v>0.46</v>
      </c>
      <c r="BC85" s="419">
        <v>0</v>
      </c>
      <c r="BD85" s="419">
        <v>0</v>
      </c>
      <c r="BE85" s="419">
        <v>0</v>
      </c>
      <c r="BF85" s="419">
        <f t="shared" si="232"/>
        <v>0</v>
      </c>
      <c r="BG85" s="419">
        <f t="shared" si="233"/>
        <v>0.46</v>
      </c>
      <c r="BH85" s="894">
        <f t="shared" si="234"/>
        <v>0.46</v>
      </c>
      <c r="BI85" s="424">
        <f t="shared" si="235"/>
        <v>624624</v>
      </c>
      <c r="BJ85" s="418">
        <f t="shared" si="236"/>
        <v>461751</v>
      </c>
      <c r="BK85" s="418">
        <f t="shared" si="237"/>
        <v>0</v>
      </c>
      <c r="BL85" s="418">
        <f t="shared" si="237"/>
        <v>461751</v>
      </c>
      <c r="BM85" s="418">
        <f t="shared" si="238"/>
        <v>0</v>
      </c>
      <c r="BN85" s="418">
        <f t="shared" si="239"/>
        <v>0</v>
      </c>
      <c r="BO85" s="418">
        <f t="shared" si="239"/>
        <v>0</v>
      </c>
      <c r="BP85" s="418">
        <f t="shared" si="240"/>
        <v>156072</v>
      </c>
      <c r="BQ85" s="418">
        <f t="shared" si="240"/>
        <v>4617</v>
      </c>
      <c r="BR85" s="418">
        <f t="shared" si="241"/>
        <v>2184</v>
      </c>
      <c r="BS85" s="419">
        <f t="shared" si="242"/>
        <v>1.3800000000000001</v>
      </c>
      <c r="BT85" s="419">
        <f t="shared" si="243"/>
        <v>0</v>
      </c>
      <c r="BU85" s="421">
        <f t="shared" si="243"/>
        <v>1.3800000000000001</v>
      </c>
      <c r="BV85" s="511"/>
      <c r="BW85" s="415"/>
      <c r="BX85" s="415"/>
      <c r="BY85" s="415"/>
      <c r="BZ85" s="415"/>
      <c r="CA85" s="510"/>
    </row>
    <row r="86" spans="1:79" ht="12.95" customHeight="1" x14ac:dyDescent="0.25">
      <c r="A86" s="280">
        <v>14</v>
      </c>
      <c r="B86" s="321">
        <v>5412</v>
      </c>
      <c r="C86" s="322">
        <v>600099130</v>
      </c>
      <c r="D86" s="281">
        <v>70698066</v>
      </c>
      <c r="E86" s="323" t="s">
        <v>375</v>
      </c>
      <c r="F86" s="281">
        <v>3143</v>
      </c>
      <c r="G86" s="323" t="s">
        <v>595</v>
      </c>
      <c r="H86" s="284" t="s">
        <v>271</v>
      </c>
      <c r="I86" s="420">
        <v>300253</v>
      </c>
      <c r="J86" s="415">
        <v>222740</v>
      </c>
      <c r="K86" s="415">
        <v>222740</v>
      </c>
      <c r="L86" s="415">
        <v>0</v>
      </c>
      <c r="M86" s="415">
        <v>0</v>
      </c>
      <c r="N86" s="415">
        <v>0</v>
      </c>
      <c r="O86" s="415">
        <v>0</v>
      </c>
      <c r="P86" s="68">
        <v>75286</v>
      </c>
      <c r="Q86" s="68">
        <v>2227</v>
      </c>
      <c r="R86" s="415">
        <v>0</v>
      </c>
      <c r="S86" s="416">
        <v>0.5</v>
      </c>
      <c r="T86" s="417">
        <v>0.5</v>
      </c>
      <c r="U86" s="423">
        <v>0</v>
      </c>
      <c r="V86" s="424">
        <f t="shared" si="219"/>
        <v>0</v>
      </c>
      <c r="W86" s="418">
        <f t="shared" si="219"/>
        <v>0</v>
      </c>
      <c r="X86" s="418">
        <v>0</v>
      </c>
      <c r="Y86" s="418">
        <v>0</v>
      </c>
      <c r="Z86" s="418">
        <v>0</v>
      </c>
      <c r="AA86" s="418">
        <v>0</v>
      </c>
      <c r="AB86" s="418">
        <v>0</v>
      </c>
      <c r="AC86" s="418">
        <v>0</v>
      </c>
      <c r="AD86" s="418">
        <f t="shared" si="220"/>
        <v>0</v>
      </c>
      <c r="AE86" s="418">
        <f t="shared" si="221"/>
        <v>0</v>
      </c>
      <c r="AF86" s="794">
        <f t="shared" si="222"/>
        <v>0</v>
      </c>
      <c r="AG86" s="780">
        <v>0</v>
      </c>
      <c r="AH86" s="418">
        <v>0</v>
      </c>
      <c r="AI86" s="418">
        <v>0</v>
      </c>
      <c r="AJ86" s="418">
        <v>0</v>
      </c>
      <c r="AK86" s="418">
        <v>0</v>
      </c>
      <c r="AL86" s="418">
        <f t="shared" si="223"/>
        <v>0</v>
      </c>
      <c r="AM86" s="418">
        <f t="shared" si="224"/>
        <v>0</v>
      </c>
      <c r="AN86" s="418">
        <f t="shared" si="225"/>
        <v>0</v>
      </c>
      <c r="AO86" s="418">
        <f t="shared" si="226"/>
        <v>0</v>
      </c>
      <c r="AP86" s="418">
        <f t="shared" si="226"/>
        <v>0</v>
      </c>
      <c r="AQ86" s="418">
        <f t="shared" si="227"/>
        <v>0</v>
      </c>
      <c r="AR86" s="68">
        <f t="shared" si="228"/>
        <v>0</v>
      </c>
      <c r="AS86" s="68">
        <f t="shared" si="229"/>
        <v>0</v>
      </c>
      <c r="AT86" s="418">
        <v>0</v>
      </c>
      <c r="AU86" s="418">
        <v>0</v>
      </c>
      <c r="AV86" s="418">
        <f t="shared" si="230"/>
        <v>0</v>
      </c>
      <c r="AW86" s="418">
        <f t="shared" si="231"/>
        <v>0</v>
      </c>
      <c r="AX86" s="419">
        <v>0</v>
      </c>
      <c r="AY86" s="419">
        <v>0</v>
      </c>
      <c r="AZ86" s="419">
        <v>0</v>
      </c>
      <c r="BA86" s="419">
        <v>0</v>
      </c>
      <c r="BB86" s="419">
        <v>0</v>
      </c>
      <c r="BC86" s="419">
        <v>0</v>
      </c>
      <c r="BD86" s="419">
        <v>0</v>
      </c>
      <c r="BE86" s="419">
        <v>0</v>
      </c>
      <c r="BF86" s="419">
        <f t="shared" si="232"/>
        <v>0</v>
      </c>
      <c r="BG86" s="419">
        <f t="shared" si="233"/>
        <v>0</v>
      </c>
      <c r="BH86" s="894">
        <f t="shared" si="234"/>
        <v>0</v>
      </c>
      <c r="BI86" s="424">
        <f t="shared" si="235"/>
        <v>300253</v>
      </c>
      <c r="BJ86" s="418">
        <f t="shared" si="236"/>
        <v>222740</v>
      </c>
      <c r="BK86" s="418">
        <f t="shared" si="237"/>
        <v>222740</v>
      </c>
      <c r="BL86" s="418">
        <f t="shared" si="237"/>
        <v>0</v>
      </c>
      <c r="BM86" s="418">
        <f t="shared" si="238"/>
        <v>0</v>
      </c>
      <c r="BN86" s="418">
        <f t="shared" si="239"/>
        <v>0</v>
      </c>
      <c r="BO86" s="418">
        <f t="shared" si="239"/>
        <v>0</v>
      </c>
      <c r="BP86" s="418">
        <f t="shared" si="240"/>
        <v>75286</v>
      </c>
      <c r="BQ86" s="418">
        <f t="shared" si="240"/>
        <v>2227</v>
      </c>
      <c r="BR86" s="418">
        <f t="shared" si="241"/>
        <v>0</v>
      </c>
      <c r="BS86" s="419">
        <f t="shared" si="242"/>
        <v>0.5</v>
      </c>
      <c r="BT86" s="419">
        <f t="shared" si="243"/>
        <v>0.5</v>
      </c>
      <c r="BU86" s="421">
        <f t="shared" si="243"/>
        <v>0</v>
      </c>
      <c r="BV86" s="511"/>
      <c r="BW86" s="415"/>
      <c r="BX86" s="415"/>
      <c r="BY86" s="415"/>
      <c r="BZ86" s="415"/>
      <c r="CA86" s="510"/>
    </row>
    <row r="87" spans="1:79" ht="12.95" customHeight="1" x14ac:dyDescent="0.25">
      <c r="A87" s="280">
        <v>14</v>
      </c>
      <c r="B87" s="321">
        <v>5412</v>
      </c>
      <c r="C87" s="322">
        <v>600099130</v>
      </c>
      <c r="D87" s="281">
        <v>70698066</v>
      </c>
      <c r="E87" s="323" t="s">
        <v>375</v>
      </c>
      <c r="F87" s="281">
        <v>3143</v>
      </c>
      <c r="G87" s="323" t="s">
        <v>596</v>
      </c>
      <c r="H87" s="284" t="s">
        <v>272</v>
      </c>
      <c r="I87" s="420">
        <v>5127</v>
      </c>
      <c r="J87" s="415">
        <v>3670</v>
      </c>
      <c r="K87" s="415">
        <v>0</v>
      </c>
      <c r="L87" s="415">
        <v>3670</v>
      </c>
      <c r="M87" s="415">
        <v>0</v>
      </c>
      <c r="N87" s="415">
        <v>0</v>
      </c>
      <c r="O87" s="415">
        <v>0</v>
      </c>
      <c r="P87" s="68">
        <v>1240</v>
      </c>
      <c r="Q87" s="68">
        <v>37</v>
      </c>
      <c r="R87" s="415">
        <v>180</v>
      </c>
      <c r="S87" s="416">
        <v>1.3899999999999999E-2</v>
      </c>
      <c r="T87" s="417">
        <v>0</v>
      </c>
      <c r="U87" s="423">
        <v>1.3899999999999999E-2</v>
      </c>
      <c r="V87" s="424">
        <f t="shared" si="219"/>
        <v>0</v>
      </c>
      <c r="W87" s="418">
        <f t="shared" si="219"/>
        <v>0</v>
      </c>
      <c r="X87" s="418">
        <v>0</v>
      </c>
      <c r="Y87" s="418">
        <v>0</v>
      </c>
      <c r="Z87" s="418">
        <v>0</v>
      </c>
      <c r="AA87" s="418">
        <v>1830</v>
      </c>
      <c r="AB87" s="418">
        <v>0</v>
      </c>
      <c r="AC87" s="418">
        <v>0</v>
      </c>
      <c r="AD87" s="418">
        <f t="shared" si="220"/>
        <v>0</v>
      </c>
      <c r="AE87" s="418">
        <f t="shared" si="221"/>
        <v>1830</v>
      </c>
      <c r="AF87" s="794">
        <f t="shared" si="222"/>
        <v>1830</v>
      </c>
      <c r="AG87" s="780">
        <v>0</v>
      </c>
      <c r="AH87" s="418">
        <v>0</v>
      </c>
      <c r="AI87" s="418">
        <v>0</v>
      </c>
      <c r="AJ87" s="418">
        <v>0</v>
      </c>
      <c r="AK87" s="418">
        <v>0</v>
      </c>
      <c r="AL87" s="418">
        <f t="shared" si="223"/>
        <v>0</v>
      </c>
      <c r="AM87" s="418">
        <f t="shared" si="224"/>
        <v>0</v>
      </c>
      <c r="AN87" s="418">
        <f t="shared" si="225"/>
        <v>0</v>
      </c>
      <c r="AO87" s="418">
        <f t="shared" si="226"/>
        <v>0</v>
      </c>
      <c r="AP87" s="418">
        <f t="shared" si="226"/>
        <v>1830</v>
      </c>
      <c r="AQ87" s="418">
        <f t="shared" si="227"/>
        <v>1830</v>
      </c>
      <c r="AR87" s="68">
        <f t="shared" si="228"/>
        <v>619</v>
      </c>
      <c r="AS87" s="68">
        <f t="shared" si="229"/>
        <v>18</v>
      </c>
      <c r="AT87" s="418">
        <v>0</v>
      </c>
      <c r="AU87" s="418">
        <v>90</v>
      </c>
      <c r="AV87" s="418">
        <f t="shared" si="230"/>
        <v>90</v>
      </c>
      <c r="AW87" s="418">
        <f t="shared" si="231"/>
        <v>2557</v>
      </c>
      <c r="AX87" s="419">
        <v>0</v>
      </c>
      <c r="AY87" s="419">
        <v>0</v>
      </c>
      <c r="AZ87" s="419">
        <v>0</v>
      </c>
      <c r="BA87" s="419">
        <v>0</v>
      </c>
      <c r="BB87" s="419">
        <v>0.01</v>
      </c>
      <c r="BC87" s="419">
        <v>0</v>
      </c>
      <c r="BD87" s="419">
        <v>0</v>
      </c>
      <c r="BE87" s="419">
        <v>0</v>
      </c>
      <c r="BF87" s="419">
        <f t="shared" si="232"/>
        <v>0</v>
      </c>
      <c r="BG87" s="419">
        <f t="shared" si="233"/>
        <v>0.01</v>
      </c>
      <c r="BH87" s="894">
        <f t="shared" si="234"/>
        <v>0.01</v>
      </c>
      <c r="BI87" s="424">
        <f t="shared" si="235"/>
        <v>7684</v>
      </c>
      <c r="BJ87" s="418">
        <f t="shared" si="236"/>
        <v>5500</v>
      </c>
      <c r="BK87" s="418">
        <f t="shared" si="237"/>
        <v>0</v>
      </c>
      <c r="BL87" s="418">
        <f t="shared" si="237"/>
        <v>5500</v>
      </c>
      <c r="BM87" s="418">
        <f t="shared" si="238"/>
        <v>0</v>
      </c>
      <c r="BN87" s="418">
        <f t="shared" si="239"/>
        <v>0</v>
      </c>
      <c r="BO87" s="418">
        <f t="shared" si="239"/>
        <v>0</v>
      </c>
      <c r="BP87" s="418">
        <f t="shared" si="240"/>
        <v>1859</v>
      </c>
      <c r="BQ87" s="418">
        <f t="shared" si="240"/>
        <v>55</v>
      </c>
      <c r="BR87" s="418">
        <f t="shared" si="241"/>
        <v>270</v>
      </c>
      <c r="BS87" s="419">
        <f t="shared" si="242"/>
        <v>2.3899999999999998E-2</v>
      </c>
      <c r="BT87" s="419">
        <f t="shared" si="243"/>
        <v>0</v>
      </c>
      <c r="BU87" s="421">
        <f t="shared" si="243"/>
        <v>2.3899999999999998E-2</v>
      </c>
      <c r="BV87" s="511"/>
      <c r="BW87" s="415"/>
      <c r="BX87" s="415"/>
      <c r="BY87" s="415"/>
      <c r="BZ87" s="415"/>
      <c r="CA87" s="510"/>
    </row>
    <row r="88" spans="1:79" ht="12.95" customHeight="1" x14ac:dyDescent="0.25">
      <c r="A88" s="324">
        <v>14</v>
      </c>
      <c r="B88" s="325">
        <v>5412</v>
      </c>
      <c r="C88" s="326">
        <v>600099130</v>
      </c>
      <c r="D88" s="325">
        <v>70698066</v>
      </c>
      <c r="E88" s="327" t="s">
        <v>376</v>
      </c>
      <c r="F88" s="291"/>
      <c r="G88" s="329"/>
      <c r="H88" s="292"/>
      <c r="I88" s="472">
        <v>4871137</v>
      </c>
      <c r="J88" s="468">
        <v>3588556</v>
      </c>
      <c r="K88" s="468">
        <v>3014348</v>
      </c>
      <c r="L88" s="468">
        <v>574208</v>
      </c>
      <c r="M88" s="468">
        <v>0</v>
      </c>
      <c r="N88" s="468">
        <v>0</v>
      </c>
      <c r="O88" s="468">
        <v>0</v>
      </c>
      <c r="P88" s="468">
        <v>1212931</v>
      </c>
      <c r="Q88" s="468">
        <v>35886</v>
      </c>
      <c r="R88" s="468">
        <v>33764</v>
      </c>
      <c r="S88" s="469">
        <v>6.6524000000000001</v>
      </c>
      <c r="T88" s="469">
        <v>4.9508000000000001</v>
      </c>
      <c r="U88" s="532">
        <v>1.7016</v>
      </c>
      <c r="V88" s="472">
        <f t="shared" ref="V88:CA88" si="244">SUM(V82:V87)</f>
        <v>0</v>
      </c>
      <c r="W88" s="468">
        <f t="shared" si="244"/>
        <v>0</v>
      </c>
      <c r="X88" s="468">
        <f t="shared" si="244"/>
        <v>0</v>
      </c>
      <c r="Y88" s="468">
        <f t="shared" si="244"/>
        <v>0</v>
      </c>
      <c r="Z88" s="468">
        <f t="shared" si="244"/>
        <v>0</v>
      </c>
      <c r="AA88" s="468">
        <f t="shared" si="244"/>
        <v>156779</v>
      </c>
      <c r="AB88" s="468">
        <f t="shared" si="244"/>
        <v>0</v>
      </c>
      <c r="AC88" s="468">
        <f t="shared" si="244"/>
        <v>0</v>
      </c>
      <c r="AD88" s="468">
        <f t="shared" si="244"/>
        <v>0</v>
      </c>
      <c r="AE88" s="468">
        <f t="shared" si="244"/>
        <v>156779</v>
      </c>
      <c r="AF88" s="795">
        <f t="shared" si="244"/>
        <v>156779</v>
      </c>
      <c r="AG88" s="785">
        <f t="shared" si="244"/>
        <v>0</v>
      </c>
      <c r="AH88" s="468">
        <f t="shared" si="244"/>
        <v>0</v>
      </c>
      <c r="AI88" s="468">
        <f t="shared" si="244"/>
        <v>0</v>
      </c>
      <c r="AJ88" s="468">
        <f t="shared" si="244"/>
        <v>0</v>
      </c>
      <c r="AK88" s="468">
        <f t="shared" si="244"/>
        <v>0</v>
      </c>
      <c r="AL88" s="468">
        <f t="shared" si="244"/>
        <v>0</v>
      </c>
      <c r="AM88" s="468">
        <f t="shared" si="244"/>
        <v>0</v>
      </c>
      <c r="AN88" s="468">
        <f t="shared" si="244"/>
        <v>0</v>
      </c>
      <c r="AO88" s="468">
        <f t="shared" si="244"/>
        <v>0</v>
      </c>
      <c r="AP88" s="468">
        <f t="shared" si="244"/>
        <v>156779</v>
      </c>
      <c r="AQ88" s="468">
        <f t="shared" si="244"/>
        <v>156779</v>
      </c>
      <c r="AR88" s="468">
        <f t="shared" si="244"/>
        <v>52992</v>
      </c>
      <c r="AS88" s="468">
        <f t="shared" si="244"/>
        <v>1567</v>
      </c>
      <c r="AT88" s="468">
        <f t="shared" si="244"/>
        <v>0</v>
      </c>
      <c r="AU88" s="468">
        <f t="shared" si="244"/>
        <v>804</v>
      </c>
      <c r="AV88" s="468">
        <f t="shared" si="244"/>
        <v>804</v>
      </c>
      <c r="AW88" s="468">
        <f t="shared" si="244"/>
        <v>212142</v>
      </c>
      <c r="AX88" s="469">
        <f t="shared" si="244"/>
        <v>0</v>
      </c>
      <c r="AY88" s="469">
        <f t="shared" si="244"/>
        <v>0</v>
      </c>
      <c r="AZ88" s="469">
        <f t="shared" si="244"/>
        <v>0</v>
      </c>
      <c r="BA88" s="469">
        <f t="shared" si="244"/>
        <v>0</v>
      </c>
      <c r="BB88" s="469">
        <f t="shared" ref="BB88" si="245">SUM(BB82:BB87)</f>
        <v>0.47000000000000003</v>
      </c>
      <c r="BC88" s="469">
        <f t="shared" si="244"/>
        <v>0</v>
      </c>
      <c r="BD88" s="469">
        <f t="shared" si="244"/>
        <v>0</v>
      </c>
      <c r="BE88" s="469">
        <f t="shared" ref="BE88" si="246">SUM(BE82:BE87)</f>
        <v>0</v>
      </c>
      <c r="BF88" s="469">
        <f t="shared" si="244"/>
        <v>0</v>
      </c>
      <c r="BG88" s="469">
        <f t="shared" si="244"/>
        <v>0.47000000000000003</v>
      </c>
      <c r="BH88" s="532">
        <f t="shared" si="244"/>
        <v>0.47000000000000003</v>
      </c>
      <c r="BI88" s="472">
        <f t="shared" si="244"/>
        <v>5083279</v>
      </c>
      <c r="BJ88" s="468">
        <f t="shared" si="244"/>
        <v>3745335</v>
      </c>
      <c r="BK88" s="468">
        <f t="shared" si="244"/>
        <v>3014348</v>
      </c>
      <c r="BL88" s="468">
        <f t="shared" si="244"/>
        <v>730987</v>
      </c>
      <c r="BM88" s="468">
        <f t="shared" si="244"/>
        <v>0</v>
      </c>
      <c r="BN88" s="468">
        <f t="shared" si="244"/>
        <v>0</v>
      </c>
      <c r="BO88" s="468">
        <f t="shared" si="244"/>
        <v>0</v>
      </c>
      <c r="BP88" s="468">
        <f t="shared" si="244"/>
        <v>1265923</v>
      </c>
      <c r="BQ88" s="468">
        <f t="shared" si="244"/>
        <v>37453</v>
      </c>
      <c r="BR88" s="468">
        <f t="shared" si="244"/>
        <v>34568</v>
      </c>
      <c r="BS88" s="469">
        <f t="shared" si="244"/>
        <v>7.1224000000000007</v>
      </c>
      <c r="BT88" s="469">
        <f t="shared" si="244"/>
        <v>4.9508000000000001</v>
      </c>
      <c r="BU88" s="328">
        <f t="shared" si="244"/>
        <v>2.1716000000000002</v>
      </c>
      <c r="BV88" s="886">
        <f t="shared" si="244"/>
        <v>0</v>
      </c>
      <c r="BW88" s="727">
        <f t="shared" si="244"/>
        <v>0</v>
      </c>
      <c r="BX88" s="727">
        <f t="shared" si="244"/>
        <v>0</v>
      </c>
      <c r="BY88" s="727">
        <f t="shared" si="244"/>
        <v>0</v>
      </c>
      <c r="BZ88" s="727">
        <f t="shared" si="244"/>
        <v>0</v>
      </c>
      <c r="CA88" s="859">
        <f t="shared" si="244"/>
        <v>0</v>
      </c>
    </row>
    <row r="89" spans="1:79" ht="12.95" customHeight="1" x14ac:dyDescent="0.25">
      <c r="A89" s="280">
        <v>15</v>
      </c>
      <c r="B89" s="321">
        <v>5418</v>
      </c>
      <c r="C89" s="322">
        <v>600098508</v>
      </c>
      <c r="D89" s="281">
        <v>70156573</v>
      </c>
      <c r="E89" s="323" t="s">
        <v>377</v>
      </c>
      <c r="F89" s="281">
        <v>3111</v>
      </c>
      <c r="G89" s="323" t="s">
        <v>304</v>
      </c>
      <c r="H89" s="284" t="s">
        <v>271</v>
      </c>
      <c r="I89" s="420">
        <v>4882208</v>
      </c>
      <c r="J89" s="415">
        <v>3610724</v>
      </c>
      <c r="K89" s="415">
        <v>3278055</v>
      </c>
      <c r="L89" s="415">
        <v>332669</v>
      </c>
      <c r="M89" s="415">
        <v>0</v>
      </c>
      <c r="N89" s="415">
        <v>0</v>
      </c>
      <c r="O89" s="415">
        <v>0</v>
      </c>
      <c r="P89" s="68">
        <v>1220425</v>
      </c>
      <c r="Q89" s="68">
        <v>36107</v>
      </c>
      <c r="R89" s="415">
        <v>14952</v>
      </c>
      <c r="S89" s="416">
        <v>7.0071000000000003</v>
      </c>
      <c r="T89" s="417">
        <v>5.8871000000000002</v>
      </c>
      <c r="U89" s="423">
        <v>1.1200000000000001</v>
      </c>
      <c r="V89" s="424">
        <f t="shared" ref="V89:W91" si="247">AG89*-1</f>
        <v>0</v>
      </c>
      <c r="W89" s="418">
        <f t="shared" si="247"/>
        <v>0</v>
      </c>
      <c r="X89" s="418">
        <v>0</v>
      </c>
      <c r="Y89" s="418">
        <v>0</v>
      </c>
      <c r="Z89" s="418">
        <v>0</v>
      </c>
      <c r="AA89" s="418">
        <v>0</v>
      </c>
      <c r="AB89" s="418">
        <v>0</v>
      </c>
      <c r="AC89" s="418">
        <v>0</v>
      </c>
      <c r="AD89" s="418">
        <f>V89+X89+Y89+Z89+AB89</f>
        <v>0</v>
      </c>
      <c r="AE89" s="418">
        <f>W89+AA89+AC89</f>
        <v>0</v>
      </c>
      <c r="AF89" s="794">
        <f>SUM(AD89:AE89)</f>
        <v>0</v>
      </c>
      <c r="AG89" s="780">
        <v>0</v>
      </c>
      <c r="AH89" s="418">
        <v>0</v>
      </c>
      <c r="AI89" s="418">
        <v>0</v>
      </c>
      <c r="AJ89" s="418">
        <v>0</v>
      </c>
      <c r="AK89" s="418">
        <v>0</v>
      </c>
      <c r="AL89" s="418">
        <f>AG89+AI89+AJ89</f>
        <v>0</v>
      </c>
      <c r="AM89" s="418">
        <f>AH89+AK89</f>
        <v>0</v>
      </c>
      <c r="AN89" s="418">
        <f>SUM(AL89:AM89)</f>
        <v>0</v>
      </c>
      <c r="AO89" s="418">
        <f t="shared" ref="AO89:AP91" si="248">AD89+AL89</f>
        <v>0</v>
      </c>
      <c r="AP89" s="418">
        <f t="shared" si="248"/>
        <v>0</v>
      </c>
      <c r="AQ89" s="418">
        <f>SUM(AO89:AP89)</f>
        <v>0</v>
      </c>
      <c r="AR89" s="68">
        <f>ROUND((AF89+AG89+AH89+AI89)*33.8%,0)</f>
        <v>0</v>
      </c>
      <c r="AS89" s="68">
        <f>ROUND(AF89*1%,0)</f>
        <v>0</v>
      </c>
      <c r="AT89" s="418">
        <v>0</v>
      </c>
      <c r="AU89" s="418">
        <v>0</v>
      </c>
      <c r="AV89" s="418">
        <f>AT89+AU89</f>
        <v>0</v>
      </c>
      <c r="AW89" s="418">
        <f>AQ89+AR89+AS89+AV89</f>
        <v>0</v>
      </c>
      <c r="AX89" s="419">
        <v>0</v>
      </c>
      <c r="AY89" s="419">
        <v>0</v>
      </c>
      <c r="AZ89" s="419">
        <v>0</v>
      </c>
      <c r="BA89" s="419">
        <v>0</v>
      </c>
      <c r="BB89" s="419">
        <v>0</v>
      </c>
      <c r="BC89" s="419">
        <v>0</v>
      </c>
      <c r="BD89" s="419">
        <v>0</v>
      </c>
      <c r="BE89" s="419">
        <v>0</v>
      </c>
      <c r="BF89" s="419">
        <f>AX89+AZ89+BA89+BC89+BD89</f>
        <v>0</v>
      </c>
      <c r="BG89" s="419">
        <f>AY89+BB89+BE89</f>
        <v>0</v>
      </c>
      <c r="BH89" s="894">
        <f>SUM(BF89:BG89)</f>
        <v>0</v>
      </c>
      <c r="BI89" s="424">
        <f>I89+AW89</f>
        <v>4882208</v>
      </c>
      <c r="BJ89" s="418">
        <f>J89+AF89</f>
        <v>3610724</v>
      </c>
      <c r="BK89" s="418">
        <f t="shared" ref="BK89:BL91" si="249">K89+AD89</f>
        <v>3278055</v>
      </c>
      <c r="BL89" s="418">
        <f t="shared" si="249"/>
        <v>332669</v>
      </c>
      <c r="BM89" s="418">
        <f>M89+AN89</f>
        <v>0</v>
      </c>
      <c r="BN89" s="418">
        <f t="shared" ref="BN89:BO91" si="250">N89+AL89</f>
        <v>0</v>
      </c>
      <c r="BO89" s="418">
        <f t="shared" si="250"/>
        <v>0</v>
      </c>
      <c r="BP89" s="418">
        <f t="shared" ref="BP89:BQ91" si="251">P89+AR89</f>
        <v>1220425</v>
      </c>
      <c r="BQ89" s="418">
        <f t="shared" si="251"/>
        <v>36107</v>
      </c>
      <c r="BR89" s="418">
        <f>R89+AV89</f>
        <v>14952</v>
      </c>
      <c r="BS89" s="419">
        <f>S89+BH89</f>
        <v>7.0071000000000003</v>
      </c>
      <c r="BT89" s="419">
        <f t="shared" ref="BT89:BU91" si="252">T89+BF89</f>
        <v>5.8871000000000002</v>
      </c>
      <c r="BU89" s="421">
        <f t="shared" si="252"/>
        <v>1.1200000000000001</v>
      </c>
      <c r="BV89" s="511"/>
      <c r="BW89" s="415"/>
      <c r="BX89" s="415"/>
      <c r="BY89" s="415"/>
      <c r="BZ89" s="415"/>
      <c r="CA89" s="510"/>
    </row>
    <row r="90" spans="1:79" ht="12.95" customHeight="1" x14ac:dyDescent="0.25">
      <c r="A90" s="280">
        <v>15</v>
      </c>
      <c r="B90" s="321">
        <v>5418</v>
      </c>
      <c r="C90" s="322">
        <v>600098508</v>
      </c>
      <c r="D90" s="281">
        <v>70156573</v>
      </c>
      <c r="E90" s="323" t="s">
        <v>377</v>
      </c>
      <c r="F90" s="281">
        <v>3111</v>
      </c>
      <c r="G90" s="323" t="s">
        <v>298</v>
      </c>
      <c r="H90" s="284" t="s">
        <v>272</v>
      </c>
      <c r="I90" s="420">
        <v>874720</v>
      </c>
      <c r="J90" s="415">
        <v>648902</v>
      </c>
      <c r="K90" s="415">
        <v>648902</v>
      </c>
      <c r="L90" s="415">
        <v>0</v>
      </c>
      <c r="M90" s="415">
        <v>0</v>
      </c>
      <c r="N90" s="415">
        <v>0</v>
      </c>
      <c r="O90" s="415">
        <v>0</v>
      </c>
      <c r="P90" s="68">
        <v>219329</v>
      </c>
      <c r="Q90" s="68">
        <v>6489</v>
      </c>
      <c r="R90" s="415">
        <v>0</v>
      </c>
      <c r="S90" s="416">
        <v>1.75</v>
      </c>
      <c r="T90" s="417">
        <v>1.75</v>
      </c>
      <c r="U90" s="423">
        <v>0</v>
      </c>
      <c r="V90" s="424">
        <f t="shared" si="247"/>
        <v>0</v>
      </c>
      <c r="W90" s="418">
        <f t="shared" si="247"/>
        <v>0</v>
      </c>
      <c r="X90" s="418">
        <v>0</v>
      </c>
      <c r="Y90" s="418">
        <v>0</v>
      </c>
      <c r="Z90" s="418">
        <v>0</v>
      </c>
      <c r="AA90" s="418">
        <v>0</v>
      </c>
      <c r="AB90" s="418">
        <v>0</v>
      </c>
      <c r="AC90" s="418">
        <v>0</v>
      </c>
      <c r="AD90" s="418">
        <f>V90+X90+Y90+Z90+AB90</f>
        <v>0</v>
      </c>
      <c r="AE90" s="418">
        <f>W90+AA90+AC90</f>
        <v>0</v>
      </c>
      <c r="AF90" s="794">
        <f>SUM(AD90:AE90)</f>
        <v>0</v>
      </c>
      <c r="AG90" s="780">
        <v>0</v>
      </c>
      <c r="AH90" s="418">
        <v>0</v>
      </c>
      <c r="AI90" s="418">
        <v>0</v>
      </c>
      <c r="AJ90" s="418">
        <v>0</v>
      </c>
      <c r="AK90" s="418">
        <v>0</v>
      </c>
      <c r="AL90" s="418">
        <f>AG90+AI90+AJ90</f>
        <v>0</v>
      </c>
      <c r="AM90" s="418">
        <f>AH90+AK90</f>
        <v>0</v>
      </c>
      <c r="AN90" s="418">
        <f>SUM(AL90:AM90)</f>
        <v>0</v>
      </c>
      <c r="AO90" s="418">
        <f t="shared" si="248"/>
        <v>0</v>
      </c>
      <c r="AP90" s="418">
        <f t="shared" si="248"/>
        <v>0</v>
      </c>
      <c r="AQ90" s="418">
        <f>SUM(AO90:AP90)</f>
        <v>0</v>
      </c>
      <c r="AR90" s="68">
        <f>ROUND((AF90+AG90+AH90+AI90)*33.8%,0)</f>
        <v>0</v>
      </c>
      <c r="AS90" s="68">
        <f>ROUND(AF90*1%,0)</f>
        <v>0</v>
      </c>
      <c r="AT90" s="418">
        <v>0</v>
      </c>
      <c r="AU90" s="418">
        <v>0</v>
      </c>
      <c r="AV90" s="418">
        <f>AT90+AU90</f>
        <v>0</v>
      </c>
      <c r="AW90" s="418">
        <f>AQ90+AR90+AS90+AV90</f>
        <v>0</v>
      </c>
      <c r="AX90" s="419">
        <v>0</v>
      </c>
      <c r="AY90" s="419">
        <v>0</v>
      </c>
      <c r="AZ90" s="419">
        <v>0</v>
      </c>
      <c r="BA90" s="419">
        <v>0</v>
      </c>
      <c r="BB90" s="419">
        <v>0</v>
      </c>
      <c r="BC90" s="419">
        <v>0</v>
      </c>
      <c r="BD90" s="419">
        <v>0</v>
      </c>
      <c r="BE90" s="419">
        <v>0</v>
      </c>
      <c r="BF90" s="419">
        <f>AX90+AZ90+BA90+BC90+BD90</f>
        <v>0</v>
      </c>
      <c r="BG90" s="419">
        <f>AY90+BB90+BE90</f>
        <v>0</v>
      </c>
      <c r="BH90" s="894">
        <f>SUM(BF90:BG90)</f>
        <v>0</v>
      </c>
      <c r="BI90" s="424">
        <f>I90+AW90</f>
        <v>874720</v>
      </c>
      <c r="BJ90" s="418">
        <f>J90+AF90</f>
        <v>648902</v>
      </c>
      <c r="BK90" s="418">
        <f t="shared" si="249"/>
        <v>648902</v>
      </c>
      <c r="BL90" s="418">
        <f t="shared" si="249"/>
        <v>0</v>
      </c>
      <c r="BM90" s="418">
        <f>M90+AN90</f>
        <v>0</v>
      </c>
      <c r="BN90" s="418">
        <f t="shared" si="250"/>
        <v>0</v>
      </c>
      <c r="BO90" s="418">
        <f t="shared" si="250"/>
        <v>0</v>
      </c>
      <c r="BP90" s="418">
        <f t="shared" si="251"/>
        <v>219329</v>
      </c>
      <c r="BQ90" s="418">
        <f t="shared" si="251"/>
        <v>6489</v>
      </c>
      <c r="BR90" s="418">
        <f>R90+AV90</f>
        <v>0</v>
      </c>
      <c r="BS90" s="419">
        <f>S90+BH90</f>
        <v>1.75</v>
      </c>
      <c r="BT90" s="419">
        <f t="shared" si="252"/>
        <v>1.75</v>
      </c>
      <c r="BU90" s="421">
        <f t="shared" si="252"/>
        <v>0</v>
      </c>
      <c r="BV90" s="511"/>
      <c r="BW90" s="415"/>
      <c r="BX90" s="415"/>
      <c r="BY90" s="415"/>
      <c r="BZ90" s="415"/>
      <c r="CA90" s="510"/>
    </row>
    <row r="91" spans="1:79" ht="12.95" customHeight="1" x14ac:dyDescent="0.25">
      <c r="A91" s="280">
        <v>15</v>
      </c>
      <c r="B91" s="321">
        <v>5418</v>
      </c>
      <c r="C91" s="322">
        <v>600098508</v>
      </c>
      <c r="D91" s="281">
        <v>70156573</v>
      </c>
      <c r="E91" s="323" t="s">
        <v>377</v>
      </c>
      <c r="F91" s="281">
        <v>3141</v>
      </c>
      <c r="G91" s="323" t="s">
        <v>294</v>
      </c>
      <c r="H91" s="284" t="s">
        <v>272</v>
      </c>
      <c r="I91" s="420">
        <v>502423</v>
      </c>
      <c r="J91" s="415">
        <v>371263</v>
      </c>
      <c r="K91" s="415">
        <v>0</v>
      </c>
      <c r="L91" s="415">
        <v>371263</v>
      </c>
      <c r="M91" s="415">
        <v>0</v>
      </c>
      <c r="N91" s="415">
        <v>0</v>
      </c>
      <c r="O91" s="415">
        <v>0</v>
      </c>
      <c r="P91" s="68">
        <v>125487</v>
      </c>
      <c r="Q91" s="68">
        <v>3713</v>
      </c>
      <c r="R91" s="415">
        <v>1960</v>
      </c>
      <c r="S91" s="416">
        <v>1.1133</v>
      </c>
      <c r="T91" s="417">
        <v>0</v>
      </c>
      <c r="U91" s="423">
        <v>1.1133</v>
      </c>
      <c r="V91" s="424">
        <f t="shared" si="247"/>
        <v>0</v>
      </c>
      <c r="W91" s="418">
        <f t="shared" si="247"/>
        <v>0</v>
      </c>
      <c r="X91" s="418">
        <v>0</v>
      </c>
      <c r="Y91" s="418">
        <v>0</v>
      </c>
      <c r="Z91" s="418">
        <v>0</v>
      </c>
      <c r="AA91" s="418">
        <v>184039</v>
      </c>
      <c r="AB91" s="418">
        <v>0</v>
      </c>
      <c r="AC91" s="418">
        <v>0</v>
      </c>
      <c r="AD91" s="418">
        <f>V91+X91+Y91+Z91+AB91</f>
        <v>0</v>
      </c>
      <c r="AE91" s="418">
        <f>W91+AA91+AC91</f>
        <v>184039</v>
      </c>
      <c r="AF91" s="794">
        <f>SUM(AD91:AE91)</f>
        <v>184039</v>
      </c>
      <c r="AG91" s="780">
        <v>0</v>
      </c>
      <c r="AH91" s="418">
        <v>0</v>
      </c>
      <c r="AI91" s="418">
        <v>0</v>
      </c>
      <c r="AJ91" s="418">
        <v>0</v>
      </c>
      <c r="AK91" s="418">
        <v>0</v>
      </c>
      <c r="AL91" s="418">
        <f>AG91+AI91+AJ91</f>
        <v>0</v>
      </c>
      <c r="AM91" s="418">
        <f>AH91+AK91</f>
        <v>0</v>
      </c>
      <c r="AN91" s="418">
        <f>SUM(AL91:AM91)</f>
        <v>0</v>
      </c>
      <c r="AO91" s="418">
        <f t="shared" si="248"/>
        <v>0</v>
      </c>
      <c r="AP91" s="418">
        <f t="shared" si="248"/>
        <v>184039</v>
      </c>
      <c r="AQ91" s="418">
        <f>SUM(AO91:AP91)</f>
        <v>184039</v>
      </c>
      <c r="AR91" s="68">
        <f>ROUND((AF91+AG91+AH91+AI91)*33.8%,0)</f>
        <v>62205</v>
      </c>
      <c r="AS91" s="68">
        <f>ROUND(AF91*1%,0)</f>
        <v>1840</v>
      </c>
      <c r="AT91" s="418">
        <v>0</v>
      </c>
      <c r="AU91" s="418">
        <v>952</v>
      </c>
      <c r="AV91" s="418">
        <f>AT91+AU91</f>
        <v>952</v>
      </c>
      <c r="AW91" s="418">
        <f>AQ91+AR91+AS91+AV91</f>
        <v>249036</v>
      </c>
      <c r="AX91" s="419">
        <v>0</v>
      </c>
      <c r="AY91" s="419">
        <v>0</v>
      </c>
      <c r="AZ91" s="419">
        <v>0</v>
      </c>
      <c r="BA91" s="419">
        <v>0</v>
      </c>
      <c r="BB91" s="419">
        <v>0.56000000000000005</v>
      </c>
      <c r="BC91" s="419">
        <v>0</v>
      </c>
      <c r="BD91" s="419">
        <v>0</v>
      </c>
      <c r="BE91" s="419">
        <v>0</v>
      </c>
      <c r="BF91" s="419">
        <f>AX91+AZ91+BA91+BC91+BD91</f>
        <v>0</v>
      </c>
      <c r="BG91" s="419">
        <f>AY91+BB91+BE91</f>
        <v>0.56000000000000005</v>
      </c>
      <c r="BH91" s="894">
        <f>SUM(BF91:BG91)</f>
        <v>0.56000000000000005</v>
      </c>
      <c r="BI91" s="424">
        <f>I91+AW91</f>
        <v>751459</v>
      </c>
      <c r="BJ91" s="418">
        <f>J91+AF91</f>
        <v>555302</v>
      </c>
      <c r="BK91" s="418">
        <f t="shared" si="249"/>
        <v>0</v>
      </c>
      <c r="BL91" s="418">
        <f t="shared" si="249"/>
        <v>555302</v>
      </c>
      <c r="BM91" s="418">
        <f>M91+AN91</f>
        <v>0</v>
      </c>
      <c r="BN91" s="418">
        <f t="shared" si="250"/>
        <v>0</v>
      </c>
      <c r="BO91" s="418">
        <f t="shared" si="250"/>
        <v>0</v>
      </c>
      <c r="BP91" s="418">
        <f t="shared" si="251"/>
        <v>187692</v>
      </c>
      <c r="BQ91" s="418">
        <f t="shared" si="251"/>
        <v>5553</v>
      </c>
      <c r="BR91" s="418">
        <f>R91+AV91</f>
        <v>2912</v>
      </c>
      <c r="BS91" s="419">
        <f>S91+BH91</f>
        <v>1.6733</v>
      </c>
      <c r="BT91" s="419">
        <f t="shared" si="252"/>
        <v>0</v>
      </c>
      <c r="BU91" s="421">
        <f t="shared" si="252"/>
        <v>1.6733</v>
      </c>
      <c r="BV91" s="511"/>
      <c r="BW91" s="415"/>
      <c r="BX91" s="415"/>
      <c r="BY91" s="415"/>
      <c r="BZ91" s="415"/>
      <c r="CA91" s="510"/>
    </row>
    <row r="92" spans="1:79" ht="12.95" customHeight="1" x14ac:dyDescent="0.25">
      <c r="A92" s="324">
        <v>15</v>
      </c>
      <c r="B92" s="325">
        <v>5418</v>
      </c>
      <c r="C92" s="326">
        <v>600098508</v>
      </c>
      <c r="D92" s="325">
        <v>70156573</v>
      </c>
      <c r="E92" s="327" t="s">
        <v>378</v>
      </c>
      <c r="F92" s="291"/>
      <c r="G92" s="329"/>
      <c r="H92" s="292"/>
      <c r="I92" s="472">
        <v>6259351</v>
      </c>
      <c r="J92" s="468">
        <v>4630889</v>
      </c>
      <c r="K92" s="468">
        <v>3926957</v>
      </c>
      <c r="L92" s="468">
        <v>703932</v>
      </c>
      <c r="M92" s="468">
        <v>0</v>
      </c>
      <c r="N92" s="468">
        <v>0</v>
      </c>
      <c r="O92" s="468">
        <v>0</v>
      </c>
      <c r="P92" s="468">
        <v>1565241</v>
      </c>
      <c r="Q92" s="468">
        <v>46309</v>
      </c>
      <c r="R92" s="468">
        <v>16912</v>
      </c>
      <c r="S92" s="469">
        <v>9.8704000000000018</v>
      </c>
      <c r="T92" s="469">
        <v>7.6371000000000002</v>
      </c>
      <c r="U92" s="532">
        <v>2.2332999999999998</v>
      </c>
      <c r="V92" s="472">
        <f t="shared" ref="V92:CA92" si="253">SUM(V89:V91)</f>
        <v>0</v>
      </c>
      <c r="W92" s="468">
        <f t="shared" si="253"/>
        <v>0</v>
      </c>
      <c r="X92" s="468">
        <f t="shared" si="253"/>
        <v>0</v>
      </c>
      <c r="Y92" s="468">
        <f t="shared" si="253"/>
        <v>0</v>
      </c>
      <c r="Z92" s="468">
        <f t="shared" si="253"/>
        <v>0</v>
      </c>
      <c r="AA92" s="468">
        <f t="shared" si="253"/>
        <v>184039</v>
      </c>
      <c r="AB92" s="468">
        <f t="shared" si="253"/>
        <v>0</v>
      </c>
      <c r="AC92" s="468">
        <f t="shared" si="253"/>
        <v>0</v>
      </c>
      <c r="AD92" s="468">
        <f t="shared" si="253"/>
        <v>0</v>
      </c>
      <c r="AE92" s="468">
        <f t="shared" si="253"/>
        <v>184039</v>
      </c>
      <c r="AF92" s="795">
        <f t="shared" si="253"/>
        <v>184039</v>
      </c>
      <c r="AG92" s="785">
        <f t="shared" si="253"/>
        <v>0</v>
      </c>
      <c r="AH92" s="468">
        <f t="shared" si="253"/>
        <v>0</v>
      </c>
      <c r="AI92" s="468">
        <f t="shared" si="253"/>
        <v>0</v>
      </c>
      <c r="AJ92" s="468">
        <f t="shared" si="253"/>
        <v>0</v>
      </c>
      <c r="AK92" s="468">
        <f t="shared" si="253"/>
        <v>0</v>
      </c>
      <c r="AL92" s="468">
        <f t="shared" si="253"/>
        <v>0</v>
      </c>
      <c r="AM92" s="468">
        <f t="shared" si="253"/>
        <v>0</v>
      </c>
      <c r="AN92" s="468">
        <f t="shared" si="253"/>
        <v>0</v>
      </c>
      <c r="AO92" s="468">
        <f t="shared" si="253"/>
        <v>0</v>
      </c>
      <c r="AP92" s="468">
        <f t="shared" si="253"/>
        <v>184039</v>
      </c>
      <c r="AQ92" s="468">
        <f t="shared" si="253"/>
        <v>184039</v>
      </c>
      <c r="AR92" s="468">
        <f t="shared" si="253"/>
        <v>62205</v>
      </c>
      <c r="AS92" s="468">
        <f t="shared" si="253"/>
        <v>1840</v>
      </c>
      <c r="AT92" s="468">
        <f t="shared" si="253"/>
        <v>0</v>
      </c>
      <c r="AU92" s="468">
        <f t="shared" si="253"/>
        <v>952</v>
      </c>
      <c r="AV92" s="468">
        <f t="shared" si="253"/>
        <v>952</v>
      </c>
      <c r="AW92" s="468">
        <f t="shared" si="253"/>
        <v>249036</v>
      </c>
      <c r="AX92" s="469">
        <f t="shared" si="253"/>
        <v>0</v>
      </c>
      <c r="AY92" s="469">
        <f t="shared" si="253"/>
        <v>0</v>
      </c>
      <c r="AZ92" s="469">
        <f t="shared" si="253"/>
        <v>0</v>
      </c>
      <c r="BA92" s="469">
        <f t="shared" si="253"/>
        <v>0</v>
      </c>
      <c r="BB92" s="469">
        <f t="shared" ref="BB92" si="254">SUM(BB89:BB91)</f>
        <v>0.56000000000000005</v>
      </c>
      <c r="BC92" s="469">
        <f t="shared" si="253"/>
        <v>0</v>
      </c>
      <c r="BD92" s="469">
        <f t="shared" si="253"/>
        <v>0</v>
      </c>
      <c r="BE92" s="469">
        <f t="shared" ref="BE92" si="255">SUM(BE89:BE91)</f>
        <v>0</v>
      </c>
      <c r="BF92" s="469">
        <f t="shared" si="253"/>
        <v>0</v>
      </c>
      <c r="BG92" s="469">
        <f t="shared" si="253"/>
        <v>0.56000000000000005</v>
      </c>
      <c r="BH92" s="532">
        <f t="shared" si="253"/>
        <v>0.56000000000000005</v>
      </c>
      <c r="BI92" s="472">
        <f t="shared" si="253"/>
        <v>6508387</v>
      </c>
      <c r="BJ92" s="468">
        <f t="shared" si="253"/>
        <v>4814928</v>
      </c>
      <c r="BK92" s="468">
        <f t="shared" si="253"/>
        <v>3926957</v>
      </c>
      <c r="BL92" s="468">
        <f t="shared" si="253"/>
        <v>887971</v>
      </c>
      <c r="BM92" s="468">
        <f t="shared" si="253"/>
        <v>0</v>
      </c>
      <c r="BN92" s="468">
        <f t="shared" si="253"/>
        <v>0</v>
      </c>
      <c r="BO92" s="468">
        <f t="shared" si="253"/>
        <v>0</v>
      </c>
      <c r="BP92" s="468">
        <f t="shared" si="253"/>
        <v>1627446</v>
      </c>
      <c r="BQ92" s="468">
        <f t="shared" si="253"/>
        <v>48149</v>
      </c>
      <c r="BR92" s="468">
        <f t="shared" si="253"/>
        <v>17864</v>
      </c>
      <c r="BS92" s="469">
        <f t="shared" si="253"/>
        <v>10.430400000000001</v>
      </c>
      <c r="BT92" s="469">
        <f t="shared" si="253"/>
        <v>7.6371000000000002</v>
      </c>
      <c r="BU92" s="328">
        <f t="shared" si="253"/>
        <v>2.7933000000000003</v>
      </c>
      <c r="BV92" s="886">
        <f t="shared" si="253"/>
        <v>0</v>
      </c>
      <c r="BW92" s="727">
        <f t="shared" si="253"/>
        <v>0</v>
      </c>
      <c r="BX92" s="727">
        <f t="shared" si="253"/>
        <v>0</v>
      </c>
      <c r="BY92" s="727">
        <f t="shared" si="253"/>
        <v>0</v>
      </c>
      <c r="BZ92" s="727">
        <f t="shared" si="253"/>
        <v>0</v>
      </c>
      <c r="CA92" s="859">
        <f t="shared" si="253"/>
        <v>0</v>
      </c>
    </row>
    <row r="93" spans="1:79" ht="12.95" customHeight="1" x14ac:dyDescent="0.25">
      <c r="A93" s="280">
        <v>16</v>
      </c>
      <c r="B93" s="321">
        <v>5417</v>
      </c>
      <c r="C93" s="322">
        <v>600099113</v>
      </c>
      <c r="D93" s="281">
        <v>70156565</v>
      </c>
      <c r="E93" s="323" t="s">
        <v>379</v>
      </c>
      <c r="F93" s="281">
        <v>3117</v>
      </c>
      <c r="G93" s="323" t="s">
        <v>293</v>
      </c>
      <c r="H93" s="284" t="s">
        <v>271</v>
      </c>
      <c r="I93" s="420">
        <v>5759230</v>
      </c>
      <c r="J93" s="415">
        <v>4182154</v>
      </c>
      <c r="K93" s="415">
        <v>3752298</v>
      </c>
      <c r="L93" s="415">
        <v>429856</v>
      </c>
      <c r="M93" s="415">
        <v>20000</v>
      </c>
      <c r="N93" s="415">
        <v>20000</v>
      </c>
      <c r="O93" s="415">
        <v>0</v>
      </c>
      <c r="P93" s="68">
        <v>1420328</v>
      </c>
      <c r="Q93" s="68">
        <v>41822</v>
      </c>
      <c r="R93" s="415">
        <v>94926</v>
      </c>
      <c r="S93" s="416">
        <v>7.0757000000000003</v>
      </c>
      <c r="T93" s="417">
        <v>5.9089</v>
      </c>
      <c r="U93" s="423">
        <v>1.1668000000000001</v>
      </c>
      <c r="V93" s="424">
        <f t="shared" ref="V93:W97" si="256">AG93*-1</f>
        <v>0</v>
      </c>
      <c r="W93" s="418">
        <f t="shared" si="256"/>
        <v>0</v>
      </c>
      <c r="X93" s="418">
        <v>0</v>
      </c>
      <c r="Y93" s="418">
        <v>0</v>
      </c>
      <c r="Z93" s="418">
        <v>0</v>
      </c>
      <c r="AA93" s="418">
        <v>0</v>
      </c>
      <c r="AB93" s="418">
        <v>0</v>
      </c>
      <c r="AC93" s="418">
        <v>0</v>
      </c>
      <c r="AD93" s="418">
        <f>V93+X93+Y93+Z93+AB93</f>
        <v>0</v>
      </c>
      <c r="AE93" s="418">
        <f>W93+AA93+AC93</f>
        <v>0</v>
      </c>
      <c r="AF93" s="794">
        <f>SUM(AD93:AE93)</f>
        <v>0</v>
      </c>
      <c r="AG93" s="780">
        <v>0</v>
      </c>
      <c r="AH93" s="418">
        <v>0</v>
      </c>
      <c r="AI93" s="418">
        <v>0</v>
      </c>
      <c r="AJ93" s="418">
        <v>0</v>
      </c>
      <c r="AK93" s="418">
        <v>0</v>
      </c>
      <c r="AL93" s="418">
        <f>AG93+AI93+AJ93</f>
        <v>0</v>
      </c>
      <c r="AM93" s="418">
        <f>AH93+AK93</f>
        <v>0</v>
      </c>
      <c r="AN93" s="418">
        <f>SUM(AL93:AM93)</f>
        <v>0</v>
      </c>
      <c r="AO93" s="418">
        <f t="shared" ref="AO93:AP97" si="257">AD93+AL93</f>
        <v>0</v>
      </c>
      <c r="AP93" s="418">
        <f t="shared" si="257"/>
        <v>0</v>
      </c>
      <c r="AQ93" s="418">
        <f>SUM(AO93:AP93)</f>
        <v>0</v>
      </c>
      <c r="AR93" s="68">
        <f>ROUND((AF93+AG93+AH93+AI93)*33.8%,0)</f>
        <v>0</v>
      </c>
      <c r="AS93" s="68">
        <f>ROUND(AF93*1%,0)</f>
        <v>0</v>
      </c>
      <c r="AT93" s="418">
        <v>0</v>
      </c>
      <c r="AU93" s="418">
        <v>0</v>
      </c>
      <c r="AV93" s="418">
        <f>AT93+AU93</f>
        <v>0</v>
      </c>
      <c r="AW93" s="418">
        <f>AQ93+AR93+AS93+AV93</f>
        <v>0</v>
      </c>
      <c r="AX93" s="419">
        <v>0</v>
      </c>
      <c r="AY93" s="419">
        <v>0</v>
      </c>
      <c r="AZ93" s="419">
        <v>0</v>
      </c>
      <c r="BA93" s="419">
        <v>0</v>
      </c>
      <c r="BB93" s="419">
        <v>0</v>
      </c>
      <c r="BC93" s="419">
        <v>0</v>
      </c>
      <c r="BD93" s="419">
        <v>0</v>
      </c>
      <c r="BE93" s="419">
        <v>0</v>
      </c>
      <c r="BF93" s="419">
        <f>AX93+AZ93+BA93+BC93+BD93</f>
        <v>0</v>
      </c>
      <c r="BG93" s="419">
        <f>AY93+BB93+BE93</f>
        <v>0</v>
      </c>
      <c r="BH93" s="894">
        <f>SUM(BF93:BG93)</f>
        <v>0</v>
      </c>
      <c r="BI93" s="424">
        <f>I93+AW93</f>
        <v>5759230</v>
      </c>
      <c r="BJ93" s="418">
        <f>J93+AF93</f>
        <v>4182154</v>
      </c>
      <c r="BK93" s="418">
        <f t="shared" ref="BK93:BL97" si="258">K93+AD93</f>
        <v>3752298</v>
      </c>
      <c r="BL93" s="418">
        <f t="shared" si="258"/>
        <v>429856</v>
      </c>
      <c r="BM93" s="418">
        <f>M93+AN93</f>
        <v>20000</v>
      </c>
      <c r="BN93" s="418">
        <f t="shared" ref="BN93:BO97" si="259">N93+AL93</f>
        <v>20000</v>
      </c>
      <c r="BO93" s="418">
        <f t="shared" si="259"/>
        <v>0</v>
      </c>
      <c r="BP93" s="418">
        <f t="shared" ref="BP93:BQ97" si="260">P93+AR93</f>
        <v>1420328</v>
      </c>
      <c r="BQ93" s="418">
        <f t="shared" si="260"/>
        <v>41822</v>
      </c>
      <c r="BR93" s="418">
        <f>R93+AV93</f>
        <v>94926</v>
      </c>
      <c r="BS93" s="419">
        <f>S93+BH93</f>
        <v>7.0757000000000003</v>
      </c>
      <c r="BT93" s="419">
        <f t="shared" ref="BT93:BU97" si="261">T93+BF93</f>
        <v>5.9089</v>
      </c>
      <c r="BU93" s="421">
        <f t="shared" si="261"/>
        <v>1.1668000000000001</v>
      </c>
      <c r="BV93" s="511"/>
      <c r="BW93" s="415"/>
      <c r="BX93" s="415"/>
      <c r="BY93" s="415"/>
      <c r="BZ93" s="415"/>
      <c r="CA93" s="510"/>
    </row>
    <row r="94" spans="1:79" ht="12.95" customHeight="1" x14ac:dyDescent="0.25">
      <c r="A94" s="280">
        <v>16</v>
      </c>
      <c r="B94" s="321">
        <v>5417</v>
      </c>
      <c r="C94" s="322">
        <v>600099113</v>
      </c>
      <c r="D94" s="281">
        <v>70156565</v>
      </c>
      <c r="E94" s="323" t="s">
        <v>379</v>
      </c>
      <c r="F94" s="281">
        <v>3117</v>
      </c>
      <c r="G94" s="323" t="s">
        <v>298</v>
      </c>
      <c r="H94" s="284" t="s">
        <v>272</v>
      </c>
      <c r="I94" s="420">
        <v>388777</v>
      </c>
      <c r="J94" s="415">
        <v>288410</v>
      </c>
      <c r="K94" s="415">
        <v>288410</v>
      </c>
      <c r="L94" s="415">
        <v>0</v>
      </c>
      <c r="M94" s="415">
        <v>0</v>
      </c>
      <c r="N94" s="415">
        <v>0</v>
      </c>
      <c r="O94" s="415">
        <v>0</v>
      </c>
      <c r="P94" s="68">
        <v>97483</v>
      </c>
      <c r="Q94" s="68">
        <v>2884</v>
      </c>
      <c r="R94" s="415">
        <v>0</v>
      </c>
      <c r="S94" s="416">
        <v>0.78</v>
      </c>
      <c r="T94" s="417">
        <v>0.78</v>
      </c>
      <c r="U94" s="423">
        <v>0</v>
      </c>
      <c r="V94" s="424">
        <f t="shared" si="256"/>
        <v>0</v>
      </c>
      <c r="W94" s="418">
        <f t="shared" si="256"/>
        <v>0</v>
      </c>
      <c r="X94" s="418">
        <v>0</v>
      </c>
      <c r="Y94" s="418">
        <v>0</v>
      </c>
      <c r="Z94" s="418">
        <v>0</v>
      </c>
      <c r="AA94" s="418">
        <v>0</v>
      </c>
      <c r="AB94" s="418">
        <v>0</v>
      </c>
      <c r="AC94" s="418">
        <v>0</v>
      </c>
      <c r="AD94" s="418">
        <f>V94+X94+Y94+Z94+AB94</f>
        <v>0</v>
      </c>
      <c r="AE94" s="418">
        <f>W94+AA94+AC94</f>
        <v>0</v>
      </c>
      <c r="AF94" s="794">
        <f>SUM(AD94:AE94)</f>
        <v>0</v>
      </c>
      <c r="AG94" s="780">
        <v>0</v>
      </c>
      <c r="AH94" s="418">
        <v>0</v>
      </c>
      <c r="AI94" s="418">
        <v>0</v>
      </c>
      <c r="AJ94" s="418">
        <v>0</v>
      </c>
      <c r="AK94" s="418">
        <v>0</v>
      </c>
      <c r="AL94" s="418">
        <f>AG94+AI94+AJ94</f>
        <v>0</v>
      </c>
      <c r="AM94" s="418">
        <f>AH94+AK94</f>
        <v>0</v>
      </c>
      <c r="AN94" s="418">
        <f>SUM(AL94:AM94)</f>
        <v>0</v>
      </c>
      <c r="AO94" s="418">
        <f t="shared" si="257"/>
        <v>0</v>
      </c>
      <c r="AP94" s="418">
        <f t="shared" si="257"/>
        <v>0</v>
      </c>
      <c r="AQ94" s="418">
        <f>SUM(AO94:AP94)</f>
        <v>0</v>
      </c>
      <c r="AR94" s="68">
        <f>ROUND((AF94+AG94+AH94+AI94)*33.8%,0)</f>
        <v>0</v>
      </c>
      <c r="AS94" s="68">
        <f>ROUND(AF94*1%,0)</f>
        <v>0</v>
      </c>
      <c r="AT94" s="418">
        <v>0</v>
      </c>
      <c r="AU94" s="418">
        <v>0</v>
      </c>
      <c r="AV94" s="418">
        <f>AT94+AU94</f>
        <v>0</v>
      </c>
      <c r="AW94" s="418">
        <f>AQ94+AR94+AS94+AV94</f>
        <v>0</v>
      </c>
      <c r="AX94" s="419">
        <v>0</v>
      </c>
      <c r="AY94" s="419">
        <v>0</v>
      </c>
      <c r="AZ94" s="419">
        <v>0</v>
      </c>
      <c r="BA94" s="419">
        <v>0</v>
      </c>
      <c r="BB94" s="419">
        <v>0</v>
      </c>
      <c r="BC94" s="419">
        <v>0</v>
      </c>
      <c r="BD94" s="419">
        <v>0</v>
      </c>
      <c r="BE94" s="419">
        <v>0</v>
      </c>
      <c r="BF94" s="419">
        <f>AX94+AZ94+BA94+BC94+BD94</f>
        <v>0</v>
      </c>
      <c r="BG94" s="419">
        <f>AY94+BB94+BE94</f>
        <v>0</v>
      </c>
      <c r="BH94" s="894">
        <f>SUM(BF94:BG94)</f>
        <v>0</v>
      </c>
      <c r="BI94" s="424">
        <f>I94+AW94</f>
        <v>388777</v>
      </c>
      <c r="BJ94" s="418">
        <f>J94+AF94</f>
        <v>288410</v>
      </c>
      <c r="BK94" s="418">
        <f t="shared" si="258"/>
        <v>288410</v>
      </c>
      <c r="BL94" s="418">
        <f t="shared" si="258"/>
        <v>0</v>
      </c>
      <c r="BM94" s="418">
        <f>M94+AN94</f>
        <v>0</v>
      </c>
      <c r="BN94" s="418">
        <f t="shared" si="259"/>
        <v>0</v>
      </c>
      <c r="BO94" s="418">
        <f t="shared" si="259"/>
        <v>0</v>
      </c>
      <c r="BP94" s="418">
        <f t="shared" si="260"/>
        <v>97483</v>
      </c>
      <c r="BQ94" s="418">
        <f t="shared" si="260"/>
        <v>2884</v>
      </c>
      <c r="BR94" s="418">
        <f>R94+AV94</f>
        <v>0</v>
      </c>
      <c r="BS94" s="419">
        <f>S94+BH94</f>
        <v>0.78</v>
      </c>
      <c r="BT94" s="419">
        <f t="shared" si="261"/>
        <v>0.78</v>
      </c>
      <c r="BU94" s="421">
        <f t="shared" si="261"/>
        <v>0</v>
      </c>
      <c r="BV94" s="511"/>
      <c r="BW94" s="415"/>
      <c r="BX94" s="415"/>
      <c r="BY94" s="415"/>
      <c r="BZ94" s="415"/>
      <c r="CA94" s="510"/>
    </row>
    <row r="95" spans="1:79" ht="12.95" customHeight="1" x14ac:dyDescent="0.25">
      <c r="A95" s="280">
        <v>16</v>
      </c>
      <c r="B95" s="321">
        <v>5417</v>
      </c>
      <c r="C95" s="322">
        <v>600099113</v>
      </c>
      <c r="D95" s="281">
        <v>70156565</v>
      </c>
      <c r="E95" s="323" t="s">
        <v>379</v>
      </c>
      <c r="F95" s="281">
        <v>3141</v>
      </c>
      <c r="G95" s="323" t="s">
        <v>294</v>
      </c>
      <c r="H95" s="284" t="s">
        <v>272</v>
      </c>
      <c r="I95" s="420">
        <v>493853</v>
      </c>
      <c r="J95" s="415">
        <v>329594</v>
      </c>
      <c r="K95" s="415">
        <v>0</v>
      </c>
      <c r="L95" s="415">
        <v>329594</v>
      </c>
      <c r="M95" s="415">
        <v>35000</v>
      </c>
      <c r="N95" s="415">
        <v>0</v>
      </c>
      <c r="O95" s="415">
        <v>35000</v>
      </c>
      <c r="P95" s="68">
        <v>123233</v>
      </c>
      <c r="Q95" s="68">
        <v>3296</v>
      </c>
      <c r="R95" s="415">
        <v>2730</v>
      </c>
      <c r="S95" s="416">
        <v>0.98329999999999984</v>
      </c>
      <c r="T95" s="417">
        <v>0</v>
      </c>
      <c r="U95" s="423">
        <v>0.98329999999999984</v>
      </c>
      <c r="V95" s="424">
        <f t="shared" si="256"/>
        <v>0</v>
      </c>
      <c r="W95" s="418">
        <f t="shared" si="256"/>
        <v>0</v>
      </c>
      <c r="X95" s="418">
        <v>0</v>
      </c>
      <c r="Y95" s="418">
        <v>0</v>
      </c>
      <c r="Z95" s="418">
        <v>0</v>
      </c>
      <c r="AA95" s="418">
        <v>181066</v>
      </c>
      <c r="AB95" s="418">
        <v>0</v>
      </c>
      <c r="AC95" s="418">
        <v>0</v>
      </c>
      <c r="AD95" s="418">
        <f>V95+X95+Y95+Z95+AB95</f>
        <v>0</v>
      </c>
      <c r="AE95" s="418">
        <f>W95+AA95+AC95</f>
        <v>181066</v>
      </c>
      <c r="AF95" s="794">
        <f>SUM(AD95:AE95)</f>
        <v>181066</v>
      </c>
      <c r="AG95" s="780">
        <v>0</v>
      </c>
      <c r="AH95" s="418">
        <v>0</v>
      </c>
      <c r="AI95" s="418">
        <v>0</v>
      </c>
      <c r="AJ95" s="418">
        <v>0</v>
      </c>
      <c r="AK95" s="418">
        <v>0</v>
      </c>
      <c r="AL95" s="418">
        <f>AG95+AI95+AJ95</f>
        <v>0</v>
      </c>
      <c r="AM95" s="418">
        <f>AH95+AK95</f>
        <v>0</v>
      </c>
      <c r="AN95" s="418">
        <f>SUM(AL95:AM95)</f>
        <v>0</v>
      </c>
      <c r="AO95" s="418">
        <f t="shared" si="257"/>
        <v>0</v>
      </c>
      <c r="AP95" s="418">
        <f t="shared" si="257"/>
        <v>181066</v>
      </c>
      <c r="AQ95" s="418">
        <f>SUM(AO95:AP95)</f>
        <v>181066</v>
      </c>
      <c r="AR95" s="68">
        <f>ROUND((AF95+AG95+AH95+AI95)*33.8%,0)</f>
        <v>61200</v>
      </c>
      <c r="AS95" s="68">
        <f>ROUND(AF95*1%,0)</f>
        <v>1811</v>
      </c>
      <c r="AT95" s="418">
        <v>0</v>
      </c>
      <c r="AU95" s="418">
        <v>1326</v>
      </c>
      <c r="AV95" s="418">
        <f>AT95+AU95</f>
        <v>1326</v>
      </c>
      <c r="AW95" s="418">
        <f>AQ95+AR95+AS95+AV95</f>
        <v>245403</v>
      </c>
      <c r="AX95" s="419">
        <v>0</v>
      </c>
      <c r="AY95" s="419">
        <v>0</v>
      </c>
      <c r="AZ95" s="419">
        <v>0</v>
      </c>
      <c r="BA95" s="419">
        <v>0</v>
      </c>
      <c r="BB95" s="419">
        <v>0.55000000000000004</v>
      </c>
      <c r="BC95" s="419">
        <v>0</v>
      </c>
      <c r="BD95" s="419">
        <v>0</v>
      </c>
      <c r="BE95" s="419">
        <v>0</v>
      </c>
      <c r="BF95" s="419">
        <f>AX95+AZ95+BA95+BC95+BD95</f>
        <v>0</v>
      </c>
      <c r="BG95" s="419">
        <f>AY95+BB95+BE95</f>
        <v>0.55000000000000004</v>
      </c>
      <c r="BH95" s="894">
        <f>SUM(BF95:BG95)</f>
        <v>0.55000000000000004</v>
      </c>
      <c r="BI95" s="424">
        <f>I95+AW95</f>
        <v>739256</v>
      </c>
      <c r="BJ95" s="418">
        <f>J95+AF95</f>
        <v>510660</v>
      </c>
      <c r="BK95" s="418">
        <f t="shared" si="258"/>
        <v>0</v>
      </c>
      <c r="BL95" s="418">
        <f t="shared" si="258"/>
        <v>510660</v>
      </c>
      <c r="BM95" s="418">
        <f>M95+AN95</f>
        <v>35000</v>
      </c>
      <c r="BN95" s="418">
        <f t="shared" si="259"/>
        <v>0</v>
      </c>
      <c r="BO95" s="418">
        <f t="shared" si="259"/>
        <v>35000</v>
      </c>
      <c r="BP95" s="418">
        <f t="shared" si="260"/>
        <v>184433</v>
      </c>
      <c r="BQ95" s="418">
        <f t="shared" si="260"/>
        <v>5107</v>
      </c>
      <c r="BR95" s="418">
        <f>R95+AV95</f>
        <v>4056</v>
      </c>
      <c r="BS95" s="419">
        <f>S95+BH95</f>
        <v>1.5332999999999999</v>
      </c>
      <c r="BT95" s="419">
        <f t="shared" si="261"/>
        <v>0</v>
      </c>
      <c r="BU95" s="421">
        <f t="shared" si="261"/>
        <v>1.5332999999999999</v>
      </c>
      <c r="BV95" s="511"/>
      <c r="BW95" s="415"/>
      <c r="BX95" s="415"/>
      <c r="BY95" s="415"/>
      <c r="BZ95" s="415"/>
      <c r="CA95" s="510"/>
    </row>
    <row r="96" spans="1:79" ht="12.95" customHeight="1" x14ac:dyDescent="0.25">
      <c r="A96" s="280">
        <v>16</v>
      </c>
      <c r="B96" s="321">
        <v>5417</v>
      </c>
      <c r="C96" s="322">
        <v>600099113</v>
      </c>
      <c r="D96" s="281">
        <v>70156565</v>
      </c>
      <c r="E96" s="323" t="s">
        <v>379</v>
      </c>
      <c r="F96" s="281">
        <v>3143</v>
      </c>
      <c r="G96" s="323" t="s">
        <v>595</v>
      </c>
      <c r="H96" s="284" t="s">
        <v>271</v>
      </c>
      <c r="I96" s="420">
        <v>992259</v>
      </c>
      <c r="J96" s="415">
        <v>736097</v>
      </c>
      <c r="K96" s="415">
        <v>736097</v>
      </c>
      <c r="L96" s="415">
        <v>0</v>
      </c>
      <c r="M96" s="415">
        <v>0</v>
      </c>
      <c r="N96" s="415">
        <v>0</v>
      </c>
      <c r="O96" s="415">
        <v>0</v>
      </c>
      <c r="P96" s="68">
        <v>248801</v>
      </c>
      <c r="Q96" s="68">
        <v>7361</v>
      </c>
      <c r="R96" s="415">
        <v>0</v>
      </c>
      <c r="S96" s="416">
        <v>1.5556000000000001</v>
      </c>
      <c r="T96" s="417">
        <v>1.5556000000000001</v>
      </c>
      <c r="U96" s="423">
        <v>0</v>
      </c>
      <c r="V96" s="424">
        <f t="shared" si="256"/>
        <v>0</v>
      </c>
      <c r="W96" s="418">
        <f t="shared" si="256"/>
        <v>0</v>
      </c>
      <c r="X96" s="418">
        <v>0</v>
      </c>
      <c r="Y96" s="418">
        <v>0</v>
      </c>
      <c r="Z96" s="418">
        <v>0</v>
      </c>
      <c r="AA96" s="418">
        <v>0</v>
      </c>
      <c r="AB96" s="418">
        <v>0</v>
      </c>
      <c r="AC96" s="418">
        <v>0</v>
      </c>
      <c r="AD96" s="418">
        <f>V96+X96+Y96+Z96+AB96</f>
        <v>0</v>
      </c>
      <c r="AE96" s="418">
        <f>W96+AA96+AC96</f>
        <v>0</v>
      </c>
      <c r="AF96" s="794">
        <f>SUM(AD96:AE96)</f>
        <v>0</v>
      </c>
      <c r="AG96" s="780">
        <v>0</v>
      </c>
      <c r="AH96" s="418">
        <v>0</v>
      </c>
      <c r="AI96" s="418">
        <v>0</v>
      </c>
      <c r="AJ96" s="418">
        <v>0</v>
      </c>
      <c r="AK96" s="418">
        <v>0</v>
      </c>
      <c r="AL96" s="418">
        <f>AG96+AI96+AJ96</f>
        <v>0</v>
      </c>
      <c r="AM96" s="418">
        <f>AH96+AK96</f>
        <v>0</v>
      </c>
      <c r="AN96" s="418">
        <f>SUM(AL96:AM96)</f>
        <v>0</v>
      </c>
      <c r="AO96" s="418">
        <f t="shared" si="257"/>
        <v>0</v>
      </c>
      <c r="AP96" s="418">
        <f t="shared" si="257"/>
        <v>0</v>
      </c>
      <c r="AQ96" s="418">
        <f>SUM(AO96:AP96)</f>
        <v>0</v>
      </c>
      <c r="AR96" s="68">
        <f>ROUND((AF96+AG96+AH96+AI96)*33.8%,0)</f>
        <v>0</v>
      </c>
      <c r="AS96" s="68">
        <f>ROUND(AF96*1%,0)</f>
        <v>0</v>
      </c>
      <c r="AT96" s="418">
        <v>0</v>
      </c>
      <c r="AU96" s="418">
        <v>0</v>
      </c>
      <c r="AV96" s="418">
        <f>AT96+AU96</f>
        <v>0</v>
      </c>
      <c r="AW96" s="418">
        <f>AQ96+AR96+AS96+AV96</f>
        <v>0</v>
      </c>
      <c r="AX96" s="419">
        <v>0</v>
      </c>
      <c r="AY96" s="419">
        <v>0</v>
      </c>
      <c r="AZ96" s="419">
        <v>0</v>
      </c>
      <c r="BA96" s="419">
        <v>0</v>
      </c>
      <c r="BB96" s="419">
        <v>0</v>
      </c>
      <c r="BC96" s="419">
        <v>0</v>
      </c>
      <c r="BD96" s="419">
        <v>0</v>
      </c>
      <c r="BE96" s="419">
        <v>0</v>
      </c>
      <c r="BF96" s="419">
        <f>AX96+AZ96+BA96+BC96+BD96</f>
        <v>0</v>
      </c>
      <c r="BG96" s="419">
        <f>AY96+BB96+BE96</f>
        <v>0</v>
      </c>
      <c r="BH96" s="894">
        <f>SUM(BF96:BG96)</f>
        <v>0</v>
      </c>
      <c r="BI96" s="424">
        <f>I96+AW96</f>
        <v>992259</v>
      </c>
      <c r="BJ96" s="418">
        <f>J96+AF96</f>
        <v>736097</v>
      </c>
      <c r="BK96" s="418">
        <f t="shared" si="258"/>
        <v>736097</v>
      </c>
      <c r="BL96" s="418">
        <f t="shared" si="258"/>
        <v>0</v>
      </c>
      <c r="BM96" s="418">
        <f>M96+AN96</f>
        <v>0</v>
      </c>
      <c r="BN96" s="418">
        <f t="shared" si="259"/>
        <v>0</v>
      </c>
      <c r="BO96" s="418">
        <f t="shared" si="259"/>
        <v>0</v>
      </c>
      <c r="BP96" s="418">
        <f t="shared" si="260"/>
        <v>248801</v>
      </c>
      <c r="BQ96" s="418">
        <f t="shared" si="260"/>
        <v>7361</v>
      </c>
      <c r="BR96" s="418">
        <f>R96+AV96</f>
        <v>0</v>
      </c>
      <c r="BS96" s="419">
        <f>S96+BH96</f>
        <v>1.5556000000000001</v>
      </c>
      <c r="BT96" s="419">
        <f t="shared" si="261"/>
        <v>1.5556000000000001</v>
      </c>
      <c r="BU96" s="421">
        <f t="shared" si="261"/>
        <v>0</v>
      </c>
      <c r="BV96" s="511"/>
      <c r="BW96" s="415"/>
      <c r="BX96" s="415"/>
      <c r="BY96" s="415"/>
      <c r="BZ96" s="415"/>
      <c r="CA96" s="510"/>
    </row>
    <row r="97" spans="1:79" ht="12.95" customHeight="1" x14ac:dyDescent="0.25">
      <c r="A97" s="280">
        <v>16</v>
      </c>
      <c r="B97" s="321">
        <v>5417</v>
      </c>
      <c r="C97" s="322">
        <v>600099113</v>
      </c>
      <c r="D97" s="281">
        <v>70156565</v>
      </c>
      <c r="E97" s="323" t="s">
        <v>379</v>
      </c>
      <c r="F97" s="281">
        <v>3143</v>
      </c>
      <c r="G97" s="323" t="s">
        <v>596</v>
      </c>
      <c r="H97" s="284" t="s">
        <v>272</v>
      </c>
      <c r="I97" s="420">
        <v>23569</v>
      </c>
      <c r="J97" s="415">
        <v>16870</v>
      </c>
      <c r="K97" s="415">
        <v>0</v>
      </c>
      <c r="L97" s="415">
        <v>16870</v>
      </c>
      <c r="M97" s="415">
        <v>0</v>
      </c>
      <c r="N97" s="415">
        <v>0</v>
      </c>
      <c r="O97" s="415">
        <v>0</v>
      </c>
      <c r="P97" s="68">
        <v>5702</v>
      </c>
      <c r="Q97" s="68">
        <v>169</v>
      </c>
      <c r="R97" s="415">
        <v>828</v>
      </c>
      <c r="S97" s="416">
        <v>6.3899999999999998E-2</v>
      </c>
      <c r="T97" s="417">
        <v>0</v>
      </c>
      <c r="U97" s="423">
        <v>6.3899999999999998E-2</v>
      </c>
      <c r="V97" s="424">
        <f t="shared" si="256"/>
        <v>0</v>
      </c>
      <c r="W97" s="418">
        <f t="shared" si="256"/>
        <v>0</v>
      </c>
      <c r="X97" s="418">
        <v>0</v>
      </c>
      <c r="Y97" s="418">
        <v>0</v>
      </c>
      <c r="Z97" s="418">
        <v>0</v>
      </c>
      <c r="AA97" s="418">
        <v>8430</v>
      </c>
      <c r="AB97" s="418">
        <v>0</v>
      </c>
      <c r="AC97" s="418">
        <v>0</v>
      </c>
      <c r="AD97" s="418">
        <f>V97+X97+Y97+Z97+AB97</f>
        <v>0</v>
      </c>
      <c r="AE97" s="418">
        <f>W97+AA97+AC97</f>
        <v>8430</v>
      </c>
      <c r="AF97" s="794">
        <f>SUM(AD97:AE97)</f>
        <v>8430</v>
      </c>
      <c r="AG97" s="780">
        <v>0</v>
      </c>
      <c r="AH97" s="418">
        <v>0</v>
      </c>
      <c r="AI97" s="418">
        <v>0</v>
      </c>
      <c r="AJ97" s="418">
        <v>0</v>
      </c>
      <c r="AK97" s="418">
        <v>0</v>
      </c>
      <c r="AL97" s="418">
        <f>AG97+AI97+AJ97</f>
        <v>0</v>
      </c>
      <c r="AM97" s="418">
        <f>AH97+AK97</f>
        <v>0</v>
      </c>
      <c r="AN97" s="418">
        <f>SUM(AL97:AM97)</f>
        <v>0</v>
      </c>
      <c r="AO97" s="418">
        <f t="shared" si="257"/>
        <v>0</v>
      </c>
      <c r="AP97" s="418">
        <f t="shared" si="257"/>
        <v>8430</v>
      </c>
      <c r="AQ97" s="418">
        <f>SUM(AO97:AP97)</f>
        <v>8430</v>
      </c>
      <c r="AR97" s="68">
        <f>ROUND((AF97+AG97+AH97+AI97)*33.8%,0)</f>
        <v>2849</v>
      </c>
      <c r="AS97" s="68">
        <f>ROUND(AF97*1%,0)</f>
        <v>84</v>
      </c>
      <c r="AT97" s="418">
        <v>0</v>
      </c>
      <c r="AU97" s="418">
        <v>414</v>
      </c>
      <c r="AV97" s="418">
        <f>AT97+AU97</f>
        <v>414</v>
      </c>
      <c r="AW97" s="418">
        <f>AQ97+AR97+AS97+AV97</f>
        <v>11777</v>
      </c>
      <c r="AX97" s="419">
        <v>0</v>
      </c>
      <c r="AY97" s="419">
        <v>0</v>
      </c>
      <c r="AZ97" s="419">
        <v>0</v>
      </c>
      <c r="BA97" s="419">
        <v>0</v>
      </c>
      <c r="BB97" s="419">
        <v>0.03</v>
      </c>
      <c r="BC97" s="419">
        <v>0</v>
      </c>
      <c r="BD97" s="419">
        <v>0</v>
      </c>
      <c r="BE97" s="419">
        <v>0</v>
      </c>
      <c r="BF97" s="419">
        <f>AX97+AZ97+BA97+BC97+BD97</f>
        <v>0</v>
      </c>
      <c r="BG97" s="419">
        <f>AY97+BB97+BE97</f>
        <v>0.03</v>
      </c>
      <c r="BH97" s="894">
        <f>SUM(BF97:BG97)</f>
        <v>0.03</v>
      </c>
      <c r="BI97" s="424">
        <f>I97+AW97</f>
        <v>35346</v>
      </c>
      <c r="BJ97" s="418">
        <f>J97+AF97</f>
        <v>25300</v>
      </c>
      <c r="BK97" s="418">
        <f t="shared" si="258"/>
        <v>0</v>
      </c>
      <c r="BL97" s="418">
        <f t="shared" si="258"/>
        <v>25300</v>
      </c>
      <c r="BM97" s="418">
        <f>M97+AN97</f>
        <v>0</v>
      </c>
      <c r="BN97" s="418">
        <f t="shared" si="259"/>
        <v>0</v>
      </c>
      <c r="BO97" s="418">
        <f t="shared" si="259"/>
        <v>0</v>
      </c>
      <c r="BP97" s="418">
        <f t="shared" si="260"/>
        <v>8551</v>
      </c>
      <c r="BQ97" s="418">
        <f t="shared" si="260"/>
        <v>253</v>
      </c>
      <c r="BR97" s="418">
        <f>R97+AV97</f>
        <v>1242</v>
      </c>
      <c r="BS97" s="419">
        <f>S97+BH97</f>
        <v>9.3899999999999997E-2</v>
      </c>
      <c r="BT97" s="419">
        <f t="shared" si="261"/>
        <v>0</v>
      </c>
      <c r="BU97" s="421">
        <f t="shared" si="261"/>
        <v>9.3899999999999997E-2</v>
      </c>
      <c r="BV97" s="511"/>
      <c r="BW97" s="415"/>
      <c r="BX97" s="415"/>
      <c r="BY97" s="415"/>
      <c r="BZ97" s="415"/>
      <c r="CA97" s="510"/>
    </row>
    <row r="98" spans="1:79" ht="12.95" customHeight="1" x14ac:dyDescent="0.25">
      <c r="A98" s="324">
        <v>16</v>
      </c>
      <c r="B98" s="325">
        <v>5417</v>
      </c>
      <c r="C98" s="326">
        <v>600099113</v>
      </c>
      <c r="D98" s="325">
        <v>70156565</v>
      </c>
      <c r="E98" s="327" t="s">
        <v>380</v>
      </c>
      <c r="F98" s="291"/>
      <c r="G98" s="329"/>
      <c r="H98" s="292"/>
      <c r="I98" s="473">
        <v>7657688</v>
      </c>
      <c r="J98" s="470">
        <v>5553125</v>
      </c>
      <c r="K98" s="470">
        <v>4776805</v>
      </c>
      <c r="L98" s="470">
        <v>776320</v>
      </c>
      <c r="M98" s="470">
        <v>55000</v>
      </c>
      <c r="N98" s="470">
        <v>20000</v>
      </c>
      <c r="O98" s="470">
        <v>35000</v>
      </c>
      <c r="P98" s="470">
        <v>1895547</v>
      </c>
      <c r="Q98" s="470">
        <v>55532</v>
      </c>
      <c r="R98" s="470">
        <v>98484</v>
      </c>
      <c r="S98" s="471">
        <v>10.458500000000001</v>
      </c>
      <c r="T98" s="471">
        <v>8.2445000000000004</v>
      </c>
      <c r="U98" s="533">
        <v>2.214</v>
      </c>
      <c r="V98" s="473">
        <f t="shared" ref="V98:CA98" si="262">SUM(V93:V97)</f>
        <v>0</v>
      </c>
      <c r="W98" s="470">
        <f t="shared" si="262"/>
        <v>0</v>
      </c>
      <c r="X98" s="470">
        <f t="shared" si="262"/>
        <v>0</v>
      </c>
      <c r="Y98" s="470">
        <f t="shared" si="262"/>
        <v>0</v>
      </c>
      <c r="Z98" s="470">
        <f t="shared" si="262"/>
        <v>0</v>
      </c>
      <c r="AA98" s="470">
        <f t="shared" si="262"/>
        <v>189496</v>
      </c>
      <c r="AB98" s="470">
        <f t="shared" si="262"/>
        <v>0</v>
      </c>
      <c r="AC98" s="470">
        <f t="shared" si="262"/>
        <v>0</v>
      </c>
      <c r="AD98" s="470">
        <f t="shared" si="262"/>
        <v>0</v>
      </c>
      <c r="AE98" s="470">
        <f t="shared" si="262"/>
        <v>189496</v>
      </c>
      <c r="AF98" s="796">
        <f t="shared" si="262"/>
        <v>189496</v>
      </c>
      <c r="AG98" s="786">
        <f t="shared" si="262"/>
        <v>0</v>
      </c>
      <c r="AH98" s="470">
        <f t="shared" si="262"/>
        <v>0</v>
      </c>
      <c r="AI98" s="470">
        <f t="shared" si="262"/>
        <v>0</v>
      </c>
      <c r="AJ98" s="470">
        <f t="shared" si="262"/>
        <v>0</v>
      </c>
      <c r="AK98" s="470">
        <f t="shared" si="262"/>
        <v>0</v>
      </c>
      <c r="AL98" s="470">
        <f t="shared" si="262"/>
        <v>0</v>
      </c>
      <c r="AM98" s="470">
        <f t="shared" si="262"/>
        <v>0</v>
      </c>
      <c r="AN98" s="470">
        <f t="shared" si="262"/>
        <v>0</v>
      </c>
      <c r="AO98" s="470">
        <f t="shared" si="262"/>
        <v>0</v>
      </c>
      <c r="AP98" s="470">
        <f t="shared" si="262"/>
        <v>189496</v>
      </c>
      <c r="AQ98" s="470">
        <f t="shared" si="262"/>
        <v>189496</v>
      </c>
      <c r="AR98" s="470">
        <f t="shared" si="262"/>
        <v>64049</v>
      </c>
      <c r="AS98" s="470">
        <f t="shared" si="262"/>
        <v>1895</v>
      </c>
      <c r="AT98" s="470">
        <f t="shared" si="262"/>
        <v>0</v>
      </c>
      <c r="AU98" s="470">
        <f t="shared" si="262"/>
        <v>1740</v>
      </c>
      <c r="AV98" s="470">
        <f t="shared" si="262"/>
        <v>1740</v>
      </c>
      <c r="AW98" s="470">
        <f t="shared" si="262"/>
        <v>257180</v>
      </c>
      <c r="AX98" s="471">
        <f t="shared" si="262"/>
        <v>0</v>
      </c>
      <c r="AY98" s="471">
        <f t="shared" si="262"/>
        <v>0</v>
      </c>
      <c r="AZ98" s="471">
        <f t="shared" si="262"/>
        <v>0</v>
      </c>
      <c r="BA98" s="471">
        <f t="shared" si="262"/>
        <v>0</v>
      </c>
      <c r="BB98" s="471">
        <f t="shared" ref="BB98" si="263">SUM(BB93:BB97)</f>
        <v>0.58000000000000007</v>
      </c>
      <c r="BC98" s="471">
        <f t="shared" si="262"/>
        <v>0</v>
      </c>
      <c r="BD98" s="471">
        <f t="shared" si="262"/>
        <v>0</v>
      </c>
      <c r="BE98" s="471">
        <f t="shared" ref="BE98" si="264">SUM(BE93:BE97)</f>
        <v>0</v>
      </c>
      <c r="BF98" s="471">
        <f t="shared" si="262"/>
        <v>0</v>
      </c>
      <c r="BG98" s="471">
        <f t="shared" si="262"/>
        <v>0.58000000000000007</v>
      </c>
      <c r="BH98" s="533">
        <f t="shared" si="262"/>
        <v>0.58000000000000007</v>
      </c>
      <c r="BI98" s="473">
        <f t="shared" si="262"/>
        <v>7914868</v>
      </c>
      <c r="BJ98" s="470">
        <f t="shared" si="262"/>
        <v>5742621</v>
      </c>
      <c r="BK98" s="470">
        <f t="shared" si="262"/>
        <v>4776805</v>
      </c>
      <c r="BL98" s="470">
        <f t="shared" si="262"/>
        <v>965816</v>
      </c>
      <c r="BM98" s="470">
        <f t="shared" si="262"/>
        <v>55000</v>
      </c>
      <c r="BN98" s="470">
        <f t="shared" si="262"/>
        <v>20000</v>
      </c>
      <c r="BO98" s="470">
        <f t="shared" si="262"/>
        <v>35000</v>
      </c>
      <c r="BP98" s="470">
        <f t="shared" si="262"/>
        <v>1959596</v>
      </c>
      <c r="BQ98" s="470">
        <f t="shared" si="262"/>
        <v>57427</v>
      </c>
      <c r="BR98" s="470">
        <f t="shared" si="262"/>
        <v>100224</v>
      </c>
      <c r="BS98" s="471">
        <f t="shared" si="262"/>
        <v>11.038500000000001</v>
      </c>
      <c r="BT98" s="471">
        <f t="shared" si="262"/>
        <v>8.2445000000000004</v>
      </c>
      <c r="BU98" s="333">
        <f t="shared" si="262"/>
        <v>2.794</v>
      </c>
      <c r="BV98" s="887">
        <f t="shared" si="262"/>
        <v>0</v>
      </c>
      <c r="BW98" s="728">
        <f t="shared" si="262"/>
        <v>0</v>
      </c>
      <c r="BX98" s="728">
        <f t="shared" si="262"/>
        <v>0</v>
      </c>
      <c r="BY98" s="728">
        <f t="shared" si="262"/>
        <v>0</v>
      </c>
      <c r="BZ98" s="728">
        <f t="shared" si="262"/>
        <v>0</v>
      </c>
      <c r="CA98" s="860">
        <f t="shared" si="262"/>
        <v>0</v>
      </c>
    </row>
    <row r="99" spans="1:79" ht="12.95" customHeight="1" x14ac:dyDescent="0.25">
      <c r="A99" s="280">
        <v>17</v>
      </c>
      <c r="B99" s="321">
        <v>5420</v>
      </c>
      <c r="C99" s="322">
        <v>600098745</v>
      </c>
      <c r="D99" s="281">
        <v>75016249</v>
      </c>
      <c r="E99" s="323" t="s">
        <v>381</v>
      </c>
      <c r="F99" s="281">
        <v>3111</v>
      </c>
      <c r="G99" s="323" t="s">
        <v>304</v>
      </c>
      <c r="H99" s="284" t="s">
        <v>271</v>
      </c>
      <c r="I99" s="420">
        <v>3515169</v>
      </c>
      <c r="J99" s="415">
        <v>2599967</v>
      </c>
      <c r="K99" s="415">
        <v>2378175</v>
      </c>
      <c r="L99" s="415">
        <v>221792</v>
      </c>
      <c r="M99" s="415">
        <v>0</v>
      </c>
      <c r="N99" s="415">
        <v>0</v>
      </c>
      <c r="O99" s="415">
        <v>0</v>
      </c>
      <c r="P99" s="68">
        <v>878789</v>
      </c>
      <c r="Q99" s="68">
        <v>26000</v>
      </c>
      <c r="R99" s="415">
        <v>10413</v>
      </c>
      <c r="S99" s="416">
        <v>4.8111999999999995</v>
      </c>
      <c r="T99" s="417">
        <v>4.0644999999999998</v>
      </c>
      <c r="U99" s="423">
        <v>0.74669999999999992</v>
      </c>
      <c r="V99" s="424">
        <f t="shared" ref="V99:W101" si="265">AG99*-1</f>
        <v>0</v>
      </c>
      <c r="W99" s="418">
        <f t="shared" si="265"/>
        <v>0</v>
      </c>
      <c r="X99" s="418">
        <v>0</v>
      </c>
      <c r="Y99" s="418">
        <v>0</v>
      </c>
      <c r="Z99" s="418">
        <v>0</v>
      </c>
      <c r="AA99" s="418">
        <v>0</v>
      </c>
      <c r="AB99" s="418">
        <v>0</v>
      </c>
      <c r="AC99" s="418">
        <v>0</v>
      </c>
      <c r="AD99" s="418">
        <f>V99+X99+Y99+Z99+AB99</f>
        <v>0</v>
      </c>
      <c r="AE99" s="418">
        <f>W99+AA99+AC99</f>
        <v>0</v>
      </c>
      <c r="AF99" s="794">
        <f>SUM(AD99:AE99)</f>
        <v>0</v>
      </c>
      <c r="AG99" s="780">
        <v>0</v>
      </c>
      <c r="AH99" s="418">
        <v>0</v>
      </c>
      <c r="AI99" s="418">
        <v>0</v>
      </c>
      <c r="AJ99" s="418">
        <v>0</v>
      </c>
      <c r="AK99" s="418">
        <v>0</v>
      </c>
      <c r="AL99" s="418">
        <f>AG99+AI99+AJ99</f>
        <v>0</v>
      </c>
      <c r="AM99" s="418">
        <f>AH99+AK99</f>
        <v>0</v>
      </c>
      <c r="AN99" s="418">
        <f>SUM(AL99:AM99)</f>
        <v>0</v>
      </c>
      <c r="AO99" s="418">
        <f t="shared" ref="AO99:AP101" si="266">AD99+AL99</f>
        <v>0</v>
      </c>
      <c r="AP99" s="418">
        <f t="shared" si="266"/>
        <v>0</v>
      </c>
      <c r="AQ99" s="418">
        <f>SUM(AO99:AP99)</f>
        <v>0</v>
      </c>
      <c r="AR99" s="68">
        <f>ROUND((AF99+AG99+AH99+AI99)*33.8%,0)</f>
        <v>0</v>
      </c>
      <c r="AS99" s="68">
        <f>ROUND(AF99*1%,0)</f>
        <v>0</v>
      </c>
      <c r="AT99" s="418">
        <v>0</v>
      </c>
      <c r="AU99" s="418">
        <v>0</v>
      </c>
      <c r="AV99" s="418">
        <f>AT99+AU99</f>
        <v>0</v>
      </c>
      <c r="AW99" s="418">
        <f>AQ99+AR99+AS99+AV99</f>
        <v>0</v>
      </c>
      <c r="AX99" s="419">
        <v>0</v>
      </c>
      <c r="AY99" s="419">
        <v>0</v>
      </c>
      <c r="AZ99" s="419">
        <v>0</v>
      </c>
      <c r="BA99" s="419">
        <v>0</v>
      </c>
      <c r="BB99" s="419">
        <v>0</v>
      </c>
      <c r="BC99" s="419">
        <v>0</v>
      </c>
      <c r="BD99" s="419">
        <v>0</v>
      </c>
      <c r="BE99" s="419">
        <v>0</v>
      </c>
      <c r="BF99" s="419">
        <f>AX99+AZ99+BA99+BC99+BD99</f>
        <v>0</v>
      </c>
      <c r="BG99" s="419">
        <f>AY99+BB99+BE99</f>
        <v>0</v>
      </c>
      <c r="BH99" s="894">
        <f>SUM(BF99:BG99)</f>
        <v>0</v>
      </c>
      <c r="BI99" s="424">
        <f>I99+AW99</f>
        <v>3515169</v>
      </c>
      <c r="BJ99" s="418">
        <f>J99+AF99</f>
        <v>2599967</v>
      </c>
      <c r="BK99" s="418">
        <f t="shared" ref="BK99:BL101" si="267">K99+AD99</f>
        <v>2378175</v>
      </c>
      <c r="BL99" s="418">
        <f t="shared" si="267"/>
        <v>221792</v>
      </c>
      <c r="BM99" s="418">
        <f>M99+AN99</f>
        <v>0</v>
      </c>
      <c r="BN99" s="418">
        <f t="shared" ref="BN99:BO101" si="268">N99+AL99</f>
        <v>0</v>
      </c>
      <c r="BO99" s="418">
        <f t="shared" si="268"/>
        <v>0</v>
      </c>
      <c r="BP99" s="418">
        <f t="shared" ref="BP99:BQ101" si="269">P99+AR99</f>
        <v>878789</v>
      </c>
      <c r="BQ99" s="418">
        <f t="shared" si="269"/>
        <v>26000</v>
      </c>
      <c r="BR99" s="418">
        <f>R99+AV99</f>
        <v>10413</v>
      </c>
      <c r="BS99" s="419">
        <f>S99+BH99</f>
        <v>4.8111999999999995</v>
      </c>
      <c r="BT99" s="419">
        <f t="shared" ref="BT99:BU101" si="270">T99+BF99</f>
        <v>4.0644999999999998</v>
      </c>
      <c r="BU99" s="421">
        <f t="shared" si="270"/>
        <v>0.74669999999999992</v>
      </c>
      <c r="BV99" s="511"/>
      <c r="BW99" s="415"/>
      <c r="BX99" s="415"/>
      <c r="BY99" s="415"/>
      <c r="BZ99" s="415"/>
      <c r="CA99" s="510"/>
    </row>
    <row r="100" spans="1:79" ht="12.95" customHeight="1" x14ac:dyDescent="0.25">
      <c r="A100" s="280">
        <v>17</v>
      </c>
      <c r="B100" s="321">
        <v>5420</v>
      </c>
      <c r="C100" s="322">
        <v>600098745</v>
      </c>
      <c r="D100" s="281">
        <v>75016249</v>
      </c>
      <c r="E100" s="323" t="s">
        <v>381</v>
      </c>
      <c r="F100" s="281">
        <v>3111</v>
      </c>
      <c r="G100" s="323" t="s">
        <v>298</v>
      </c>
      <c r="H100" s="284" t="s">
        <v>272</v>
      </c>
      <c r="I100" s="420">
        <v>374880</v>
      </c>
      <c r="J100" s="415">
        <v>278101</v>
      </c>
      <c r="K100" s="415">
        <v>278101</v>
      </c>
      <c r="L100" s="415">
        <v>0</v>
      </c>
      <c r="M100" s="415">
        <v>0</v>
      </c>
      <c r="N100" s="415">
        <v>0</v>
      </c>
      <c r="O100" s="415">
        <v>0</v>
      </c>
      <c r="P100" s="68">
        <v>93998</v>
      </c>
      <c r="Q100" s="68">
        <v>2781</v>
      </c>
      <c r="R100" s="415">
        <v>0</v>
      </c>
      <c r="S100" s="416">
        <v>0.75</v>
      </c>
      <c r="T100" s="417">
        <v>0.75</v>
      </c>
      <c r="U100" s="423">
        <v>0</v>
      </c>
      <c r="V100" s="424">
        <f t="shared" si="265"/>
        <v>0</v>
      </c>
      <c r="W100" s="418">
        <f t="shared" si="265"/>
        <v>0</v>
      </c>
      <c r="X100" s="418">
        <v>0</v>
      </c>
      <c r="Y100" s="418">
        <v>0</v>
      </c>
      <c r="Z100" s="418">
        <v>0</v>
      </c>
      <c r="AA100" s="418">
        <v>0</v>
      </c>
      <c r="AB100" s="418">
        <v>0</v>
      </c>
      <c r="AC100" s="418">
        <v>0</v>
      </c>
      <c r="AD100" s="418">
        <f>V100+X100+Y100+Z100+AB100</f>
        <v>0</v>
      </c>
      <c r="AE100" s="418">
        <f>W100+AA100+AC100</f>
        <v>0</v>
      </c>
      <c r="AF100" s="794">
        <f>SUM(AD100:AE100)</f>
        <v>0</v>
      </c>
      <c r="AG100" s="780">
        <v>0</v>
      </c>
      <c r="AH100" s="418">
        <v>0</v>
      </c>
      <c r="AI100" s="418">
        <v>0</v>
      </c>
      <c r="AJ100" s="418">
        <v>0</v>
      </c>
      <c r="AK100" s="418">
        <v>0</v>
      </c>
      <c r="AL100" s="418">
        <f>AG100+AI100+AJ100</f>
        <v>0</v>
      </c>
      <c r="AM100" s="418">
        <f>AH100+AK100</f>
        <v>0</v>
      </c>
      <c r="AN100" s="418">
        <f>SUM(AL100:AM100)</f>
        <v>0</v>
      </c>
      <c r="AO100" s="418">
        <f t="shared" si="266"/>
        <v>0</v>
      </c>
      <c r="AP100" s="418">
        <f t="shared" si="266"/>
        <v>0</v>
      </c>
      <c r="AQ100" s="418">
        <f>SUM(AO100:AP100)</f>
        <v>0</v>
      </c>
      <c r="AR100" s="68">
        <f>ROUND((AF100+AG100+AH100+AI100)*33.8%,0)</f>
        <v>0</v>
      </c>
      <c r="AS100" s="68">
        <f>ROUND(AF100*1%,0)</f>
        <v>0</v>
      </c>
      <c r="AT100" s="418">
        <v>0</v>
      </c>
      <c r="AU100" s="418">
        <v>0</v>
      </c>
      <c r="AV100" s="418">
        <f>AT100+AU100</f>
        <v>0</v>
      </c>
      <c r="AW100" s="418">
        <f>AQ100+AR100+AS100+AV100</f>
        <v>0</v>
      </c>
      <c r="AX100" s="419">
        <v>0</v>
      </c>
      <c r="AY100" s="419">
        <v>0</v>
      </c>
      <c r="AZ100" s="419">
        <v>0</v>
      </c>
      <c r="BA100" s="419">
        <v>0</v>
      </c>
      <c r="BB100" s="419">
        <v>0</v>
      </c>
      <c r="BC100" s="419">
        <v>0</v>
      </c>
      <c r="BD100" s="419">
        <v>0</v>
      </c>
      <c r="BE100" s="419">
        <v>0</v>
      </c>
      <c r="BF100" s="419">
        <f>AX100+AZ100+BA100+BC100+BD100</f>
        <v>0</v>
      </c>
      <c r="BG100" s="419">
        <f>AY100+BB100+BE100</f>
        <v>0</v>
      </c>
      <c r="BH100" s="894">
        <f>SUM(BF100:BG100)</f>
        <v>0</v>
      </c>
      <c r="BI100" s="424">
        <f>I100+AW100</f>
        <v>374880</v>
      </c>
      <c r="BJ100" s="418">
        <f>J100+AF100</f>
        <v>278101</v>
      </c>
      <c r="BK100" s="418">
        <f t="shared" si="267"/>
        <v>278101</v>
      </c>
      <c r="BL100" s="418">
        <f t="shared" si="267"/>
        <v>0</v>
      </c>
      <c r="BM100" s="418">
        <f>M100+AN100</f>
        <v>0</v>
      </c>
      <c r="BN100" s="418">
        <f t="shared" si="268"/>
        <v>0</v>
      </c>
      <c r="BO100" s="418">
        <f t="shared" si="268"/>
        <v>0</v>
      </c>
      <c r="BP100" s="418">
        <f t="shared" si="269"/>
        <v>93998</v>
      </c>
      <c r="BQ100" s="418">
        <f t="shared" si="269"/>
        <v>2781</v>
      </c>
      <c r="BR100" s="418">
        <f>R100+AV100</f>
        <v>0</v>
      </c>
      <c r="BS100" s="419">
        <f>S100+BH100</f>
        <v>0.75</v>
      </c>
      <c r="BT100" s="419">
        <f t="shared" si="270"/>
        <v>0.75</v>
      </c>
      <c r="BU100" s="421">
        <f t="shared" si="270"/>
        <v>0</v>
      </c>
      <c r="BV100" s="511"/>
      <c r="BW100" s="415"/>
      <c r="BX100" s="415"/>
      <c r="BY100" s="415"/>
      <c r="BZ100" s="415"/>
      <c r="CA100" s="510"/>
    </row>
    <row r="101" spans="1:79" ht="12.95" customHeight="1" x14ac:dyDescent="0.25">
      <c r="A101" s="280">
        <v>17</v>
      </c>
      <c r="B101" s="321">
        <v>5420</v>
      </c>
      <c r="C101" s="322">
        <v>600098745</v>
      </c>
      <c r="D101" s="281">
        <v>75016249</v>
      </c>
      <c r="E101" s="323" t="s">
        <v>381</v>
      </c>
      <c r="F101" s="281">
        <v>3141</v>
      </c>
      <c r="G101" s="323" t="s">
        <v>294</v>
      </c>
      <c r="H101" s="284" t="s">
        <v>272</v>
      </c>
      <c r="I101" s="420">
        <v>390973</v>
      </c>
      <c r="J101" s="415">
        <v>289027</v>
      </c>
      <c r="K101" s="415">
        <v>0</v>
      </c>
      <c r="L101" s="415">
        <v>289027</v>
      </c>
      <c r="M101" s="415">
        <v>0</v>
      </c>
      <c r="N101" s="415">
        <v>0</v>
      </c>
      <c r="O101" s="415">
        <v>0</v>
      </c>
      <c r="P101" s="68">
        <v>97691</v>
      </c>
      <c r="Q101" s="68">
        <v>2890</v>
      </c>
      <c r="R101" s="415">
        <v>1365</v>
      </c>
      <c r="S101" s="416">
        <v>0.86670000000000003</v>
      </c>
      <c r="T101" s="417">
        <v>0</v>
      </c>
      <c r="U101" s="423">
        <v>0.86670000000000003</v>
      </c>
      <c r="V101" s="424">
        <f t="shared" si="265"/>
        <v>0</v>
      </c>
      <c r="W101" s="418">
        <f t="shared" si="265"/>
        <v>0</v>
      </c>
      <c r="X101" s="418">
        <v>0</v>
      </c>
      <c r="Y101" s="418">
        <v>0</v>
      </c>
      <c r="Z101" s="418">
        <v>0</v>
      </c>
      <c r="AA101" s="418">
        <v>143865</v>
      </c>
      <c r="AB101" s="418">
        <v>0</v>
      </c>
      <c r="AC101" s="418">
        <v>0</v>
      </c>
      <c r="AD101" s="418">
        <f>V101+X101+Y101+Z101+AB101</f>
        <v>0</v>
      </c>
      <c r="AE101" s="418">
        <f>W101+AA101+AC101</f>
        <v>143865</v>
      </c>
      <c r="AF101" s="794">
        <f>SUM(AD101:AE101)</f>
        <v>143865</v>
      </c>
      <c r="AG101" s="780">
        <v>0</v>
      </c>
      <c r="AH101" s="418">
        <v>0</v>
      </c>
      <c r="AI101" s="418">
        <v>0</v>
      </c>
      <c r="AJ101" s="418">
        <v>0</v>
      </c>
      <c r="AK101" s="418">
        <v>0</v>
      </c>
      <c r="AL101" s="418">
        <f>AG101+AI101+AJ101</f>
        <v>0</v>
      </c>
      <c r="AM101" s="418">
        <f>AH101+AK101</f>
        <v>0</v>
      </c>
      <c r="AN101" s="418">
        <f>SUM(AL101:AM101)</f>
        <v>0</v>
      </c>
      <c r="AO101" s="418">
        <f t="shared" si="266"/>
        <v>0</v>
      </c>
      <c r="AP101" s="418">
        <f t="shared" si="266"/>
        <v>143865</v>
      </c>
      <c r="AQ101" s="418">
        <f>SUM(AO101:AP101)</f>
        <v>143865</v>
      </c>
      <c r="AR101" s="68">
        <f>ROUND((AF101+AG101+AH101+AI101)*33.8%,0)</f>
        <v>48626</v>
      </c>
      <c r="AS101" s="68">
        <f>ROUND(AF101*1%,0)</f>
        <v>1439</v>
      </c>
      <c r="AT101" s="418">
        <v>0</v>
      </c>
      <c r="AU101" s="418">
        <v>663</v>
      </c>
      <c r="AV101" s="418">
        <f>AT101+AU101</f>
        <v>663</v>
      </c>
      <c r="AW101" s="418">
        <f>AQ101+AR101+AS101+AV101</f>
        <v>194593</v>
      </c>
      <c r="AX101" s="419">
        <v>0</v>
      </c>
      <c r="AY101" s="419">
        <v>0</v>
      </c>
      <c r="AZ101" s="419">
        <v>0</v>
      </c>
      <c r="BA101" s="419">
        <v>0</v>
      </c>
      <c r="BB101" s="419">
        <v>0.43</v>
      </c>
      <c r="BC101" s="419">
        <v>0</v>
      </c>
      <c r="BD101" s="419">
        <v>0</v>
      </c>
      <c r="BE101" s="419">
        <v>0</v>
      </c>
      <c r="BF101" s="419">
        <f>AX101+AZ101+BA101+BC101+BD101</f>
        <v>0</v>
      </c>
      <c r="BG101" s="419">
        <f>AY101+BB101+BE101</f>
        <v>0.43</v>
      </c>
      <c r="BH101" s="894">
        <f>SUM(BF101:BG101)</f>
        <v>0.43</v>
      </c>
      <c r="BI101" s="424">
        <f>I101+AW101</f>
        <v>585566</v>
      </c>
      <c r="BJ101" s="418">
        <f>J101+AF101</f>
        <v>432892</v>
      </c>
      <c r="BK101" s="418">
        <f t="shared" si="267"/>
        <v>0</v>
      </c>
      <c r="BL101" s="418">
        <f t="shared" si="267"/>
        <v>432892</v>
      </c>
      <c r="BM101" s="418">
        <f>M101+AN101</f>
        <v>0</v>
      </c>
      <c r="BN101" s="418">
        <f t="shared" si="268"/>
        <v>0</v>
      </c>
      <c r="BO101" s="418">
        <f t="shared" si="268"/>
        <v>0</v>
      </c>
      <c r="BP101" s="418">
        <f t="shared" si="269"/>
        <v>146317</v>
      </c>
      <c r="BQ101" s="418">
        <f t="shared" si="269"/>
        <v>4329</v>
      </c>
      <c r="BR101" s="418">
        <f>R101+AV101</f>
        <v>2028</v>
      </c>
      <c r="BS101" s="419">
        <f>S101+BH101</f>
        <v>1.2967</v>
      </c>
      <c r="BT101" s="419">
        <f t="shared" si="270"/>
        <v>0</v>
      </c>
      <c r="BU101" s="421">
        <f t="shared" si="270"/>
        <v>1.2967</v>
      </c>
      <c r="BV101" s="511"/>
      <c r="BW101" s="415"/>
      <c r="BX101" s="415"/>
      <c r="BY101" s="415"/>
      <c r="BZ101" s="415"/>
      <c r="CA101" s="510"/>
    </row>
    <row r="102" spans="1:79" ht="12.95" customHeight="1" x14ac:dyDescent="0.25">
      <c r="A102" s="324">
        <v>17</v>
      </c>
      <c r="B102" s="325">
        <v>5420</v>
      </c>
      <c r="C102" s="326">
        <v>600098745</v>
      </c>
      <c r="D102" s="325">
        <v>75016249</v>
      </c>
      <c r="E102" s="327" t="s">
        <v>382</v>
      </c>
      <c r="F102" s="291"/>
      <c r="G102" s="329"/>
      <c r="H102" s="292"/>
      <c r="I102" s="472">
        <v>4281022</v>
      </c>
      <c r="J102" s="468">
        <v>3167095</v>
      </c>
      <c r="K102" s="468">
        <v>2656276</v>
      </c>
      <c r="L102" s="468">
        <v>510819</v>
      </c>
      <c r="M102" s="468">
        <v>0</v>
      </c>
      <c r="N102" s="468">
        <v>0</v>
      </c>
      <c r="O102" s="468">
        <v>0</v>
      </c>
      <c r="P102" s="468">
        <v>1070478</v>
      </c>
      <c r="Q102" s="468">
        <v>31671</v>
      </c>
      <c r="R102" s="468">
        <v>11778</v>
      </c>
      <c r="S102" s="469">
        <v>6.4278999999999993</v>
      </c>
      <c r="T102" s="469">
        <v>4.8144999999999998</v>
      </c>
      <c r="U102" s="532">
        <v>1.6133999999999999</v>
      </c>
      <c r="V102" s="472">
        <f t="shared" ref="V102:CA102" si="271">SUM(V99:V101)</f>
        <v>0</v>
      </c>
      <c r="W102" s="468">
        <f t="shared" si="271"/>
        <v>0</v>
      </c>
      <c r="X102" s="468">
        <f t="shared" si="271"/>
        <v>0</v>
      </c>
      <c r="Y102" s="468">
        <f t="shared" si="271"/>
        <v>0</v>
      </c>
      <c r="Z102" s="468">
        <f t="shared" si="271"/>
        <v>0</v>
      </c>
      <c r="AA102" s="468">
        <f t="shared" si="271"/>
        <v>143865</v>
      </c>
      <c r="AB102" s="468">
        <f t="shared" si="271"/>
        <v>0</v>
      </c>
      <c r="AC102" s="468">
        <f t="shared" si="271"/>
        <v>0</v>
      </c>
      <c r="AD102" s="468">
        <f t="shared" si="271"/>
        <v>0</v>
      </c>
      <c r="AE102" s="468">
        <f t="shared" si="271"/>
        <v>143865</v>
      </c>
      <c r="AF102" s="795">
        <f t="shared" si="271"/>
        <v>143865</v>
      </c>
      <c r="AG102" s="785">
        <f t="shared" si="271"/>
        <v>0</v>
      </c>
      <c r="AH102" s="468">
        <f t="shared" si="271"/>
        <v>0</v>
      </c>
      <c r="AI102" s="468">
        <f t="shared" si="271"/>
        <v>0</v>
      </c>
      <c r="AJ102" s="468">
        <f t="shared" si="271"/>
        <v>0</v>
      </c>
      <c r="AK102" s="468">
        <f t="shared" si="271"/>
        <v>0</v>
      </c>
      <c r="AL102" s="468">
        <f t="shared" si="271"/>
        <v>0</v>
      </c>
      <c r="AM102" s="468">
        <f t="shared" si="271"/>
        <v>0</v>
      </c>
      <c r="AN102" s="468">
        <f t="shared" si="271"/>
        <v>0</v>
      </c>
      <c r="AO102" s="468">
        <f t="shared" si="271"/>
        <v>0</v>
      </c>
      <c r="AP102" s="468">
        <f t="shared" si="271"/>
        <v>143865</v>
      </c>
      <c r="AQ102" s="468">
        <f t="shared" si="271"/>
        <v>143865</v>
      </c>
      <c r="AR102" s="468">
        <f t="shared" si="271"/>
        <v>48626</v>
      </c>
      <c r="AS102" s="468">
        <f t="shared" si="271"/>
        <v>1439</v>
      </c>
      <c r="AT102" s="468">
        <f t="shared" si="271"/>
        <v>0</v>
      </c>
      <c r="AU102" s="468">
        <f t="shared" si="271"/>
        <v>663</v>
      </c>
      <c r="AV102" s="468">
        <f t="shared" si="271"/>
        <v>663</v>
      </c>
      <c r="AW102" s="468">
        <f t="shared" si="271"/>
        <v>194593</v>
      </c>
      <c r="AX102" s="469">
        <f t="shared" si="271"/>
        <v>0</v>
      </c>
      <c r="AY102" s="469">
        <f t="shared" si="271"/>
        <v>0</v>
      </c>
      <c r="AZ102" s="469">
        <f t="shared" si="271"/>
        <v>0</v>
      </c>
      <c r="BA102" s="469">
        <f t="shared" si="271"/>
        <v>0</v>
      </c>
      <c r="BB102" s="469">
        <f t="shared" ref="BB102" si="272">SUM(BB99:BB101)</f>
        <v>0.43</v>
      </c>
      <c r="BC102" s="469">
        <f t="shared" si="271"/>
        <v>0</v>
      </c>
      <c r="BD102" s="469">
        <f t="shared" si="271"/>
        <v>0</v>
      </c>
      <c r="BE102" s="469">
        <f t="shared" ref="BE102" si="273">SUM(BE99:BE101)</f>
        <v>0</v>
      </c>
      <c r="BF102" s="469">
        <f t="shared" si="271"/>
        <v>0</v>
      </c>
      <c r="BG102" s="469">
        <f t="shared" si="271"/>
        <v>0.43</v>
      </c>
      <c r="BH102" s="532">
        <f t="shared" si="271"/>
        <v>0.43</v>
      </c>
      <c r="BI102" s="472">
        <f t="shared" si="271"/>
        <v>4475615</v>
      </c>
      <c r="BJ102" s="468">
        <f t="shared" si="271"/>
        <v>3310960</v>
      </c>
      <c r="BK102" s="468">
        <f t="shared" si="271"/>
        <v>2656276</v>
      </c>
      <c r="BL102" s="468">
        <f t="shared" si="271"/>
        <v>654684</v>
      </c>
      <c r="BM102" s="468">
        <f t="shared" si="271"/>
        <v>0</v>
      </c>
      <c r="BN102" s="468">
        <f t="shared" si="271"/>
        <v>0</v>
      </c>
      <c r="BO102" s="468">
        <f t="shared" si="271"/>
        <v>0</v>
      </c>
      <c r="BP102" s="468">
        <f t="shared" si="271"/>
        <v>1119104</v>
      </c>
      <c r="BQ102" s="468">
        <f t="shared" si="271"/>
        <v>33110</v>
      </c>
      <c r="BR102" s="468">
        <f t="shared" si="271"/>
        <v>12441</v>
      </c>
      <c r="BS102" s="469">
        <f t="shared" si="271"/>
        <v>6.857899999999999</v>
      </c>
      <c r="BT102" s="469">
        <f t="shared" si="271"/>
        <v>4.8144999999999998</v>
      </c>
      <c r="BU102" s="328">
        <f t="shared" si="271"/>
        <v>2.0434000000000001</v>
      </c>
      <c r="BV102" s="886">
        <f t="shared" si="271"/>
        <v>0</v>
      </c>
      <c r="BW102" s="727">
        <f t="shared" si="271"/>
        <v>0</v>
      </c>
      <c r="BX102" s="727">
        <f t="shared" si="271"/>
        <v>0</v>
      </c>
      <c r="BY102" s="727">
        <f t="shared" si="271"/>
        <v>0</v>
      </c>
      <c r="BZ102" s="727">
        <f t="shared" si="271"/>
        <v>0</v>
      </c>
      <c r="CA102" s="859">
        <f t="shared" si="271"/>
        <v>0</v>
      </c>
    </row>
    <row r="103" spans="1:79" ht="12.95" customHeight="1" x14ac:dyDescent="0.25">
      <c r="A103" s="280">
        <v>18</v>
      </c>
      <c r="B103" s="321">
        <v>5419</v>
      </c>
      <c r="C103" s="322">
        <v>600099261</v>
      </c>
      <c r="D103" s="281">
        <v>70946752</v>
      </c>
      <c r="E103" s="323" t="s">
        <v>383</v>
      </c>
      <c r="F103" s="281">
        <v>3113</v>
      </c>
      <c r="G103" s="323" t="s">
        <v>308</v>
      </c>
      <c r="H103" s="284" t="s">
        <v>271</v>
      </c>
      <c r="I103" s="420">
        <v>13369548</v>
      </c>
      <c r="J103" s="415">
        <v>9770654</v>
      </c>
      <c r="K103" s="415">
        <v>8969682</v>
      </c>
      <c r="L103" s="415">
        <v>800972</v>
      </c>
      <c r="M103" s="415">
        <v>40000</v>
      </c>
      <c r="N103" s="415">
        <v>25000</v>
      </c>
      <c r="O103" s="415">
        <v>15000</v>
      </c>
      <c r="P103" s="68">
        <v>3316001</v>
      </c>
      <c r="Q103" s="68">
        <v>97706</v>
      </c>
      <c r="R103" s="415">
        <v>145187</v>
      </c>
      <c r="S103" s="416">
        <v>16.552</v>
      </c>
      <c r="T103" s="417">
        <v>14.345000000000001</v>
      </c>
      <c r="U103" s="423">
        <v>2.2070000000000007</v>
      </c>
      <c r="V103" s="424">
        <f t="shared" ref="V103:W107" si="274">AG103*-1</f>
        <v>0</v>
      </c>
      <c r="W103" s="418">
        <f t="shared" si="274"/>
        <v>0</v>
      </c>
      <c r="X103" s="418">
        <v>0</v>
      </c>
      <c r="Y103" s="418">
        <v>0</v>
      </c>
      <c r="Z103" s="418">
        <v>0</v>
      </c>
      <c r="AA103" s="418">
        <v>0</v>
      </c>
      <c r="AB103" s="418">
        <v>0</v>
      </c>
      <c r="AC103" s="418">
        <v>0</v>
      </c>
      <c r="AD103" s="418">
        <f>V103+X103+Y103+Z103+AB103</f>
        <v>0</v>
      </c>
      <c r="AE103" s="418">
        <f>W103+AA103+AC103</f>
        <v>0</v>
      </c>
      <c r="AF103" s="794">
        <f>SUM(AD103:AE103)</f>
        <v>0</v>
      </c>
      <c r="AG103" s="780">
        <v>0</v>
      </c>
      <c r="AH103" s="418">
        <v>0</v>
      </c>
      <c r="AI103" s="418">
        <v>0</v>
      </c>
      <c r="AJ103" s="418">
        <v>0</v>
      </c>
      <c r="AK103" s="418">
        <v>0</v>
      </c>
      <c r="AL103" s="418">
        <f>AG103+AI103+AJ103</f>
        <v>0</v>
      </c>
      <c r="AM103" s="418">
        <f>AH103+AK103</f>
        <v>0</v>
      </c>
      <c r="AN103" s="418">
        <f>SUM(AL103:AM103)</f>
        <v>0</v>
      </c>
      <c r="AO103" s="418">
        <f t="shared" ref="AO103:AP107" si="275">AD103+AL103</f>
        <v>0</v>
      </c>
      <c r="AP103" s="418">
        <f t="shared" si="275"/>
        <v>0</v>
      </c>
      <c r="AQ103" s="418">
        <f>SUM(AO103:AP103)</f>
        <v>0</v>
      </c>
      <c r="AR103" s="68">
        <f>ROUND((AF103+AG103+AH103+AI103)*33.8%,0)</f>
        <v>0</v>
      </c>
      <c r="AS103" s="68">
        <f>ROUND(AF103*1%,0)</f>
        <v>0</v>
      </c>
      <c r="AT103" s="418">
        <v>0</v>
      </c>
      <c r="AU103" s="418">
        <v>0</v>
      </c>
      <c r="AV103" s="418">
        <f>AT103+AU103</f>
        <v>0</v>
      </c>
      <c r="AW103" s="418">
        <f>AQ103+AR103+AS103+AV103</f>
        <v>0</v>
      </c>
      <c r="AX103" s="419">
        <v>0</v>
      </c>
      <c r="AY103" s="419">
        <v>0</v>
      </c>
      <c r="AZ103" s="419">
        <v>0</v>
      </c>
      <c r="BA103" s="419">
        <v>0</v>
      </c>
      <c r="BB103" s="419">
        <v>0</v>
      </c>
      <c r="BC103" s="419">
        <v>0</v>
      </c>
      <c r="BD103" s="419">
        <v>0</v>
      </c>
      <c r="BE103" s="419">
        <v>0</v>
      </c>
      <c r="BF103" s="419">
        <f>AX103+AZ103+BA103+BC103+BD103</f>
        <v>0</v>
      </c>
      <c r="BG103" s="419">
        <f>AY103+BB103+BE103</f>
        <v>0</v>
      </c>
      <c r="BH103" s="894">
        <f>SUM(BF103:BG103)</f>
        <v>0</v>
      </c>
      <c r="BI103" s="424">
        <f>I103+AW103</f>
        <v>13369548</v>
      </c>
      <c r="BJ103" s="418">
        <f>J103+AF103</f>
        <v>9770654</v>
      </c>
      <c r="BK103" s="418">
        <f t="shared" ref="BK103:BL107" si="276">K103+AD103</f>
        <v>8969682</v>
      </c>
      <c r="BL103" s="418">
        <f t="shared" si="276"/>
        <v>800972</v>
      </c>
      <c r="BM103" s="418">
        <f>M103+AN103</f>
        <v>40000</v>
      </c>
      <c r="BN103" s="418">
        <f t="shared" ref="BN103:BO107" si="277">N103+AL103</f>
        <v>25000</v>
      </c>
      <c r="BO103" s="418">
        <f t="shared" si="277"/>
        <v>15000</v>
      </c>
      <c r="BP103" s="418">
        <f t="shared" ref="BP103:BQ107" si="278">P103+AR103</f>
        <v>3316001</v>
      </c>
      <c r="BQ103" s="418">
        <f t="shared" si="278"/>
        <v>97706</v>
      </c>
      <c r="BR103" s="418">
        <f>R103+AV103</f>
        <v>145187</v>
      </c>
      <c r="BS103" s="419">
        <f>S103+BH103</f>
        <v>16.552</v>
      </c>
      <c r="BT103" s="419">
        <f t="shared" ref="BT103:BU107" si="279">T103+BF103</f>
        <v>14.345000000000001</v>
      </c>
      <c r="BU103" s="421">
        <f t="shared" si="279"/>
        <v>2.2070000000000007</v>
      </c>
      <c r="BV103" s="511">
        <v>304109</v>
      </c>
      <c r="BW103" s="415">
        <v>225600</v>
      </c>
      <c r="BX103" s="415">
        <v>0</v>
      </c>
      <c r="BY103" s="415">
        <v>76253</v>
      </c>
      <c r="BZ103" s="415">
        <v>2256</v>
      </c>
      <c r="CA103" s="510">
        <v>0.4</v>
      </c>
    </row>
    <row r="104" spans="1:79" ht="12.95" customHeight="1" x14ac:dyDescent="0.25">
      <c r="A104" s="280">
        <v>18</v>
      </c>
      <c r="B104" s="321">
        <v>5419</v>
      </c>
      <c r="C104" s="322">
        <v>600099261</v>
      </c>
      <c r="D104" s="281">
        <v>70946752</v>
      </c>
      <c r="E104" s="323" t="s">
        <v>383</v>
      </c>
      <c r="F104" s="281">
        <v>3113</v>
      </c>
      <c r="G104" s="323" t="s">
        <v>298</v>
      </c>
      <c r="H104" s="284" t="s">
        <v>272</v>
      </c>
      <c r="I104" s="420">
        <v>1069808</v>
      </c>
      <c r="J104" s="415">
        <v>793107</v>
      </c>
      <c r="K104" s="415">
        <v>793107</v>
      </c>
      <c r="L104" s="415">
        <v>0</v>
      </c>
      <c r="M104" s="415">
        <v>0</v>
      </c>
      <c r="N104" s="415">
        <v>0</v>
      </c>
      <c r="O104" s="415">
        <v>0</v>
      </c>
      <c r="P104" s="68">
        <v>268070</v>
      </c>
      <c r="Q104" s="68">
        <v>7931</v>
      </c>
      <c r="R104" s="415">
        <v>700</v>
      </c>
      <c r="S104" s="416">
        <v>2.14</v>
      </c>
      <c r="T104" s="417">
        <v>2.14</v>
      </c>
      <c r="U104" s="423">
        <v>0</v>
      </c>
      <c r="V104" s="424">
        <f t="shared" si="274"/>
        <v>0</v>
      </c>
      <c r="W104" s="418">
        <f t="shared" si="274"/>
        <v>0</v>
      </c>
      <c r="X104" s="418">
        <v>0</v>
      </c>
      <c r="Y104" s="418">
        <v>0</v>
      </c>
      <c r="Z104" s="418">
        <v>0</v>
      </c>
      <c r="AA104" s="418">
        <v>0</v>
      </c>
      <c r="AB104" s="418">
        <v>0</v>
      </c>
      <c r="AC104" s="418">
        <v>0</v>
      </c>
      <c r="AD104" s="418">
        <f>V104+X104+Y104+Z104+AB104</f>
        <v>0</v>
      </c>
      <c r="AE104" s="418">
        <f>W104+AA104+AC104</f>
        <v>0</v>
      </c>
      <c r="AF104" s="794">
        <f>SUM(AD104:AE104)</f>
        <v>0</v>
      </c>
      <c r="AG104" s="780">
        <v>0</v>
      </c>
      <c r="AH104" s="418">
        <v>0</v>
      </c>
      <c r="AI104" s="418">
        <v>0</v>
      </c>
      <c r="AJ104" s="418">
        <v>0</v>
      </c>
      <c r="AK104" s="418">
        <v>0</v>
      </c>
      <c r="AL104" s="418">
        <f>AG104+AI104+AJ104</f>
        <v>0</v>
      </c>
      <c r="AM104" s="418">
        <f>AH104+AK104</f>
        <v>0</v>
      </c>
      <c r="AN104" s="418">
        <f>SUM(AL104:AM104)</f>
        <v>0</v>
      </c>
      <c r="AO104" s="418">
        <f t="shared" si="275"/>
        <v>0</v>
      </c>
      <c r="AP104" s="418">
        <f t="shared" si="275"/>
        <v>0</v>
      </c>
      <c r="AQ104" s="418">
        <f>SUM(AO104:AP104)</f>
        <v>0</v>
      </c>
      <c r="AR104" s="68">
        <f>ROUND((AF104+AG104+AH104+AI104)*33.8%,0)</f>
        <v>0</v>
      </c>
      <c r="AS104" s="68">
        <f>ROUND(AF104*1%,0)</f>
        <v>0</v>
      </c>
      <c r="AT104" s="418">
        <v>0</v>
      </c>
      <c r="AU104" s="418">
        <v>0</v>
      </c>
      <c r="AV104" s="418">
        <f>AT104+AU104</f>
        <v>0</v>
      </c>
      <c r="AW104" s="418">
        <f>AQ104+AR104+AS104+AV104</f>
        <v>0</v>
      </c>
      <c r="AX104" s="419">
        <v>0</v>
      </c>
      <c r="AY104" s="419">
        <v>0</v>
      </c>
      <c r="AZ104" s="419">
        <v>0</v>
      </c>
      <c r="BA104" s="419">
        <v>0</v>
      </c>
      <c r="BB104" s="419">
        <v>0</v>
      </c>
      <c r="BC104" s="419">
        <v>0</v>
      </c>
      <c r="BD104" s="419">
        <v>0</v>
      </c>
      <c r="BE104" s="419">
        <v>0</v>
      </c>
      <c r="BF104" s="419">
        <f>AX104+AZ104+BA104+BC104+BD104</f>
        <v>0</v>
      </c>
      <c r="BG104" s="419">
        <f>AY104+BB104+BE104</f>
        <v>0</v>
      </c>
      <c r="BH104" s="894">
        <f>SUM(BF104:BG104)</f>
        <v>0</v>
      </c>
      <c r="BI104" s="424">
        <f>I104+AW104</f>
        <v>1069808</v>
      </c>
      <c r="BJ104" s="418">
        <f>J104+AF104</f>
        <v>793107</v>
      </c>
      <c r="BK104" s="418">
        <f t="shared" si="276"/>
        <v>793107</v>
      </c>
      <c r="BL104" s="418">
        <f t="shared" si="276"/>
        <v>0</v>
      </c>
      <c r="BM104" s="418">
        <f>M104+AN104</f>
        <v>0</v>
      </c>
      <c r="BN104" s="418">
        <f t="shared" si="277"/>
        <v>0</v>
      </c>
      <c r="BO104" s="418">
        <f t="shared" si="277"/>
        <v>0</v>
      </c>
      <c r="BP104" s="418">
        <f t="shared" si="278"/>
        <v>268070</v>
      </c>
      <c r="BQ104" s="418">
        <f t="shared" si="278"/>
        <v>7931</v>
      </c>
      <c r="BR104" s="418">
        <f>R104+AV104</f>
        <v>700</v>
      </c>
      <c r="BS104" s="419">
        <f>S104+BH104</f>
        <v>2.14</v>
      </c>
      <c r="BT104" s="419">
        <f t="shared" si="279"/>
        <v>2.14</v>
      </c>
      <c r="BU104" s="421">
        <f t="shared" si="279"/>
        <v>0</v>
      </c>
      <c r="BV104" s="511"/>
      <c r="BW104" s="415"/>
      <c r="BX104" s="415"/>
      <c r="BY104" s="415"/>
      <c r="BZ104" s="415"/>
      <c r="CA104" s="510"/>
    </row>
    <row r="105" spans="1:79" ht="12.95" customHeight="1" x14ac:dyDescent="0.25">
      <c r="A105" s="280">
        <v>18</v>
      </c>
      <c r="B105" s="321">
        <v>5419</v>
      </c>
      <c r="C105" s="322">
        <v>600099261</v>
      </c>
      <c r="D105" s="281">
        <v>70946752</v>
      </c>
      <c r="E105" s="323" t="s">
        <v>383</v>
      </c>
      <c r="F105" s="281">
        <v>3141</v>
      </c>
      <c r="G105" s="323" t="s">
        <v>294</v>
      </c>
      <c r="H105" s="284" t="s">
        <v>272</v>
      </c>
      <c r="I105" s="420">
        <v>835524</v>
      </c>
      <c r="J105" s="415">
        <v>610838</v>
      </c>
      <c r="K105" s="415">
        <v>0</v>
      </c>
      <c r="L105" s="415">
        <v>610838</v>
      </c>
      <c r="M105" s="415">
        <v>5000</v>
      </c>
      <c r="N105" s="415">
        <v>0</v>
      </c>
      <c r="O105" s="415">
        <v>5000</v>
      </c>
      <c r="P105" s="68">
        <v>208153</v>
      </c>
      <c r="Q105" s="68">
        <v>6108</v>
      </c>
      <c r="R105" s="415">
        <v>5425</v>
      </c>
      <c r="S105" s="416">
        <v>1.8467</v>
      </c>
      <c r="T105" s="417">
        <v>0</v>
      </c>
      <c r="U105" s="423">
        <v>1.8467</v>
      </c>
      <c r="V105" s="424">
        <f t="shared" si="274"/>
        <v>0</v>
      </c>
      <c r="W105" s="418">
        <f t="shared" si="274"/>
        <v>0</v>
      </c>
      <c r="X105" s="418">
        <v>0</v>
      </c>
      <c r="Y105" s="418">
        <v>0</v>
      </c>
      <c r="Z105" s="418">
        <v>0</v>
      </c>
      <c r="AA105" s="418">
        <v>308220</v>
      </c>
      <c r="AB105" s="418">
        <v>0</v>
      </c>
      <c r="AC105" s="418">
        <v>0</v>
      </c>
      <c r="AD105" s="418">
        <f>V105+X105+Y105+Z105+AB105</f>
        <v>0</v>
      </c>
      <c r="AE105" s="418">
        <f>W105+AA105+AC105</f>
        <v>308220</v>
      </c>
      <c r="AF105" s="794">
        <f>SUM(AD105:AE105)</f>
        <v>308220</v>
      </c>
      <c r="AG105" s="780">
        <v>0</v>
      </c>
      <c r="AH105" s="418">
        <v>0</v>
      </c>
      <c r="AI105" s="418">
        <v>0</v>
      </c>
      <c r="AJ105" s="418">
        <v>0</v>
      </c>
      <c r="AK105" s="418">
        <v>0</v>
      </c>
      <c r="AL105" s="418">
        <f>AG105+AI105+AJ105</f>
        <v>0</v>
      </c>
      <c r="AM105" s="418">
        <f>AH105+AK105</f>
        <v>0</v>
      </c>
      <c r="AN105" s="418">
        <f>SUM(AL105:AM105)</f>
        <v>0</v>
      </c>
      <c r="AO105" s="418">
        <f t="shared" si="275"/>
        <v>0</v>
      </c>
      <c r="AP105" s="418">
        <f t="shared" si="275"/>
        <v>308220</v>
      </c>
      <c r="AQ105" s="418">
        <f>SUM(AO105:AP105)</f>
        <v>308220</v>
      </c>
      <c r="AR105" s="68">
        <f>ROUND((AF105+AG105+AH105+AI105)*33.8%,0)</f>
        <v>104178</v>
      </c>
      <c r="AS105" s="68">
        <f>ROUND(AF105*1%,0)</f>
        <v>3082</v>
      </c>
      <c r="AT105" s="418">
        <v>0</v>
      </c>
      <c r="AU105" s="418">
        <v>2635</v>
      </c>
      <c r="AV105" s="418">
        <f>AT105+AU105</f>
        <v>2635</v>
      </c>
      <c r="AW105" s="418">
        <f>AQ105+AR105+AS105+AV105</f>
        <v>418115</v>
      </c>
      <c r="AX105" s="419">
        <v>0</v>
      </c>
      <c r="AY105" s="419">
        <v>0</v>
      </c>
      <c r="AZ105" s="419">
        <v>0</v>
      </c>
      <c r="BA105" s="419">
        <v>0</v>
      </c>
      <c r="BB105" s="419">
        <v>0.92</v>
      </c>
      <c r="BC105" s="419">
        <v>0</v>
      </c>
      <c r="BD105" s="419">
        <v>0</v>
      </c>
      <c r="BE105" s="419">
        <v>0</v>
      </c>
      <c r="BF105" s="419">
        <f>AX105+AZ105+BA105+BC105+BD105</f>
        <v>0</v>
      </c>
      <c r="BG105" s="419">
        <f>AY105+BB105+BE105</f>
        <v>0.92</v>
      </c>
      <c r="BH105" s="894">
        <f>SUM(BF105:BG105)</f>
        <v>0.92</v>
      </c>
      <c r="BI105" s="424">
        <f>I105+AW105</f>
        <v>1253639</v>
      </c>
      <c r="BJ105" s="418">
        <f>J105+AF105</f>
        <v>919058</v>
      </c>
      <c r="BK105" s="418">
        <f t="shared" si="276"/>
        <v>0</v>
      </c>
      <c r="BL105" s="418">
        <f t="shared" si="276"/>
        <v>919058</v>
      </c>
      <c r="BM105" s="418">
        <f>M105+AN105</f>
        <v>5000</v>
      </c>
      <c r="BN105" s="418">
        <f t="shared" si="277"/>
        <v>0</v>
      </c>
      <c r="BO105" s="418">
        <f t="shared" si="277"/>
        <v>5000</v>
      </c>
      <c r="BP105" s="418">
        <f t="shared" si="278"/>
        <v>312331</v>
      </c>
      <c r="BQ105" s="418">
        <f t="shared" si="278"/>
        <v>9190</v>
      </c>
      <c r="BR105" s="418">
        <f>R105+AV105</f>
        <v>8060</v>
      </c>
      <c r="BS105" s="419">
        <f>S105+BH105</f>
        <v>2.7667000000000002</v>
      </c>
      <c r="BT105" s="419">
        <f t="shared" si="279"/>
        <v>0</v>
      </c>
      <c r="BU105" s="421">
        <f t="shared" si="279"/>
        <v>2.7667000000000002</v>
      </c>
      <c r="BV105" s="511"/>
      <c r="BW105" s="415"/>
      <c r="BX105" s="415"/>
      <c r="BY105" s="415"/>
      <c r="BZ105" s="415"/>
      <c r="CA105" s="510"/>
    </row>
    <row r="106" spans="1:79" ht="12.95" customHeight="1" x14ac:dyDescent="0.25">
      <c r="A106" s="280">
        <v>18</v>
      </c>
      <c r="B106" s="321">
        <v>5419</v>
      </c>
      <c r="C106" s="322">
        <v>600099261</v>
      </c>
      <c r="D106" s="281">
        <v>70946752</v>
      </c>
      <c r="E106" s="323" t="s">
        <v>383</v>
      </c>
      <c r="F106" s="281">
        <v>3143</v>
      </c>
      <c r="G106" s="323" t="s">
        <v>595</v>
      </c>
      <c r="H106" s="284" t="s">
        <v>271</v>
      </c>
      <c r="I106" s="420">
        <v>638488</v>
      </c>
      <c r="J106" s="415">
        <v>468693</v>
      </c>
      <c r="K106" s="415">
        <v>468693</v>
      </c>
      <c r="L106" s="415">
        <v>0</v>
      </c>
      <c r="M106" s="415">
        <v>5000</v>
      </c>
      <c r="N106" s="415">
        <v>5000</v>
      </c>
      <c r="O106" s="415">
        <v>0</v>
      </c>
      <c r="P106" s="68">
        <v>160108</v>
      </c>
      <c r="Q106" s="68">
        <v>4687</v>
      </c>
      <c r="R106" s="415">
        <v>0</v>
      </c>
      <c r="S106" s="416">
        <v>0.91669999999999996</v>
      </c>
      <c r="T106" s="417">
        <v>0.91669999999999996</v>
      </c>
      <c r="U106" s="423">
        <v>0</v>
      </c>
      <c r="V106" s="424">
        <f t="shared" si="274"/>
        <v>0</v>
      </c>
      <c r="W106" s="418">
        <f t="shared" si="274"/>
        <v>0</v>
      </c>
      <c r="X106" s="418">
        <v>0</v>
      </c>
      <c r="Y106" s="418">
        <v>0</v>
      </c>
      <c r="Z106" s="418">
        <v>0</v>
      </c>
      <c r="AA106" s="418">
        <v>0</v>
      </c>
      <c r="AB106" s="418">
        <v>0</v>
      </c>
      <c r="AC106" s="418">
        <v>0</v>
      </c>
      <c r="AD106" s="418">
        <f>V106+X106+Y106+Z106+AB106</f>
        <v>0</v>
      </c>
      <c r="AE106" s="418">
        <f>W106+AA106+AC106</f>
        <v>0</v>
      </c>
      <c r="AF106" s="794">
        <f>SUM(AD106:AE106)</f>
        <v>0</v>
      </c>
      <c r="AG106" s="780">
        <v>0</v>
      </c>
      <c r="AH106" s="418">
        <v>0</v>
      </c>
      <c r="AI106" s="418">
        <v>0</v>
      </c>
      <c r="AJ106" s="418">
        <v>0</v>
      </c>
      <c r="AK106" s="418">
        <v>0</v>
      </c>
      <c r="AL106" s="418">
        <f>AG106+AI106+AJ106</f>
        <v>0</v>
      </c>
      <c r="AM106" s="418">
        <f>AH106+AK106</f>
        <v>0</v>
      </c>
      <c r="AN106" s="418">
        <f>SUM(AL106:AM106)</f>
        <v>0</v>
      </c>
      <c r="AO106" s="418">
        <f t="shared" si="275"/>
        <v>0</v>
      </c>
      <c r="AP106" s="418">
        <f t="shared" si="275"/>
        <v>0</v>
      </c>
      <c r="AQ106" s="418">
        <f>SUM(AO106:AP106)</f>
        <v>0</v>
      </c>
      <c r="AR106" s="68">
        <f>ROUND((AF106+AG106+AH106+AI106)*33.8%,0)</f>
        <v>0</v>
      </c>
      <c r="AS106" s="68">
        <f>ROUND(AF106*1%,0)</f>
        <v>0</v>
      </c>
      <c r="AT106" s="418">
        <v>0</v>
      </c>
      <c r="AU106" s="418">
        <v>0</v>
      </c>
      <c r="AV106" s="418">
        <f>AT106+AU106</f>
        <v>0</v>
      </c>
      <c r="AW106" s="418">
        <f>AQ106+AR106+AS106+AV106</f>
        <v>0</v>
      </c>
      <c r="AX106" s="419">
        <v>0</v>
      </c>
      <c r="AY106" s="419">
        <v>0</v>
      </c>
      <c r="AZ106" s="419">
        <v>0</v>
      </c>
      <c r="BA106" s="419">
        <v>0</v>
      </c>
      <c r="BB106" s="419">
        <v>0</v>
      </c>
      <c r="BC106" s="419">
        <v>0</v>
      </c>
      <c r="BD106" s="419">
        <v>0</v>
      </c>
      <c r="BE106" s="419">
        <v>0</v>
      </c>
      <c r="BF106" s="419">
        <f>AX106+AZ106+BA106+BC106+BD106</f>
        <v>0</v>
      </c>
      <c r="BG106" s="419">
        <f>AY106+BB106+BE106</f>
        <v>0</v>
      </c>
      <c r="BH106" s="894">
        <f>SUM(BF106:BG106)</f>
        <v>0</v>
      </c>
      <c r="BI106" s="424">
        <f>I106+AW106</f>
        <v>638488</v>
      </c>
      <c r="BJ106" s="418">
        <f>J106+AF106</f>
        <v>468693</v>
      </c>
      <c r="BK106" s="418">
        <f t="shared" si="276"/>
        <v>468693</v>
      </c>
      <c r="BL106" s="418">
        <f t="shared" si="276"/>
        <v>0</v>
      </c>
      <c r="BM106" s="418">
        <f>M106+AN106</f>
        <v>5000</v>
      </c>
      <c r="BN106" s="418">
        <f t="shared" si="277"/>
        <v>5000</v>
      </c>
      <c r="BO106" s="418">
        <f t="shared" si="277"/>
        <v>0</v>
      </c>
      <c r="BP106" s="418">
        <f t="shared" si="278"/>
        <v>160108</v>
      </c>
      <c r="BQ106" s="418">
        <f t="shared" si="278"/>
        <v>4687</v>
      </c>
      <c r="BR106" s="418">
        <f>R106+AV106</f>
        <v>0</v>
      </c>
      <c r="BS106" s="419">
        <f>S106+BH106</f>
        <v>0.91669999999999996</v>
      </c>
      <c r="BT106" s="419">
        <f t="shared" si="279"/>
        <v>0.91669999999999996</v>
      </c>
      <c r="BU106" s="421">
        <f t="shared" si="279"/>
        <v>0</v>
      </c>
      <c r="BV106" s="511"/>
      <c r="BW106" s="415"/>
      <c r="BX106" s="415"/>
      <c r="BY106" s="415"/>
      <c r="BZ106" s="415"/>
      <c r="CA106" s="510"/>
    </row>
    <row r="107" spans="1:79" ht="12.95" customHeight="1" x14ac:dyDescent="0.25">
      <c r="A107" s="280">
        <v>18</v>
      </c>
      <c r="B107" s="321">
        <v>5419</v>
      </c>
      <c r="C107" s="322">
        <v>600099261</v>
      </c>
      <c r="D107" s="281">
        <v>70946752</v>
      </c>
      <c r="E107" s="323" t="s">
        <v>383</v>
      </c>
      <c r="F107" s="281">
        <v>3143</v>
      </c>
      <c r="G107" s="323" t="s">
        <v>596</v>
      </c>
      <c r="H107" s="284" t="s">
        <v>272</v>
      </c>
      <c r="I107" s="420">
        <v>15380</v>
      </c>
      <c r="J107" s="415">
        <v>11009</v>
      </c>
      <c r="K107" s="415">
        <v>0</v>
      </c>
      <c r="L107" s="415">
        <v>11009</v>
      </c>
      <c r="M107" s="415">
        <v>0</v>
      </c>
      <c r="N107" s="415">
        <v>0</v>
      </c>
      <c r="O107" s="415">
        <v>0</v>
      </c>
      <c r="P107" s="68">
        <v>3721</v>
      </c>
      <c r="Q107" s="68">
        <v>110</v>
      </c>
      <c r="R107" s="415">
        <v>540</v>
      </c>
      <c r="S107" s="416">
        <v>4.1700000000000001E-2</v>
      </c>
      <c r="T107" s="417">
        <v>0</v>
      </c>
      <c r="U107" s="423">
        <v>4.1700000000000001E-2</v>
      </c>
      <c r="V107" s="424">
        <f t="shared" si="274"/>
        <v>0</v>
      </c>
      <c r="W107" s="418">
        <f t="shared" si="274"/>
        <v>0</v>
      </c>
      <c r="X107" s="418">
        <v>0</v>
      </c>
      <c r="Y107" s="418">
        <v>0</v>
      </c>
      <c r="Z107" s="418">
        <v>0</v>
      </c>
      <c r="AA107" s="418">
        <v>5491</v>
      </c>
      <c r="AB107" s="418">
        <v>0</v>
      </c>
      <c r="AC107" s="418">
        <v>0</v>
      </c>
      <c r="AD107" s="418">
        <f>V107+X107+Y107+Z107+AB107</f>
        <v>0</v>
      </c>
      <c r="AE107" s="418">
        <f>W107+AA107+AC107</f>
        <v>5491</v>
      </c>
      <c r="AF107" s="794">
        <f>SUM(AD107:AE107)</f>
        <v>5491</v>
      </c>
      <c r="AG107" s="780">
        <v>0</v>
      </c>
      <c r="AH107" s="418">
        <v>0</v>
      </c>
      <c r="AI107" s="418">
        <v>0</v>
      </c>
      <c r="AJ107" s="418">
        <v>0</v>
      </c>
      <c r="AK107" s="418">
        <v>0</v>
      </c>
      <c r="AL107" s="418">
        <f>AG107+AI107+AJ107</f>
        <v>0</v>
      </c>
      <c r="AM107" s="418">
        <f>AH107+AK107</f>
        <v>0</v>
      </c>
      <c r="AN107" s="418">
        <f>SUM(AL107:AM107)</f>
        <v>0</v>
      </c>
      <c r="AO107" s="418">
        <f t="shared" si="275"/>
        <v>0</v>
      </c>
      <c r="AP107" s="418">
        <f t="shared" si="275"/>
        <v>5491</v>
      </c>
      <c r="AQ107" s="418">
        <f>SUM(AO107:AP107)</f>
        <v>5491</v>
      </c>
      <c r="AR107" s="68">
        <f>ROUND((AF107+AG107+AH107+AI107)*33.8%,0)</f>
        <v>1856</v>
      </c>
      <c r="AS107" s="68">
        <f>ROUND(AF107*1%,0)</f>
        <v>55</v>
      </c>
      <c r="AT107" s="418">
        <v>0</v>
      </c>
      <c r="AU107" s="418">
        <v>270</v>
      </c>
      <c r="AV107" s="418">
        <f>AT107+AU107</f>
        <v>270</v>
      </c>
      <c r="AW107" s="418">
        <f>AQ107+AR107+AS107+AV107</f>
        <v>7672</v>
      </c>
      <c r="AX107" s="419">
        <v>0</v>
      </c>
      <c r="AY107" s="419">
        <v>0</v>
      </c>
      <c r="AZ107" s="419">
        <v>0</v>
      </c>
      <c r="BA107" s="419">
        <v>0</v>
      </c>
      <c r="BB107" s="419">
        <v>0.02</v>
      </c>
      <c r="BC107" s="419">
        <v>0</v>
      </c>
      <c r="BD107" s="419">
        <v>0</v>
      </c>
      <c r="BE107" s="419">
        <v>0</v>
      </c>
      <c r="BF107" s="419">
        <f>AX107+AZ107+BA107+BC107+BD107</f>
        <v>0</v>
      </c>
      <c r="BG107" s="419">
        <f>AY107+BB107+BE107</f>
        <v>0.02</v>
      </c>
      <c r="BH107" s="894">
        <f>SUM(BF107:BG107)</f>
        <v>0.02</v>
      </c>
      <c r="BI107" s="424">
        <f>I107+AW107</f>
        <v>23052</v>
      </c>
      <c r="BJ107" s="418">
        <f>J107+AF107</f>
        <v>16500</v>
      </c>
      <c r="BK107" s="418">
        <f t="shared" si="276"/>
        <v>0</v>
      </c>
      <c r="BL107" s="418">
        <f t="shared" si="276"/>
        <v>16500</v>
      </c>
      <c r="BM107" s="418">
        <f>M107+AN107</f>
        <v>0</v>
      </c>
      <c r="BN107" s="418">
        <f t="shared" si="277"/>
        <v>0</v>
      </c>
      <c r="BO107" s="418">
        <f t="shared" si="277"/>
        <v>0</v>
      </c>
      <c r="BP107" s="418">
        <f t="shared" si="278"/>
        <v>5577</v>
      </c>
      <c r="BQ107" s="418">
        <f t="shared" si="278"/>
        <v>165</v>
      </c>
      <c r="BR107" s="418">
        <f>R107+AV107</f>
        <v>810</v>
      </c>
      <c r="BS107" s="419">
        <f>S107+BH107</f>
        <v>6.1700000000000005E-2</v>
      </c>
      <c r="BT107" s="419">
        <f t="shared" si="279"/>
        <v>0</v>
      </c>
      <c r="BU107" s="421">
        <f t="shared" si="279"/>
        <v>6.1700000000000005E-2</v>
      </c>
      <c r="BV107" s="511"/>
      <c r="BW107" s="415"/>
      <c r="BX107" s="415"/>
      <c r="BY107" s="415"/>
      <c r="BZ107" s="415"/>
      <c r="CA107" s="510"/>
    </row>
    <row r="108" spans="1:79" ht="12.95" customHeight="1" x14ac:dyDescent="0.25">
      <c r="A108" s="324">
        <v>18</v>
      </c>
      <c r="B108" s="325">
        <v>5419</v>
      </c>
      <c r="C108" s="326">
        <v>600099261</v>
      </c>
      <c r="D108" s="325">
        <v>70946752</v>
      </c>
      <c r="E108" s="327" t="s">
        <v>384</v>
      </c>
      <c r="F108" s="291"/>
      <c r="G108" s="329"/>
      <c r="H108" s="292"/>
      <c r="I108" s="473">
        <v>15928748</v>
      </c>
      <c r="J108" s="470">
        <v>11654301</v>
      </c>
      <c r="K108" s="470">
        <v>10231482</v>
      </c>
      <c r="L108" s="470">
        <v>1422819</v>
      </c>
      <c r="M108" s="470">
        <v>50000</v>
      </c>
      <c r="N108" s="470">
        <v>30000</v>
      </c>
      <c r="O108" s="470">
        <v>20000</v>
      </c>
      <c r="P108" s="470">
        <v>3956053</v>
      </c>
      <c r="Q108" s="470">
        <v>116542</v>
      </c>
      <c r="R108" s="470">
        <v>151852</v>
      </c>
      <c r="S108" s="471">
        <v>21.497099999999996</v>
      </c>
      <c r="T108" s="471">
        <v>17.401699999999998</v>
      </c>
      <c r="U108" s="533">
        <v>4.0954000000000006</v>
      </c>
      <c r="V108" s="473">
        <f t="shared" ref="V108:CA108" si="280">SUM(V103:V107)</f>
        <v>0</v>
      </c>
      <c r="W108" s="470">
        <f t="shared" si="280"/>
        <v>0</v>
      </c>
      <c r="X108" s="470">
        <f t="shared" si="280"/>
        <v>0</v>
      </c>
      <c r="Y108" s="470">
        <f t="shared" si="280"/>
        <v>0</v>
      </c>
      <c r="Z108" s="470">
        <f t="shared" si="280"/>
        <v>0</v>
      </c>
      <c r="AA108" s="470">
        <f t="shared" si="280"/>
        <v>313711</v>
      </c>
      <c r="AB108" s="470">
        <f t="shared" si="280"/>
        <v>0</v>
      </c>
      <c r="AC108" s="470">
        <f t="shared" si="280"/>
        <v>0</v>
      </c>
      <c r="AD108" s="470">
        <f t="shared" si="280"/>
        <v>0</v>
      </c>
      <c r="AE108" s="470">
        <f t="shared" si="280"/>
        <v>313711</v>
      </c>
      <c r="AF108" s="796">
        <f t="shared" si="280"/>
        <v>313711</v>
      </c>
      <c r="AG108" s="786">
        <f t="shared" si="280"/>
        <v>0</v>
      </c>
      <c r="AH108" s="470">
        <f t="shared" si="280"/>
        <v>0</v>
      </c>
      <c r="AI108" s="470">
        <f t="shared" si="280"/>
        <v>0</v>
      </c>
      <c r="AJ108" s="470">
        <f t="shared" si="280"/>
        <v>0</v>
      </c>
      <c r="AK108" s="470">
        <f t="shared" si="280"/>
        <v>0</v>
      </c>
      <c r="AL108" s="470">
        <f t="shared" si="280"/>
        <v>0</v>
      </c>
      <c r="AM108" s="470">
        <f t="shared" si="280"/>
        <v>0</v>
      </c>
      <c r="AN108" s="470">
        <f t="shared" si="280"/>
        <v>0</v>
      </c>
      <c r="AO108" s="470">
        <f t="shared" si="280"/>
        <v>0</v>
      </c>
      <c r="AP108" s="470">
        <f t="shared" si="280"/>
        <v>313711</v>
      </c>
      <c r="AQ108" s="470">
        <f t="shared" si="280"/>
        <v>313711</v>
      </c>
      <c r="AR108" s="470">
        <f t="shared" si="280"/>
        <v>106034</v>
      </c>
      <c r="AS108" s="470">
        <f t="shared" si="280"/>
        <v>3137</v>
      </c>
      <c r="AT108" s="470">
        <f t="shared" si="280"/>
        <v>0</v>
      </c>
      <c r="AU108" s="470">
        <f t="shared" si="280"/>
        <v>2905</v>
      </c>
      <c r="AV108" s="470">
        <f t="shared" si="280"/>
        <v>2905</v>
      </c>
      <c r="AW108" s="470">
        <f t="shared" si="280"/>
        <v>425787</v>
      </c>
      <c r="AX108" s="471">
        <f t="shared" si="280"/>
        <v>0</v>
      </c>
      <c r="AY108" s="471">
        <f t="shared" si="280"/>
        <v>0</v>
      </c>
      <c r="AZ108" s="471">
        <f t="shared" si="280"/>
        <v>0</v>
      </c>
      <c r="BA108" s="471">
        <f t="shared" si="280"/>
        <v>0</v>
      </c>
      <c r="BB108" s="471">
        <f t="shared" ref="BB108" si="281">SUM(BB103:BB107)</f>
        <v>0.94000000000000006</v>
      </c>
      <c r="BC108" s="471">
        <f t="shared" si="280"/>
        <v>0</v>
      </c>
      <c r="BD108" s="471">
        <f t="shared" si="280"/>
        <v>0</v>
      </c>
      <c r="BE108" s="471">
        <f t="shared" ref="BE108" si="282">SUM(BE103:BE107)</f>
        <v>0</v>
      </c>
      <c r="BF108" s="471">
        <f t="shared" si="280"/>
        <v>0</v>
      </c>
      <c r="BG108" s="471">
        <f t="shared" si="280"/>
        <v>0.94000000000000006</v>
      </c>
      <c r="BH108" s="533">
        <f t="shared" si="280"/>
        <v>0.94000000000000006</v>
      </c>
      <c r="BI108" s="473">
        <f t="shared" si="280"/>
        <v>16354535</v>
      </c>
      <c r="BJ108" s="470">
        <f t="shared" si="280"/>
        <v>11968012</v>
      </c>
      <c r="BK108" s="470">
        <f t="shared" si="280"/>
        <v>10231482</v>
      </c>
      <c r="BL108" s="470">
        <f t="shared" si="280"/>
        <v>1736530</v>
      </c>
      <c r="BM108" s="470">
        <f t="shared" si="280"/>
        <v>50000</v>
      </c>
      <c r="BN108" s="470">
        <f t="shared" si="280"/>
        <v>30000</v>
      </c>
      <c r="BO108" s="470">
        <f t="shared" si="280"/>
        <v>20000</v>
      </c>
      <c r="BP108" s="470">
        <f t="shared" si="280"/>
        <v>4062087</v>
      </c>
      <c r="BQ108" s="470">
        <f t="shared" si="280"/>
        <v>119679</v>
      </c>
      <c r="BR108" s="470">
        <f t="shared" si="280"/>
        <v>154757</v>
      </c>
      <c r="BS108" s="471">
        <f t="shared" si="280"/>
        <v>22.437099999999997</v>
      </c>
      <c r="BT108" s="471">
        <f t="shared" si="280"/>
        <v>17.401699999999998</v>
      </c>
      <c r="BU108" s="333">
        <f t="shared" si="280"/>
        <v>5.035400000000001</v>
      </c>
      <c r="BV108" s="887">
        <f t="shared" si="280"/>
        <v>304109</v>
      </c>
      <c r="BW108" s="728">
        <f t="shared" si="280"/>
        <v>225600</v>
      </c>
      <c r="BX108" s="728">
        <f t="shared" si="280"/>
        <v>0</v>
      </c>
      <c r="BY108" s="728">
        <f t="shared" si="280"/>
        <v>76253</v>
      </c>
      <c r="BZ108" s="728">
        <f t="shared" si="280"/>
        <v>2256</v>
      </c>
      <c r="CA108" s="860">
        <f t="shared" si="280"/>
        <v>0.4</v>
      </c>
    </row>
    <row r="109" spans="1:79" ht="12.95" customHeight="1" x14ac:dyDescent="0.25">
      <c r="A109" s="280">
        <v>19</v>
      </c>
      <c r="B109" s="321">
        <v>5425</v>
      </c>
      <c r="C109" s="330">
        <v>600099521</v>
      </c>
      <c r="D109" s="281">
        <v>854859</v>
      </c>
      <c r="E109" s="323" t="s">
        <v>385</v>
      </c>
      <c r="F109" s="281">
        <v>3233</v>
      </c>
      <c r="G109" s="323" t="s">
        <v>386</v>
      </c>
      <c r="H109" s="284" t="s">
        <v>272</v>
      </c>
      <c r="I109" s="420">
        <v>2774767</v>
      </c>
      <c r="J109" s="415">
        <v>2056526</v>
      </c>
      <c r="K109" s="415">
        <v>1690607</v>
      </c>
      <c r="L109" s="415">
        <v>365919</v>
      </c>
      <c r="M109" s="415">
        <v>0</v>
      </c>
      <c r="N109" s="415">
        <v>0</v>
      </c>
      <c r="O109" s="415">
        <v>0</v>
      </c>
      <c r="P109" s="68">
        <v>695106</v>
      </c>
      <c r="Q109" s="68">
        <v>20565</v>
      </c>
      <c r="R109" s="415">
        <v>2570</v>
      </c>
      <c r="S109" s="416">
        <v>4.24</v>
      </c>
      <c r="T109" s="417">
        <v>3.06</v>
      </c>
      <c r="U109" s="423">
        <v>1.18</v>
      </c>
      <c r="V109" s="424">
        <f>AG109*-1</f>
        <v>0</v>
      </c>
      <c r="W109" s="418">
        <f>AH109*-1</f>
        <v>0</v>
      </c>
      <c r="X109" s="418">
        <v>0</v>
      </c>
      <c r="Y109" s="418">
        <v>0</v>
      </c>
      <c r="Z109" s="418">
        <v>0</v>
      </c>
      <c r="AA109" s="418">
        <v>182968</v>
      </c>
      <c r="AB109" s="418">
        <v>0</v>
      </c>
      <c r="AC109" s="418">
        <v>0</v>
      </c>
      <c r="AD109" s="418">
        <f>V109+X109+Y109+Z109+AB109</f>
        <v>0</v>
      </c>
      <c r="AE109" s="418">
        <f>W109+AA109+AC109</f>
        <v>182968</v>
      </c>
      <c r="AF109" s="794">
        <f>SUM(AD109:AE109)</f>
        <v>182968</v>
      </c>
      <c r="AG109" s="780">
        <v>0</v>
      </c>
      <c r="AH109" s="418">
        <v>0</v>
      </c>
      <c r="AI109" s="418">
        <v>0</v>
      </c>
      <c r="AJ109" s="418">
        <v>0</v>
      </c>
      <c r="AK109" s="418">
        <v>0</v>
      </c>
      <c r="AL109" s="418">
        <f>AG109+AI109+AJ109</f>
        <v>0</v>
      </c>
      <c r="AM109" s="418">
        <f>AH109+AK109</f>
        <v>0</v>
      </c>
      <c r="AN109" s="418">
        <f>SUM(AL109:AM109)</f>
        <v>0</v>
      </c>
      <c r="AO109" s="418">
        <f>AD109+AL109</f>
        <v>0</v>
      </c>
      <c r="AP109" s="418">
        <f>AE109+AM109</f>
        <v>182968</v>
      </c>
      <c r="AQ109" s="418">
        <f>SUM(AO109:AP109)</f>
        <v>182968</v>
      </c>
      <c r="AR109" s="68">
        <f>ROUND((AF109+AG109+AH109+AI109)*33.8%,0)</f>
        <v>61843</v>
      </c>
      <c r="AS109" s="68">
        <f>ROUND(AF109*1%,0)</f>
        <v>1830</v>
      </c>
      <c r="AT109" s="418">
        <v>0</v>
      </c>
      <c r="AU109" s="418">
        <v>1028</v>
      </c>
      <c r="AV109" s="418">
        <f>AT109+AU109</f>
        <v>1028</v>
      </c>
      <c r="AW109" s="418">
        <f>AQ109+AR109+AS109+AV109</f>
        <v>247669</v>
      </c>
      <c r="AX109" s="419">
        <v>0</v>
      </c>
      <c r="AY109" s="419">
        <v>0</v>
      </c>
      <c r="AZ109" s="419">
        <v>0</v>
      </c>
      <c r="BA109" s="419">
        <v>0</v>
      </c>
      <c r="BB109" s="419">
        <v>0.59</v>
      </c>
      <c r="BC109" s="419">
        <v>0</v>
      </c>
      <c r="BD109" s="419">
        <v>0</v>
      </c>
      <c r="BE109" s="419">
        <v>0</v>
      </c>
      <c r="BF109" s="419">
        <f>AX109+AZ109+BA109+BC109+BD109</f>
        <v>0</v>
      </c>
      <c r="BG109" s="419">
        <f>AY109+BB109+BE109</f>
        <v>0.59</v>
      </c>
      <c r="BH109" s="894">
        <f>SUM(BF109:BG109)</f>
        <v>0.59</v>
      </c>
      <c r="BI109" s="424">
        <f>I109+AW109</f>
        <v>3022436</v>
      </c>
      <c r="BJ109" s="418">
        <f>J109+AF109</f>
        <v>2239494</v>
      </c>
      <c r="BK109" s="418">
        <f>K109+AD109</f>
        <v>1690607</v>
      </c>
      <c r="BL109" s="418">
        <f>L109+AE109</f>
        <v>548887</v>
      </c>
      <c r="BM109" s="418">
        <f>M109+AN109</f>
        <v>0</v>
      </c>
      <c r="BN109" s="418">
        <f>N109+AL109</f>
        <v>0</v>
      </c>
      <c r="BO109" s="418">
        <f>O109+AM109</f>
        <v>0</v>
      </c>
      <c r="BP109" s="418">
        <f>P109+AR109</f>
        <v>756949</v>
      </c>
      <c r="BQ109" s="418">
        <f>Q109+AS109</f>
        <v>22395</v>
      </c>
      <c r="BR109" s="418">
        <f>R109+AV109</f>
        <v>3598</v>
      </c>
      <c r="BS109" s="419">
        <f>S109+BH109</f>
        <v>4.83</v>
      </c>
      <c r="BT109" s="419">
        <f>T109+BF109</f>
        <v>3.06</v>
      </c>
      <c r="BU109" s="421">
        <f>U109+BG109</f>
        <v>1.77</v>
      </c>
      <c r="BV109" s="511"/>
      <c r="BW109" s="415"/>
      <c r="BX109" s="415"/>
      <c r="BY109" s="415"/>
      <c r="BZ109" s="415"/>
      <c r="CA109" s="510"/>
    </row>
    <row r="110" spans="1:79" ht="12.95" customHeight="1" x14ac:dyDescent="0.25">
      <c r="A110" s="324">
        <v>19</v>
      </c>
      <c r="B110" s="325">
        <v>5425</v>
      </c>
      <c r="C110" s="326">
        <v>600099521</v>
      </c>
      <c r="D110" s="325">
        <v>854859</v>
      </c>
      <c r="E110" s="327" t="s">
        <v>387</v>
      </c>
      <c r="F110" s="291"/>
      <c r="G110" s="329"/>
      <c r="H110" s="292"/>
      <c r="I110" s="472">
        <v>2774767</v>
      </c>
      <c r="J110" s="468">
        <v>2056526</v>
      </c>
      <c r="K110" s="468">
        <v>1690607</v>
      </c>
      <c r="L110" s="468">
        <v>365919</v>
      </c>
      <c r="M110" s="468">
        <v>0</v>
      </c>
      <c r="N110" s="468">
        <v>0</v>
      </c>
      <c r="O110" s="468">
        <v>0</v>
      </c>
      <c r="P110" s="468">
        <v>695106</v>
      </c>
      <c r="Q110" s="468">
        <v>20565</v>
      </c>
      <c r="R110" s="468">
        <v>2570</v>
      </c>
      <c r="S110" s="469">
        <v>4.24</v>
      </c>
      <c r="T110" s="469">
        <v>3.06</v>
      </c>
      <c r="U110" s="532">
        <v>1.18</v>
      </c>
      <c r="V110" s="472">
        <f t="shared" ref="V110:CA110" si="283">SUM(V109)</f>
        <v>0</v>
      </c>
      <c r="W110" s="468">
        <f t="shared" si="283"/>
        <v>0</v>
      </c>
      <c r="X110" s="468">
        <f t="shared" si="283"/>
        <v>0</v>
      </c>
      <c r="Y110" s="468">
        <f t="shared" si="283"/>
        <v>0</v>
      </c>
      <c r="Z110" s="468">
        <f t="shared" si="283"/>
        <v>0</v>
      </c>
      <c r="AA110" s="468">
        <f t="shared" si="283"/>
        <v>182968</v>
      </c>
      <c r="AB110" s="468">
        <f t="shared" si="283"/>
        <v>0</v>
      </c>
      <c r="AC110" s="468">
        <f t="shared" si="283"/>
        <v>0</v>
      </c>
      <c r="AD110" s="468">
        <f t="shared" si="283"/>
        <v>0</v>
      </c>
      <c r="AE110" s="468">
        <f t="shared" si="283"/>
        <v>182968</v>
      </c>
      <c r="AF110" s="795">
        <f t="shared" si="283"/>
        <v>182968</v>
      </c>
      <c r="AG110" s="785">
        <f t="shared" si="283"/>
        <v>0</v>
      </c>
      <c r="AH110" s="468">
        <f t="shared" si="283"/>
        <v>0</v>
      </c>
      <c r="AI110" s="468">
        <f t="shared" si="283"/>
        <v>0</v>
      </c>
      <c r="AJ110" s="468">
        <f t="shared" si="283"/>
        <v>0</v>
      </c>
      <c r="AK110" s="468">
        <f t="shared" si="283"/>
        <v>0</v>
      </c>
      <c r="AL110" s="468">
        <f t="shared" si="283"/>
        <v>0</v>
      </c>
      <c r="AM110" s="468">
        <f t="shared" si="283"/>
        <v>0</v>
      </c>
      <c r="AN110" s="468">
        <f t="shared" si="283"/>
        <v>0</v>
      </c>
      <c r="AO110" s="468">
        <f t="shared" si="283"/>
        <v>0</v>
      </c>
      <c r="AP110" s="468">
        <f t="shared" si="283"/>
        <v>182968</v>
      </c>
      <c r="AQ110" s="468">
        <f t="shared" si="283"/>
        <v>182968</v>
      </c>
      <c r="AR110" s="468">
        <f t="shared" si="283"/>
        <v>61843</v>
      </c>
      <c r="AS110" s="468">
        <f t="shared" si="283"/>
        <v>1830</v>
      </c>
      <c r="AT110" s="468">
        <f t="shared" si="283"/>
        <v>0</v>
      </c>
      <c r="AU110" s="468">
        <f t="shared" si="283"/>
        <v>1028</v>
      </c>
      <c r="AV110" s="468">
        <f t="shared" si="283"/>
        <v>1028</v>
      </c>
      <c r="AW110" s="468">
        <f t="shared" si="283"/>
        <v>247669</v>
      </c>
      <c r="AX110" s="469">
        <f t="shared" si="283"/>
        <v>0</v>
      </c>
      <c r="AY110" s="469">
        <f t="shared" si="283"/>
        <v>0</v>
      </c>
      <c r="AZ110" s="469">
        <f t="shared" si="283"/>
        <v>0</v>
      </c>
      <c r="BA110" s="469">
        <f t="shared" si="283"/>
        <v>0</v>
      </c>
      <c r="BB110" s="469">
        <f t="shared" ref="BB110" si="284">SUM(BB109)</f>
        <v>0.59</v>
      </c>
      <c r="BC110" s="469">
        <f t="shared" si="283"/>
        <v>0</v>
      </c>
      <c r="BD110" s="469">
        <f t="shared" si="283"/>
        <v>0</v>
      </c>
      <c r="BE110" s="469">
        <f t="shared" ref="BE110" si="285">SUM(BE109)</f>
        <v>0</v>
      </c>
      <c r="BF110" s="469">
        <f t="shared" si="283"/>
        <v>0</v>
      </c>
      <c r="BG110" s="469">
        <f t="shared" si="283"/>
        <v>0.59</v>
      </c>
      <c r="BH110" s="532">
        <f t="shared" si="283"/>
        <v>0.59</v>
      </c>
      <c r="BI110" s="472">
        <f t="shared" si="283"/>
        <v>3022436</v>
      </c>
      <c r="BJ110" s="468">
        <f t="shared" si="283"/>
        <v>2239494</v>
      </c>
      <c r="BK110" s="468">
        <f t="shared" si="283"/>
        <v>1690607</v>
      </c>
      <c r="BL110" s="468">
        <f t="shared" si="283"/>
        <v>548887</v>
      </c>
      <c r="BM110" s="468">
        <f t="shared" si="283"/>
        <v>0</v>
      </c>
      <c r="BN110" s="468">
        <f t="shared" si="283"/>
        <v>0</v>
      </c>
      <c r="BO110" s="468">
        <f t="shared" si="283"/>
        <v>0</v>
      </c>
      <c r="BP110" s="468">
        <f t="shared" si="283"/>
        <v>756949</v>
      </c>
      <c r="BQ110" s="468">
        <f t="shared" si="283"/>
        <v>22395</v>
      </c>
      <c r="BR110" s="468">
        <f t="shared" si="283"/>
        <v>3598</v>
      </c>
      <c r="BS110" s="469">
        <f t="shared" si="283"/>
        <v>4.83</v>
      </c>
      <c r="BT110" s="469">
        <f t="shared" si="283"/>
        <v>3.06</v>
      </c>
      <c r="BU110" s="328">
        <f t="shared" si="283"/>
        <v>1.77</v>
      </c>
      <c r="BV110" s="886">
        <f t="shared" si="283"/>
        <v>0</v>
      </c>
      <c r="BW110" s="727">
        <f t="shared" si="283"/>
        <v>0</v>
      </c>
      <c r="BX110" s="727">
        <f t="shared" si="283"/>
        <v>0</v>
      </c>
      <c r="BY110" s="727">
        <f t="shared" si="283"/>
        <v>0</v>
      </c>
      <c r="BZ110" s="727">
        <f t="shared" si="283"/>
        <v>0</v>
      </c>
      <c r="CA110" s="859">
        <f t="shared" si="283"/>
        <v>0</v>
      </c>
    </row>
    <row r="111" spans="1:79" ht="12.95" customHeight="1" x14ac:dyDescent="0.25">
      <c r="A111" s="280">
        <v>20</v>
      </c>
      <c r="B111" s="321">
        <v>5426</v>
      </c>
      <c r="C111" s="322">
        <v>600098761</v>
      </c>
      <c r="D111" s="281">
        <v>72742615</v>
      </c>
      <c r="E111" s="323" t="s">
        <v>388</v>
      </c>
      <c r="F111" s="281">
        <v>3111</v>
      </c>
      <c r="G111" s="323" t="s">
        <v>304</v>
      </c>
      <c r="H111" s="284" t="s">
        <v>271</v>
      </c>
      <c r="I111" s="420">
        <v>6781740</v>
      </c>
      <c r="J111" s="415">
        <v>5011507</v>
      </c>
      <c r="K111" s="415">
        <v>4541305</v>
      </c>
      <c r="L111" s="415">
        <v>470202</v>
      </c>
      <c r="M111" s="415">
        <v>0</v>
      </c>
      <c r="N111" s="415">
        <v>0</v>
      </c>
      <c r="O111" s="415">
        <v>0</v>
      </c>
      <c r="P111" s="68">
        <v>1693889</v>
      </c>
      <c r="Q111" s="68">
        <v>50115</v>
      </c>
      <c r="R111" s="415">
        <v>26229</v>
      </c>
      <c r="S111" s="416">
        <v>9.6000999999999994</v>
      </c>
      <c r="T111" s="417">
        <v>8</v>
      </c>
      <c r="U111" s="423">
        <v>1.6000999999999999</v>
      </c>
      <c r="V111" s="424">
        <f t="shared" ref="V111:W113" si="286">AG111*-1</f>
        <v>0</v>
      </c>
      <c r="W111" s="418">
        <f t="shared" si="286"/>
        <v>0</v>
      </c>
      <c r="X111" s="418">
        <v>0</v>
      </c>
      <c r="Y111" s="418">
        <v>0</v>
      </c>
      <c r="Z111" s="418">
        <v>0</v>
      </c>
      <c r="AA111" s="418">
        <v>0</v>
      </c>
      <c r="AB111" s="418">
        <v>0</v>
      </c>
      <c r="AC111" s="418">
        <v>0</v>
      </c>
      <c r="AD111" s="418">
        <f>V111+X111+Y111+Z111+AB111</f>
        <v>0</v>
      </c>
      <c r="AE111" s="418">
        <f>W111+AA111+AC111</f>
        <v>0</v>
      </c>
      <c r="AF111" s="794">
        <f>SUM(AD111:AE111)</f>
        <v>0</v>
      </c>
      <c r="AG111" s="780">
        <v>0</v>
      </c>
      <c r="AH111" s="418">
        <v>0</v>
      </c>
      <c r="AI111" s="418">
        <v>0</v>
      </c>
      <c r="AJ111" s="418">
        <v>0</v>
      </c>
      <c r="AK111" s="418">
        <v>0</v>
      </c>
      <c r="AL111" s="418">
        <f>AG111+AI111+AJ111</f>
        <v>0</v>
      </c>
      <c r="AM111" s="418">
        <f>AH111+AK111</f>
        <v>0</v>
      </c>
      <c r="AN111" s="418">
        <f>SUM(AL111:AM111)</f>
        <v>0</v>
      </c>
      <c r="AO111" s="418">
        <f t="shared" ref="AO111:AP113" si="287">AD111+AL111</f>
        <v>0</v>
      </c>
      <c r="AP111" s="418">
        <f t="shared" si="287"/>
        <v>0</v>
      </c>
      <c r="AQ111" s="418">
        <f>SUM(AO111:AP111)</f>
        <v>0</v>
      </c>
      <c r="AR111" s="68">
        <f>ROUND((AF111+AG111+AH111+AI111)*33.8%,0)</f>
        <v>0</v>
      </c>
      <c r="AS111" s="68">
        <f>ROUND(AF111*1%,0)</f>
        <v>0</v>
      </c>
      <c r="AT111" s="418">
        <v>0</v>
      </c>
      <c r="AU111" s="418">
        <v>0</v>
      </c>
      <c r="AV111" s="418">
        <f>AT111+AU111</f>
        <v>0</v>
      </c>
      <c r="AW111" s="418">
        <f>AQ111+AR111+AS111+AV111</f>
        <v>0</v>
      </c>
      <c r="AX111" s="419">
        <v>0</v>
      </c>
      <c r="AY111" s="419">
        <v>0</v>
      </c>
      <c r="AZ111" s="419">
        <v>0</v>
      </c>
      <c r="BA111" s="419">
        <v>0</v>
      </c>
      <c r="BB111" s="419">
        <v>0</v>
      </c>
      <c r="BC111" s="419">
        <v>0</v>
      </c>
      <c r="BD111" s="419">
        <v>0</v>
      </c>
      <c r="BE111" s="419">
        <v>0</v>
      </c>
      <c r="BF111" s="419">
        <f>AX111+AZ111+BA111+BC111+BD111</f>
        <v>0</v>
      </c>
      <c r="BG111" s="419">
        <f>AY111+BB111+BE111</f>
        <v>0</v>
      </c>
      <c r="BH111" s="894">
        <f>SUM(BF111:BG111)</f>
        <v>0</v>
      </c>
      <c r="BI111" s="424">
        <f>I111+AW111</f>
        <v>6781740</v>
      </c>
      <c r="BJ111" s="418">
        <f>J111+AF111</f>
        <v>5011507</v>
      </c>
      <c r="BK111" s="418">
        <f t="shared" ref="BK111:BL113" si="288">K111+AD111</f>
        <v>4541305</v>
      </c>
      <c r="BL111" s="418">
        <f t="shared" si="288"/>
        <v>470202</v>
      </c>
      <c r="BM111" s="418">
        <f>M111+AN111</f>
        <v>0</v>
      </c>
      <c r="BN111" s="418">
        <f t="shared" ref="BN111:BO113" si="289">N111+AL111</f>
        <v>0</v>
      </c>
      <c r="BO111" s="418">
        <f t="shared" si="289"/>
        <v>0</v>
      </c>
      <c r="BP111" s="418">
        <f t="shared" ref="BP111:BQ113" si="290">P111+AR111</f>
        <v>1693889</v>
      </c>
      <c r="BQ111" s="418">
        <f t="shared" si="290"/>
        <v>50115</v>
      </c>
      <c r="BR111" s="418">
        <f>R111+AV111</f>
        <v>26229</v>
      </c>
      <c r="BS111" s="419">
        <f>S111+BH111</f>
        <v>9.6000999999999994</v>
      </c>
      <c r="BT111" s="419">
        <f t="shared" ref="BT111:BU113" si="291">T111+BF111</f>
        <v>8</v>
      </c>
      <c r="BU111" s="421">
        <f t="shared" si="291"/>
        <v>1.6000999999999999</v>
      </c>
      <c r="BV111" s="511"/>
      <c r="BW111" s="415"/>
      <c r="BX111" s="415"/>
      <c r="BY111" s="415"/>
      <c r="BZ111" s="415"/>
      <c r="CA111" s="510"/>
    </row>
    <row r="112" spans="1:79" ht="12.95" customHeight="1" x14ac:dyDescent="0.25">
      <c r="A112" s="280">
        <v>20</v>
      </c>
      <c r="B112" s="321">
        <v>5426</v>
      </c>
      <c r="C112" s="322">
        <v>600098761</v>
      </c>
      <c r="D112" s="281">
        <v>72742615</v>
      </c>
      <c r="E112" s="323" t="s">
        <v>388</v>
      </c>
      <c r="F112" s="281">
        <v>3111</v>
      </c>
      <c r="G112" s="331" t="s">
        <v>298</v>
      </c>
      <c r="H112" s="284" t="s">
        <v>272</v>
      </c>
      <c r="I112" s="420">
        <v>1233037</v>
      </c>
      <c r="J112" s="415">
        <v>914716</v>
      </c>
      <c r="K112" s="415">
        <v>914716</v>
      </c>
      <c r="L112" s="415">
        <v>0</v>
      </c>
      <c r="M112" s="415">
        <v>0</v>
      </c>
      <c r="N112" s="415">
        <v>0</v>
      </c>
      <c r="O112" s="415">
        <v>0</v>
      </c>
      <c r="P112" s="68">
        <v>309174</v>
      </c>
      <c r="Q112" s="68">
        <v>9147</v>
      </c>
      <c r="R112" s="415">
        <v>0</v>
      </c>
      <c r="S112" s="416">
        <v>2.4300000000000002</v>
      </c>
      <c r="T112" s="417">
        <v>2.4300000000000002</v>
      </c>
      <c r="U112" s="423">
        <v>0</v>
      </c>
      <c r="V112" s="424">
        <f t="shared" si="286"/>
        <v>0</v>
      </c>
      <c r="W112" s="418">
        <f t="shared" si="286"/>
        <v>0</v>
      </c>
      <c r="X112" s="418">
        <v>0</v>
      </c>
      <c r="Y112" s="418">
        <v>0</v>
      </c>
      <c r="Z112" s="418">
        <v>0</v>
      </c>
      <c r="AA112" s="418">
        <v>0</v>
      </c>
      <c r="AB112" s="418">
        <v>0</v>
      </c>
      <c r="AC112" s="418">
        <v>0</v>
      </c>
      <c r="AD112" s="418">
        <f>V112+X112+Y112+Z112+AB112</f>
        <v>0</v>
      </c>
      <c r="AE112" s="418">
        <f>W112+AA112+AC112</f>
        <v>0</v>
      </c>
      <c r="AF112" s="794">
        <f>SUM(AD112:AE112)</f>
        <v>0</v>
      </c>
      <c r="AG112" s="780">
        <v>0</v>
      </c>
      <c r="AH112" s="418">
        <v>0</v>
      </c>
      <c r="AI112" s="418">
        <v>0</v>
      </c>
      <c r="AJ112" s="418">
        <v>0</v>
      </c>
      <c r="AK112" s="418">
        <v>0</v>
      </c>
      <c r="AL112" s="418">
        <f>AG112+AI112+AJ112</f>
        <v>0</v>
      </c>
      <c r="AM112" s="418">
        <f>AH112+AK112</f>
        <v>0</v>
      </c>
      <c r="AN112" s="418">
        <f>SUM(AL112:AM112)</f>
        <v>0</v>
      </c>
      <c r="AO112" s="418">
        <f t="shared" si="287"/>
        <v>0</v>
      </c>
      <c r="AP112" s="418">
        <f t="shared" si="287"/>
        <v>0</v>
      </c>
      <c r="AQ112" s="418">
        <f>SUM(AO112:AP112)</f>
        <v>0</v>
      </c>
      <c r="AR112" s="68">
        <f>ROUND((AF112+AG112+AH112+AI112)*33.8%,0)</f>
        <v>0</v>
      </c>
      <c r="AS112" s="68">
        <f>ROUND(AF112*1%,0)</f>
        <v>0</v>
      </c>
      <c r="AT112" s="418">
        <v>0</v>
      </c>
      <c r="AU112" s="418">
        <v>0</v>
      </c>
      <c r="AV112" s="418">
        <f>AT112+AU112</f>
        <v>0</v>
      </c>
      <c r="AW112" s="418">
        <f>AQ112+AR112+AS112+AV112</f>
        <v>0</v>
      </c>
      <c r="AX112" s="419">
        <v>0</v>
      </c>
      <c r="AY112" s="419">
        <v>0</v>
      </c>
      <c r="AZ112" s="419">
        <v>0</v>
      </c>
      <c r="BA112" s="419">
        <v>0</v>
      </c>
      <c r="BB112" s="419">
        <v>0</v>
      </c>
      <c r="BC112" s="419">
        <v>0</v>
      </c>
      <c r="BD112" s="419">
        <v>0</v>
      </c>
      <c r="BE112" s="419">
        <v>0</v>
      </c>
      <c r="BF112" s="419">
        <f>AX112+AZ112+BA112+BC112+BD112</f>
        <v>0</v>
      </c>
      <c r="BG112" s="419">
        <f>AY112+BB112+BE112</f>
        <v>0</v>
      </c>
      <c r="BH112" s="894">
        <f>SUM(BF112:BG112)</f>
        <v>0</v>
      </c>
      <c r="BI112" s="424">
        <f>I112+AW112</f>
        <v>1233037</v>
      </c>
      <c r="BJ112" s="418">
        <f>J112+AF112</f>
        <v>914716</v>
      </c>
      <c r="BK112" s="418">
        <f t="shared" si="288"/>
        <v>914716</v>
      </c>
      <c r="BL112" s="418">
        <f t="shared" si="288"/>
        <v>0</v>
      </c>
      <c r="BM112" s="418">
        <f>M112+AN112</f>
        <v>0</v>
      </c>
      <c r="BN112" s="418">
        <f t="shared" si="289"/>
        <v>0</v>
      </c>
      <c r="BO112" s="418">
        <f t="shared" si="289"/>
        <v>0</v>
      </c>
      <c r="BP112" s="418">
        <f t="shared" si="290"/>
        <v>309174</v>
      </c>
      <c r="BQ112" s="418">
        <f t="shared" si="290"/>
        <v>9147</v>
      </c>
      <c r="BR112" s="418">
        <f>R112+AV112</f>
        <v>0</v>
      </c>
      <c r="BS112" s="419">
        <f>S112+BH112</f>
        <v>2.4300000000000002</v>
      </c>
      <c r="BT112" s="419">
        <f t="shared" si="291"/>
        <v>2.4300000000000002</v>
      </c>
      <c r="BU112" s="421">
        <f t="shared" si="291"/>
        <v>0</v>
      </c>
      <c r="BV112" s="511"/>
      <c r="BW112" s="415"/>
      <c r="BX112" s="415"/>
      <c r="BY112" s="415"/>
      <c r="BZ112" s="415"/>
      <c r="CA112" s="510"/>
    </row>
    <row r="113" spans="1:79" ht="12.95" customHeight="1" x14ac:dyDescent="0.25">
      <c r="A113" s="280">
        <v>20</v>
      </c>
      <c r="B113" s="321">
        <v>5426</v>
      </c>
      <c r="C113" s="322">
        <v>600098761</v>
      </c>
      <c r="D113" s="281">
        <v>72742615</v>
      </c>
      <c r="E113" s="323" t="s">
        <v>388</v>
      </c>
      <c r="F113" s="281">
        <v>3141</v>
      </c>
      <c r="G113" s="323" t="s">
        <v>294</v>
      </c>
      <c r="H113" s="284" t="s">
        <v>272</v>
      </c>
      <c r="I113" s="420">
        <v>674280</v>
      </c>
      <c r="J113" s="415">
        <v>492986</v>
      </c>
      <c r="K113" s="415">
        <v>0</v>
      </c>
      <c r="L113" s="415">
        <v>492986</v>
      </c>
      <c r="M113" s="415">
        <v>5000</v>
      </c>
      <c r="N113" s="415">
        <v>0</v>
      </c>
      <c r="O113" s="415">
        <v>5000</v>
      </c>
      <c r="P113" s="68">
        <v>168319</v>
      </c>
      <c r="Q113" s="68">
        <v>4930</v>
      </c>
      <c r="R113" s="415">
        <v>3045</v>
      </c>
      <c r="S113" s="416">
        <v>1.4933000000000001</v>
      </c>
      <c r="T113" s="417">
        <v>0</v>
      </c>
      <c r="U113" s="423">
        <v>1.4933000000000001</v>
      </c>
      <c r="V113" s="424">
        <f t="shared" si="286"/>
        <v>0</v>
      </c>
      <c r="W113" s="418">
        <f t="shared" si="286"/>
        <v>0</v>
      </c>
      <c r="X113" s="418">
        <v>0</v>
      </c>
      <c r="Y113" s="418">
        <v>0</v>
      </c>
      <c r="Z113" s="418">
        <v>0</v>
      </c>
      <c r="AA113" s="418">
        <v>250481</v>
      </c>
      <c r="AB113" s="418">
        <v>0</v>
      </c>
      <c r="AC113" s="418">
        <v>0</v>
      </c>
      <c r="AD113" s="418">
        <f>V113+X113+Y113+Z113+AB113</f>
        <v>0</v>
      </c>
      <c r="AE113" s="418">
        <f>W113+AA113+AC113</f>
        <v>250481</v>
      </c>
      <c r="AF113" s="794">
        <f>SUM(AD113:AE113)</f>
        <v>250481</v>
      </c>
      <c r="AG113" s="780">
        <v>0</v>
      </c>
      <c r="AH113" s="418">
        <v>0</v>
      </c>
      <c r="AI113" s="418">
        <v>0</v>
      </c>
      <c r="AJ113" s="418">
        <v>0</v>
      </c>
      <c r="AK113" s="418">
        <v>0</v>
      </c>
      <c r="AL113" s="418">
        <f>AG113+AI113+AJ113</f>
        <v>0</v>
      </c>
      <c r="AM113" s="418">
        <f>AH113+AK113</f>
        <v>0</v>
      </c>
      <c r="AN113" s="418">
        <f>SUM(AL113:AM113)</f>
        <v>0</v>
      </c>
      <c r="AO113" s="418">
        <f t="shared" si="287"/>
        <v>0</v>
      </c>
      <c r="AP113" s="418">
        <f t="shared" si="287"/>
        <v>250481</v>
      </c>
      <c r="AQ113" s="418">
        <f>SUM(AO113:AP113)</f>
        <v>250481</v>
      </c>
      <c r="AR113" s="68">
        <f>ROUND((AF113+AG113+AH113+AI113)*33.8%,0)</f>
        <v>84663</v>
      </c>
      <c r="AS113" s="68">
        <f>ROUND(AF113*1%,0)</f>
        <v>2505</v>
      </c>
      <c r="AT113" s="418">
        <v>0</v>
      </c>
      <c r="AU113" s="418">
        <v>1479</v>
      </c>
      <c r="AV113" s="418">
        <f>AT113+AU113</f>
        <v>1479</v>
      </c>
      <c r="AW113" s="418">
        <f>AQ113+AR113+AS113+AV113</f>
        <v>339128</v>
      </c>
      <c r="AX113" s="419">
        <v>0</v>
      </c>
      <c r="AY113" s="419">
        <v>0</v>
      </c>
      <c r="AZ113" s="419">
        <v>0</v>
      </c>
      <c r="BA113" s="419">
        <v>0</v>
      </c>
      <c r="BB113" s="419">
        <v>0.75</v>
      </c>
      <c r="BC113" s="419">
        <v>0</v>
      </c>
      <c r="BD113" s="419">
        <v>0</v>
      </c>
      <c r="BE113" s="419">
        <v>0</v>
      </c>
      <c r="BF113" s="419">
        <f>AX113+AZ113+BA113+BC113+BD113</f>
        <v>0</v>
      </c>
      <c r="BG113" s="419">
        <f>AY113+BB113+BE113</f>
        <v>0.75</v>
      </c>
      <c r="BH113" s="894">
        <f>SUM(BF113:BG113)</f>
        <v>0.75</v>
      </c>
      <c r="BI113" s="424">
        <f>I113+AW113</f>
        <v>1013408</v>
      </c>
      <c r="BJ113" s="418">
        <f>J113+AF113</f>
        <v>743467</v>
      </c>
      <c r="BK113" s="418">
        <f t="shared" si="288"/>
        <v>0</v>
      </c>
      <c r="BL113" s="418">
        <f t="shared" si="288"/>
        <v>743467</v>
      </c>
      <c r="BM113" s="418">
        <f>M113+AN113</f>
        <v>5000</v>
      </c>
      <c r="BN113" s="418">
        <f t="shared" si="289"/>
        <v>0</v>
      </c>
      <c r="BO113" s="418">
        <f t="shared" si="289"/>
        <v>5000</v>
      </c>
      <c r="BP113" s="418">
        <f t="shared" si="290"/>
        <v>252982</v>
      </c>
      <c r="BQ113" s="418">
        <f t="shared" si="290"/>
        <v>7435</v>
      </c>
      <c r="BR113" s="418">
        <f>R113+AV113</f>
        <v>4524</v>
      </c>
      <c r="BS113" s="419">
        <f>S113+BH113</f>
        <v>2.2433000000000001</v>
      </c>
      <c r="BT113" s="419">
        <f t="shared" si="291"/>
        <v>0</v>
      </c>
      <c r="BU113" s="421">
        <f t="shared" si="291"/>
        <v>2.2433000000000001</v>
      </c>
      <c r="BV113" s="511"/>
      <c r="BW113" s="415"/>
      <c r="BX113" s="415"/>
      <c r="BY113" s="415"/>
      <c r="BZ113" s="415"/>
      <c r="CA113" s="510"/>
    </row>
    <row r="114" spans="1:79" ht="12.95" customHeight="1" x14ac:dyDescent="0.25">
      <c r="A114" s="324">
        <v>20</v>
      </c>
      <c r="B114" s="325">
        <v>5426</v>
      </c>
      <c r="C114" s="326">
        <v>600098761</v>
      </c>
      <c r="D114" s="325">
        <v>72742615</v>
      </c>
      <c r="E114" s="327" t="s">
        <v>389</v>
      </c>
      <c r="F114" s="291"/>
      <c r="G114" s="329"/>
      <c r="H114" s="292"/>
      <c r="I114" s="473">
        <v>8689057</v>
      </c>
      <c r="J114" s="470">
        <v>6419209</v>
      </c>
      <c r="K114" s="470">
        <v>5456021</v>
      </c>
      <c r="L114" s="470">
        <v>963188</v>
      </c>
      <c r="M114" s="470">
        <v>5000</v>
      </c>
      <c r="N114" s="470">
        <v>0</v>
      </c>
      <c r="O114" s="470">
        <v>5000</v>
      </c>
      <c r="P114" s="470">
        <v>2171382</v>
      </c>
      <c r="Q114" s="470">
        <v>64192</v>
      </c>
      <c r="R114" s="470">
        <v>29274</v>
      </c>
      <c r="S114" s="471">
        <v>13.523399999999999</v>
      </c>
      <c r="T114" s="471">
        <v>10.43</v>
      </c>
      <c r="U114" s="533">
        <v>3.0933999999999999</v>
      </c>
      <c r="V114" s="473">
        <f t="shared" ref="V114:CA114" si="292">SUM(V111:V113)</f>
        <v>0</v>
      </c>
      <c r="W114" s="470">
        <f t="shared" si="292"/>
        <v>0</v>
      </c>
      <c r="X114" s="470">
        <f t="shared" si="292"/>
        <v>0</v>
      </c>
      <c r="Y114" s="470">
        <f t="shared" si="292"/>
        <v>0</v>
      </c>
      <c r="Z114" s="470">
        <f t="shared" si="292"/>
        <v>0</v>
      </c>
      <c r="AA114" s="470">
        <f t="shared" si="292"/>
        <v>250481</v>
      </c>
      <c r="AB114" s="470">
        <f t="shared" si="292"/>
        <v>0</v>
      </c>
      <c r="AC114" s="470">
        <f t="shared" si="292"/>
        <v>0</v>
      </c>
      <c r="AD114" s="470">
        <f t="shared" si="292"/>
        <v>0</v>
      </c>
      <c r="AE114" s="470">
        <f t="shared" si="292"/>
        <v>250481</v>
      </c>
      <c r="AF114" s="796">
        <f t="shared" si="292"/>
        <v>250481</v>
      </c>
      <c r="AG114" s="786">
        <f t="shared" si="292"/>
        <v>0</v>
      </c>
      <c r="AH114" s="470">
        <f t="shared" si="292"/>
        <v>0</v>
      </c>
      <c r="AI114" s="470">
        <f t="shared" si="292"/>
        <v>0</v>
      </c>
      <c r="AJ114" s="470">
        <f t="shared" si="292"/>
        <v>0</v>
      </c>
      <c r="AK114" s="470">
        <f t="shared" si="292"/>
        <v>0</v>
      </c>
      <c r="AL114" s="470">
        <f t="shared" si="292"/>
        <v>0</v>
      </c>
      <c r="AM114" s="470">
        <f t="shared" si="292"/>
        <v>0</v>
      </c>
      <c r="AN114" s="470">
        <f t="shared" si="292"/>
        <v>0</v>
      </c>
      <c r="AO114" s="470">
        <f t="shared" si="292"/>
        <v>0</v>
      </c>
      <c r="AP114" s="470">
        <f t="shared" si="292"/>
        <v>250481</v>
      </c>
      <c r="AQ114" s="470">
        <f t="shared" si="292"/>
        <v>250481</v>
      </c>
      <c r="AR114" s="470">
        <f t="shared" si="292"/>
        <v>84663</v>
      </c>
      <c r="AS114" s="470">
        <f t="shared" si="292"/>
        <v>2505</v>
      </c>
      <c r="AT114" s="470">
        <f t="shared" si="292"/>
        <v>0</v>
      </c>
      <c r="AU114" s="470">
        <f t="shared" si="292"/>
        <v>1479</v>
      </c>
      <c r="AV114" s="470">
        <f t="shared" si="292"/>
        <v>1479</v>
      </c>
      <c r="AW114" s="470">
        <f t="shared" si="292"/>
        <v>339128</v>
      </c>
      <c r="AX114" s="471">
        <f t="shared" si="292"/>
        <v>0</v>
      </c>
      <c r="AY114" s="471">
        <f t="shared" si="292"/>
        <v>0</v>
      </c>
      <c r="AZ114" s="471">
        <f t="shared" si="292"/>
        <v>0</v>
      </c>
      <c r="BA114" s="471">
        <f t="shared" si="292"/>
        <v>0</v>
      </c>
      <c r="BB114" s="471">
        <f t="shared" ref="BB114" si="293">SUM(BB111:BB113)</f>
        <v>0.75</v>
      </c>
      <c r="BC114" s="471">
        <f t="shared" si="292"/>
        <v>0</v>
      </c>
      <c r="BD114" s="471">
        <f t="shared" si="292"/>
        <v>0</v>
      </c>
      <c r="BE114" s="471">
        <f t="shared" ref="BE114" si="294">SUM(BE111:BE113)</f>
        <v>0</v>
      </c>
      <c r="BF114" s="471">
        <f t="shared" si="292"/>
        <v>0</v>
      </c>
      <c r="BG114" s="471">
        <f t="shared" si="292"/>
        <v>0.75</v>
      </c>
      <c r="BH114" s="533">
        <f t="shared" si="292"/>
        <v>0.75</v>
      </c>
      <c r="BI114" s="473">
        <f t="shared" si="292"/>
        <v>9028185</v>
      </c>
      <c r="BJ114" s="470">
        <f t="shared" si="292"/>
        <v>6669690</v>
      </c>
      <c r="BK114" s="470">
        <f t="shared" si="292"/>
        <v>5456021</v>
      </c>
      <c r="BL114" s="470">
        <f t="shared" si="292"/>
        <v>1213669</v>
      </c>
      <c r="BM114" s="470">
        <f t="shared" si="292"/>
        <v>5000</v>
      </c>
      <c r="BN114" s="470">
        <f t="shared" si="292"/>
        <v>0</v>
      </c>
      <c r="BO114" s="470">
        <f t="shared" si="292"/>
        <v>5000</v>
      </c>
      <c r="BP114" s="470">
        <f t="shared" si="292"/>
        <v>2256045</v>
      </c>
      <c r="BQ114" s="470">
        <f t="shared" si="292"/>
        <v>66697</v>
      </c>
      <c r="BR114" s="470">
        <f t="shared" si="292"/>
        <v>30753</v>
      </c>
      <c r="BS114" s="471">
        <f t="shared" si="292"/>
        <v>14.273399999999999</v>
      </c>
      <c r="BT114" s="471">
        <f t="shared" si="292"/>
        <v>10.43</v>
      </c>
      <c r="BU114" s="333">
        <f t="shared" si="292"/>
        <v>3.8433999999999999</v>
      </c>
      <c r="BV114" s="887">
        <f t="shared" si="292"/>
        <v>0</v>
      </c>
      <c r="BW114" s="728">
        <f t="shared" si="292"/>
        <v>0</v>
      </c>
      <c r="BX114" s="728">
        <f t="shared" si="292"/>
        <v>0</v>
      </c>
      <c r="BY114" s="728">
        <f t="shared" si="292"/>
        <v>0</v>
      </c>
      <c r="BZ114" s="728">
        <f t="shared" si="292"/>
        <v>0</v>
      </c>
      <c r="CA114" s="860">
        <f t="shared" si="292"/>
        <v>0</v>
      </c>
    </row>
    <row r="115" spans="1:79" ht="12.95" customHeight="1" x14ac:dyDescent="0.25">
      <c r="A115" s="280">
        <v>21</v>
      </c>
      <c r="B115" s="321">
        <v>5423</v>
      </c>
      <c r="C115" s="322">
        <v>600098516</v>
      </c>
      <c r="D115" s="281">
        <v>72742453</v>
      </c>
      <c r="E115" s="323" t="s">
        <v>390</v>
      </c>
      <c r="F115" s="281">
        <v>3111</v>
      </c>
      <c r="G115" s="323" t="s">
        <v>304</v>
      </c>
      <c r="H115" s="284" t="s">
        <v>271</v>
      </c>
      <c r="I115" s="420">
        <v>10444834</v>
      </c>
      <c r="J115" s="415">
        <v>7719626</v>
      </c>
      <c r="K115" s="415">
        <v>6958034</v>
      </c>
      <c r="L115" s="415">
        <v>761592</v>
      </c>
      <c r="M115" s="415">
        <v>0</v>
      </c>
      <c r="N115" s="415">
        <v>0</v>
      </c>
      <c r="O115" s="415">
        <v>0</v>
      </c>
      <c r="P115" s="68">
        <v>2609234</v>
      </c>
      <c r="Q115" s="68">
        <v>77196</v>
      </c>
      <c r="R115" s="415">
        <v>38778</v>
      </c>
      <c r="S115" s="416">
        <v>14.5557</v>
      </c>
      <c r="T115" s="417">
        <v>11.935499999999999</v>
      </c>
      <c r="U115" s="423">
        <v>2.6202000000000001</v>
      </c>
      <c r="V115" s="424">
        <f t="shared" ref="V115:W117" si="295">AG115*-1</f>
        <v>0</v>
      </c>
      <c r="W115" s="418">
        <f t="shared" si="295"/>
        <v>0</v>
      </c>
      <c r="X115" s="418">
        <v>0</v>
      </c>
      <c r="Y115" s="418">
        <v>0</v>
      </c>
      <c r="Z115" s="418">
        <v>0</v>
      </c>
      <c r="AA115" s="418">
        <v>0</v>
      </c>
      <c r="AB115" s="418">
        <v>0</v>
      </c>
      <c r="AC115" s="418">
        <v>0</v>
      </c>
      <c r="AD115" s="418">
        <f>V115+X115+Y115+Z115+AB115</f>
        <v>0</v>
      </c>
      <c r="AE115" s="418">
        <f>W115+AA115+AC115</f>
        <v>0</v>
      </c>
      <c r="AF115" s="794">
        <f>SUM(AD115:AE115)</f>
        <v>0</v>
      </c>
      <c r="AG115" s="780">
        <v>0</v>
      </c>
      <c r="AH115" s="418">
        <v>0</v>
      </c>
      <c r="AI115" s="418">
        <v>0</v>
      </c>
      <c r="AJ115" s="418">
        <v>0</v>
      </c>
      <c r="AK115" s="418">
        <v>0</v>
      </c>
      <c r="AL115" s="418">
        <f>AG115+AI115+AJ115</f>
        <v>0</v>
      </c>
      <c r="AM115" s="418">
        <f>AH115+AK115</f>
        <v>0</v>
      </c>
      <c r="AN115" s="418">
        <f>SUM(AL115:AM115)</f>
        <v>0</v>
      </c>
      <c r="AO115" s="418">
        <f t="shared" ref="AO115:AP117" si="296">AD115+AL115</f>
        <v>0</v>
      </c>
      <c r="AP115" s="418">
        <f t="shared" si="296"/>
        <v>0</v>
      </c>
      <c r="AQ115" s="418">
        <f>SUM(AO115:AP115)</f>
        <v>0</v>
      </c>
      <c r="AR115" s="68">
        <f>ROUND((AF115+AG115+AH115+AI115)*33.8%,0)</f>
        <v>0</v>
      </c>
      <c r="AS115" s="68">
        <f>ROUND(AF115*1%,0)</f>
        <v>0</v>
      </c>
      <c r="AT115" s="418">
        <v>0</v>
      </c>
      <c r="AU115" s="418">
        <v>0</v>
      </c>
      <c r="AV115" s="418">
        <f>AT115+AU115</f>
        <v>0</v>
      </c>
      <c r="AW115" s="418">
        <f>AQ115+AR115+AS115+AV115</f>
        <v>0</v>
      </c>
      <c r="AX115" s="419">
        <v>0</v>
      </c>
      <c r="AY115" s="419">
        <v>0</v>
      </c>
      <c r="AZ115" s="419">
        <v>0</v>
      </c>
      <c r="BA115" s="419">
        <v>0</v>
      </c>
      <c r="BB115" s="419">
        <v>0</v>
      </c>
      <c r="BC115" s="419">
        <v>0</v>
      </c>
      <c r="BD115" s="419">
        <v>0</v>
      </c>
      <c r="BE115" s="419">
        <v>0</v>
      </c>
      <c r="BF115" s="419">
        <f>AX115+AZ115+BA115+BC115+BD115</f>
        <v>0</v>
      </c>
      <c r="BG115" s="419">
        <f>AY115+BB115+BE115</f>
        <v>0</v>
      </c>
      <c r="BH115" s="894">
        <f>SUM(BF115:BG115)</f>
        <v>0</v>
      </c>
      <c r="BI115" s="424">
        <f>I115+AW115</f>
        <v>10444834</v>
      </c>
      <c r="BJ115" s="418">
        <f>J115+AF115</f>
        <v>7719626</v>
      </c>
      <c r="BK115" s="418">
        <f t="shared" ref="BK115:BL117" si="297">K115+AD115</f>
        <v>6958034</v>
      </c>
      <c r="BL115" s="418">
        <f t="shared" si="297"/>
        <v>761592</v>
      </c>
      <c r="BM115" s="418">
        <f>M115+AN115</f>
        <v>0</v>
      </c>
      <c r="BN115" s="418">
        <f t="shared" ref="BN115:BO117" si="298">N115+AL115</f>
        <v>0</v>
      </c>
      <c r="BO115" s="418">
        <f t="shared" si="298"/>
        <v>0</v>
      </c>
      <c r="BP115" s="418">
        <f t="shared" ref="BP115:BQ117" si="299">P115+AR115</f>
        <v>2609234</v>
      </c>
      <c r="BQ115" s="418">
        <f t="shared" si="299"/>
        <v>77196</v>
      </c>
      <c r="BR115" s="418">
        <f>R115+AV115</f>
        <v>38778</v>
      </c>
      <c r="BS115" s="419">
        <f>S115+BH115</f>
        <v>14.5557</v>
      </c>
      <c r="BT115" s="419">
        <f t="shared" ref="BT115:BU117" si="300">T115+BF115</f>
        <v>11.935499999999999</v>
      </c>
      <c r="BU115" s="421">
        <f t="shared" si="300"/>
        <v>2.6202000000000001</v>
      </c>
      <c r="BV115" s="888"/>
      <c r="BW115" s="723"/>
      <c r="BX115" s="723"/>
      <c r="BY115" s="723"/>
      <c r="BZ115" s="723"/>
      <c r="CA115" s="855"/>
    </row>
    <row r="116" spans="1:79" ht="12.95" customHeight="1" x14ac:dyDescent="0.25">
      <c r="A116" s="280">
        <v>21</v>
      </c>
      <c r="B116" s="321">
        <v>5423</v>
      </c>
      <c r="C116" s="322">
        <v>600098516</v>
      </c>
      <c r="D116" s="281">
        <v>72742453</v>
      </c>
      <c r="E116" s="323" t="s">
        <v>390</v>
      </c>
      <c r="F116" s="281">
        <v>3111</v>
      </c>
      <c r="G116" s="323" t="s">
        <v>298</v>
      </c>
      <c r="H116" s="284" t="s">
        <v>272</v>
      </c>
      <c r="I116" s="420">
        <v>1686960</v>
      </c>
      <c r="J116" s="415">
        <v>1251454</v>
      </c>
      <c r="K116" s="415">
        <v>1251454</v>
      </c>
      <c r="L116" s="415">
        <v>0</v>
      </c>
      <c r="M116" s="415">
        <v>0</v>
      </c>
      <c r="N116" s="415">
        <v>0</v>
      </c>
      <c r="O116" s="415">
        <v>0</v>
      </c>
      <c r="P116" s="68">
        <v>422991</v>
      </c>
      <c r="Q116" s="68">
        <v>12515</v>
      </c>
      <c r="R116" s="415">
        <v>0</v>
      </c>
      <c r="S116" s="416">
        <v>3.38</v>
      </c>
      <c r="T116" s="417">
        <v>3.38</v>
      </c>
      <c r="U116" s="423">
        <v>0</v>
      </c>
      <c r="V116" s="424">
        <f t="shared" si="295"/>
        <v>0</v>
      </c>
      <c r="W116" s="418">
        <f t="shared" si="295"/>
        <v>0</v>
      </c>
      <c r="X116" s="418">
        <v>-92701</v>
      </c>
      <c r="Y116" s="418">
        <v>0</v>
      </c>
      <c r="Z116" s="418">
        <v>0</v>
      </c>
      <c r="AA116" s="418">
        <v>0</v>
      </c>
      <c r="AB116" s="418">
        <v>0</v>
      </c>
      <c r="AC116" s="418">
        <v>0</v>
      </c>
      <c r="AD116" s="418">
        <f>V116+X116+Y116+Z116+AB116</f>
        <v>-92701</v>
      </c>
      <c r="AE116" s="418">
        <f>W116+AA116+AC116</f>
        <v>0</v>
      </c>
      <c r="AF116" s="794">
        <f>SUM(AD116:AE116)</f>
        <v>-92701</v>
      </c>
      <c r="AG116" s="780">
        <v>0</v>
      </c>
      <c r="AH116" s="418">
        <v>0</v>
      </c>
      <c r="AI116" s="418">
        <v>0</v>
      </c>
      <c r="AJ116" s="418">
        <v>0</v>
      </c>
      <c r="AK116" s="418">
        <v>0</v>
      </c>
      <c r="AL116" s="418">
        <f>AG116+AI116+AJ116</f>
        <v>0</v>
      </c>
      <c r="AM116" s="418">
        <f>AH116+AK116</f>
        <v>0</v>
      </c>
      <c r="AN116" s="418">
        <f>SUM(AL116:AM116)</f>
        <v>0</v>
      </c>
      <c r="AO116" s="418">
        <f t="shared" si="296"/>
        <v>-92701</v>
      </c>
      <c r="AP116" s="418">
        <f t="shared" si="296"/>
        <v>0</v>
      </c>
      <c r="AQ116" s="418">
        <f>SUM(AO116:AP116)</f>
        <v>-92701</v>
      </c>
      <c r="AR116" s="68">
        <f>ROUND((AF116+AG116+AH116+AI116)*33.8%,0)</f>
        <v>-31333</v>
      </c>
      <c r="AS116" s="68">
        <f>ROUND(AF116*1%,0)</f>
        <v>-927</v>
      </c>
      <c r="AT116" s="418">
        <v>0</v>
      </c>
      <c r="AU116" s="418">
        <v>0</v>
      </c>
      <c r="AV116" s="418">
        <f>AT116+AU116</f>
        <v>0</v>
      </c>
      <c r="AW116" s="418">
        <f>AQ116+AR116+AS116+AV116</f>
        <v>-124961</v>
      </c>
      <c r="AX116" s="419">
        <v>0</v>
      </c>
      <c r="AY116" s="419">
        <v>0</v>
      </c>
      <c r="AZ116" s="419">
        <v>-0.25</v>
      </c>
      <c r="BA116" s="419">
        <v>0</v>
      </c>
      <c r="BB116" s="419">
        <v>0</v>
      </c>
      <c r="BC116" s="419">
        <v>0</v>
      </c>
      <c r="BD116" s="419">
        <v>0</v>
      </c>
      <c r="BE116" s="419">
        <v>0</v>
      </c>
      <c r="BF116" s="419">
        <f>AX116+AZ116+BA116+BC116+BD116</f>
        <v>-0.25</v>
      </c>
      <c r="BG116" s="419">
        <f>AY116+BB116+BE116</f>
        <v>0</v>
      </c>
      <c r="BH116" s="894">
        <f>SUM(BF116:BG116)</f>
        <v>-0.25</v>
      </c>
      <c r="BI116" s="424">
        <f>I116+AW116</f>
        <v>1561999</v>
      </c>
      <c r="BJ116" s="418">
        <f>J116+AF116</f>
        <v>1158753</v>
      </c>
      <c r="BK116" s="418">
        <f t="shared" si="297"/>
        <v>1158753</v>
      </c>
      <c r="BL116" s="418">
        <f t="shared" si="297"/>
        <v>0</v>
      </c>
      <c r="BM116" s="418">
        <f>M116+AN116</f>
        <v>0</v>
      </c>
      <c r="BN116" s="418">
        <f t="shared" si="298"/>
        <v>0</v>
      </c>
      <c r="BO116" s="418">
        <f t="shared" si="298"/>
        <v>0</v>
      </c>
      <c r="BP116" s="418">
        <f t="shared" si="299"/>
        <v>391658</v>
      </c>
      <c r="BQ116" s="418">
        <f t="shared" si="299"/>
        <v>11588</v>
      </c>
      <c r="BR116" s="418">
        <f>R116+AV116</f>
        <v>0</v>
      </c>
      <c r="BS116" s="419">
        <f>S116+BH116</f>
        <v>3.13</v>
      </c>
      <c r="BT116" s="419">
        <f t="shared" si="300"/>
        <v>3.13</v>
      </c>
      <c r="BU116" s="421">
        <f t="shared" si="300"/>
        <v>0</v>
      </c>
      <c r="BV116" s="888"/>
      <c r="BW116" s="723"/>
      <c r="BX116" s="723"/>
      <c r="BY116" s="723"/>
      <c r="BZ116" s="723"/>
      <c r="CA116" s="855"/>
    </row>
    <row r="117" spans="1:79" ht="12.95" customHeight="1" x14ac:dyDescent="0.25">
      <c r="A117" s="280">
        <v>21</v>
      </c>
      <c r="B117" s="321">
        <v>5423</v>
      </c>
      <c r="C117" s="322">
        <v>600098516</v>
      </c>
      <c r="D117" s="281">
        <v>72742453</v>
      </c>
      <c r="E117" s="323" t="s">
        <v>390</v>
      </c>
      <c r="F117" s="281">
        <v>3141</v>
      </c>
      <c r="G117" s="323" t="s">
        <v>294</v>
      </c>
      <c r="H117" s="284" t="s">
        <v>272</v>
      </c>
      <c r="I117" s="420">
        <v>1117010</v>
      </c>
      <c r="J117" s="415">
        <v>824796</v>
      </c>
      <c r="K117" s="415">
        <v>0</v>
      </c>
      <c r="L117" s="415">
        <v>824796</v>
      </c>
      <c r="M117" s="415">
        <v>0</v>
      </c>
      <c r="N117" s="415">
        <v>0</v>
      </c>
      <c r="O117" s="415">
        <v>0</v>
      </c>
      <c r="P117" s="68">
        <v>278781</v>
      </c>
      <c r="Q117" s="68">
        <v>8248</v>
      </c>
      <c r="R117" s="415">
        <v>5185</v>
      </c>
      <c r="S117" s="416">
        <v>2.4733000000000001</v>
      </c>
      <c r="T117" s="417">
        <v>0</v>
      </c>
      <c r="U117" s="423">
        <v>2.4733000000000001</v>
      </c>
      <c r="V117" s="424">
        <f t="shared" si="295"/>
        <v>0</v>
      </c>
      <c r="W117" s="418">
        <f t="shared" si="295"/>
        <v>0</v>
      </c>
      <c r="X117" s="418">
        <v>0</v>
      </c>
      <c r="Y117" s="418">
        <v>0</v>
      </c>
      <c r="Z117" s="418">
        <v>0</v>
      </c>
      <c r="AA117" s="418">
        <f>64616+349333</f>
        <v>413949</v>
      </c>
      <c r="AB117" s="418">
        <v>0</v>
      </c>
      <c r="AC117" s="418">
        <v>0</v>
      </c>
      <c r="AD117" s="418">
        <f>V117+X117+Y117+Z117+AB117</f>
        <v>0</v>
      </c>
      <c r="AE117" s="418">
        <f>W117+AA117+AC117</f>
        <v>413949</v>
      </c>
      <c r="AF117" s="794">
        <f>SUM(AD117:AE117)</f>
        <v>413949</v>
      </c>
      <c r="AG117" s="780">
        <v>0</v>
      </c>
      <c r="AH117" s="418">
        <v>0</v>
      </c>
      <c r="AI117" s="418">
        <v>0</v>
      </c>
      <c r="AJ117" s="418">
        <v>0</v>
      </c>
      <c r="AK117" s="418">
        <v>0</v>
      </c>
      <c r="AL117" s="418">
        <f>AG117+AI117+AJ117</f>
        <v>0</v>
      </c>
      <c r="AM117" s="418">
        <f>AH117+AK117</f>
        <v>0</v>
      </c>
      <c r="AN117" s="418">
        <f>SUM(AL117:AM117)</f>
        <v>0</v>
      </c>
      <c r="AO117" s="418">
        <f t="shared" si="296"/>
        <v>0</v>
      </c>
      <c r="AP117" s="418">
        <f t="shared" si="296"/>
        <v>413949</v>
      </c>
      <c r="AQ117" s="418">
        <f>SUM(AO117:AP117)</f>
        <v>413949</v>
      </c>
      <c r="AR117" s="68">
        <f>ROUND((AF117+AG117+AH117+AI117)*33.8%,0)</f>
        <v>139915</v>
      </c>
      <c r="AS117" s="68">
        <f>ROUND(AF117*1%,0)</f>
        <v>4139</v>
      </c>
      <c r="AT117" s="418">
        <v>0</v>
      </c>
      <c r="AU117" s="418">
        <f>495+2008</f>
        <v>2503</v>
      </c>
      <c r="AV117" s="418">
        <f>AT117+AU117</f>
        <v>2503</v>
      </c>
      <c r="AW117" s="418">
        <f>AQ117+AR117+AS117+AV117</f>
        <v>560506</v>
      </c>
      <c r="AX117" s="419">
        <v>0</v>
      </c>
      <c r="AY117" s="419">
        <v>0</v>
      </c>
      <c r="AZ117" s="419">
        <v>0</v>
      </c>
      <c r="BA117" s="419">
        <v>0</v>
      </c>
      <c r="BB117" s="419">
        <f>0.19+1.05</f>
        <v>1.24</v>
      </c>
      <c r="BC117" s="419">
        <v>0</v>
      </c>
      <c r="BD117" s="419">
        <v>0</v>
      </c>
      <c r="BE117" s="419">
        <v>0</v>
      </c>
      <c r="BF117" s="419">
        <f>AX117+AZ117+BA117+BC117+BD117</f>
        <v>0</v>
      </c>
      <c r="BG117" s="419">
        <f>AY117+BB117+BE117</f>
        <v>1.24</v>
      </c>
      <c r="BH117" s="894">
        <f>SUM(BF117:BG117)</f>
        <v>1.24</v>
      </c>
      <c r="BI117" s="424">
        <f>I117+AW117</f>
        <v>1677516</v>
      </c>
      <c r="BJ117" s="418">
        <f>J117+AF117</f>
        <v>1238745</v>
      </c>
      <c r="BK117" s="418">
        <f t="shared" si="297"/>
        <v>0</v>
      </c>
      <c r="BL117" s="418">
        <f t="shared" si="297"/>
        <v>1238745</v>
      </c>
      <c r="BM117" s="418">
        <f>M117+AN117</f>
        <v>0</v>
      </c>
      <c r="BN117" s="418">
        <f t="shared" si="298"/>
        <v>0</v>
      </c>
      <c r="BO117" s="418">
        <f t="shared" si="298"/>
        <v>0</v>
      </c>
      <c r="BP117" s="418">
        <f t="shared" si="299"/>
        <v>418696</v>
      </c>
      <c r="BQ117" s="418">
        <f t="shared" si="299"/>
        <v>12387</v>
      </c>
      <c r="BR117" s="418">
        <f>R117+AV117</f>
        <v>7688</v>
      </c>
      <c r="BS117" s="419">
        <f>S117+BH117</f>
        <v>3.7133000000000003</v>
      </c>
      <c r="BT117" s="419">
        <f t="shared" si="300"/>
        <v>0</v>
      </c>
      <c r="BU117" s="421">
        <f t="shared" si="300"/>
        <v>3.7133000000000003</v>
      </c>
      <c r="BV117" s="888"/>
      <c r="BW117" s="723"/>
      <c r="BX117" s="723"/>
      <c r="BY117" s="723"/>
      <c r="BZ117" s="723"/>
      <c r="CA117" s="855"/>
    </row>
    <row r="118" spans="1:79" ht="12.95" customHeight="1" x14ac:dyDescent="0.25">
      <c r="A118" s="324">
        <v>21</v>
      </c>
      <c r="B118" s="325">
        <v>5423</v>
      </c>
      <c r="C118" s="326">
        <v>600098516</v>
      </c>
      <c r="D118" s="325">
        <v>72742453</v>
      </c>
      <c r="E118" s="327" t="s">
        <v>391</v>
      </c>
      <c r="F118" s="291"/>
      <c r="G118" s="329"/>
      <c r="H118" s="292"/>
      <c r="I118" s="472">
        <v>13248804</v>
      </c>
      <c r="J118" s="468">
        <v>9795876</v>
      </c>
      <c r="K118" s="468">
        <v>8209488</v>
      </c>
      <c r="L118" s="468">
        <v>1586388</v>
      </c>
      <c r="M118" s="468">
        <v>0</v>
      </c>
      <c r="N118" s="468">
        <v>0</v>
      </c>
      <c r="O118" s="468">
        <v>0</v>
      </c>
      <c r="P118" s="468">
        <v>3311006</v>
      </c>
      <c r="Q118" s="468">
        <v>97959</v>
      </c>
      <c r="R118" s="468">
        <v>43963</v>
      </c>
      <c r="S118" s="469">
        <v>20.408999999999999</v>
      </c>
      <c r="T118" s="469">
        <v>15.3155</v>
      </c>
      <c r="U118" s="532">
        <v>5.0935000000000006</v>
      </c>
      <c r="V118" s="472">
        <f t="shared" ref="V118:CA118" si="301">SUM(V115:V117)</f>
        <v>0</v>
      </c>
      <c r="W118" s="468">
        <f t="shared" si="301"/>
        <v>0</v>
      </c>
      <c r="X118" s="468">
        <f t="shared" si="301"/>
        <v>-92701</v>
      </c>
      <c r="Y118" s="468">
        <f t="shared" si="301"/>
        <v>0</v>
      </c>
      <c r="Z118" s="468">
        <f t="shared" si="301"/>
        <v>0</v>
      </c>
      <c r="AA118" s="468">
        <f t="shared" si="301"/>
        <v>413949</v>
      </c>
      <c r="AB118" s="468">
        <f t="shared" si="301"/>
        <v>0</v>
      </c>
      <c r="AC118" s="468">
        <f t="shared" si="301"/>
        <v>0</v>
      </c>
      <c r="AD118" s="468">
        <f t="shared" si="301"/>
        <v>-92701</v>
      </c>
      <c r="AE118" s="468">
        <f t="shared" si="301"/>
        <v>413949</v>
      </c>
      <c r="AF118" s="795">
        <f t="shared" si="301"/>
        <v>321248</v>
      </c>
      <c r="AG118" s="785">
        <f t="shared" si="301"/>
        <v>0</v>
      </c>
      <c r="AH118" s="468">
        <f t="shared" si="301"/>
        <v>0</v>
      </c>
      <c r="AI118" s="468">
        <f t="shared" si="301"/>
        <v>0</v>
      </c>
      <c r="AJ118" s="468">
        <f t="shared" si="301"/>
        <v>0</v>
      </c>
      <c r="AK118" s="468">
        <f t="shared" si="301"/>
        <v>0</v>
      </c>
      <c r="AL118" s="468">
        <f t="shared" si="301"/>
        <v>0</v>
      </c>
      <c r="AM118" s="468">
        <f t="shared" si="301"/>
        <v>0</v>
      </c>
      <c r="AN118" s="468">
        <f t="shared" si="301"/>
        <v>0</v>
      </c>
      <c r="AO118" s="468">
        <f t="shared" si="301"/>
        <v>-92701</v>
      </c>
      <c r="AP118" s="468">
        <f t="shared" si="301"/>
        <v>413949</v>
      </c>
      <c r="AQ118" s="468">
        <f t="shared" si="301"/>
        <v>321248</v>
      </c>
      <c r="AR118" s="468">
        <f t="shared" si="301"/>
        <v>108582</v>
      </c>
      <c r="AS118" s="468">
        <f t="shared" si="301"/>
        <v>3212</v>
      </c>
      <c r="AT118" s="468">
        <f t="shared" si="301"/>
        <v>0</v>
      </c>
      <c r="AU118" s="468">
        <f t="shared" si="301"/>
        <v>2503</v>
      </c>
      <c r="AV118" s="468">
        <f t="shared" si="301"/>
        <v>2503</v>
      </c>
      <c r="AW118" s="468">
        <f t="shared" si="301"/>
        <v>435545</v>
      </c>
      <c r="AX118" s="469">
        <f t="shared" si="301"/>
        <v>0</v>
      </c>
      <c r="AY118" s="469">
        <f t="shared" si="301"/>
        <v>0</v>
      </c>
      <c r="AZ118" s="469">
        <f t="shared" si="301"/>
        <v>-0.25</v>
      </c>
      <c r="BA118" s="469">
        <f t="shared" si="301"/>
        <v>0</v>
      </c>
      <c r="BB118" s="469">
        <f t="shared" ref="BB118" si="302">SUM(BB115:BB117)</f>
        <v>1.24</v>
      </c>
      <c r="BC118" s="469">
        <f t="shared" si="301"/>
        <v>0</v>
      </c>
      <c r="BD118" s="469">
        <f t="shared" si="301"/>
        <v>0</v>
      </c>
      <c r="BE118" s="469">
        <f t="shared" ref="BE118" si="303">SUM(BE115:BE117)</f>
        <v>0</v>
      </c>
      <c r="BF118" s="469">
        <f t="shared" si="301"/>
        <v>-0.25</v>
      </c>
      <c r="BG118" s="469">
        <f t="shared" si="301"/>
        <v>1.24</v>
      </c>
      <c r="BH118" s="532">
        <f t="shared" si="301"/>
        <v>0.99</v>
      </c>
      <c r="BI118" s="472">
        <f t="shared" si="301"/>
        <v>13684349</v>
      </c>
      <c r="BJ118" s="468">
        <f t="shared" si="301"/>
        <v>10117124</v>
      </c>
      <c r="BK118" s="468">
        <f t="shared" si="301"/>
        <v>8116787</v>
      </c>
      <c r="BL118" s="468">
        <f t="shared" si="301"/>
        <v>2000337</v>
      </c>
      <c r="BM118" s="468">
        <f t="shared" si="301"/>
        <v>0</v>
      </c>
      <c r="BN118" s="468">
        <f t="shared" si="301"/>
        <v>0</v>
      </c>
      <c r="BO118" s="468">
        <f t="shared" si="301"/>
        <v>0</v>
      </c>
      <c r="BP118" s="468">
        <f t="shared" si="301"/>
        <v>3419588</v>
      </c>
      <c r="BQ118" s="468">
        <f t="shared" si="301"/>
        <v>101171</v>
      </c>
      <c r="BR118" s="468">
        <f t="shared" si="301"/>
        <v>46466</v>
      </c>
      <c r="BS118" s="469">
        <f t="shared" si="301"/>
        <v>21.399000000000001</v>
      </c>
      <c r="BT118" s="469">
        <f t="shared" si="301"/>
        <v>15.0655</v>
      </c>
      <c r="BU118" s="328">
        <f t="shared" si="301"/>
        <v>6.3335000000000008</v>
      </c>
      <c r="BV118" s="886">
        <f t="shared" si="301"/>
        <v>0</v>
      </c>
      <c r="BW118" s="727">
        <f t="shared" si="301"/>
        <v>0</v>
      </c>
      <c r="BX118" s="727">
        <f t="shared" si="301"/>
        <v>0</v>
      </c>
      <c r="BY118" s="727">
        <f t="shared" si="301"/>
        <v>0</v>
      </c>
      <c r="BZ118" s="727">
        <f t="shared" si="301"/>
        <v>0</v>
      </c>
      <c r="CA118" s="859">
        <f t="shared" si="301"/>
        <v>0</v>
      </c>
    </row>
    <row r="119" spans="1:79" ht="12.95" customHeight="1" x14ac:dyDescent="0.25">
      <c r="A119" s="280">
        <v>22</v>
      </c>
      <c r="B119" s="321">
        <v>5422</v>
      </c>
      <c r="C119" s="322">
        <v>600099181</v>
      </c>
      <c r="D119" s="281">
        <v>854751</v>
      </c>
      <c r="E119" s="323" t="s">
        <v>392</v>
      </c>
      <c r="F119" s="281">
        <v>3113</v>
      </c>
      <c r="G119" s="323" t="s">
        <v>308</v>
      </c>
      <c r="H119" s="284" t="s">
        <v>271</v>
      </c>
      <c r="I119" s="420">
        <v>40067710</v>
      </c>
      <c r="J119" s="415">
        <v>28634268</v>
      </c>
      <c r="K119" s="415">
        <v>26687217</v>
      </c>
      <c r="L119" s="415">
        <v>1947051</v>
      </c>
      <c r="M119" s="415">
        <v>638600</v>
      </c>
      <c r="N119" s="415">
        <v>638600</v>
      </c>
      <c r="O119" s="415">
        <v>0</v>
      </c>
      <c r="P119" s="68">
        <v>9894230</v>
      </c>
      <c r="Q119" s="68">
        <v>286342</v>
      </c>
      <c r="R119" s="415">
        <v>614270</v>
      </c>
      <c r="S119" s="416">
        <v>43.601599999999998</v>
      </c>
      <c r="T119" s="417">
        <v>37.722499999999997</v>
      </c>
      <c r="U119" s="423">
        <v>5.8791000000000002</v>
      </c>
      <c r="V119" s="424">
        <f t="shared" ref="V119:W123" si="304">AG119*-1</f>
        <v>0</v>
      </c>
      <c r="W119" s="418">
        <f t="shared" si="304"/>
        <v>0</v>
      </c>
      <c r="X119" s="418">
        <v>0</v>
      </c>
      <c r="Y119" s="418">
        <v>0</v>
      </c>
      <c r="Z119" s="418">
        <v>0</v>
      </c>
      <c r="AA119" s="418">
        <v>0</v>
      </c>
      <c r="AB119" s="418">
        <v>0</v>
      </c>
      <c r="AC119" s="418">
        <v>0</v>
      </c>
      <c r="AD119" s="418">
        <f>V119+X119+Y119+Z119+AB119</f>
        <v>0</v>
      </c>
      <c r="AE119" s="418">
        <f>W119+AA119+AC119</f>
        <v>0</v>
      </c>
      <c r="AF119" s="794">
        <f>SUM(AD119:AE119)</f>
        <v>0</v>
      </c>
      <c r="AG119" s="780">
        <v>0</v>
      </c>
      <c r="AH119" s="418">
        <v>0</v>
      </c>
      <c r="AI119" s="418">
        <v>0</v>
      </c>
      <c r="AJ119" s="418">
        <v>0</v>
      </c>
      <c r="AK119" s="418">
        <v>0</v>
      </c>
      <c r="AL119" s="418">
        <f>AG119+AI119+AJ119</f>
        <v>0</v>
      </c>
      <c r="AM119" s="418">
        <f>AH119+AK119</f>
        <v>0</v>
      </c>
      <c r="AN119" s="418">
        <f>SUM(AL119:AM119)</f>
        <v>0</v>
      </c>
      <c r="AO119" s="418">
        <f t="shared" ref="AO119:AP123" si="305">AD119+AL119</f>
        <v>0</v>
      </c>
      <c r="AP119" s="418">
        <f t="shared" si="305"/>
        <v>0</v>
      </c>
      <c r="AQ119" s="418">
        <f>SUM(AO119:AP119)</f>
        <v>0</v>
      </c>
      <c r="AR119" s="68">
        <f>ROUND((AF119+AG119+AH119+AI119)*33.8%,0)</f>
        <v>0</v>
      </c>
      <c r="AS119" s="68">
        <f>ROUND(AF119*1%,0)</f>
        <v>0</v>
      </c>
      <c r="AT119" s="418">
        <v>0</v>
      </c>
      <c r="AU119" s="418">
        <v>0</v>
      </c>
      <c r="AV119" s="418">
        <f>AT119+AU119</f>
        <v>0</v>
      </c>
      <c r="AW119" s="418">
        <f>AQ119+AR119+AS119+AV119</f>
        <v>0</v>
      </c>
      <c r="AX119" s="419">
        <v>0</v>
      </c>
      <c r="AY119" s="419">
        <v>0</v>
      </c>
      <c r="AZ119" s="419">
        <v>0</v>
      </c>
      <c r="BA119" s="419">
        <v>0</v>
      </c>
      <c r="BB119" s="419">
        <v>0</v>
      </c>
      <c r="BC119" s="419">
        <v>0</v>
      </c>
      <c r="BD119" s="419">
        <v>0</v>
      </c>
      <c r="BE119" s="419">
        <v>0</v>
      </c>
      <c r="BF119" s="419">
        <f>AX119+AZ119+BA119+BC119+BD119</f>
        <v>0</v>
      </c>
      <c r="BG119" s="419">
        <f>AY119+BB119+BE119</f>
        <v>0</v>
      </c>
      <c r="BH119" s="894">
        <f>SUM(BF119:BG119)</f>
        <v>0</v>
      </c>
      <c r="BI119" s="424">
        <f>I119+AW119</f>
        <v>40067710</v>
      </c>
      <c r="BJ119" s="418">
        <f>J119+AF119</f>
        <v>28634268</v>
      </c>
      <c r="BK119" s="418">
        <f t="shared" ref="BK119:BL123" si="306">K119+AD119</f>
        <v>26687217</v>
      </c>
      <c r="BL119" s="418">
        <f t="shared" si="306"/>
        <v>1947051</v>
      </c>
      <c r="BM119" s="418">
        <f>M119+AN119</f>
        <v>638600</v>
      </c>
      <c r="BN119" s="418">
        <f t="shared" ref="BN119:BO123" si="307">N119+AL119</f>
        <v>638600</v>
      </c>
      <c r="BO119" s="418">
        <f t="shared" si="307"/>
        <v>0</v>
      </c>
      <c r="BP119" s="418">
        <f t="shared" ref="BP119:BQ123" si="308">P119+AR119</f>
        <v>9894230</v>
      </c>
      <c r="BQ119" s="418">
        <f t="shared" si="308"/>
        <v>286342</v>
      </c>
      <c r="BR119" s="418">
        <f>R119+AV119</f>
        <v>614270</v>
      </c>
      <c r="BS119" s="419">
        <f>S119+BH119</f>
        <v>43.601599999999998</v>
      </c>
      <c r="BT119" s="419">
        <f t="shared" ref="BT119:BU123" si="309">T119+BF119</f>
        <v>37.722499999999997</v>
      </c>
      <c r="BU119" s="421">
        <f t="shared" si="309"/>
        <v>5.8791000000000002</v>
      </c>
      <c r="BV119" s="889">
        <v>301853</v>
      </c>
      <c r="BW119" s="723"/>
      <c r="BX119" s="735">
        <v>225600</v>
      </c>
      <c r="BY119" s="735">
        <v>76253</v>
      </c>
      <c r="BZ119" s="723"/>
      <c r="CA119" s="855"/>
    </row>
    <row r="120" spans="1:79" ht="12.95" customHeight="1" x14ac:dyDescent="0.25">
      <c r="A120" s="280">
        <v>22</v>
      </c>
      <c r="B120" s="321">
        <v>5422</v>
      </c>
      <c r="C120" s="322">
        <v>600099181</v>
      </c>
      <c r="D120" s="281">
        <v>854751</v>
      </c>
      <c r="E120" s="323" t="s">
        <v>392</v>
      </c>
      <c r="F120" s="281">
        <v>3113</v>
      </c>
      <c r="G120" s="323" t="s">
        <v>298</v>
      </c>
      <c r="H120" s="284" t="s">
        <v>272</v>
      </c>
      <c r="I120" s="420">
        <v>5443532</v>
      </c>
      <c r="J120" s="415">
        <v>4036003</v>
      </c>
      <c r="K120" s="415">
        <v>4036003</v>
      </c>
      <c r="L120" s="415">
        <v>0</v>
      </c>
      <c r="M120" s="415">
        <v>0</v>
      </c>
      <c r="N120" s="415">
        <v>0</v>
      </c>
      <c r="O120" s="415">
        <v>0</v>
      </c>
      <c r="P120" s="68">
        <v>1364169</v>
      </c>
      <c r="Q120" s="68">
        <v>40360</v>
      </c>
      <c r="R120" s="415">
        <v>3000</v>
      </c>
      <c r="S120" s="416">
        <v>10.71</v>
      </c>
      <c r="T120" s="417">
        <v>10.71</v>
      </c>
      <c r="U120" s="423">
        <v>0</v>
      </c>
      <c r="V120" s="424">
        <f t="shared" si="304"/>
        <v>0</v>
      </c>
      <c r="W120" s="418">
        <f t="shared" si="304"/>
        <v>0</v>
      </c>
      <c r="X120" s="418">
        <v>0</v>
      </c>
      <c r="Y120" s="418">
        <v>0</v>
      </c>
      <c r="Z120" s="418">
        <v>0</v>
      </c>
      <c r="AA120" s="418">
        <v>0</v>
      </c>
      <c r="AB120" s="418">
        <v>0</v>
      </c>
      <c r="AC120" s="418">
        <v>0</v>
      </c>
      <c r="AD120" s="418">
        <f>V120+X120+Y120+Z120+AB120</f>
        <v>0</v>
      </c>
      <c r="AE120" s="418">
        <f>W120+AA120+AC120</f>
        <v>0</v>
      </c>
      <c r="AF120" s="794">
        <f>SUM(AD120:AE120)</f>
        <v>0</v>
      </c>
      <c r="AG120" s="780">
        <v>0</v>
      </c>
      <c r="AH120" s="418">
        <v>0</v>
      </c>
      <c r="AI120" s="418">
        <v>0</v>
      </c>
      <c r="AJ120" s="418">
        <v>0</v>
      </c>
      <c r="AK120" s="418">
        <v>0</v>
      </c>
      <c r="AL120" s="418">
        <f>AG120+AI120+AJ120</f>
        <v>0</v>
      </c>
      <c r="AM120" s="418">
        <f>AH120+AK120</f>
        <v>0</v>
      </c>
      <c r="AN120" s="418">
        <f>SUM(AL120:AM120)</f>
        <v>0</v>
      </c>
      <c r="AO120" s="418">
        <f t="shared" si="305"/>
        <v>0</v>
      </c>
      <c r="AP120" s="418">
        <f t="shared" si="305"/>
        <v>0</v>
      </c>
      <c r="AQ120" s="418">
        <f>SUM(AO120:AP120)</f>
        <v>0</v>
      </c>
      <c r="AR120" s="68">
        <f>ROUND((AF120+AG120+AH120+AI120)*33.8%,0)</f>
        <v>0</v>
      </c>
      <c r="AS120" s="68">
        <f>ROUND(AF120*1%,0)</f>
        <v>0</v>
      </c>
      <c r="AT120" s="418">
        <v>0</v>
      </c>
      <c r="AU120" s="418">
        <v>0</v>
      </c>
      <c r="AV120" s="418">
        <f>AT120+AU120</f>
        <v>0</v>
      </c>
      <c r="AW120" s="418">
        <f>AQ120+AR120+AS120+AV120</f>
        <v>0</v>
      </c>
      <c r="AX120" s="419">
        <v>0</v>
      </c>
      <c r="AY120" s="419">
        <v>0</v>
      </c>
      <c r="AZ120" s="419">
        <v>0</v>
      </c>
      <c r="BA120" s="419">
        <v>0</v>
      </c>
      <c r="BB120" s="419">
        <v>0</v>
      </c>
      <c r="BC120" s="419">
        <v>0</v>
      </c>
      <c r="BD120" s="419">
        <v>0</v>
      </c>
      <c r="BE120" s="419">
        <v>0</v>
      </c>
      <c r="BF120" s="419">
        <f>AX120+AZ120+BA120+BC120+BD120</f>
        <v>0</v>
      </c>
      <c r="BG120" s="419">
        <f>AY120+BB120+BE120</f>
        <v>0</v>
      </c>
      <c r="BH120" s="894">
        <f>SUM(BF120:BG120)</f>
        <v>0</v>
      </c>
      <c r="BI120" s="424">
        <f>I120+AW120</f>
        <v>5443532</v>
      </c>
      <c r="BJ120" s="418">
        <f>J120+AF120</f>
        <v>4036003</v>
      </c>
      <c r="BK120" s="418">
        <f t="shared" si="306"/>
        <v>4036003</v>
      </c>
      <c r="BL120" s="418">
        <f t="shared" si="306"/>
        <v>0</v>
      </c>
      <c r="BM120" s="418">
        <f>M120+AN120</f>
        <v>0</v>
      </c>
      <c r="BN120" s="418">
        <f t="shared" si="307"/>
        <v>0</v>
      </c>
      <c r="BO120" s="418">
        <f t="shared" si="307"/>
        <v>0</v>
      </c>
      <c r="BP120" s="418">
        <f t="shared" si="308"/>
        <v>1364169</v>
      </c>
      <c r="BQ120" s="418">
        <f t="shared" si="308"/>
        <v>40360</v>
      </c>
      <c r="BR120" s="418">
        <f>R120+AV120</f>
        <v>3000</v>
      </c>
      <c r="BS120" s="419">
        <f>S120+BH120</f>
        <v>10.71</v>
      </c>
      <c r="BT120" s="419">
        <f t="shared" si="309"/>
        <v>10.71</v>
      </c>
      <c r="BU120" s="421">
        <f t="shared" si="309"/>
        <v>0</v>
      </c>
      <c r="BV120" s="888"/>
      <c r="BW120" s="723"/>
      <c r="BX120" s="723"/>
      <c r="BY120" s="723"/>
      <c r="BZ120" s="723"/>
      <c r="CA120" s="855"/>
    </row>
    <row r="121" spans="1:79" ht="12.95" customHeight="1" x14ac:dyDescent="0.25">
      <c r="A121" s="280">
        <v>22</v>
      </c>
      <c r="B121" s="321">
        <v>5422</v>
      </c>
      <c r="C121" s="322">
        <v>600099181</v>
      </c>
      <c r="D121" s="281">
        <v>854751</v>
      </c>
      <c r="E121" s="323" t="s">
        <v>392</v>
      </c>
      <c r="F121" s="281">
        <v>3141</v>
      </c>
      <c r="G121" s="323" t="s">
        <v>294</v>
      </c>
      <c r="H121" s="284" t="s">
        <v>272</v>
      </c>
      <c r="I121" s="420">
        <v>2490759</v>
      </c>
      <c r="J121" s="415">
        <v>1831906</v>
      </c>
      <c r="K121" s="415">
        <v>0</v>
      </c>
      <c r="L121" s="415">
        <v>1831906</v>
      </c>
      <c r="M121" s="415">
        <v>0</v>
      </c>
      <c r="N121" s="415">
        <v>0</v>
      </c>
      <c r="O121" s="415">
        <v>0</v>
      </c>
      <c r="P121" s="68">
        <v>619184</v>
      </c>
      <c r="Q121" s="68">
        <v>18319</v>
      </c>
      <c r="R121" s="415">
        <v>21350</v>
      </c>
      <c r="S121" s="416">
        <v>5.4932999999999996</v>
      </c>
      <c r="T121" s="417">
        <v>0</v>
      </c>
      <c r="U121" s="423">
        <v>5.4932999999999996</v>
      </c>
      <c r="V121" s="424">
        <f t="shared" si="304"/>
        <v>0</v>
      </c>
      <c r="W121" s="418">
        <f t="shared" si="304"/>
        <v>0</v>
      </c>
      <c r="X121" s="418">
        <v>0</v>
      </c>
      <c r="Y121" s="418">
        <v>0</v>
      </c>
      <c r="Z121" s="418">
        <v>0</v>
      </c>
      <c r="AA121" s="418">
        <v>916491</v>
      </c>
      <c r="AB121" s="418">
        <v>0</v>
      </c>
      <c r="AC121" s="418">
        <v>0</v>
      </c>
      <c r="AD121" s="418">
        <f>V121+X121+Y121+Z121+AB121</f>
        <v>0</v>
      </c>
      <c r="AE121" s="418">
        <f>W121+AA121+AC121</f>
        <v>916491</v>
      </c>
      <c r="AF121" s="794">
        <f>SUM(AD121:AE121)</f>
        <v>916491</v>
      </c>
      <c r="AG121" s="780">
        <v>0</v>
      </c>
      <c r="AH121" s="418">
        <v>0</v>
      </c>
      <c r="AI121" s="418">
        <v>0</v>
      </c>
      <c r="AJ121" s="418">
        <v>0</v>
      </c>
      <c r="AK121" s="418">
        <v>0</v>
      </c>
      <c r="AL121" s="418">
        <f>AG121+AI121+AJ121</f>
        <v>0</v>
      </c>
      <c r="AM121" s="418">
        <f>AH121+AK121</f>
        <v>0</v>
      </c>
      <c r="AN121" s="418">
        <f>SUM(AL121:AM121)</f>
        <v>0</v>
      </c>
      <c r="AO121" s="418">
        <f t="shared" si="305"/>
        <v>0</v>
      </c>
      <c r="AP121" s="418">
        <f t="shared" si="305"/>
        <v>916491</v>
      </c>
      <c r="AQ121" s="418">
        <f>SUM(AO121:AP121)</f>
        <v>916491</v>
      </c>
      <c r="AR121" s="68">
        <f>ROUND((AF121+AG121+AH121+AI121)*33.8%,0)</f>
        <v>309774</v>
      </c>
      <c r="AS121" s="68">
        <f>ROUND(AF121*1%,0)</f>
        <v>9165</v>
      </c>
      <c r="AT121" s="418">
        <v>0</v>
      </c>
      <c r="AU121" s="418">
        <v>10370</v>
      </c>
      <c r="AV121" s="418">
        <f>AT121+AU121</f>
        <v>10370</v>
      </c>
      <c r="AW121" s="418">
        <f>AQ121+AR121+AS121+AV121</f>
        <v>1245800</v>
      </c>
      <c r="AX121" s="419">
        <v>0</v>
      </c>
      <c r="AY121" s="419">
        <v>0</v>
      </c>
      <c r="AZ121" s="419">
        <v>0</v>
      </c>
      <c r="BA121" s="419">
        <v>0</v>
      </c>
      <c r="BB121" s="419">
        <v>2.75</v>
      </c>
      <c r="BC121" s="419">
        <v>0</v>
      </c>
      <c r="BD121" s="419">
        <v>0</v>
      </c>
      <c r="BE121" s="419">
        <v>0</v>
      </c>
      <c r="BF121" s="419">
        <f>AX121+AZ121+BA121+BC121+BD121</f>
        <v>0</v>
      </c>
      <c r="BG121" s="419">
        <f>AY121+BB121+BE121</f>
        <v>2.75</v>
      </c>
      <c r="BH121" s="894">
        <f>SUM(BF121:BG121)</f>
        <v>2.75</v>
      </c>
      <c r="BI121" s="424">
        <f>I121+AW121</f>
        <v>3736559</v>
      </c>
      <c r="BJ121" s="418">
        <f>J121+AF121</f>
        <v>2748397</v>
      </c>
      <c r="BK121" s="418">
        <f t="shared" si="306"/>
        <v>0</v>
      </c>
      <c r="BL121" s="418">
        <f t="shared" si="306"/>
        <v>2748397</v>
      </c>
      <c r="BM121" s="418">
        <f>M121+AN121</f>
        <v>0</v>
      </c>
      <c r="BN121" s="418">
        <f t="shared" si="307"/>
        <v>0</v>
      </c>
      <c r="BO121" s="418">
        <f t="shared" si="307"/>
        <v>0</v>
      </c>
      <c r="BP121" s="418">
        <f t="shared" si="308"/>
        <v>928958</v>
      </c>
      <c r="BQ121" s="418">
        <f t="shared" si="308"/>
        <v>27484</v>
      </c>
      <c r="BR121" s="418">
        <f>R121+AV121</f>
        <v>31720</v>
      </c>
      <c r="BS121" s="419">
        <f>S121+BH121</f>
        <v>8.2432999999999996</v>
      </c>
      <c r="BT121" s="419">
        <f t="shared" si="309"/>
        <v>0</v>
      </c>
      <c r="BU121" s="421">
        <f t="shared" si="309"/>
        <v>8.2432999999999996</v>
      </c>
      <c r="BV121" s="888"/>
      <c r="BW121" s="723"/>
      <c r="BX121" s="723"/>
      <c r="BY121" s="723"/>
      <c r="BZ121" s="723"/>
      <c r="CA121" s="855"/>
    </row>
    <row r="122" spans="1:79" ht="12.95" customHeight="1" x14ac:dyDescent="0.25">
      <c r="A122" s="280">
        <v>22</v>
      </c>
      <c r="B122" s="321">
        <v>5422</v>
      </c>
      <c r="C122" s="322">
        <v>600099181</v>
      </c>
      <c r="D122" s="281">
        <v>854751</v>
      </c>
      <c r="E122" s="323" t="s">
        <v>392</v>
      </c>
      <c r="F122" s="281">
        <v>3143</v>
      </c>
      <c r="G122" s="323" t="s">
        <v>595</v>
      </c>
      <c r="H122" s="284" t="s">
        <v>271</v>
      </c>
      <c r="I122" s="420">
        <v>2417470</v>
      </c>
      <c r="J122" s="415">
        <v>1793375</v>
      </c>
      <c r="K122" s="415">
        <v>1793375</v>
      </c>
      <c r="L122" s="415">
        <v>0</v>
      </c>
      <c r="M122" s="415">
        <v>0</v>
      </c>
      <c r="N122" s="415">
        <v>0</v>
      </c>
      <c r="O122" s="415">
        <v>0</v>
      </c>
      <c r="P122" s="68">
        <v>606161</v>
      </c>
      <c r="Q122" s="68">
        <v>17934</v>
      </c>
      <c r="R122" s="415">
        <v>0</v>
      </c>
      <c r="S122" s="416">
        <v>3.9392</v>
      </c>
      <c r="T122" s="417">
        <v>3.9392</v>
      </c>
      <c r="U122" s="423">
        <v>0</v>
      </c>
      <c r="V122" s="424">
        <f t="shared" si="304"/>
        <v>0</v>
      </c>
      <c r="W122" s="418">
        <f t="shared" si="304"/>
        <v>0</v>
      </c>
      <c r="X122" s="418">
        <v>0</v>
      </c>
      <c r="Y122" s="418">
        <v>0</v>
      </c>
      <c r="Z122" s="418">
        <v>0</v>
      </c>
      <c r="AA122" s="418">
        <v>0</v>
      </c>
      <c r="AB122" s="418">
        <v>0</v>
      </c>
      <c r="AC122" s="418">
        <v>0</v>
      </c>
      <c r="AD122" s="418">
        <f>V122+X122+Y122+Z122+AB122</f>
        <v>0</v>
      </c>
      <c r="AE122" s="418">
        <f>W122+AA122+AC122</f>
        <v>0</v>
      </c>
      <c r="AF122" s="794">
        <f>SUM(AD122:AE122)</f>
        <v>0</v>
      </c>
      <c r="AG122" s="780">
        <v>0</v>
      </c>
      <c r="AH122" s="418">
        <v>0</v>
      </c>
      <c r="AI122" s="418">
        <v>0</v>
      </c>
      <c r="AJ122" s="418">
        <v>0</v>
      </c>
      <c r="AK122" s="418">
        <v>0</v>
      </c>
      <c r="AL122" s="418">
        <f>AG122+AI122+AJ122</f>
        <v>0</v>
      </c>
      <c r="AM122" s="418">
        <f>AH122+AK122</f>
        <v>0</v>
      </c>
      <c r="AN122" s="418">
        <f>SUM(AL122:AM122)</f>
        <v>0</v>
      </c>
      <c r="AO122" s="418">
        <f t="shared" si="305"/>
        <v>0</v>
      </c>
      <c r="AP122" s="418">
        <f t="shared" si="305"/>
        <v>0</v>
      </c>
      <c r="AQ122" s="418">
        <f>SUM(AO122:AP122)</f>
        <v>0</v>
      </c>
      <c r="AR122" s="68">
        <f>ROUND((AF122+AG122+AH122+AI122)*33.8%,0)</f>
        <v>0</v>
      </c>
      <c r="AS122" s="68">
        <f>ROUND(AF122*1%,0)</f>
        <v>0</v>
      </c>
      <c r="AT122" s="418">
        <v>0</v>
      </c>
      <c r="AU122" s="418">
        <v>0</v>
      </c>
      <c r="AV122" s="418">
        <f>AT122+AU122</f>
        <v>0</v>
      </c>
      <c r="AW122" s="418">
        <f>AQ122+AR122+AS122+AV122</f>
        <v>0</v>
      </c>
      <c r="AX122" s="419">
        <v>0</v>
      </c>
      <c r="AY122" s="419">
        <v>0</v>
      </c>
      <c r="AZ122" s="419">
        <v>0</v>
      </c>
      <c r="BA122" s="419">
        <v>0</v>
      </c>
      <c r="BB122" s="419">
        <v>0</v>
      </c>
      <c r="BC122" s="419">
        <v>0</v>
      </c>
      <c r="BD122" s="419">
        <v>0</v>
      </c>
      <c r="BE122" s="419">
        <v>0</v>
      </c>
      <c r="BF122" s="419">
        <f>AX122+AZ122+BA122+BC122+BD122</f>
        <v>0</v>
      </c>
      <c r="BG122" s="419">
        <f>AY122+BB122+BE122</f>
        <v>0</v>
      </c>
      <c r="BH122" s="894">
        <f>SUM(BF122:BG122)</f>
        <v>0</v>
      </c>
      <c r="BI122" s="424">
        <f>I122+AW122</f>
        <v>2417470</v>
      </c>
      <c r="BJ122" s="418">
        <f>J122+AF122</f>
        <v>1793375</v>
      </c>
      <c r="BK122" s="418">
        <f t="shared" si="306"/>
        <v>1793375</v>
      </c>
      <c r="BL122" s="418">
        <f t="shared" si="306"/>
        <v>0</v>
      </c>
      <c r="BM122" s="418">
        <f>M122+AN122</f>
        <v>0</v>
      </c>
      <c r="BN122" s="418">
        <f t="shared" si="307"/>
        <v>0</v>
      </c>
      <c r="BO122" s="418">
        <f t="shared" si="307"/>
        <v>0</v>
      </c>
      <c r="BP122" s="418">
        <f t="shared" si="308"/>
        <v>606161</v>
      </c>
      <c r="BQ122" s="418">
        <f t="shared" si="308"/>
        <v>17934</v>
      </c>
      <c r="BR122" s="418">
        <f>R122+AV122</f>
        <v>0</v>
      </c>
      <c r="BS122" s="419">
        <f>S122+BH122</f>
        <v>3.9392</v>
      </c>
      <c r="BT122" s="419">
        <f t="shared" si="309"/>
        <v>3.9392</v>
      </c>
      <c r="BU122" s="421">
        <f t="shared" si="309"/>
        <v>0</v>
      </c>
      <c r="BV122" s="888"/>
      <c r="BW122" s="723"/>
      <c r="BX122" s="723"/>
      <c r="BY122" s="723"/>
      <c r="BZ122" s="723"/>
      <c r="CA122" s="855"/>
    </row>
    <row r="123" spans="1:79" ht="12.95" customHeight="1" x14ac:dyDescent="0.25">
      <c r="A123" s="280">
        <v>22</v>
      </c>
      <c r="B123" s="321">
        <v>5422</v>
      </c>
      <c r="C123" s="322">
        <v>600099181</v>
      </c>
      <c r="D123" s="281">
        <v>854751</v>
      </c>
      <c r="E123" s="323" t="s">
        <v>392</v>
      </c>
      <c r="F123" s="281">
        <v>3143</v>
      </c>
      <c r="G123" s="323" t="s">
        <v>596</v>
      </c>
      <c r="H123" s="284" t="s">
        <v>272</v>
      </c>
      <c r="I123" s="420">
        <v>65063</v>
      </c>
      <c r="J123" s="415">
        <v>46570</v>
      </c>
      <c r="K123" s="415">
        <v>0</v>
      </c>
      <c r="L123" s="415">
        <v>46570</v>
      </c>
      <c r="M123" s="415">
        <v>0</v>
      </c>
      <c r="N123" s="415">
        <v>0</v>
      </c>
      <c r="O123" s="415">
        <v>0</v>
      </c>
      <c r="P123" s="68">
        <v>15741</v>
      </c>
      <c r="Q123" s="68">
        <v>466</v>
      </c>
      <c r="R123" s="415">
        <v>2286</v>
      </c>
      <c r="S123" s="416">
        <v>0.1764</v>
      </c>
      <c r="T123" s="417">
        <v>0</v>
      </c>
      <c r="U123" s="423">
        <v>0.1764</v>
      </c>
      <c r="V123" s="424">
        <f t="shared" si="304"/>
        <v>0</v>
      </c>
      <c r="W123" s="418">
        <f t="shared" si="304"/>
        <v>0</v>
      </c>
      <c r="X123" s="418">
        <v>0</v>
      </c>
      <c r="Y123" s="418">
        <v>0</v>
      </c>
      <c r="Z123" s="418">
        <v>0</v>
      </c>
      <c r="AA123" s="418">
        <v>23280</v>
      </c>
      <c r="AB123" s="418">
        <v>0</v>
      </c>
      <c r="AC123" s="418">
        <v>0</v>
      </c>
      <c r="AD123" s="418">
        <f>V123+X123+Y123+Z123+AB123</f>
        <v>0</v>
      </c>
      <c r="AE123" s="418">
        <f>W123+AA123+AC123</f>
        <v>23280</v>
      </c>
      <c r="AF123" s="794">
        <f>SUM(AD123:AE123)</f>
        <v>23280</v>
      </c>
      <c r="AG123" s="780">
        <v>0</v>
      </c>
      <c r="AH123" s="418">
        <v>0</v>
      </c>
      <c r="AI123" s="418">
        <v>0</v>
      </c>
      <c r="AJ123" s="418">
        <v>0</v>
      </c>
      <c r="AK123" s="418">
        <v>0</v>
      </c>
      <c r="AL123" s="418">
        <f>AG123+AI123+AJ123</f>
        <v>0</v>
      </c>
      <c r="AM123" s="418">
        <f>AH123+AK123</f>
        <v>0</v>
      </c>
      <c r="AN123" s="418">
        <f>SUM(AL123:AM123)</f>
        <v>0</v>
      </c>
      <c r="AO123" s="418">
        <f t="shared" si="305"/>
        <v>0</v>
      </c>
      <c r="AP123" s="418">
        <f t="shared" si="305"/>
        <v>23280</v>
      </c>
      <c r="AQ123" s="418">
        <f>SUM(AO123:AP123)</f>
        <v>23280</v>
      </c>
      <c r="AR123" s="68">
        <f>ROUND((AF123+AG123+AH123+AI123)*33.8%,0)</f>
        <v>7869</v>
      </c>
      <c r="AS123" s="68">
        <f>ROUND(AF123*1%,0)</f>
        <v>233</v>
      </c>
      <c r="AT123" s="418">
        <v>0</v>
      </c>
      <c r="AU123" s="418">
        <v>1143</v>
      </c>
      <c r="AV123" s="418">
        <f>AT123+AU123</f>
        <v>1143</v>
      </c>
      <c r="AW123" s="418">
        <f>AQ123+AR123+AS123+AV123</f>
        <v>32525</v>
      </c>
      <c r="AX123" s="419">
        <v>0</v>
      </c>
      <c r="AY123" s="419">
        <v>0</v>
      </c>
      <c r="AZ123" s="419">
        <v>0</v>
      </c>
      <c r="BA123" s="419">
        <v>0</v>
      </c>
      <c r="BB123" s="419">
        <v>0.09</v>
      </c>
      <c r="BC123" s="419">
        <v>0</v>
      </c>
      <c r="BD123" s="419">
        <v>0</v>
      </c>
      <c r="BE123" s="419">
        <v>0</v>
      </c>
      <c r="BF123" s="419">
        <f>AX123+AZ123+BA123+BC123+BD123</f>
        <v>0</v>
      </c>
      <c r="BG123" s="419">
        <f>AY123+BB123+BE123</f>
        <v>0.09</v>
      </c>
      <c r="BH123" s="894">
        <f>SUM(BF123:BG123)</f>
        <v>0.09</v>
      </c>
      <c r="BI123" s="424">
        <f>I123+AW123</f>
        <v>97588</v>
      </c>
      <c r="BJ123" s="418">
        <f>J123+AF123</f>
        <v>69850</v>
      </c>
      <c r="BK123" s="418">
        <f t="shared" si="306"/>
        <v>0</v>
      </c>
      <c r="BL123" s="418">
        <f t="shared" si="306"/>
        <v>69850</v>
      </c>
      <c r="BM123" s="418">
        <f>M123+AN123</f>
        <v>0</v>
      </c>
      <c r="BN123" s="418">
        <f t="shared" si="307"/>
        <v>0</v>
      </c>
      <c r="BO123" s="418">
        <f t="shared" si="307"/>
        <v>0</v>
      </c>
      <c r="BP123" s="418">
        <f t="shared" si="308"/>
        <v>23610</v>
      </c>
      <c r="BQ123" s="418">
        <f t="shared" si="308"/>
        <v>699</v>
      </c>
      <c r="BR123" s="418">
        <f>R123+AV123</f>
        <v>3429</v>
      </c>
      <c r="BS123" s="419">
        <f>S123+BH123</f>
        <v>0.26639999999999997</v>
      </c>
      <c r="BT123" s="419">
        <f t="shared" si="309"/>
        <v>0</v>
      </c>
      <c r="BU123" s="421">
        <f t="shared" si="309"/>
        <v>0.26639999999999997</v>
      </c>
      <c r="BV123" s="888"/>
      <c r="BW123" s="723"/>
      <c r="BX123" s="723"/>
      <c r="BY123" s="723"/>
      <c r="BZ123" s="723"/>
      <c r="CA123" s="855"/>
    </row>
    <row r="124" spans="1:79" ht="12.95" customHeight="1" x14ac:dyDescent="0.25">
      <c r="A124" s="324">
        <v>22</v>
      </c>
      <c r="B124" s="325">
        <v>5422</v>
      </c>
      <c r="C124" s="326">
        <v>600099181</v>
      </c>
      <c r="D124" s="325">
        <v>854751</v>
      </c>
      <c r="E124" s="327" t="s">
        <v>393</v>
      </c>
      <c r="F124" s="291"/>
      <c r="G124" s="329"/>
      <c r="H124" s="292"/>
      <c r="I124" s="472">
        <v>50484534</v>
      </c>
      <c r="J124" s="468">
        <v>36342122</v>
      </c>
      <c r="K124" s="468">
        <v>32516595</v>
      </c>
      <c r="L124" s="468">
        <v>3825527</v>
      </c>
      <c r="M124" s="468">
        <v>638600</v>
      </c>
      <c r="N124" s="468">
        <v>638600</v>
      </c>
      <c r="O124" s="468">
        <v>0</v>
      </c>
      <c r="P124" s="468">
        <v>12499485</v>
      </c>
      <c r="Q124" s="468">
        <v>363421</v>
      </c>
      <c r="R124" s="468">
        <v>640906</v>
      </c>
      <c r="S124" s="469">
        <v>63.920499999999997</v>
      </c>
      <c r="T124" s="469">
        <v>52.371699999999997</v>
      </c>
      <c r="U124" s="532">
        <v>11.548799999999998</v>
      </c>
      <c r="V124" s="472">
        <f t="shared" ref="V124:CA124" si="310">SUM(V119:V123)</f>
        <v>0</v>
      </c>
      <c r="W124" s="468">
        <f t="shared" si="310"/>
        <v>0</v>
      </c>
      <c r="X124" s="468">
        <f t="shared" si="310"/>
        <v>0</v>
      </c>
      <c r="Y124" s="468">
        <f t="shared" si="310"/>
        <v>0</v>
      </c>
      <c r="Z124" s="468">
        <f t="shared" si="310"/>
        <v>0</v>
      </c>
      <c r="AA124" s="468">
        <f t="shared" si="310"/>
        <v>939771</v>
      </c>
      <c r="AB124" s="468">
        <f t="shared" si="310"/>
        <v>0</v>
      </c>
      <c r="AC124" s="468">
        <f t="shared" si="310"/>
        <v>0</v>
      </c>
      <c r="AD124" s="468">
        <f t="shared" si="310"/>
        <v>0</v>
      </c>
      <c r="AE124" s="468">
        <f t="shared" si="310"/>
        <v>939771</v>
      </c>
      <c r="AF124" s="795">
        <f t="shared" si="310"/>
        <v>939771</v>
      </c>
      <c r="AG124" s="785">
        <f t="shared" si="310"/>
        <v>0</v>
      </c>
      <c r="AH124" s="468">
        <f t="shared" si="310"/>
        <v>0</v>
      </c>
      <c r="AI124" s="468">
        <f t="shared" si="310"/>
        <v>0</v>
      </c>
      <c r="AJ124" s="468">
        <f t="shared" si="310"/>
        <v>0</v>
      </c>
      <c r="AK124" s="468">
        <f t="shared" si="310"/>
        <v>0</v>
      </c>
      <c r="AL124" s="468">
        <f t="shared" si="310"/>
        <v>0</v>
      </c>
      <c r="AM124" s="468">
        <f t="shared" si="310"/>
        <v>0</v>
      </c>
      <c r="AN124" s="468">
        <f t="shared" si="310"/>
        <v>0</v>
      </c>
      <c r="AO124" s="468">
        <f t="shared" si="310"/>
        <v>0</v>
      </c>
      <c r="AP124" s="468">
        <f t="shared" si="310"/>
        <v>939771</v>
      </c>
      <c r="AQ124" s="468">
        <f t="shared" si="310"/>
        <v>939771</v>
      </c>
      <c r="AR124" s="468">
        <f t="shared" si="310"/>
        <v>317643</v>
      </c>
      <c r="AS124" s="468">
        <f t="shared" si="310"/>
        <v>9398</v>
      </c>
      <c r="AT124" s="468">
        <f t="shared" si="310"/>
        <v>0</v>
      </c>
      <c r="AU124" s="468">
        <f t="shared" si="310"/>
        <v>11513</v>
      </c>
      <c r="AV124" s="468">
        <f t="shared" si="310"/>
        <v>11513</v>
      </c>
      <c r="AW124" s="468">
        <f t="shared" si="310"/>
        <v>1278325</v>
      </c>
      <c r="AX124" s="469">
        <f t="shared" si="310"/>
        <v>0</v>
      </c>
      <c r="AY124" s="469">
        <f t="shared" si="310"/>
        <v>0</v>
      </c>
      <c r="AZ124" s="469">
        <f t="shared" si="310"/>
        <v>0</v>
      </c>
      <c r="BA124" s="469">
        <f t="shared" si="310"/>
        <v>0</v>
      </c>
      <c r="BB124" s="469">
        <f t="shared" ref="BB124" si="311">SUM(BB119:BB123)</f>
        <v>2.84</v>
      </c>
      <c r="BC124" s="469">
        <f t="shared" si="310"/>
        <v>0</v>
      </c>
      <c r="BD124" s="469">
        <f t="shared" si="310"/>
        <v>0</v>
      </c>
      <c r="BE124" s="469">
        <f t="shared" ref="BE124" si="312">SUM(BE119:BE123)</f>
        <v>0</v>
      </c>
      <c r="BF124" s="469">
        <f t="shared" si="310"/>
        <v>0</v>
      </c>
      <c r="BG124" s="469">
        <f t="shared" si="310"/>
        <v>2.84</v>
      </c>
      <c r="BH124" s="532">
        <f t="shared" si="310"/>
        <v>2.84</v>
      </c>
      <c r="BI124" s="472">
        <f t="shared" si="310"/>
        <v>51762859</v>
      </c>
      <c r="BJ124" s="468">
        <f t="shared" si="310"/>
        <v>37281893</v>
      </c>
      <c r="BK124" s="468">
        <f t="shared" si="310"/>
        <v>32516595</v>
      </c>
      <c r="BL124" s="468">
        <f t="shared" si="310"/>
        <v>4765298</v>
      </c>
      <c r="BM124" s="468">
        <f t="shared" si="310"/>
        <v>638600</v>
      </c>
      <c r="BN124" s="468">
        <f t="shared" si="310"/>
        <v>638600</v>
      </c>
      <c r="BO124" s="468">
        <f t="shared" si="310"/>
        <v>0</v>
      </c>
      <c r="BP124" s="468">
        <f t="shared" si="310"/>
        <v>12817128</v>
      </c>
      <c r="BQ124" s="468">
        <f t="shared" si="310"/>
        <v>372819</v>
      </c>
      <c r="BR124" s="468">
        <f t="shared" si="310"/>
        <v>652419</v>
      </c>
      <c r="BS124" s="469">
        <f t="shared" si="310"/>
        <v>66.760500000000008</v>
      </c>
      <c r="BT124" s="469">
        <f t="shared" si="310"/>
        <v>52.371699999999997</v>
      </c>
      <c r="BU124" s="328">
        <f t="shared" si="310"/>
        <v>14.3888</v>
      </c>
      <c r="BV124" s="886">
        <f t="shared" si="310"/>
        <v>301853</v>
      </c>
      <c r="BW124" s="727">
        <f t="shared" si="310"/>
        <v>0</v>
      </c>
      <c r="BX124" s="727">
        <f t="shared" si="310"/>
        <v>225600</v>
      </c>
      <c r="BY124" s="727">
        <f t="shared" si="310"/>
        <v>76253</v>
      </c>
      <c r="BZ124" s="727">
        <f t="shared" si="310"/>
        <v>0</v>
      </c>
      <c r="CA124" s="859">
        <f t="shared" si="310"/>
        <v>0</v>
      </c>
    </row>
    <row r="125" spans="1:79" ht="12.95" customHeight="1" x14ac:dyDescent="0.25">
      <c r="A125" s="280">
        <v>23</v>
      </c>
      <c r="B125" s="321">
        <v>5424</v>
      </c>
      <c r="C125" s="322">
        <v>600099431</v>
      </c>
      <c r="D125" s="281">
        <v>72742372</v>
      </c>
      <c r="E125" s="323" t="s">
        <v>394</v>
      </c>
      <c r="F125" s="281">
        <v>3114</v>
      </c>
      <c r="G125" s="331" t="s">
        <v>525</v>
      </c>
      <c r="H125" s="284" t="s">
        <v>271</v>
      </c>
      <c r="I125" s="420">
        <v>5549620</v>
      </c>
      <c r="J125" s="415">
        <v>4079573</v>
      </c>
      <c r="K125" s="415">
        <v>3794495</v>
      </c>
      <c r="L125" s="415">
        <v>285078</v>
      </c>
      <c r="M125" s="415">
        <v>15000</v>
      </c>
      <c r="N125" s="415">
        <v>0</v>
      </c>
      <c r="O125" s="415">
        <v>15000</v>
      </c>
      <c r="P125" s="68">
        <v>1383966</v>
      </c>
      <c r="Q125" s="68">
        <v>40796</v>
      </c>
      <c r="R125" s="415">
        <v>30285</v>
      </c>
      <c r="S125" s="416">
        <v>5.6699000000000002</v>
      </c>
      <c r="T125" s="417">
        <v>4.8598999999999997</v>
      </c>
      <c r="U125" s="423">
        <v>0.80999999999999994</v>
      </c>
      <c r="V125" s="424">
        <f>AG125*-1</f>
        <v>0</v>
      </c>
      <c r="W125" s="418">
        <f>AH125*-1</f>
        <v>0</v>
      </c>
      <c r="X125" s="418">
        <v>0</v>
      </c>
      <c r="Y125" s="418">
        <v>0</v>
      </c>
      <c r="Z125" s="418">
        <v>0</v>
      </c>
      <c r="AA125" s="418">
        <v>0</v>
      </c>
      <c r="AB125" s="418">
        <v>0</v>
      </c>
      <c r="AC125" s="418">
        <v>0</v>
      </c>
      <c r="AD125" s="418">
        <f>V125+X125+Y125+Z125+AB125</f>
        <v>0</v>
      </c>
      <c r="AE125" s="418">
        <f>W125+AA125+AC125</f>
        <v>0</v>
      </c>
      <c r="AF125" s="794">
        <f>SUM(AD125:AE125)</f>
        <v>0</v>
      </c>
      <c r="AG125" s="780">
        <v>0</v>
      </c>
      <c r="AH125" s="418">
        <v>0</v>
      </c>
      <c r="AI125" s="418">
        <v>0</v>
      </c>
      <c r="AJ125" s="418">
        <v>0</v>
      </c>
      <c r="AK125" s="418">
        <v>0</v>
      </c>
      <c r="AL125" s="418">
        <f>AG125+AI125+AJ125</f>
        <v>0</v>
      </c>
      <c r="AM125" s="418">
        <f>AH125+AK125</f>
        <v>0</v>
      </c>
      <c r="AN125" s="418">
        <f>SUM(AL125:AM125)</f>
        <v>0</v>
      </c>
      <c r="AO125" s="418">
        <f>AD125+AL125</f>
        <v>0</v>
      </c>
      <c r="AP125" s="418">
        <f>AE125+AM125</f>
        <v>0</v>
      </c>
      <c r="AQ125" s="418">
        <f>SUM(AO125:AP125)</f>
        <v>0</v>
      </c>
      <c r="AR125" s="68">
        <f>ROUND((AF125+AG125+AH125+AI125)*33.8%,0)</f>
        <v>0</v>
      </c>
      <c r="AS125" s="68">
        <f>ROUND(AF125*1%,0)</f>
        <v>0</v>
      </c>
      <c r="AT125" s="418">
        <v>0</v>
      </c>
      <c r="AU125" s="418">
        <v>0</v>
      </c>
      <c r="AV125" s="418">
        <f>AT125+AU125</f>
        <v>0</v>
      </c>
      <c r="AW125" s="418">
        <f>AQ125+AR125+AS125+AV125</f>
        <v>0</v>
      </c>
      <c r="AX125" s="419">
        <v>0</v>
      </c>
      <c r="AY125" s="419">
        <v>0</v>
      </c>
      <c r="AZ125" s="419">
        <v>0</v>
      </c>
      <c r="BA125" s="419">
        <v>0</v>
      </c>
      <c r="BB125" s="419">
        <v>0</v>
      </c>
      <c r="BC125" s="419">
        <v>0</v>
      </c>
      <c r="BD125" s="419">
        <v>0</v>
      </c>
      <c r="BE125" s="419">
        <v>0</v>
      </c>
      <c r="BF125" s="419">
        <f>AX125+AZ125+BA125+BC125+BD125</f>
        <v>0</v>
      </c>
      <c r="BG125" s="419">
        <f>AY125+BB125+BE125</f>
        <v>0</v>
      </c>
      <c r="BH125" s="894">
        <f>SUM(BF125:BG125)</f>
        <v>0</v>
      </c>
      <c r="BI125" s="424">
        <f>I125+AW125</f>
        <v>5549620</v>
      </c>
      <c r="BJ125" s="418">
        <f>J125+AF125</f>
        <v>4079573</v>
      </c>
      <c r="BK125" s="418">
        <f>K125+AD125</f>
        <v>3794495</v>
      </c>
      <c r="BL125" s="418">
        <f>L125+AE125</f>
        <v>285078</v>
      </c>
      <c r="BM125" s="418">
        <f>M125+AN125</f>
        <v>15000</v>
      </c>
      <c r="BN125" s="418">
        <f>N125+AL125</f>
        <v>0</v>
      </c>
      <c r="BO125" s="418">
        <f>O125+AM125</f>
        <v>15000</v>
      </c>
      <c r="BP125" s="418">
        <f>P125+AR125</f>
        <v>1383966</v>
      </c>
      <c r="BQ125" s="418">
        <f>Q125+AS125</f>
        <v>40796</v>
      </c>
      <c r="BR125" s="418">
        <f>R125+AV125</f>
        <v>30285</v>
      </c>
      <c r="BS125" s="419">
        <f>S125+BH125</f>
        <v>5.6699000000000002</v>
      </c>
      <c r="BT125" s="419">
        <f>T125+BF125</f>
        <v>4.8598999999999997</v>
      </c>
      <c r="BU125" s="421">
        <f>U125+BG125</f>
        <v>0.80999999999999994</v>
      </c>
      <c r="BV125" s="888"/>
      <c r="BW125" s="723"/>
      <c r="BX125" s="723"/>
      <c r="BY125" s="723"/>
      <c r="BZ125" s="723"/>
      <c r="CA125" s="855"/>
    </row>
    <row r="126" spans="1:79" ht="12.95" customHeight="1" x14ac:dyDescent="0.25">
      <c r="A126" s="280">
        <v>23</v>
      </c>
      <c r="B126" s="321">
        <v>5424</v>
      </c>
      <c r="C126" s="322">
        <v>600099431</v>
      </c>
      <c r="D126" s="281">
        <v>72742372</v>
      </c>
      <c r="E126" s="323" t="s">
        <v>394</v>
      </c>
      <c r="F126" s="281">
        <v>3114</v>
      </c>
      <c r="G126" s="331" t="s">
        <v>292</v>
      </c>
      <c r="H126" s="284" t="s">
        <v>271</v>
      </c>
      <c r="I126" s="420">
        <v>557020</v>
      </c>
      <c r="J126" s="415">
        <v>413220</v>
      </c>
      <c r="K126" s="415">
        <v>413220</v>
      </c>
      <c r="L126" s="415">
        <v>0</v>
      </c>
      <c r="M126" s="415">
        <v>0</v>
      </c>
      <c r="N126" s="415">
        <v>0</v>
      </c>
      <c r="O126" s="415">
        <v>0</v>
      </c>
      <c r="P126" s="68">
        <v>139668</v>
      </c>
      <c r="Q126" s="68">
        <v>4132</v>
      </c>
      <c r="R126" s="415">
        <v>0</v>
      </c>
      <c r="S126" s="416">
        <v>1</v>
      </c>
      <c r="T126" s="417">
        <v>1</v>
      </c>
      <c r="U126" s="423">
        <v>0</v>
      </c>
      <c r="V126" s="424">
        <f>AG126*-1</f>
        <v>0</v>
      </c>
      <c r="W126" s="418">
        <f>AH126*-1</f>
        <v>0</v>
      </c>
      <c r="X126" s="418">
        <v>0</v>
      </c>
      <c r="Y126" s="418">
        <v>0</v>
      </c>
      <c r="Z126" s="418">
        <v>0</v>
      </c>
      <c r="AA126" s="418">
        <v>0</v>
      </c>
      <c r="AB126" s="418">
        <v>0</v>
      </c>
      <c r="AC126" s="418">
        <v>0</v>
      </c>
      <c r="AD126" s="418">
        <f>V126+X126+Y126+Z126+AB126</f>
        <v>0</v>
      </c>
      <c r="AE126" s="418">
        <f>W126+AA126+AC126</f>
        <v>0</v>
      </c>
      <c r="AF126" s="794">
        <f>SUM(AD126:AE126)</f>
        <v>0</v>
      </c>
      <c r="AG126" s="780">
        <v>0</v>
      </c>
      <c r="AH126" s="418">
        <v>0</v>
      </c>
      <c r="AI126" s="418">
        <v>0</v>
      </c>
      <c r="AJ126" s="418">
        <v>0</v>
      </c>
      <c r="AK126" s="418">
        <v>0</v>
      </c>
      <c r="AL126" s="418">
        <f>AG126+AI126+AJ126</f>
        <v>0</v>
      </c>
      <c r="AM126" s="418">
        <f>AH126+AK126</f>
        <v>0</v>
      </c>
      <c r="AN126" s="418">
        <f>SUM(AL126:AM126)</f>
        <v>0</v>
      </c>
      <c r="AO126" s="418">
        <f>AD126+AL126</f>
        <v>0</v>
      </c>
      <c r="AP126" s="418">
        <f>AE126+AM126</f>
        <v>0</v>
      </c>
      <c r="AQ126" s="418">
        <f>SUM(AO126:AP126)</f>
        <v>0</v>
      </c>
      <c r="AR126" s="68">
        <f>ROUND((AF126+AG126+AH126+AI126)*33.8%,0)</f>
        <v>0</v>
      </c>
      <c r="AS126" s="68">
        <f>ROUND(AF126*1%,0)</f>
        <v>0</v>
      </c>
      <c r="AT126" s="418">
        <v>0</v>
      </c>
      <c r="AU126" s="418">
        <v>0</v>
      </c>
      <c r="AV126" s="418">
        <f>AT126+AU126</f>
        <v>0</v>
      </c>
      <c r="AW126" s="418">
        <f>AQ126+AR126+AS126+AV126</f>
        <v>0</v>
      </c>
      <c r="AX126" s="419">
        <v>0</v>
      </c>
      <c r="AY126" s="419">
        <v>0</v>
      </c>
      <c r="AZ126" s="419">
        <v>0</v>
      </c>
      <c r="BA126" s="419">
        <v>0</v>
      </c>
      <c r="BB126" s="419">
        <v>0</v>
      </c>
      <c r="BC126" s="419">
        <v>0</v>
      </c>
      <c r="BD126" s="419">
        <v>0</v>
      </c>
      <c r="BE126" s="419">
        <v>0</v>
      </c>
      <c r="BF126" s="419">
        <f>AX126+AZ126+BA126+BC126+BD126</f>
        <v>0</v>
      </c>
      <c r="BG126" s="419">
        <f>AY126+BB126+BE126</f>
        <v>0</v>
      </c>
      <c r="BH126" s="894">
        <f>SUM(BF126:BG126)</f>
        <v>0</v>
      </c>
      <c r="BI126" s="424">
        <f>I126+AW126</f>
        <v>557020</v>
      </c>
      <c r="BJ126" s="418">
        <f>J126+AF126</f>
        <v>413220</v>
      </c>
      <c r="BK126" s="418">
        <f>K126+AD126</f>
        <v>413220</v>
      </c>
      <c r="BL126" s="418">
        <f>L126+AE126</f>
        <v>0</v>
      </c>
      <c r="BM126" s="418">
        <f>M126+AN126</f>
        <v>0</v>
      </c>
      <c r="BN126" s="418">
        <f>N126+AL126</f>
        <v>0</v>
      </c>
      <c r="BO126" s="418">
        <f>O126+AM126</f>
        <v>0</v>
      </c>
      <c r="BP126" s="418">
        <f>P126+AR126</f>
        <v>139668</v>
      </c>
      <c r="BQ126" s="418">
        <f>Q126+AS126</f>
        <v>4132</v>
      </c>
      <c r="BR126" s="418">
        <f>R126+AV126</f>
        <v>0</v>
      </c>
      <c r="BS126" s="419">
        <f>S126+BH126</f>
        <v>1</v>
      </c>
      <c r="BT126" s="419">
        <f>T126+BF126</f>
        <v>1</v>
      </c>
      <c r="BU126" s="421">
        <f>U126+BG126</f>
        <v>0</v>
      </c>
      <c r="BV126" s="888"/>
      <c r="BW126" s="723"/>
      <c r="BX126" s="723"/>
      <c r="BY126" s="723"/>
      <c r="BZ126" s="723"/>
      <c r="CA126" s="855"/>
    </row>
    <row r="127" spans="1:79" ht="12.95" customHeight="1" x14ac:dyDescent="0.25">
      <c r="A127" s="324">
        <v>23</v>
      </c>
      <c r="B127" s="325">
        <v>5424</v>
      </c>
      <c r="C127" s="326">
        <v>600099431</v>
      </c>
      <c r="D127" s="325">
        <v>72742372</v>
      </c>
      <c r="E127" s="327" t="s">
        <v>395</v>
      </c>
      <c r="F127" s="291"/>
      <c r="G127" s="329"/>
      <c r="H127" s="292"/>
      <c r="I127" s="472">
        <v>6106640</v>
      </c>
      <c r="J127" s="468">
        <v>4492793</v>
      </c>
      <c r="K127" s="468">
        <v>4207715</v>
      </c>
      <c r="L127" s="468">
        <v>285078</v>
      </c>
      <c r="M127" s="468">
        <v>15000</v>
      </c>
      <c r="N127" s="468">
        <v>0</v>
      </c>
      <c r="O127" s="468">
        <v>15000</v>
      </c>
      <c r="P127" s="468">
        <v>1523634</v>
      </c>
      <c r="Q127" s="468">
        <v>44928</v>
      </c>
      <c r="R127" s="468">
        <v>30285</v>
      </c>
      <c r="S127" s="469">
        <v>6.6699000000000002</v>
      </c>
      <c r="T127" s="469">
        <v>5.8598999999999997</v>
      </c>
      <c r="U127" s="532">
        <v>0.80999999999999994</v>
      </c>
      <c r="V127" s="472">
        <f t="shared" ref="V127:CA127" si="313">SUM(V125:V126)</f>
        <v>0</v>
      </c>
      <c r="W127" s="468">
        <f t="shared" si="313"/>
        <v>0</v>
      </c>
      <c r="X127" s="468">
        <f t="shared" si="313"/>
        <v>0</v>
      </c>
      <c r="Y127" s="468">
        <f t="shared" si="313"/>
        <v>0</v>
      </c>
      <c r="Z127" s="468">
        <f t="shared" si="313"/>
        <v>0</v>
      </c>
      <c r="AA127" s="468">
        <f t="shared" si="313"/>
        <v>0</v>
      </c>
      <c r="AB127" s="468">
        <f t="shared" si="313"/>
        <v>0</v>
      </c>
      <c r="AC127" s="468">
        <f t="shared" si="313"/>
        <v>0</v>
      </c>
      <c r="AD127" s="468">
        <f t="shared" si="313"/>
        <v>0</v>
      </c>
      <c r="AE127" s="468">
        <f t="shared" si="313"/>
        <v>0</v>
      </c>
      <c r="AF127" s="795">
        <f t="shared" si="313"/>
        <v>0</v>
      </c>
      <c r="AG127" s="785">
        <f t="shared" si="313"/>
        <v>0</v>
      </c>
      <c r="AH127" s="468">
        <f t="shared" si="313"/>
        <v>0</v>
      </c>
      <c r="AI127" s="468">
        <f t="shared" si="313"/>
        <v>0</v>
      </c>
      <c r="AJ127" s="468">
        <f t="shared" si="313"/>
        <v>0</v>
      </c>
      <c r="AK127" s="468">
        <f t="shared" si="313"/>
        <v>0</v>
      </c>
      <c r="AL127" s="468">
        <f t="shared" si="313"/>
        <v>0</v>
      </c>
      <c r="AM127" s="468">
        <f t="shared" si="313"/>
        <v>0</v>
      </c>
      <c r="AN127" s="468">
        <f t="shared" si="313"/>
        <v>0</v>
      </c>
      <c r="AO127" s="468">
        <f t="shared" si="313"/>
        <v>0</v>
      </c>
      <c r="AP127" s="468">
        <f t="shared" si="313"/>
        <v>0</v>
      </c>
      <c r="AQ127" s="468">
        <f t="shared" si="313"/>
        <v>0</v>
      </c>
      <c r="AR127" s="468">
        <f t="shared" si="313"/>
        <v>0</v>
      </c>
      <c r="AS127" s="468">
        <f t="shared" si="313"/>
        <v>0</v>
      </c>
      <c r="AT127" s="468">
        <f t="shared" si="313"/>
        <v>0</v>
      </c>
      <c r="AU127" s="468">
        <f t="shared" si="313"/>
        <v>0</v>
      </c>
      <c r="AV127" s="468">
        <f t="shared" si="313"/>
        <v>0</v>
      </c>
      <c r="AW127" s="468">
        <f t="shared" si="313"/>
        <v>0</v>
      </c>
      <c r="AX127" s="469">
        <f t="shared" si="313"/>
        <v>0</v>
      </c>
      <c r="AY127" s="469">
        <f t="shared" si="313"/>
        <v>0</v>
      </c>
      <c r="AZ127" s="469">
        <f t="shared" si="313"/>
        <v>0</v>
      </c>
      <c r="BA127" s="469">
        <f t="shared" si="313"/>
        <v>0</v>
      </c>
      <c r="BB127" s="469">
        <f t="shared" ref="BB127" si="314">SUM(BB125:BB126)</f>
        <v>0</v>
      </c>
      <c r="BC127" s="469">
        <f t="shared" si="313"/>
        <v>0</v>
      </c>
      <c r="BD127" s="469">
        <f t="shared" si="313"/>
        <v>0</v>
      </c>
      <c r="BE127" s="469">
        <f t="shared" ref="BE127" si="315">SUM(BE125:BE126)</f>
        <v>0</v>
      </c>
      <c r="BF127" s="469">
        <f t="shared" si="313"/>
        <v>0</v>
      </c>
      <c r="BG127" s="469">
        <f t="shared" si="313"/>
        <v>0</v>
      </c>
      <c r="BH127" s="532">
        <f t="shared" si="313"/>
        <v>0</v>
      </c>
      <c r="BI127" s="472">
        <f t="shared" si="313"/>
        <v>6106640</v>
      </c>
      <c r="BJ127" s="468">
        <f t="shared" si="313"/>
        <v>4492793</v>
      </c>
      <c r="BK127" s="468">
        <f t="shared" si="313"/>
        <v>4207715</v>
      </c>
      <c r="BL127" s="468">
        <f t="shared" si="313"/>
        <v>285078</v>
      </c>
      <c r="BM127" s="468">
        <f t="shared" si="313"/>
        <v>15000</v>
      </c>
      <c r="BN127" s="468">
        <f t="shared" si="313"/>
        <v>0</v>
      </c>
      <c r="BO127" s="468">
        <f t="shared" si="313"/>
        <v>15000</v>
      </c>
      <c r="BP127" s="468">
        <f t="shared" si="313"/>
        <v>1523634</v>
      </c>
      <c r="BQ127" s="468">
        <f t="shared" si="313"/>
        <v>44928</v>
      </c>
      <c r="BR127" s="468">
        <f t="shared" si="313"/>
        <v>30285</v>
      </c>
      <c r="BS127" s="469">
        <f t="shared" si="313"/>
        <v>6.6699000000000002</v>
      </c>
      <c r="BT127" s="469">
        <f t="shared" si="313"/>
        <v>5.8598999999999997</v>
      </c>
      <c r="BU127" s="328">
        <f t="shared" si="313"/>
        <v>0.80999999999999994</v>
      </c>
      <c r="BV127" s="886">
        <f t="shared" si="313"/>
        <v>0</v>
      </c>
      <c r="BW127" s="727">
        <f t="shared" si="313"/>
        <v>0</v>
      </c>
      <c r="BX127" s="727">
        <f t="shared" si="313"/>
        <v>0</v>
      </c>
      <c r="BY127" s="727">
        <f t="shared" si="313"/>
        <v>0</v>
      </c>
      <c r="BZ127" s="727">
        <f t="shared" si="313"/>
        <v>0</v>
      </c>
      <c r="CA127" s="859">
        <f t="shared" si="313"/>
        <v>0</v>
      </c>
    </row>
    <row r="128" spans="1:79" ht="12.95" customHeight="1" x14ac:dyDescent="0.25">
      <c r="A128" s="280">
        <v>24</v>
      </c>
      <c r="B128" s="321">
        <v>5427</v>
      </c>
      <c r="C128" s="322">
        <v>600099407</v>
      </c>
      <c r="D128" s="281">
        <v>72742534</v>
      </c>
      <c r="E128" s="323" t="s">
        <v>396</v>
      </c>
      <c r="F128" s="281">
        <v>3231</v>
      </c>
      <c r="G128" s="323" t="s">
        <v>397</v>
      </c>
      <c r="H128" s="284" t="s">
        <v>271</v>
      </c>
      <c r="I128" s="420">
        <v>12352028</v>
      </c>
      <c r="J128" s="415">
        <v>9151868</v>
      </c>
      <c r="K128" s="415">
        <v>8803462</v>
      </c>
      <c r="L128" s="415">
        <v>348406</v>
      </c>
      <c r="M128" s="415">
        <v>0</v>
      </c>
      <c r="N128" s="415">
        <v>0</v>
      </c>
      <c r="O128" s="415">
        <v>0</v>
      </c>
      <c r="P128" s="68">
        <v>3093331</v>
      </c>
      <c r="Q128" s="68">
        <v>91519</v>
      </c>
      <c r="R128" s="415">
        <v>15310</v>
      </c>
      <c r="S128" s="416">
        <v>14.930900000000001</v>
      </c>
      <c r="T128" s="417">
        <v>13.9533</v>
      </c>
      <c r="U128" s="423">
        <v>0.97760000000000002</v>
      </c>
      <c r="V128" s="424">
        <f>AG128*-1</f>
        <v>0</v>
      </c>
      <c r="W128" s="418">
        <f>AH128*-1</f>
        <v>0</v>
      </c>
      <c r="X128" s="418">
        <v>0</v>
      </c>
      <c r="Y128" s="418">
        <v>0</v>
      </c>
      <c r="Z128" s="418">
        <v>0</v>
      </c>
      <c r="AA128" s="418">
        <v>0</v>
      </c>
      <c r="AB128" s="418">
        <v>0</v>
      </c>
      <c r="AC128" s="418">
        <v>0</v>
      </c>
      <c r="AD128" s="418">
        <f>V128+X128+Y128+Z128+AB128</f>
        <v>0</v>
      </c>
      <c r="AE128" s="418">
        <f>W128+AA128+AC128</f>
        <v>0</v>
      </c>
      <c r="AF128" s="794">
        <f>SUM(AD128:AE128)</f>
        <v>0</v>
      </c>
      <c r="AG128" s="780">
        <v>0</v>
      </c>
      <c r="AH128" s="418">
        <v>0</v>
      </c>
      <c r="AI128" s="418">
        <v>0</v>
      </c>
      <c r="AJ128" s="418">
        <v>0</v>
      </c>
      <c r="AK128" s="418">
        <v>0</v>
      </c>
      <c r="AL128" s="418">
        <f>AG128+AI128+AJ128</f>
        <v>0</v>
      </c>
      <c r="AM128" s="418">
        <f>AH128+AK128</f>
        <v>0</v>
      </c>
      <c r="AN128" s="418">
        <f>SUM(AL128:AM128)</f>
        <v>0</v>
      </c>
      <c r="AO128" s="418">
        <f>AD128+AL128</f>
        <v>0</v>
      </c>
      <c r="AP128" s="418">
        <f>AE128+AM128</f>
        <v>0</v>
      </c>
      <c r="AQ128" s="418">
        <f>SUM(AO128:AP128)</f>
        <v>0</v>
      </c>
      <c r="AR128" s="68">
        <f>ROUND((AF128+AG128+AH128+AI128)*33.8%,0)</f>
        <v>0</v>
      </c>
      <c r="AS128" s="68">
        <f>ROUND(AF128*1%,0)</f>
        <v>0</v>
      </c>
      <c r="AT128" s="418">
        <v>0</v>
      </c>
      <c r="AU128" s="418">
        <v>0</v>
      </c>
      <c r="AV128" s="418">
        <f>AT128+AU128</f>
        <v>0</v>
      </c>
      <c r="AW128" s="418">
        <f>AQ128+AR128+AS128+AV128</f>
        <v>0</v>
      </c>
      <c r="AX128" s="419">
        <v>0</v>
      </c>
      <c r="AY128" s="419">
        <v>0</v>
      </c>
      <c r="AZ128" s="419">
        <v>0</v>
      </c>
      <c r="BA128" s="419">
        <v>0</v>
      </c>
      <c r="BB128" s="419">
        <v>0</v>
      </c>
      <c r="BC128" s="419">
        <v>0</v>
      </c>
      <c r="BD128" s="419">
        <v>0</v>
      </c>
      <c r="BE128" s="419">
        <v>0</v>
      </c>
      <c r="BF128" s="419">
        <f>AX128+AZ128+BA128+BC128+BD128</f>
        <v>0</v>
      </c>
      <c r="BG128" s="419">
        <f>AY128+BB128+BE128</f>
        <v>0</v>
      </c>
      <c r="BH128" s="894">
        <f>SUM(BF128:BG128)</f>
        <v>0</v>
      </c>
      <c r="BI128" s="424">
        <f>I128+AW128</f>
        <v>12352028</v>
      </c>
      <c r="BJ128" s="418">
        <f>J128+AF128</f>
        <v>9151868</v>
      </c>
      <c r="BK128" s="418">
        <f>K128+AD128</f>
        <v>8803462</v>
      </c>
      <c r="BL128" s="418">
        <f>L128+AE128</f>
        <v>348406</v>
      </c>
      <c r="BM128" s="418">
        <f>M128+AN128</f>
        <v>0</v>
      </c>
      <c r="BN128" s="418">
        <f>N128+AL128</f>
        <v>0</v>
      </c>
      <c r="BO128" s="418">
        <f>O128+AM128</f>
        <v>0</v>
      </c>
      <c r="BP128" s="418">
        <f>P128+AR128</f>
        <v>3093331</v>
      </c>
      <c r="BQ128" s="418">
        <f>Q128+AS128</f>
        <v>91519</v>
      </c>
      <c r="BR128" s="418">
        <f>R128+AV128</f>
        <v>15310</v>
      </c>
      <c r="BS128" s="419">
        <f>S128+BH128</f>
        <v>14.930900000000001</v>
      </c>
      <c r="BT128" s="419">
        <f>T128+BF128</f>
        <v>13.9533</v>
      </c>
      <c r="BU128" s="421">
        <f>U128+BG128</f>
        <v>0.97760000000000002</v>
      </c>
      <c r="BV128" s="888"/>
      <c r="BW128" s="723"/>
      <c r="BX128" s="723"/>
      <c r="BY128" s="723"/>
      <c r="BZ128" s="723"/>
      <c r="CA128" s="855"/>
    </row>
    <row r="129" spans="1:79" ht="12.95" customHeight="1" x14ac:dyDescent="0.25">
      <c r="A129" s="280">
        <v>24</v>
      </c>
      <c r="B129" s="321">
        <v>5427</v>
      </c>
      <c r="C129" s="322">
        <v>600099407</v>
      </c>
      <c r="D129" s="281">
        <v>72742534</v>
      </c>
      <c r="E129" s="323" t="s">
        <v>396</v>
      </c>
      <c r="F129" s="281">
        <v>3231</v>
      </c>
      <c r="G129" s="323" t="s">
        <v>298</v>
      </c>
      <c r="H129" s="284" t="s">
        <v>272</v>
      </c>
      <c r="I129" s="420">
        <v>124960</v>
      </c>
      <c r="J129" s="415">
        <v>92700</v>
      </c>
      <c r="K129" s="415">
        <v>92700</v>
      </c>
      <c r="L129" s="415">
        <v>0</v>
      </c>
      <c r="M129" s="415">
        <v>0</v>
      </c>
      <c r="N129" s="415">
        <v>0</v>
      </c>
      <c r="O129" s="415">
        <v>0</v>
      </c>
      <c r="P129" s="68">
        <v>31333</v>
      </c>
      <c r="Q129" s="68">
        <v>927</v>
      </c>
      <c r="R129" s="415">
        <v>0</v>
      </c>
      <c r="S129" s="416">
        <v>0.25</v>
      </c>
      <c r="T129" s="417">
        <v>0.25</v>
      </c>
      <c r="U129" s="423">
        <v>0</v>
      </c>
      <c r="V129" s="424">
        <f>AG129*-1</f>
        <v>0</v>
      </c>
      <c r="W129" s="418">
        <f>AH129*-1</f>
        <v>0</v>
      </c>
      <c r="X129" s="418">
        <v>0</v>
      </c>
      <c r="Y129" s="418">
        <v>0</v>
      </c>
      <c r="Z129" s="418">
        <v>0</v>
      </c>
      <c r="AA129" s="418">
        <v>0</v>
      </c>
      <c r="AB129" s="418">
        <v>0</v>
      </c>
      <c r="AC129" s="418">
        <v>0</v>
      </c>
      <c r="AD129" s="418">
        <f>V129+X129+Y129+Z129+AB129</f>
        <v>0</v>
      </c>
      <c r="AE129" s="418">
        <f>W129+AA129+AC129</f>
        <v>0</v>
      </c>
      <c r="AF129" s="794">
        <f>SUM(AD129:AE129)</f>
        <v>0</v>
      </c>
      <c r="AG129" s="780">
        <v>0</v>
      </c>
      <c r="AH129" s="418">
        <v>0</v>
      </c>
      <c r="AI129" s="418">
        <v>0</v>
      </c>
      <c r="AJ129" s="418">
        <v>0</v>
      </c>
      <c r="AK129" s="418">
        <v>0</v>
      </c>
      <c r="AL129" s="418">
        <f>AG129+AI129+AJ129</f>
        <v>0</v>
      </c>
      <c r="AM129" s="418">
        <f>AH129+AK129</f>
        <v>0</v>
      </c>
      <c r="AN129" s="418">
        <f>SUM(AL129:AM129)</f>
        <v>0</v>
      </c>
      <c r="AO129" s="418">
        <f>AD129+AL129</f>
        <v>0</v>
      </c>
      <c r="AP129" s="418">
        <f>AE129+AM129</f>
        <v>0</v>
      </c>
      <c r="AQ129" s="418">
        <f>SUM(AO129:AP129)</f>
        <v>0</v>
      </c>
      <c r="AR129" s="68">
        <f>ROUND((AF129+AG129+AH129+AI129)*33.8%,0)</f>
        <v>0</v>
      </c>
      <c r="AS129" s="68">
        <f>ROUND(AF129*1%,0)</f>
        <v>0</v>
      </c>
      <c r="AT129" s="418">
        <v>0</v>
      </c>
      <c r="AU129" s="418">
        <v>0</v>
      </c>
      <c r="AV129" s="418">
        <f>AT129+AU129</f>
        <v>0</v>
      </c>
      <c r="AW129" s="418">
        <f>AQ129+AR129+AS129+AV129</f>
        <v>0</v>
      </c>
      <c r="AX129" s="419">
        <v>0</v>
      </c>
      <c r="AY129" s="419">
        <v>0</v>
      </c>
      <c r="AZ129" s="419">
        <v>0</v>
      </c>
      <c r="BA129" s="419">
        <v>0</v>
      </c>
      <c r="BB129" s="419">
        <v>0</v>
      </c>
      <c r="BC129" s="419">
        <v>0</v>
      </c>
      <c r="BD129" s="419">
        <v>0</v>
      </c>
      <c r="BE129" s="419">
        <v>0</v>
      </c>
      <c r="BF129" s="419">
        <f>AX129+AZ129+BA129+BC129+BD129</f>
        <v>0</v>
      </c>
      <c r="BG129" s="419">
        <f>AY129+BB129+BE129</f>
        <v>0</v>
      </c>
      <c r="BH129" s="894">
        <f>SUM(BF129:BG129)</f>
        <v>0</v>
      </c>
      <c r="BI129" s="424">
        <f>I129+AW129</f>
        <v>124960</v>
      </c>
      <c r="BJ129" s="418">
        <f>J129+AF129</f>
        <v>92700</v>
      </c>
      <c r="BK129" s="418">
        <f>K129+AD129</f>
        <v>92700</v>
      </c>
      <c r="BL129" s="418">
        <f>L129+AE129</f>
        <v>0</v>
      </c>
      <c r="BM129" s="418">
        <f>M129+AN129</f>
        <v>0</v>
      </c>
      <c r="BN129" s="418">
        <f>N129+AL129</f>
        <v>0</v>
      </c>
      <c r="BO129" s="418">
        <f>O129+AM129</f>
        <v>0</v>
      </c>
      <c r="BP129" s="418">
        <f>P129+AR129</f>
        <v>31333</v>
      </c>
      <c r="BQ129" s="418">
        <f>Q129+AS129</f>
        <v>927</v>
      </c>
      <c r="BR129" s="418">
        <f>R129+AV129</f>
        <v>0</v>
      </c>
      <c r="BS129" s="419">
        <f>S129+BH129</f>
        <v>0.25</v>
      </c>
      <c r="BT129" s="419">
        <f>T129+BF129</f>
        <v>0.25</v>
      </c>
      <c r="BU129" s="421">
        <f>U129+BG129</f>
        <v>0</v>
      </c>
      <c r="BV129" s="888"/>
      <c r="BW129" s="723"/>
      <c r="BX129" s="723"/>
      <c r="BY129" s="723"/>
      <c r="BZ129" s="723"/>
      <c r="CA129" s="855"/>
    </row>
    <row r="130" spans="1:79" ht="12.95" customHeight="1" x14ac:dyDescent="0.25">
      <c r="A130" s="324">
        <v>24</v>
      </c>
      <c r="B130" s="325">
        <v>5427</v>
      </c>
      <c r="C130" s="326">
        <v>600099431</v>
      </c>
      <c r="D130" s="325">
        <v>72742534</v>
      </c>
      <c r="E130" s="327" t="s">
        <v>398</v>
      </c>
      <c r="F130" s="291"/>
      <c r="G130" s="329"/>
      <c r="H130" s="292"/>
      <c r="I130" s="472">
        <v>12476988</v>
      </c>
      <c r="J130" s="468">
        <v>9244568</v>
      </c>
      <c r="K130" s="468">
        <v>8896162</v>
      </c>
      <c r="L130" s="468">
        <v>348406</v>
      </c>
      <c r="M130" s="468">
        <v>0</v>
      </c>
      <c r="N130" s="468">
        <v>0</v>
      </c>
      <c r="O130" s="468">
        <v>0</v>
      </c>
      <c r="P130" s="468">
        <v>3124664</v>
      </c>
      <c r="Q130" s="468">
        <v>92446</v>
      </c>
      <c r="R130" s="468">
        <v>15310</v>
      </c>
      <c r="S130" s="469">
        <v>15.180900000000001</v>
      </c>
      <c r="T130" s="469">
        <v>14.2033</v>
      </c>
      <c r="U130" s="532">
        <v>0.97760000000000002</v>
      </c>
      <c r="V130" s="472">
        <f t="shared" ref="V130:CA130" si="316">SUM(V128:V129)</f>
        <v>0</v>
      </c>
      <c r="W130" s="468">
        <f t="shared" si="316"/>
        <v>0</v>
      </c>
      <c r="X130" s="468">
        <f t="shared" si="316"/>
        <v>0</v>
      </c>
      <c r="Y130" s="468">
        <f t="shared" si="316"/>
        <v>0</v>
      </c>
      <c r="Z130" s="468">
        <f t="shared" si="316"/>
        <v>0</v>
      </c>
      <c r="AA130" s="468">
        <f t="shared" si="316"/>
        <v>0</v>
      </c>
      <c r="AB130" s="468">
        <f t="shared" si="316"/>
        <v>0</v>
      </c>
      <c r="AC130" s="468">
        <f t="shared" si="316"/>
        <v>0</v>
      </c>
      <c r="AD130" s="468">
        <f t="shared" si="316"/>
        <v>0</v>
      </c>
      <c r="AE130" s="468">
        <f t="shared" si="316"/>
        <v>0</v>
      </c>
      <c r="AF130" s="795">
        <f t="shared" si="316"/>
        <v>0</v>
      </c>
      <c r="AG130" s="785">
        <f t="shared" si="316"/>
        <v>0</v>
      </c>
      <c r="AH130" s="468">
        <f t="shared" si="316"/>
        <v>0</v>
      </c>
      <c r="AI130" s="468">
        <f t="shared" si="316"/>
        <v>0</v>
      </c>
      <c r="AJ130" s="468">
        <f t="shared" si="316"/>
        <v>0</v>
      </c>
      <c r="AK130" s="468">
        <f t="shared" si="316"/>
        <v>0</v>
      </c>
      <c r="AL130" s="468">
        <f t="shared" si="316"/>
        <v>0</v>
      </c>
      <c r="AM130" s="468">
        <f t="shared" si="316"/>
        <v>0</v>
      </c>
      <c r="AN130" s="468">
        <f t="shared" si="316"/>
        <v>0</v>
      </c>
      <c r="AO130" s="468">
        <f t="shared" si="316"/>
        <v>0</v>
      </c>
      <c r="AP130" s="468">
        <f t="shared" si="316"/>
        <v>0</v>
      </c>
      <c r="AQ130" s="468">
        <f t="shared" si="316"/>
        <v>0</v>
      </c>
      <c r="AR130" s="468">
        <f t="shared" si="316"/>
        <v>0</v>
      </c>
      <c r="AS130" s="468">
        <f t="shared" si="316"/>
        <v>0</v>
      </c>
      <c r="AT130" s="468">
        <f t="shared" si="316"/>
        <v>0</v>
      </c>
      <c r="AU130" s="468">
        <f t="shared" si="316"/>
        <v>0</v>
      </c>
      <c r="AV130" s="468">
        <f t="shared" si="316"/>
        <v>0</v>
      </c>
      <c r="AW130" s="468">
        <f t="shared" si="316"/>
        <v>0</v>
      </c>
      <c r="AX130" s="469">
        <f t="shared" si="316"/>
        <v>0</v>
      </c>
      <c r="AY130" s="469">
        <f t="shared" si="316"/>
        <v>0</v>
      </c>
      <c r="AZ130" s="469">
        <f t="shared" si="316"/>
        <v>0</v>
      </c>
      <c r="BA130" s="469">
        <f t="shared" si="316"/>
        <v>0</v>
      </c>
      <c r="BB130" s="469">
        <f t="shared" ref="BB130" si="317">SUM(BB128:BB129)</f>
        <v>0</v>
      </c>
      <c r="BC130" s="469">
        <f t="shared" si="316"/>
        <v>0</v>
      </c>
      <c r="BD130" s="469">
        <f t="shared" si="316"/>
        <v>0</v>
      </c>
      <c r="BE130" s="469">
        <f t="shared" ref="BE130" si="318">SUM(BE128:BE129)</f>
        <v>0</v>
      </c>
      <c r="BF130" s="469">
        <f t="shared" si="316"/>
        <v>0</v>
      </c>
      <c r="BG130" s="469">
        <f t="shared" si="316"/>
        <v>0</v>
      </c>
      <c r="BH130" s="532">
        <f t="shared" si="316"/>
        <v>0</v>
      </c>
      <c r="BI130" s="472">
        <f t="shared" si="316"/>
        <v>12476988</v>
      </c>
      <c r="BJ130" s="468">
        <f t="shared" si="316"/>
        <v>9244568</v>
      </c>
      <c r="BK130" s="468">
        <f t="shared" si="316"/>
        <v>8896162</v>
      </c>
      <c r="BL130" s="468">
        <f t="shared" si="316"/>
        <v>348406</v>
      </c>
      <c r="BM130" s="468">
        <f t="shared" si="316"/>
        <v>0</v>
      </c>
      <c r="BN130" s="468">
        <f t="shared" si="316"/>
        <v>0</v>
      </c>
      <c r="BO130" s="468">
        <f t="shared" si="316"/>
        <v>0</v>
      </c>
      <c r="BP130" s="468">
        <f t="shared" si="316"/>
        <v>3124664</v>
      </c>
      <c r="BQ130" s="468">
        <f t="shared" si="316"/>
        <v>92446</v>
      </c>
      <c r="BR130" s="468">
        <f t="shared" si="316"/>
        <v>15310</v>
      </c>
      <c r="BS130" s="469">
        <f t="shared" si="316"/>
        <v>15.180900000000001</v>
      </c>
      <c r="BT130" s="469">
        <f t="shared" si="316"/>
        <v>14.2033</v>
      </c>
      <c r="BU130" s="328">
        <f t="shared" si="316"/>
        <v>0.97760000000000002</v>
      </c>
      <c r="BV130" s="886">
        <f t="shared" si="316"/>
        <v>0</v>
      </c>
      <c r="BW130" s="727">
        <f t="shared" si="316"/>
        <v>0</v>
      </c>
      <c r="BX130" s="727">
        <f t="shared" si="316"/>
        <v>0</v>
      </c>
      <c r="BY130" s="727">
        <f t="shared" si="316"/>
        <v>0</v>
      </c>
      <c r="BZ130" s="727">
        <f t="shared" si="316"/>
        <v>0</v>
      </c>
      <c r="CA130" s="859">
        <f t="shared" si="316"/>
        <v>0</v>
      </c>
    </row>
    <row r="131" spans="1:79" ht="12.95" customHeight="1" x14ac:dyDescent="0.25">
      <c r="A131" s="280">
        <v>25</v>
      </c>
      <c r="B131" s="321">
        <v>5432</v>
      </c>
      <c r="C131" s="322">
        <v>600099024</v>
      </c>
      <c r="D131" s="281">
        <v>71003819</v>
      </c>
      <c r="E131" s="323" t="s">
        <v>399</v>
      </c>
      <c r="F131" s="281">
        <v>3111</v>
      </c>
      <c r="G131" s="323" t="s">
        <v>304</v>
      </c>
      <c r="H131" s="284" t="s">
        <v>271</v>
      </c>
      <c r="I131" s="420">
        <v>1671833</v>
      </c>
      <c r="J131" s="415">
        <v>1223169</v>
      </c>
      <c r="K131" s="415">
        <v>1159601</v>
      </c>
      <c r="L131" s="415">
        <v>63568</v>
      </c>
      <c r="M131" s="415">
        <v>13000</v>
      </c>
      <c r="N131" s="415">
        <v>10000</v>
      </c>
      <c r="O131" s="415">
        <v>3000</v>
      </c>
      <c r="P131" s="68">
        <v>417825</v>
      </c>
      <c r="Q131" s="68">
        <v>12232</v>
      </c>
      <c r="R131" s="415">
        <v>5607</v>
      </c>
      <c r="S131" s="416">
        <v>2.2667000000000002</v>
      </c>
      <c r="T131" s="417">
        <v>2</v>
      </c>
      <c r="U131" s="423">
        <v>0.26669999999999999</v>
      </c>
      <c r="V131" s="424">
        <f t="shared" ref="V131:W136" si="319">AG131*-1</f>
        <v>0</v>
      </c>
      <c r="W131" s="418">
        <f t="shared" si="319"/>
        <v>0</v>
      </c>
      <c r="X131" s="418">
        <v>0</v>
      </c>
      <c r="Y131" s="418">
        <v>0</v>
      </c>
      <c r="Z131" s="418">
        <v>0</v>
      </c>
      <c r="AA131" s="418">
        <v>0</v>
      </c>
      <c r="AB131" s="418">
        <v>0</v>
      </c>
      <c r="AC131" s="418">
        <v>0</v>
      </c>
      <c r="AD131" s="418">
        <f t="shared" ref="AD131:AD136" si="320">V131+X131+Y131+Z131+AB131</f>
        <v>0</v>
      </c>
      <c r="AE131" s="418">
        <f t="shared" ref="AE131:AE136" si="321">W131+AA131+AC131</f>
        <v>0</v>
      </c>
      <c r="AF131" s="794">
        <f t="shared" ref="AF131:AF136" si="322">SUM(AD131:AE131)</f>
        <v>0</v>
      </c>
      <c r="AG131" s="780">
        <v>0</v>
      </c>
      <c r="AH131" s="418">
        <v>0</v>
      </c>
      <c r="AI131" s="418">
        <v>0</v>
      </c>
      <c r="AJ131" s="418">
        <v>0</v>
      </c>
      <c r="AK131" s="418">
        <v>0</v>
      </c>
      <c r="AL131" s="418">
        <f t="shared" ref="AL131:AL136" si="323">AG131+AI131+AJ131</f>
        <v>0</v>
      </c>
      <c r="AM131" s="418">
        <f t="shared" ref="AM131:AM136" si="324">AH131+AK131</f>
        <v>0</v>
      </c>
      <c r="AN131" s="418">
        <f t="shared" ref="AN131:AN136" si="325">SUM(AL131:AM131)</f>
        <v>0</v>
      </c>
      <c r="AO131" s="418">
        <f t="shared" ref="AO131:AP136" si="326">AD131+AL131</f>
        <v>0</v>
      </c>
      <c r="AP131" s="418">
        <f t="shared" si="326"/>
        <v>0</v>
      </c>
      <c r="AQ131" s="418">
        <f t="shared" ref="AQ131:AQ136" si="327">SUM(AO131:AP131)</f>
        <v>0</v>
      </c>
      <c r="AR131" s="68">
        <f t="shared" ref="AR131:AR136" si="328">ROUND((AF131+AG131+AH131+AI131)*33.8%,0)</f>
        <v>0</v>
      </c>
      <c r="AS131" s="68">
        <f t="shared" ref="AS131:AS136" si="329">ROUND(AF131*1%,0)</f>
        <v>0</v>
      </c>
      <c r="AT131" s="418">
        <v>0</v>
      </c>
      <c r="AU131" s="418">
        <v>0</v>
      </c>
      <c r="AV131" s="418">
        <f t="shared" ref="AV131:AV136" si="330">AT131+AU131</f>
        <v>0</v>
      </c>
      <c r="AW131" s="418">
        <f t="shared" ref="AW131:AW136" si="331">AQ131+AR131+AS131+AV131</f>
        <v>0</v>
      </c>
      <c r="AX131" s="419">
        <v>0</v>
      </c>
      <c r="AY131" s="419">
        <v>0</v>
      </c>
      <c r="AZ131" s="419">
        <v>0</v>
      </c>
      <c r="BA131" s="419">
        <v>0</v>
      </c>
      <c r="BB131" s="419">
        <v>0</v>
      </c>
      <c r="BC131" s="419">
        <v>0</v>
      </c>
      <c r="BD131" s="419">
        <v>0</v>
      </c>
      <c r="BE131" s="419">
        <v>0</v>
      </c>
      <c r="BF131" s="419">
        <f t="shared" ref="BF131:BF136" si="332">AX131+AZ131+BA131+BC131+BD131</f>
        <v>0</v>
      </c>
      <c r="BG131" s="419">
        <f t="shared" ref="BG131:BG136" si="333">AY131+BB131+BE131</f>
        <v>0</v>
      </c>
      <c r="BH131" s="894">
        <f t="shared" ref="BH131:BH136" si="334">SUM(BF131:BG131)</f>
        <v>0</v>
      </c>
      <c r="BI131" s="424">
        <f t="shared" ref="BI131:BI136" si="335">I131+AW131</f>
        <v>1671833</v>
      </c>
      <c r="BJ131" s="418">
        <f t="shared" ref="BJ131:BJ136" si="336">J131+AF131</f>
        <v>1223169</v>
      </c>
      <c r="BK131" s="418">
        <f t="shared" ref="BK131:BL136" si="337">K131+AD131</f>
        <v>1159601</v>
      </c>
      <c r="BL131" s="418">
        <f t="shared" si="337"/>
        <v>63568</v>
      </c>
      <c r="BM131" s="418">
        <f t="shared" ref="BM131:BM136" si="338">M131+AN131</f>
        <v>13000</v>
      </c>
      <c r="BN131" s="418">
        <f t="shared" ref="BN131:BO136" si="339">N131+AL131</f>
        <v>10000</v>
      </c>
      <c r="BO131" s="418">
        <f t="shared" si="339"/>
        <v>3000</v>
      </c>
      <c r="BP131" s="418">
        <f t="shared" ref="BP131:BQ136" si="340">P131+AR131</f>
        <v>417825</v>
      </c>
      <c r="BQ131" s="418">
        <f t="shared" si="340"/>
        <v>12232</v>
      </c>
      <c r="BR131" s="418">
        <f t="shared" ref="BR131:BR136" si="341">R131+AV131</f>
        <v>5607</v>
      </c>
      <c r="BS131" s="419">
        <f t="shared" ref="BS131:BS136" si="342">S131+BH131</f>
        <v>2.2667000000000002</v>
      </c>
      <c r="BT131" s="419">
        <f t="shared" ref="BT131:BU136" si="343">T131+BF131</f>
        <v>2</v>
      </c>
      <c r="BU131" s="421">
        <f t="shared" si="343"/>
        <v>0.26669999999999999</v>
      </c>
      <c r="BV131" s="890"/>
      <c r="BW131" s="678"/>
      <c r="BX131" s="678"/>
      <c r="BY131" s="678"/>
      <c r="BZ131" s="678"/>
      <c r="CA131" s="827"/>
    </row>
    <row r="132" spans="1:79" ht="12.95" customHeight="1" x14ac:dyDescent="0.25">
      <c r="A132" s="280">
        <v>25</v>
      </c>
      <c r="B132" s="321">
        <v>5432</v>
      </c>
      <c r="C132" s="322">
        <v>600099024</v>
      </c>
      <c r="D132" s="281">
        <v>71003819</v>
      </c>
      <c r="E132" s="323" t="s">
        <v>399</v>
      </c>
      <c r="F132" s="281">
        <v>3117</v>
      </c>
      <c r="G132" s="323" t="s">
        <v>293</v>
      </c>
      <c r="H132" s="284" t="s">
        <v>271</v>
      </c>
      <c r="I132" s="420">
        <v>3167271</v>
      </c>
      <c r="J132" s="415">
        <v>2303873</v>
      </c>
      <c r="K132" s="415">
        <v>2027786</v>
      </c>
      <c r="L132" s="415">
        <v>276087</v>
      </c>
      <c r="M132" s="415">
        <v>12000</v>
      </c>
      <c r="N132" s="415">
        <v>10000</v>
      </c>
      <c r="O132" s="415">
        <v>2000</v>
      </c>
      <c r="P132" s="68">
        <v>782765</v>
      </c>
      <c r="Q132" s="68">
        <v>23038</v>
      </c>
      <c r="R132" s="415">
        <v>45595</v>
      </c>
      <c r="S132" s="416">
        <v>3.9778000000000002</v>
      </c>
      <c r="T132" s="417">
        <v>3.2612000000000001</v>
      </c>
      <c r="U132" s="423">
        <v>0.71660000000000001</v>
      </c>
      <c r="V132" s="424">
        <f t="shared" si="319"/>
        <v>0</v>
      </c>
      <c r="W132" s="418">
        <f t="shared" si="319"/>
        <v>0</v>
      </c>
      <c r="X132" s="418">
        <v>0</v>
      </c>
      <c r="Y132" s="418">
        <v>0</v>
      </c>
      <c r="Z132" s="418">
        <v>0</v>
      </c>
      <c r="AA132" s="418">
        <v>0</v>
      </c>
      <c r="AB132" s="418">
        <v>0</v>
      </c>
      <c r="AC132" s="418">
        <v>0</v>
      </c>
      <c r="AD132" s="418">
        <f t="shared" si="320"/>
        <v>0</v>
      </c>
      <c r="AE132" s="418">
        <f t="shared" si="321"/>
        <v>0</v>
      </c>
      <c r="AF132" s="794">
        <f t="shared" si="322"/>
        <v>0</v>
      </c>
      <c r="AG132" s="780">
        <v>0</v>
      </c>
      <c r="AH132" s="418">
        <v>0</v>
      </c>
      <c r="AI132" s="418">
        <v>0</v>
      </c>
      <c r="AJ132" s="418">
        <v>0</v>
      </c>
      <c r="AK132" s="418">
        <v>0</v>
      </c>
      <c r="AL132" s="418">
        <f t="shared" si="323"/>
        <v>0</v>
      </c>
      <c r="AM132" s="418">
        <f t="shared" si="324"/>
        <v>0</v>
      </c>
      <c r="AN132" s="418">
        <f t="shared" si="325"/>
        <v>0</v>
      </c>
      <c r="AO132" s="418">
        <f t="shared" si="326"/>
        <v>0</v>
      </c>
      <c r="AP132" s="418">
        <f t="shared" si="326"/>
        <v>0</v>
      </c>
      <c r="AQ132" s="418">
        <f t="shared" si="327"/>
        <v>0</v>
      </c>
      <c r="AR132" s="68">
        <f t="shared" si="328"/>
        <v>0</v>
      </c>
      <c r="AS132" s="68">
        <f t="shared" si="329"/>
        <v>0</v>
      </c>
      <c r="AT132" s="418">
        <v>0</v>
      </c>
      <c r="AU132" s="418">
        <v>0</v>
      </c>
      <c r="AV132" s="418">
        <f t="shared" si="330"/>
        <v>0</v>
      </c>
      <c r="AW132" s="418">
        <f t="shared" si="331"/>
        <v>0</v>
      </c>
      <c r="AX132" s="419">
        <v>0</v>
      </c>
      <c r="AY132" s="419">
        <v>0</v>
      </c>
      <c r="AZ132" s="419">
        <v>0</v>
      </c>
      <c r="BA132" s="419">
        <v>0</v>
      </c>
      <c r="BB132" s="419">
        <v>0</v>
      </c>
      <c r="BC132" s="419">
        <v>0</v>
      </c>
      <c r="BD132" s="419">
        <v>0</v>
      </c>
      <c r="BE132" s="419">
        <v>0</v>
      </c>
      <c r="BF132" s="419">
        <f t="shared" si="332"/>
        <v>0</v>
      </c>
      <c r="BG132" s="419">
        <f t="shared" si="333"/>
        <v>0</v>
      </c>
      <c r="BH132" s="894">
        <f t="shared" si="334"/>
        <v>0</v>
      </c>
      <c r="BI132" s="424">
        <f t="shared" si="335"/>
        <v>3167271</v>
      </c>
      <c r="BJ132" s="418">
        <f t="shared" si="336"/>
        <v>2303873</v>
      </c>
      <c r="BK132" s="418">
        <f t="shared" si="337"/>
        <v>2027786</v>
      </c>
      <c r="BL132" s="418">
        <f t="shared" si="337"/>
        <v>276087</v>
      </c>
      <c r="BM132" s="418">
        <f t="shared" si="338"/>
        <v>12000</v>
      </c>
      <c r="BN132" s="418">
        <f t="shared" si="339"/>
        <v>10000</v>
      </c>
      <c r="BO132" s="418">
        <f t="shared" si="339"/>
        <v>2000</v>
      </c>
      <c r="BP132" s="418">
        <f t="shared" si="340"/>
        <v>782765</v>
      </c>
      <c r="BQ132" s="418">
        <f t="shared" si="340"/>
        <v>23038</v>
      </c>
      <c r="BR132" s="418">
        <f t="shared" si="341"/>
        <v>45595</v>
      </c>
      <c r="BS132" s="419">
        <f t="shared" si="342"/>
        <v>3.9778000000000002</v>
      </c>
      <c r="BT132" s="419">
        <f t="shared" si="343"/>
        <v>3.2612000000000001</v>
      </c>
      <c r="BU132" s="421">
        <f t="shared" si="343"/>
        <v>0.71660000000000001</v>
      </c>
      <c r="BV132" s="888"/>
      <c r="BW132" s="723"/>
      <c r="BX132" s="723"/>
      <c r="BY132" s="723"/>
      <c r="BZ132" s="723"/>
      <c r="CA132" s="855"/>
    </row>
    <row r="133" spans="1:79" ht="12.95" customHeight="1" x14ac:dyDescent="0.25">
      <c r="A133" s="280">
        <v>25</v>
      </c>
      <c r="B133" s="321">
        <v>5432</v>
      </c>
      <c r="C133" s="322">
        <v>600099024</v>
      </c>
      <c r="D133" s="281">
        <v>71003819</v>
      </c>
      <c r="E133" s="323" t="s">
        <v>399</v>
      </c>
      <c r="F133" s="281">
        <v>3117</v>
      </c>
      <c r="G133" s="323" t="s">
        <v>298</v>
      </c>
      <c r="H133" s="284" t="s">
        <v>272</v>
      </c>
      <c r="I133" s="420">
        <v>699478</v>
      </c>
      <c r="J133" s="415">
        <v>515006</v>
      </c>
      <c r="K133" s="415">
        <v>515006</v>
      </c>
      <c r="L133" s="415">
        <v>0</v>
      </c>
      <c r="M133" s="415">
        <v>0</v>
      </c>
      <c r="N133" s="415">
        <v>0</v>
      </c>
      <c r="O133" s="415">
        <v>0</v>
      </c>
      <c r="P133" s="68">
        <v>174072</v>
      </c>
      <c r="Q133" s="68">
        <v>5150</v>
      </c>
      <c r="R133" s="415">
        <v>5250</v>
      </c>
      <c r="S133" s="416">
        <v>1.39</v>
      </c>
      <c r="T133" s="417">
        <v>1.39</v>
      </c>
      <c r="U133" s="423">
        <v>0</v>
      </c>
      <c r="V133" s="424">
        <f t="shared" si="319"/>
        <v>0</v>
      </c>
      <c r="W133" s="418">
        <f t="shared" si="319"/>
        <v>0</v>
      </c>
      <c r="X133" s="418">
        <v>0</v>
      </c>
      <c r="Y133" s="418">
        <v>0</v>
      </c>
      <c r="Z133" s="418">
        <v>0</v>
      </c>
      <c r="AA133" s="418">
        <v>0</v>
      </c>
      <c r="AB133" s="418">
        <v>0</v>
      </c>
      <c r="AC133" s="418">
        <v>0</v>
      </c>
      <c r="AD133" s="418">
        <f t="shared" si="320"/>
        <v>0</v>
      </c>
      <c r="AE133" s="418">
        <f t="shared" si="321"/>
        <v>0</v>
      </c>
      <c r="AF133" s="794">
        <f t="shared" si="322"/>
        <v>0</v>
      </c>
      <c r="AG133" s="780">
        <v>0</v>
      </c>
      <c r="AH133" s="418">
        <v>0</v>
      </c>
      <c r="AI133" s="418">
        <v>0</v>
      </c>
      <c r="AJ133" s="418">
        <v>0</v>
      </c>
      <c r="AK133" s="418">
        <v>0</v>
      </c>
      <c r="AL133" s="418">
        <f t="shared" si="323"/>
        <v>0</v>
      </c>
      <c r="AM133" s="418">
        <f t="shared" si="324"/>
        <v>0</v>
      </c>
      <c r="AN133" s="418">
        <f t="shared" si="325"/>
        <v>0</v>
      </c>
      <c r="AO133" s="418">
        <f t="shared" si="326"/>
        <v>0</v>
      </c>
      <c r="AP133" s="418">
        <f t="shared" si="326"/>
        <v>0</v>
      </c>
      <c r="AQ133" s="418">
        <f t="shared" si="327"/>
        <v>0</v>
      </c>
      <c r="AR133" s="68">
        <f t="shared" si="328"/>
        <v>0</v>
      </c>
      <c r="AS133" s="68">
        <f t="shared" si="329"/>
        <v>0</v>
      </c>
      <c r="AT133" s="418">
        <v>0</v>
      </c>
      <c r="AU133" s="418">
        <v>0</v>
      </c>
      <c r="AV133" s="418">
        <f t="shared" si="330"/>
        <v>0</v>
      </c>
      <c r="AW133" s="418">
        <f t="shared" si="331"/>
        <v>0</v>
      </c>
      <c r="AX133" s="419">
        <v>0</v>
      </c>
      <c r="AY133" s="419">
        <v>0</v>
      </c>
      <c r="AZ133" s="419">
        <v>0</v>
      </c>
      <c r="BA133" s="419">
        <v>0</v>
      </c>
      <c r="BB133" s="419">
        <v>0</v>
      </c>
      <c r="BC133" s="419">
        <v>0</v>
      </c>
      <c r="BD133" s="419">
        <v>0</v>
      </c>
      <c r="BE133" s="419">
        <v>0</v>
      </c>
      <c r="BF133" s="419">
        <f t="shared" si="332"/>
        <v>0</v>
      </c>
      <c r="BG133" s="419">
        <f t="shared" si="333"/>
        <v>0</v>
      </c>
      <c r="BH133" s="894">
        <f t="shared" si="334"/>
        <v>0</v>
      </c>
      <c r="BI133" s="424">
        <f t="shared" si="335"/>
        <v>699478</v>
      </c>
      <c r="BJ133" s="418">
        <f t="shared" si="336"/>
        <v>515006</v>
      </c>
      <c r="BK133" s="418">
        <f t="shared" si="337"/>
        <v>515006</v>
      </c>
      <c r="BL133" s="418">
        <f t="shared" si="337"/>
        <v>0</v>
      </c>
      <c r="BM133" s="418">
        <f t="shared" si="338"/>
        <v>0</v>
      </c>
      <c r="BN133" s="418">
        <f t="shared" si="339"/>
        <v>0</v>
      </c>
      <c r="BO133" s="418">
        <f t="shared" si="339"/>
        <v>0</v>
      </c>
      <c r="BP133" s="418">
        <f t="shared" si="340"/>
        <v>174072</v>
      </c>
      <c r="BQ133" s="418">
        <f t="shared" si="340"/>
        <v>5150</v>
      </c>
      <c r="BR133" s="418">
        <f t="shared" si="341"/>
        <v>5250</v>
      </c>
      <c r="BS133" s="419">
        <f t="shared" si="342"/>
        <v>1.39</v>
      </c>
      <c r="BT133" s="419">
        <f t="shared" si="343"/>
        <v>1.39</v>
      </c>
      <c r="BU133" s="421">
        <f t="shared" si="343"/>
        <v>0</v>
      </c>
      <c r="BV133" s="888"/>
      <c r="BW133" s="723"/>
      <c r="BX133" s="723"/>
      <c r="BY133" s="723"/>
      <c r="BZ133" s="723"/>
      <c r="CA133" s="855"/>
    </row>
    <row r="134" spans="1:79" ht="12.95" customHeight="1" x14ac:dyDescent="0.25">
      <c r="A134" s="280">
        <v>25</v>
      </c>
      <c r="B134" s="321">
        <v>5432</v>
      </c>
      <c r="C134" s="322">
        <v>600099024</v>
      </c>
      <c r="D134" s="281">
        <v>71003819</v>
      </c>
      <c r="E134" s="323" t="s">
        <v>399</v>
      </c>
      <c r="F134" s="281">
        <v>3141</v>
      </c>
      <c r="G134" s="323" t="s">
        <v>294</v>
      </c>
      <c r="H134" s="284" t="s">
        <v>272</v>
      </c>
      <c r="I134" s="420">
        <v>520373</v>
      </c>
      <c r="J134" s="415">
        <v>381602</v>
      </c>
      <c r="K134" s="415">
        <v>0</v>
      </c>
      <c r="L134" s="415">
        <v>381602</v>
      </c>
      <c r="M134" s="415">
        <v>3000</v>
      </c>
      <c r="N134" s="415">
        <v>0</v>
      </c>
      <c r="O134" s="415">
        <v>3000</v>
      </c>
      <c r="P134" s="68">
        <v>129995</v>
      </c>
      <c r="Q134" s="68">
        <v>3816</v>
      </c>
      <c r="R134" s="415">
        <v>1960</v>
      </c>
      <c r="S134" s="416">
        <v>1.1533</v>
      </c>
      <c r="T134" s="417">
        <v>0</v>
      </c>
      <c r="U134" s="423">
        <v>1.1533</v>
      </c>
      <c r="V134" s="424">
        <f t="shared" si="319"/>
        <v>0</v>
      </c>
      <c r="W134" s="418">
        <f t="shared" si="319"/>
        <v>0</v>
      </c>
      <c r="X134" s="418">
        <v>0</v>
      </c>
      <c r="Y134" s="418">
        <v>0</v>
      </c>
      <c r="Z134" s="418">
        <v>0</v>
      </c>
      <c r="AA134" s="418">
        <v>193417</v>
      </c>
      <c r="AB134" s="418">
        <v>0</v>
      </c>
      <c r="AC134" s="418">
        <v>0</v>
      </c>
      <c r="AD134" s="418">
        <f t="shared" si="320"/>
        <v>0</v>
      </c>
      <c r="AE134" s="418">
        <f t="shared" si="321"/>
        <v>193417</v>
      </c>
      <c r="AF134" s="794">
        <f t="shared" si="322"/>
        <v>193417</v>
      </c>
      <c r="AG134" s="780">
        <v>0</v>
      </c>
      <c r="AH134" s="418">
        <v>0</v>
      </c>
      <c r="AI134" s="418">
        <v>0</v>
      </c>
      <c r="AJ134" s="418">
        <v>0</v>
      </c>
      <c r="AK134" s="418">
        <v>0</v>
      </c>
      <c r="AL134" s="418">
        <f t="shared" si="323"/>
        <v>0</v>
      </c>
      <c r="AM134" s="418">
        <f t="shared" si="324"/>
        <v>0</v>
      </c>
      <c r="AN134" s="418">
        <f t="shared" si="325"/>
        <v>0</v>
      </c>
      <c r="AO134" s="418">
        <f t="shared" si="326"/>
        <v>0</v>
      </c>
      <c r="AP134" s="418">
        <f t="shared" si="326"/>
        <v>193417</v>
      </c>
      <c r="AQ134" s="418">
        <f t="shared" si="327"/>
        <v>193417</v>
      </c>
      <c r="AR134" s="68">
        <f t="shared" si="328"/>
        <v>65375</v>
      </c>
      <c r="AS134" s="68">
        <f t="shared" si="329"/>
        <v>1934</v>
      </c>
      <c r="AT134" s="418">
        <v>0</v>
      </c>
      <c r="AU134" s="418">
        <v>952</v>
      </c>
      <c r="AV134" s="418">
        <f t="shared" si="330"/>
        <v>952</v>
      </c>
      <c r="AW134" s="418">
        <f t="shared" si="331"/>
        <v>261678</v>
      </c>
      <c r="AX134" s="419">
        <v>0</v>
      </c>
      <c r="AY134" s="419">
        <v>0</v>
      </c>
      <c r="AZ134" s="419">
        <v>0</v>
      </c>
      <c r="BA134" s="419">
        <v>0</v>
      </c>
      <c r="BB134" s="419">
        <v>0.57999999999999996</v>
      </c>
      <c r="BC134" s="419">
        <v>0</v>
      </c>
      <c r="BD134" s="419">
        <v>0</v>
      </c>
      <c r="BE134" s="419">
        <v>0</v>
      </c>
      <c r="BF134" s="419">
        <f t="shared" si="332"/>
        <v>0</v>
      </c>
      <c r="BG134" s="419">
        <f t="shared" si="333"/>
        <v>0.57999999999999996</v>
      </c>
      <c r="BH134" s="894">
        <f t="shared" si="334"/>
        <v>0.57999999999999996</v>
      </c>
      <c r="BI134" s="424">
        <f t="shared" si="335"/>
        <v>782051</v>
      </c>
      <c r="BJ134" s="418">
        <f t="shared" si="336"/>
        <v>575019</v>
      </c>
      <c r="BK134" s="418">
        <f t="shared" si="337"/>
        <v>0</v>
      </c>
      <c r="BL134" s="418">
        <f t="shared" si="337"/>
        <v>575019</v>
      </c>
      <c r="BM134" s="418">
        <f t="shared" si="338"/>
        <v>3000</v>
      </c>
      <c r="BN134" s="418">
        <f t="shared" si="339"/>
        <v>0</v>
      </c>
      <c r="BO134" s="418">
        <f t="shared" si="339"/>
        <v>3000</v>
      </c>
      <c r="BP134" s="418">
        <f t="shared" si="340"/>
        <v>195370</v>
      </c>
      <c r="BQ134" s="418">
        <f t="shared" si="340"/>
        <v>5750</v>
      </c>
      <c r="BR134" s="418">
        <f t="shared" si="341"/>
        <v>2912</v>
      </c>
      <c r="BS134" s="419">
        <f t="shared" si="342"/>
        <v>1.7332999999999998</v>
      </c>
      <c r="BT134" s="419">
        <f t="shared" si="343"/>
        <v>0</v>
      </c>
      <c r="BU134" s="421">
        <f t="shared" si="343"/>
        <v>1.7332999999999998</v>
      </c>
      <c r="BV134" s="888"/>
      <c r="BW134" s="723"/>
      <c r="BX134" s="723"/>
      <c r="BY134" s="723"/>
      <c r="BZ134" s="723"/>
      <c r="CA134" s="855"/>
    </row>
    <row r="135" spans="1:79" ht="12.95" customHeight="1" x14ac:dyDescent="0.25">
      <c r="A135" s="280">
        <v>25</v>
      </c>
      <c r="B135" s="321">
        <v>5432</v>
      </c>
      <c r="C135" s="322">
        <v>600099024</v>
      </c>
      <c r="D135" s="281">
        <v>71003819</v>
      </c>
      <c r="E135" s="323" t="s">
        <v>399</v>
      </c>
      <c r="F135" s="281">
        <v>3143</v>
      </c>
      <c r="G135" s="323" t="s">
        <v>595</v>
      </c>
      <c r="H135" s="284" t="s">
        <v>271</v>
      </c>
      <c r="I135" s="420">
        <v>707096</v>
      </c>
      <c r="J135" s="415">
        <v>519589</v>
      </c>
      <c r="K135" s="415">
        <v>519589</v>
      </c>
      <c r="L135" s="415">
        <v>0</v>
      </c>
      <c r="M135" s="415">
        <v>5000</v>
      </c>
      <c r="N135" s="415">
        <v>5000</v>
      </c>
      <c r="O135" s="415">
        <v>0</v>
      </c>
      <c r="P135" s="68">
        <v>177311</v>
      </c>
      <c r="Q135" s="68">
        <v>5196</v>
      </c>
      <c r="R135" s="415">
        <v>0</v>
      </c>
      <c r="S135" s="416">
        <v>1.0831999999999999</v>
      </c>
      <c r="T135" s="417">
        <v>1.0831999999999999</v>
      </c>
      <c r="U135" s="423">
        <v>0</v>
      </c>
      <c r="V135" s="424">
        <f t="shared" si="319"/>
        <v>0</v>
      </c>
      <c r="W135" s="418">
        <f t="shared" si="319"/>
        <v>0</v>
      </c>
      <c r="X135" s="418">
        <v>0</v>
      </c>
      <c r="Y135" s="418">
        <v>0</v>
      </c>
      <c r="Z135" s="418">
        <v>0</v>
      </c>
      <c r="AA135" s="418">
        <v>0</v>
      </c>
      <c r="AB135" s="418">
        <v>0</v>
      </c>
      <c r="AC135" s="418">
        <v>0</v>
      </c>
      <c r="AD135" s="418">
        <f t="shared" si="320"/>
        <v>0</v>
      </c>
      <c r="AE135" s="418">
        <f t="shared" si="321"/>
        <v>0</v>
      </c>
      <c r="AF135" s="794">
        <f t="shared" si="322"/>
        <v>0</v>
      </c>
      <c r="AG135" s="780">
        <v>0</v>
      </c>
      <c r="AH135" s="418">
        <v>0</v>
      </c>
      <c r="AI135" s="418">
        <v>0</v>
      </c>
      <c r="AJ135" s="418">
        <v>0</v>
      </c>
      <c r="AK135" s="418">
        <v>0</v>
      </c>
      <c r="AL135" s="418">
        <f t="shared" si="323"/>
        <v>0</v>
      </c>
      <c r="AM135" s="418">
        <f t="shared" si="324"/>
        <v>0</v>
      </c>
      <c r="AN135" s="418">
        <f t="shared" si="325"/>
        <v>0</v>
      </c>
      <c r="AO135" s="418">
        <f t="shared" si="326"/>
        <v>0</v>
      </c>
      <c r="AP135" s="418">
        <f t="shared" si="326"/>
        <v>0</v>
      </c>
      <c r="AQ135" s="418">
        <f t="shared" si="327"/>
        <v>0</v>
      </c>
      <c r="AR135" s="68">
        <f t="shared" si="328"/>
        <v>0</v>
      </c>
      <c r="AS135" s="68">
        <f t="shared" si="329"/>
        <v>0</v>
      </c>
      <c r="AT135" s="418">
        <v>0</v>
      </c>
      <c r="AU135" s="418">
        <v>0</v>
      </c>
      <c r="AV135" s="418">
        <f t="shared" si="330"/>
        <v>0</v>
      </c>
      <c r="AW135" s="418">
        <f t="shared" si="331"/>
        <v>0</v>
      </c>
      <c r="AX135" s="419">
        <v>0</v>
      </c>
      <c r="AY135" s="419">
        <v>0</v>
      </c>
      <c r="AZ135" s="419">
        <v>0</v>
      </c>
      <c r="BA135" s="419">
        <v>0</v>
      </c>
      <c r="BB135" s="419">
        <v>0</v>
      </c>
      <c r="BC135" s="419">
        <v>0</v>
      </c>
      <c r="BD135" s="419">
        <v>0</v>
      </c>
      <c r="BE135" s="419">
        <v>0</v>
      </c>
      <c r="BF135" s="419">
        <f t="shared" si="332"/>
        <v>0</v>
      </c>
      <c r="BG135" s="419">
        <f t="shared" si="333"/>
        <v>0</v>
      </c>
      <c r="BH135" s="894">
        <f t="shared" si="334"/>
        <v>0</v>
      </c>
      <c r="BI135" s="424">
        <f t="shared" si="335"/>
        <v>707096</v>
      </c>
      <c r="BJ135" s="418">
        <f t="shared" si="336"/>
        <v>519589</v>
      </c>
      <c r="BK135" s="418">
        <f t="shared" si="337"/>
        <v>519589</v>
      </c>
      <c r="BL135" s="418">
        <f t="shared" si="337"/>
        <v>0</v>
      </c>
      <c r="BM135" s="418">
        <f t="shared" si="338"/>
        <v>5000</v>
      </c>
      <c r="BN135" s="418">
        <f t="shared" si="339"/>
        <v>5000</v>
      </c>
      <c r="BO135" s="418">
        <f t="shared" si="339"/>
        <v>0</v>
      </c>
      <c r="BP135" s="418">
        <f t="shared" si="340"/>
        <v>177311</v>
      </c>
      <c r="BQ135" s="418">
        <f t="shared" si="340"/>
        <v>5196</v>
      </c>
      <c r="BR135" s="418">
        <f t="shared" si="341"/>
        <v>0</v>
      </c>
      <c r="BS135" s="419">
        <f t="shared" si="342"/>
        <v>1.0831999999999999</v>
      </c>
      <c r="BT135" s="419">
        <f t="shared" si="343"/>
        <v>1.0831999999999999</v>
      </c>
      <c r="BU135" s="421">
        <f t="shared" si="343"/>
        <v>0</v>
      </c>
      <c r="BV135" s="888"/>
      <c r="BW135" s="723"/>
      <c r="BX135" s="723"/>
      <c r="BY135" s="723"/>
      <c r="BZ135" s="723"/>
      <c r="CA135" s="855"/>
    </row>
    <row r="136" spans="1:79" ht="12.95" customHeight="1" x14ac:dyDescent="0.25">
      <c r="A136" s="280">
        <v>25</v>
      </c>
      <c r="B136" s="321">
        <v>5432</v>
      </c>
      <c r="C136" s="322">
        <v>600099024</v>
      </c>
      <c r="D136" s="281">
        <v>71003819</v>
      </c>
      <c r="E136" s="323" t="s">
        <v>399</v>
      </c>
      <c r="F136" s="281">
        <v>3143</v>
      </c>
      <c r="G136" s="323" t="s">
        <v>596</v>
      </c>
      <c r="H136" s="284" t="s">
        <v>272</v>
      </c>
      <c r="I136" s="420">
        <v>12799</v>
      </c>
      <c r="J136" s="415">
        <v>9161</v>
      </c>
      <c r="K136" s="415">
        <v>0</v>
      </c>
      <c r="L136" s="415">
        <v>9161</v>
      </c>
      <c r="M136" s="415">
        <v>0</v>
      </c>
      <c r="N136" s="415">
        <v>0</v>
      </c>
      <c r="O136" s="415">
        <v>0</v>
      </c>
      <c r="P136" s="68">
        <v>3096</v>
      </c>
      <c r="Q136" s="68">
        <v>92</v>
      </c>
      <c r="R136" s="415">
        <v>450</v>
      </c>
      <c r="S136" s="416">
        <v>3.4700000000000002E-2</v>
      </c>
      <c r="T136" s="417">
        <v>0</v>
      </c>
      <c r="U136" s="423">
        <v>3.4700000000000002E-2</v>
      </c>
      <c r="V136" s="424">
        <f t="shared" si="319"/>
        <v>0</v>
      </c>
      <c r="W136" s="418">
        <f t="shared" si="319"/>
        <v>0</v>
      </c>
      <c r="X136" s="418">
        <v>0</v>
      </c>
      <c r="Y136" s="418">
        <v>0</v>
      </c>
      <c r="Z136" s="418">
        <v>0</v>
      </c>
      <c r="AA136" s="418">
        <v>4589</v>
      </c>
      <c r="AB136" s="418">
        <v>0</v>
      </c>
      <c r="AC136" s="418">
        <v>0</v>
      </c>
      <c r="AD136" s="418">
        <f t="shared" si="320"/>
        <v>0</v>
      </c>
      <c r="AE136" s="418">
        <f t="shared" si="321"/>
        <v>4589</v>
      </c>
      <c r="AF136" s="794">
        <f t="shared" si="322"/>
        <v>4589</v>
      </c>
      <c r="AG136" s="780">
        <v>0</v>
      </c>
      <c r="AH136" s="418">
        <v>0</v>
      </c>
      <c r="AI136" s="418">
        <v>0</v>
      </c>
      <c r="AJ136" s="418">
        <v>0</v>
      </c>
      <c r="AK136" s="418">
        <v>0</v>
      </c>
      <c r="AL136" s="418">
        <f t="shared" si="323"/>
        <v>0</v>
      </c>
      <c r="AM136" s="418">
        <f t="shared" si="324"/>
        <v>0</v>
      </c>
      <c r="AN136" s="418">
        <f t="shared" si="325"/>
        <v>0</v>
      </c>
      <c r="AO136" s="418">
        <f t="shared" si="326"/>
        <v>0</v>
      </c>
      <c r="AP136" s="418">
        <f t="shared" si="326"/>
        <v>4589</v>
      </c>
      <c r="AQ136" s="418">
        <f t="shared" si="327"/>
        <v>4589</v>
      </c>
      <c r="AR136" s="68">
        <f t="shared" si="328"/>
        <v>1551</v>
      </c>
      <c r="AS136" s="68">
        <f t="shared" si="329"/>
        <v>46</v>
      </c>
      <c r="AT136" s="418">
        <v>0</v>
      </c>
      <c r="AU136" s="418">
        <v>225</v>
      </c>
      <c r="AV136" s="418">
        <f t="shared" si="330"/>
        <v>225</v>
      </c>
      <c r="AW136" s="418">
        <f t="shared" si="331"/>
        <v>6411</v>
      </c>
      <c r="AX136" s="419">
        <v>0</v>
      </c>
      <c r="AY136" s="419">
        <v>0</v>
      </c>
      <c r="AZ136" s="419">
        <v>0</v>
      </c>
      <c r="BA136" s="419">
        <v>0</v>
      </c>
      <c r="BB136" s="419">
        <v>0.02</v>
      </c>
      <c r="BC136" s="419">
        <v>0</v>
      </c>
      <c r="BD136" s="419">
        <v>0</v>
      </c>
      <c r="BE136" s="419">
        <v>0</v>
      </c>
      <c r="BF136" s="419">
        <f t="shared" si="332"/>
        <v>0</v>
      </c>
      <c r="BG136" s="419">
        <f t="shared" si="333"/>
        <v>0.02</v>
      </c>
      <c r="BH136" s="894">
        <f t="shared" si="334"/>
        <v>0.02</v>
      </c>
      <c r="BI136" s="424">
        <f t="shared" si="335"/>
        <v>19210</v>
      </c>
      <c r="BJ136" s="418">
        <f t="shared" si="336"/>
        <v>13750</v>
      </c>
      <c r="BK136" s="418">
        <f t="shared" si="337"/>
        <v>0</v>
      </c>
      <c r="BL136" s="418">
        <f t="shared" si="337"/>
        <v>13750</v>
      </c>
      <c r="BM136" s="418">
        <f t="shared" si="338"/>
        <v>0</v>
      </c>
      <c r="BN136" s="418">
        <f t="shared" si="339"/>
        <v>0</v>
      </c>
      <c r="BO136" s="418">
        <f t="shared" si="339"/>
        <v>0</v>
      </c>
      <c r="BP136" s="418">
        <f t="shared" si="340"/>
        <v>4647</v>
      </c>
      <c r="BQ136" s="418">
        <f t="shared" si="340"/>
        <v>138</v>
      </c>
      <c r="BR136" s="418">
        <f t="shared" si="341"/>
        <v>675</v>
      </c>
      <c r="BS136" s="419">
        <f t="shared" si="342"/>
        <v>5.4699999999999999E-2</v>
      </c>
      <c r="BT136" s="419">
        <f t="shared" si="343"/>
        <v>0</v>
      </c>
      <c r="BU136" s="421">
        <f t="shared" si="343"/>
        <v>5.4699999999999999E-2</v>
      </c>
      <c r="BV136" s="888"/>
      <c r="BW136" s="723"/>
      <c r="BX136" s="723"/>
      <c r="BY136" s="723"/>
      <c r="BZ136" s="723"/>
      <c r="CA136" s="855"/>
    </row>
    <row r="137" spans="1:79" ht="12.95" customHeight="1" x14ac:dyDescent="0.25">
      <c r="A137" s="324">
        <v>25</v>
      </c>
      <c r="B137" s="325">
        <v>5432</v>
      </c>
      <c r="C137" s="326">
        <v>600099024</v>
      </c>
      <c r="D137" s="325">
        <v>71003819</v>
      </c>
      <c r="E137" s="327" t="s">
        <v>400</v>
      </c>
      <c r="F137" s="291"/>
      <c r="G137" s="329"/>
      <c r="H137" s="292"/>
      <c r="I137" s="472">
        <v>6778850</v>
      </c>
      <c r="J137" s="468">
        <v>4952400</v>
      </c>
      <c r="K137" s="468">
        <v>4221982</v>
      </c>
      <c r="L137" s="468">
        <v>730418</v>
      </c>
      <c r="M137" s="468">
        <v>33000</v>
      </c>
      <c r="N137" s="468">
        <v>25000</v>
      </c>
      <c r="O137" s="468">
        <v>8000</v>
      </c>
      <c r="P137" s="468">
        <v>1685064</v>
      </c>
      <c r="Q137" s="468">
        <v>49524</v>
      </c>
      <c r="R137" s="468">
        <v>58862</v>
      </c>
      <c r="S137" s="469">
        <v>9.9057000000000013</v>
      </c>
      <c r="T137" s="469">
        <v>7.7343999999999999</v>
      </c>
      <c r="U137" s="532">
        <v>2.1713</v>
      </c>
      <c r="V137" s="472">
        <f t="shared" ref="V137:CA137" si="344">SUM(V131:V136)</f>
        <v>0</v>
      </c>
      <c r="W137" s="468">
        <f t="shared" si="344"/>
        <v>0</v>
      </c>
      <c r="X137" s="468">
        <f t="shared" si="344"/>
        <v>0</v>
      </c>
      <c r="Y137" s="468">
        <f t="shared" si="344"/>
        <v>0</v>
      </c>
      <c r="Z137" s="468">
        <f t="shared" si="344"/>
        <v>0</v>
      </c>
      <c r="AA137" s="468">
        <f t="shared" si="344"/>
        <v>198006</v>
      </c>
      <c r="AB137" s="468">
        <f t="shared" si="344"/>
        <v>0</v>
      </c>
      <c r="AC137" s="468">
        <f t="shared" si="344"/>
        <v>0</v>
      </c>
      <c r="AD137" s="468">
        <f t="shared" si="344"/>
        <v>0</v>
      </c>
      <c r="AE137" s="468">
        <f t="shared" si="344"/>
        <v>198006</v>
      </c>
      <c r="AF137" s="795">
        <f t="shared" si="344"/>
        <v>198006</v>
      </c>
      <c r="AG137" s="785">
        <f t="shared" si="344"/>
        <v>0</v>
      </c>
      <c r="AH137" s="468">
        <f t="shared" si="344"/>
        <v>0</v>
      </c>
      <c r="AI137" s="468">
        <f t="shared" si="344"/>
        <v>0</v>
      </c>
      <c r="AJ137" s="468">
        <f t="shared" si="344"/>
        <v>0</v>
      </c>
      <c r="AK137" s="468">
        <f t="shared" si="344"/>
        <v>0</v>
      </c>
      <c r="AL137" s="468">
        <f t="shared" si="344"/>
        <v>0</v>
      </c>
      <c r="AM137" s="468">
        <f t="shared" si="344"/>
        <v>0</v>
      </c>
      <c r="AN137" s="468">
        <f t="shared" si="344"/>
        <v>0</v>
      </c>
      <c r="AO137" s="468">
        <f t="shared" si="344"/>
        <v>0</v>
      </c>
      <c r="AP137" s="468">
        <f t="shared" si="344"/>
        <v>198006</v>
      </c>
      <c r="AQ137" s="468">
        <f t="shared" si="344"/>
        <v>198006</v>
      </c>
      <c r="AR137" s="468">
        <f t="shared" si="344"/>
        <v>66926</v>
      </c>
      <c r="AS137" s="468">
        <f t="shared" si="344"/>
        <v>1980</v>
      </c>
      <c r="AT137" s="468">
        <f t="shared" si="344"/>
        <v>0</v>
      </c>
      <c r="AU137" s="468">
        <f t="shared" si="344"/>
        <v>1177</v>
      </c>
      <c r="AV137" s="468">
        <f t="shared" si="344"/>
        <v>1177</v>
      </c>
      <c r="AW137" s="468">
        <f t="shared" si="344"/>
        <v>268089</v>
      </c>
      <c r="AX137" s="469">
        <f t="shared" si="344"/>
        <v>0</v>
      </c>
      <c r="AY137" s="469">
        <f t="shared" si="344"/>
        <v>0</v>
      </c>
      <c r="AZ137" s="469">
        <f t="shared" si="344"/>
        <v>0</v>
      </c>
      <c r="BA137" s="469">
        <f t="shared" si="344"/>
        <v>0</v>
      </c>
      <c r="BB137" s="469">
        <f t="shared" ref="BB137" si="345">SUM(BB131:BB136)</f>
        <v>0.6</v>
      </c>
      <c r="BC137" s="469">
        <f t="shared" si="344"/>
        <v>0</v>
      </c>
      <c r="BD137" s="469">
        <f t="shared" si="344"/>
        <v>0</v>
      </c>
      <c r="BE137" s="469">
        <f t="shared" ref="BE137" si="346">SUM(BE131:BE136)</f>
        <v>0</v>
      </c>
      <c r="BF137" s="469">
        <f t="shared" si="344"/>
        <v>0</v>
      </c>
      <c r="BG137" s="469">
        <f t="shared" si="344"/>
        <v>0.6</v>
      </c>
      <c r="BH137" s="532">
        <f t="shared" si="344"/>
        <v>0.6</v>
      </c>
      <c r="BI137" s="472">
        <f t="shared" si="344"/>
        <v>7046939</v>
      </c>
      <c r="BJ137" s="468">
        <f t="shared" si="344"/>
        <v>5150406</v>
      </c>
      <c r="BK137" s="468">
        <f t="shared" si="344"/>
        <v>4221982</v>
      </c>
      <c r="BL137" s="468">
        <f t="shared" si="344"/>
        <v>928424</v>
      </c>
      <c r="BM137" s="468">
        <f t="shared" si="344"/>
        <v>33000</v>
      </c>
      <c r="BN137" s="468">
        <f t="shared" si="344"/>
        <v>25000</v>
      </c>
      <c r="BO137" s="468">
        <f t="shared" si="344"/>
        <v>8000</v>
      </c>
      <c r="BP137" s="468">
        <f t="shared" si="344"/>
        <v>1751990</v>
      </c>
      <c r="BQ137" s="468">
        <f t="shared" si="344"/>
        <v>51504</v>
      </c>
      <c r="BR137" s="468">
        <f t="shared" si="344"/>
        <v>60039</v>
      </c>
      <c r="BS137" s="469">
        <f t="shared" si="344"/>
        <v>10.505699999999999</v>
      </c>
      <c r="BT137" s="469">
        <f t="shared" si="344"/>
        <v>7.7343999999999999</v>
      </c>
      <c r="BU137" s="328">
        <f t="shared" si="344"/>
        <v>2.7712999999999997</v>
      </c>
      <c r="BV137" s="886">
        <f t="shared" si="344"/>
        <v>0</v>
      </c>
      <c r="BW137" s="727">
        <f t="shared" si="344"/>
        <v>0</v>
      </c>
      <c r="BX137" s="727">
        <f t="shared" si="344"/>
        <v>0</v>
      </c>
      <c r="BY137" s="727">
        <f t="shared" si="344"/>
        <v>0</v>
      </c>
      <c r="BZ137" s="727">
        <f t="shared" si="344"/>
        <v>0</v>
      </c>
      <c r="CA137" s="859">
        <f t="shared" si="344"/>
        <v>0</v>
      </c>
    </row>
    <row r="138" spans="1:79" ht="12.95" customHeight="1" x14ac:dyDescent="0.25">
      <c r="A138" s="280">
        <v>26</v>
      </c>
      <c r="B138" s="321">
        <v>5452</v>
      </c>
      <c r="C138" s="322">
        <v>600099245</v>
      </c>
      <c r="D138" s="281">
        <v>70188416</v>
      </c>
      <c r="E138" s="323" t="s">
        <v>401</v>
      </c>
      <c r="F138" s="281">
        <v>3111</v>
      </c>
      <c r="G138" s="323" t="s">
        <v>304</v>
      </c>
      <c r="H138" s="284" t="s">
        <v>271</v>
      </c>
      <c r="I138" s="420">
        <v>1600675</v>
      </c>
      <c r="J138" s="415">
        <v>1166411</v>
      </c>
      <c r="K138" s="415">
        <v>1116843</v>
      </c>
      <c r="L138" s="415">
        <v>49568</v>
      </c>
      <c r="M138" s="415">
        <v>17000</v>
      </c>
      <c r="N138" s="415">
        <v>0</v>
      </c>
      <c r="O138" s="415">
        <v>17000</v>
      </c>
      <c r="P138" s="68">
        <v>399993</v>
      </c>
      <c r="Q138" s="68">
        <v>11664</v>
      </c>
      <c r="R138" s="415">
        <v>5607</v>
      </c>
      <c r="S138" s="416">
        <v>2.1621000000000001</v>
      </c>
      <c r="T138" s="417">
        <v>1.9354</v>
      </c>
      <c r="U138" s="423">
        <v>0.22669999999999998</v>
      </c>
      <c r="V138" s="424">
        <f t="shared" ref="V138:W143" si="347">AG138*-1</f>
        <v>0</v>
      </c>
      <c r="W138" s="418">
        <f t="shared" si="347"/>
        <v>0</v>
      </c>
      <c r="X138" s="418">
        <v>0</v>
      </c>
      <c r="Y138" s="418">
        <v>0</v>
      </c>
      <c r="Z138" s="418">
        <v>0</v>
      </c>
      <c r="AA138" s="418">
        <v>0</v>
      </c>
      <c r="AB138" s="418">
        <v>0</v>
      </c>
      <c r="AC138" s="418">
        <v>0</v>
      </c>
      <c r="AD138" s="418">
        <f t="shared" ref="AD138:AD143" si="348">V138+X138+Y138+Z138+AB138</f>
        <v>0</v>
      </c>
      <c r="AE138" s="418">
        <f t="shared" ref="AE138:AE143" si="349">W138+AA138+AC138</f>
        <v>0</v>
      </c>
      <c r="AF138" s="794">
        <f t="shared" ref="AF138:AF143" si="350">SUM(AD138:AE138)</f>
        <v>0</v>
      </c>
      <c r="AG138" s="780">
        <v>0</v>
      </c>
      <c r="AH138" s="418">
        <v>0</v>
      </c>
      <c r="AI138" s="418">
        <v>0</v>
      </c>
      <c r="AJ138" s="418">
        <v>0</v>
      </c>
      <c r="AK138" s="418">
        <v>0</v>
      </c>
      <c r="AL138" s="418">
        <f t="shared" ref="AL138:AL143" si="351">AG138+AI138+AJ138</f>
        <v>0</v>
      </c>
      <c r="AM138" s="418">
        <f t="shared" ref="AM138:AM143" si="352">AH138+AK138</f>
        <v>0</v>
      </c>
      <c r="AN138" s="418">
        <f t="shared" ref="AN138:AN143" si="353">SUM(AL138:AM138)</f>
        <v>0</v>
      </c>
      <c r="AO138" s="418">
        <f t="shared" ref="AO138:AP143" si="354">AD138+AL138</f>
        <v>0</v>
      </c>
      <c r="AP138" s="418">
        <f t="shared" si="354"/>
        <v>0</v>
      </c>
      <c r="AQ138" s="418">
        <f t="shared" ref="AQ138:AQ143" si="355">SUM(AO138:AP138)</f>
        <v>0</v>
      </c>
      <c r="AR138" s="68">
        <f t="shared" ref="AR138:AR143" si="356">ROUND((AF138+AG138+AH138+AI138)*33.8%,0)</f>
        <v>0</v>
      </c>
      <c r="AS138" s="68">
        <f t="shared" ref="AS138:AS143" si="357">ROUND(AF138*1%,0)</f>
        <v>0</v>
      </c>
      <c r="AT138" s="418">
        <v>0</v>
      </c>
      <c r="AU138" s="418">
        <v>0</v>
      </c>
      <c r="AV138" s="418">
        <f t="shared" ref="AV138:AV143" si="358">AT138+AU138</f>
        <v>0</v>
      </c>
      <c r="AW138" s="418">
        <f t="shared" ref="AW138:AW143" si="359">AQ138+AR138+AS138+AV138</f>
        <v>0</v>
      </c>
      <c r="AX138" s="419">
        <v>0</v>
      </c>
      <c r="AY138" s="419">
        <v>0</v>
      </c>
      <c r="AZ138" s="419">
        <v>0</v>
      </c>
      <c r="BA138" s="419">
        <v>0</v>
      </c>
      <c r="BB138" s="419">
        <v>0</v>
      </c>
      <c r="BC138" s="419">
        <v>0</v>
      </c>
      <c r="BD138" s="419">
        <v>0</v>
      </c>
      <c r="BE138" s="419">
        <v>0</v>
      </c>
      <c r="BF138" s="419">
        <f t="shared" ref="BF138:BF143" si="360">AX138+AZ138+BA138+BC138+BD138</f>
        <v>0</v>
      </c>
      <c r="BG138" s="419">
        <f t="shared" ref="BG138:BG143" si="361">AY138+BB138+BE138</f>
        <v>0</v>
      </c>
      <c r="BH138" s="894">
        <f t="shared" ref="BH138:BH143" si="362">SUM(BF138:BG138)</f>
        <v>0</v>
      </c>
      <c r="BI138" s="424">
        <f t="shared" ref="BI138:BI143" si="363">I138+AW138</f>
        <v>1600675</v>
      </c>
      <c r="BJ138" s="418">
        <f t="shared" ref="BJ138:BJ143" si="364">J138+AF138</f>
        <v>1166411</v>
      </c>
      <c r="BK138" s="418">
        <f t="shared" ref="BK138:BL143" si="365">K138+AD138</f>
        <v>1116843</v>
      </c>
      <c r="BL138" s="418">
        <f t="shared" si="365"/>
        <v>49568</v>
      </c>
      <c r="BM138" s="418">
        <f t="shared" ref="BM138:BM143" si="366">M138+AN138</f>
        <v>17000</v>
      </c>
      <c r="BN138" s="418">
        <f t="shared" ref="BN138:BO143" si="367">N138+AL138</f>
        <v>0</v>
      </c>
      <c r="BO138" s="418">
        <f t="shared" si="367"/>
        <v>17000</v>
      </c>
      <c r="BP138" s="418">
        <f t="shared" ref="BP138:BQ143" si="368">P138+AR138</f>
        <v>399993</v>
      </c>
      <c r="BQ138" s="418">
        <f t="shared" si="368"/>
        <v>11664</v>
      </c>
      <c r="BR138" s="418">
        <f t="shared" ref="BR138:BR143" si="369">R138+AV138</f>
        <v>5607</v>
      </c>
      <c r="BS138" s="419">
        <f t="shared" ref="BS138:BS143" si="370">S138+BH138</f>
        <v>2.1621000000000001</v>
      </c>
      <c r="BT138" s="419">
        <f t="shared" ref="BT138:BU143" si="371">T138+BF138</f>
        <v>1.9354</v>
      </c>
      <c r="BU138" s="421">
        <f t="shared" si="371"/>
        <v>0.22669999999999998</v>
      </c>
      <c r="BV138" s="888"/>
      <c r="BW138" s="723"/>
      <c r="BX138" s="723"/>
      <c r="BY138" s="723"/>
      <c r="BZ138" s="723"/>
      <c r="CA138" s="855"/>
    </row>
    <row r="139" spans="1:79" ht="12.95" customHeight="1" x14ac:dyDescent="0.25">
      <c r="A139" s="280">
        <v>26</v>
      </c>
      <c r="B139" s="321">
        <v>5452</v>
      </c>
      <c r="C139" s="322">
        <v>600099245</v>
      </c>
      <c r="D139" s="281">
        <v>70188416</v>
      </c>
      <c r="E139" s="323" t="s">
        <v>401</v>
      </c>
      <c r="F139" s="281">
        <v>3117</v>
      </c>
      <c r="G139" s="323" t="s">
        <v>293</v>
      </c>
      <c r="H139" s="284" t="s">
        <v>271</v>
      </c>
      <c r="I139" s="420">
        <v>3790548</v>
      </c>
      <c r="J139" s="415">
        <v>2785798</v>
      </c>
      <c r="K139" s="415">
        <v>2437346</v>
      </c>
      <c r="L139" s="415">
        <v>348452</v>
      </c>
      <c r="M139" s="415">
        <v>0</v>
      </c>
      <c r="N139" s="415">
        <v>0</v>
      </c>
      <c r="O139" s="415">
        <v>0</v>
      </c>
      <c r="P139" s="68">
        <v>941599</v>
      </c>
      <c r="Q139" s="68">
        <v>27858</v>
      </c>
      <c r="R139" s="415">
        <v>35293</v>
      </c>
      <c r="S139" s="416">
        <v>4.8791000000000002</v>
      </c>
      <c r="T139" s="417">
        <v>3.9101000000000004</v>
      </c>
      <c r="U139" s="423">
        <v>0.96899999999999986</v>
      </c>
      <c r="V139" s="424">
        <f t="shared" si="347"/>
        <v>0</v>
      </c>
      <c r="W139" s="418">
        <f t="shared" si="347"/>
        <v>0</v>
      </c>
      <c r="X139" s="418">
        <v>0</v>
      </c>
      <c r="Y139" s="418">
        <v>0</v>
      </c>
      <c r="Z139" s="418">
        <v>0</v>
      </c>
      <c r="AA139" s="418">
        <v>0</v>
      </c>
      <c r="AB139" s="418">
        <v>0</v>
      </c>
      <c r="AC139" s="418">
        <v>0</v>
      </c>
      <c r="AD139" s="418">
        <f t="shared" si="348"/>
        <v>0</v>
      </c>
      <c r="AE139" s="418">
        <f t="shared" si="349"/>
        <v>0</v>
      </c>
      <c r="AF139" s="794">
        <f t="shared" si="350"/>
        <v>0</v>
      </c>
      <c r="AG139" s="780">
        <v>0</v>
      </c>
      <c r="AH139" s="418">
        <v>0</v>
      </c>
      <c r="AI139" s="418">
        <v>0</v>
      </c>
      <c r="AJ139" s="418">
        <v>0</v>
      </c>
      <c r="AK139" s="418">
        <v>0</v>
      </c>
      <c r="AL139" s="418">
        <f t="shared" si="351"/>
        <v>0</v>
      </c>
      <c r="AM139" s="418">
        <f t="shared" si="352"/>
        <v>0</v>
      </c>
      <c r="AN139" s="418">
        <f t="shared" si="353"/>
        <v>0</v>
      </c>
      <c r="AO139" s="418">
        <f t="shared" si="354"/>
        <v>0</v>
      </c>
      <c r="AP139" s="418">
        <f t="shared" si="354"/>
        <v>0</v>
      </c>
      <c r="AQ139" s="418">
        <f t="shared" si="355"/>
        <v>0</v>
      </c>
      <c r="AR139" s="68">
        <f t="shared" si="356"/>
        <v>0</v>
      </c>
      <c r="AS139" s="68">
        <f t="shared" si="357"/>
        <v>0</v>
      </c>
      <c r="AT139" s="418">
        <v>0</v>
      </c>
      <c r="AU139" s="418">
        <v>0</v>
      </c>
      <c r="AV139" s="418">
        <f t="shared" si="358"/>
        <v>0</v>
      </c>
      <c r="AW139" s="418">
        <f t="shared" si="359"/>
        <v>0</v>
      </c>
      <c r="AX139" s="419">
        <v>0</v>
      </c>
      <c r="AY139" s="419">
        <v>0</v>
      </c>
      <c r="AZ139" s="419">
        <v>0</v>
      </c>
      <c r="BA139" s="419">
        <v>0</v>
      </c>
      <c r="BB139" s="419">
        <v>0</v>
      </c>
      <c r="BC139" s="419">
        <v>0</v>
      </c>
      <c r="BD139" s="419">
        <v>0</v>
      </c>
      <c r="BE139" s="419">
        <v>0</v>
      </c>
      <c r="BF139" s="419">
        <f t="shared" si="360"/>
        <v>0</v>
      </c>
      <c r="BG139" s="419">
        <f t="shared" si="361"/>
        <v>0</v>
      </c>
      <c r="BH139" s="894">
        <f t="shared" si="362"/>
        <v>0</v>
      </c>
      <c r="BI139" s="424">
        <f t="shared" si="363"/>
        <v>3790548</v>
      </c>
      <c r="BJ139" s="418">
        <f t="shared" si="364"/>
        <v>2785798</v>
      </c>
      <c r="BK139" s="418">
        <f t="shared" si="365"/>
        <v>2437346</v>
      </c>
      <c r="BL139" s="418">
        <f t="shared" si="365"/>
        <v>348452</v>
      </c>
      <c r="BM139" s="418">
        <f t="shared" si="366"/>
        <v>0</v>
      </c>
      <c r="BN139" s="418">
        <f t="shared" si="367"/>
        <v>0</v>
      </c>
      <c r="BO139" s="418">
        <f t="shared" si="367"/>
        <v>0</v>
      </c>
      <c r="BP139" s="418">
        <f t="shared" si="368"/>
        <v>941599</v>
      </c>
      <c r="BQ139" s="418">
        <f t="shared" si="368"/>
        <v>27858</v>
      </c>
      <c r="BR139" s="418">
        <f t="shared" si="369"/>
        <v>35293</v>
      </c>
      <c r="BS139" s="419">
        <f t="shared" si="370"/>
        <v>4.8791000000000002</v>
      </c>
      <c r="BT139" s="419">
        <f t="shared" si="371"/>
        <v>3.9101000000000004</v>
      </c>
      <c r="BU139" s="421">
        <f t="shared" si="371"/>
        <v>0.96899999999999986</v>
      </c>
      <c r="BV139" s="889">
        <v>152054</v>
      </c>
      <c r="BW139" s="735">
        <v>112800</v>
      </c>
      <c r="BX139" s="735">
        <v>0</v>
      </c>
      <c r="BY139" s="735">
        <v>38126</v>
      </c>
      <c r="BZ139" s="735">
        <v>1128</v>
      </c>
      <c r="CA139" s="862">
        <v>0.2</v>
      </c>
    </row>
    <row r="140" spans="1:79" ht="12.95" customHeight="1" x14ac:dyDescent="0.25">
      <c r="A140" s="280">
        <v>26</v>
      </c>
      <c r="B140" s="321">
        <v>5452</v>
      </c>
      <c r="C140" s="322">
        <v>600099245</v>
      </c>
      <c r="D140" s="281">
        <v>70188416</v>
      </c>
      <c r="E140" s="323" t="s">
        <v>401</v>
      </c>
      <c r="F140" s="281">
        <v>3117</v>
      </c>
      <c r="G140" s="323" t="s">
        <v>298</v>
      </c>
      <c r="H140" s="284" t="s">
        <v>272</v>
      </c>
      <c r="I140" s="420">
        <v>1460608</v>
      </c>
      <c r="J140" s="415">
        <v>1082239</v>
      </c>
      <c r="K140" s="415">
        <v>1082239</v>
      </c>
      <c r="L140" s="415">
        <v>0</v>
      </c>
      <c r="M140" s="415">
        <v>0</v>
      </c>
      <c r="N140" s="415">
        <v>0</v>
      </c>
      <c r="O140" s="415">
        <v>0</v>
      </c>
      <c r="P140" s="68">
        <v>365797</v>
      </c>
      <c r="Q140" s="68">
        <v>10822</v>
      </c>
      <c r="R140" s="415">
        <v>1750</v>
      </c>
      <c r="S140" s="416">
        <v>2.9</v>
      </c>
      <c r="T140" s="417">
        <v>2.9</v>
      </c>
      <c r="U140" s="423">
        <v>0</v>
      </c>
      <c r="V140" s="424">
        <f t="shared" si="347"/>
        <v>0</v>
      </c>
      <c r="W140" s="418">
        <f t="shared" si="347"/>
        <v>0</v>
      </c>
      <c r="X140" s="418">
        <v>0</v>
      </c>
      <c r="Y140" s="418">
        <v>0</v>
      </c>
      <c r="Z140" s="418">
        <v>0</v>
      </c>
      <c r="AA140" s="418">
        <v>0</v>
      </c>
      <c r="AB140" s="418">
        <v>0</v>
      </c>
      <c r="AC140" s="418">
        <v>0</v>
      </c>
      <c r="AD140" s="418">
        <f t="shared" si="348"/>
        <v>0</v>
      </c>
      <c r="AE140" s="418">
        <f t="shared" si="349"/>
        <v>0</v>
      </c>
      <c r="AF140" s="794">
        <f t="shared" si="350"/>
        <v>0</v>
      </c>
      <c r="AG140" s="780">
        <v>0</v>
      </c>
      <c r="AH140" s="418">
        <v>0</v>
      </c>
      <c r="AI140" s="418">
        <v>0</v>
      </c>
      <c r="AJ140" s="418">
        <v>0</v>
      </c>
      <c r="AK140" s="418">
        <v>0</v>
      </c>
      <c r="AL140" s="418">
        <f t="shared" si="351"/>
        <v>0</v>
      </c>
      <c r="AM140" s="418">
        <f t="shared" si="352"/>
        <v>0</v>
      </c>
      <c r="AN140" s="418">
        <f t="shared" si="353"/>
        <v>0</v>
      </c>
      <c r="AO140" s="418">
        <f t="shared" si="354"/>
        <v>0</v>
      </c>
      <c r="AP140" s="418">
        <f t="shared" si="354"/>
        <v>0</v>
      </c>
      <c r="AQ140" s="418">
        <f t="shared" si="355"/>
        <v>0</v>
      </c>
      <c r="AR140" s="68">
        <f t="shared" si="356"/>
        <v>0</v>
      </c>
      <c r="AS140" s="68">
        <f t="shared" si="357"/>
        <v>0</v>
      </c>
      <c r="AT140" s="418">
        <v>0</v>
      </c>
      <c r="AU140" s="418">
        <v>0</v>
      </c>
      <c r="AV140" s="418">
        <f t="shared" si="358"/>
        <v>0</v>
      </c>
      <c r="AW140" s="418">
        <f t="shared" si="359"/>
        <v>0</v>
      </c>
      <c r="AX140" s="419">
        <v>0</v>
      </c>
      <c r="AY140" s="419">
        <v>0</v>
      </c>
      <c r="AZ140" s="419">
        <v>0</v>
      </c>
      <c r="BA140" s="419">
        <v>0</v>
      </c>
      <c r="BB140" s="419">
        <v>0</v>
      </c>
      <c r="BC140" s="419">
        <v>0</v>
      </c>
      <c r="BD140" s="419">
        <v>0</v>
      </c>
      <c r="BE140" s="419">
        <v>0</v>
      </c>
      <c r="BF140" s="419">
        <f t="shared" si="360"/>
        <v>0</v>
      </c>
      <c r="BG140" s="419">
        <f t="shared" si="361"/>
        <v>0</v>
      </c>
      <c r="BH140" s="894">
        <f t="shared" si="362"/>
        <v>0</v>
      </c>
      <c r="BI140" s="424">
        <f t="shared" si="363"/>
        <v>1460608</v>
      </c>
      <c r="BJ140" s="418">
        <f t="shared" si="364"/>
        <v>1082239</v>
      </c>
      <c r="BK140" s="418">
        <f t="shared" si="365"/>
        <v>1082239</v>
      </c>
      <c r="BL140" s="418">
        <f t="shared" si="365"/>
        <v>0</v>
      </c>
      <c r="BM140" s="418">
        <f t="shared" si="366"/>
        <v>0</v>
      </c>
      <c r="BN140" s="418">
        <f t="shared" si="367"/>
        <v>0</v>
      </c>
      <c r="BO140" s="418">
        <f t="shared" si="367"/>
        <v>0</v>
      </c>
      <c r="BP140" s="418">
        <f t="shared" si="368"/>
        <v>365797</v>
      </c>
      <c r="BQ140" s="418">
        <f t="shared" si="368"/>
        <v>10822</v>
      </c>
      <c r="BR140" s="418">
        <f t="shared" si="369"/>
        <v>1750</v>
      </c>
      <c r="BS140" s="419">
        <f t="shared" si="370"/>
        <v>2.9</v>
      </c>
      <c r="BT140" s="419">
        <f t="shared" si="371"/>
        <v>2.9</v>
      </c>
      <c r="BU140" s="421">
        <f t="shared" si="371"/>
        <v>0</v>
      </c>
      <c r="BV140" s="888"/>
      <c r="BW140" s="723"/>
      <c r="BX140" s="723"/>
      <c r="BY140" s="723"/>
      <c r="BZ140" s="723"/>
      <c r="CA140" s="855"/>
    </row>
    <row r="141" spans="1:79" ht="12.95" customHeight="1" x14ac:dyDescent="0.25">
      <c r="A141" s="280">
        <v>26</v>
      </c>
      <c r="B141" s="321">
        <v>5452</v>
      </c>
      <c r="C141" s="322">
        <v>600099245</v>
      </c>
      <c r="D141" s="281">
        <v>70188416</v>
      </c>
      <c r="E141" s="323" t="s">
        <v>401</v>
      </c>
      <c r="F141" s="281">
        <v>3141</v>
      </c>
      <c r="G141" s="323" t="s">
        <v>294</v>
      </c>
      <c r="H141" s="284" t="s">
        <v>272</v>
      </c>
      <c r="I141" s="420">
        <v>472240</v>
      </c>
      <c r="J141" s="415">
        <v>349054</v>
      </c>
      <c r="K141" s="415">
        <v>0</v>
      </c>
      <c r="L141" s="415">
        <v>349054</v>
      </c>
      <c r="M141" s="415">
        <v>0</v>
      </c>
      <c r="N141" s="415">
        <v>0</v>
      </c>
      <c r="O141" s="415">
        <v>0</v>
      </c>
      <c r="P141" s="68">
        <v>117980</v>
      </c>
      <c r="Q141" s="68">
        <v>3491</v>
      </c>
      <c r="R141" s="415">
        <v>1715</v>
      </c>
      <c r="S141" s="416">
        <v>1.0467</v>
      </c>
      <c r="T141" s="417">
        <v>0</v>
      </c>
      <c r="U141" s="423">
        <v>1.0467</v>
      </c>
      <c r="V141" s="424">
        <f t="shared" si="347"/>
        <v>0</v>
      </c>
      <c r="W141" s="418">
        <f t="shared" si="347"/>
        <v>0</v>
      </c>
      <c r="X141" s="418">
        <v>0</v>
      </c>
      <c r="Y141" s="418">
        <v>0</v>
      </c>
      <c r="Z141" s="418">
        <v>0</v>
      </c>
      <c r="AA141" s="418">
        <v>176032</v>
      </c>
      <c r="AB141" s="418">
        <v>0</v>
      </c>
      <c r="AC141" s="418">
        <v>0</v>
      </c>
      <c r="AD141" s="418">
        <f t="shared" si="348"/>
        <v>0</v>
      </c>
      <c r="AE141" s="418">
        <f t="shared" si="349"/>
        <v>176032</v>
      </c>
      <c r="AF141" s="794">
        <f t="shared" si="350"/>
        <v>176032</v>
      </c>
      <c r="AG141" s="780">
        <v>0</v>
      </c>
      <c r="AH141" s="418">
        <v>0</v>
      </c>
      <c r="AI141" s="418">
        <v>0</v>
      </c>
      <c r="AJ141" s="418">
        <v>0</v>
      </c>
      <c r="AK141" s="418">
        <v>0</v>
      </c>
      <c r="AL141" s="418">
        <f t="shared" si="351"/>
        <v>0</v>
      </c>
      <c r="AM141" s="418">
        <f t="shared" si="352"/>
        <v>0</v>
      </c>
      <c r="AN141" s="418">
        <f t="shared" si="353"/>
        <v>0</v>
      </c>
      <c r="AO141" s="418">
        <f t="shared" si="354"/>
        <v>0</v>
      </c>
      <c r="AP141" s="418">
        <f t="shared" si="354"/>
        <v>176032</v>
      </c>
      <c r="AQ141" s="418">
        <f t="shared" si="355"/>
        <v>176032</v>
      </c>
      <c r="AR141" s="68">
        <f t="shared" si="356"/>
        <v>59499</v>
      </c>
      <c r="AS141" s="68">
        <f t="shared" si="357"/>
        <v>1760</v>
      </c>
      <c r="AT141" s="418">
        <v>0</v>
      </c>
      <c r="AU141" s="418">
        <v>833</v>
      </c>
      <c r="AV141" s="418">
        <f t="shared" si="358"/>
        <v>833</v>
      </c>
      <c r="AW141" s="418">
        <f t="shared" si="359"/>
        <v>238124</v>
      </c>
      <c r="AX141" s="419">
        <v>0</v>
      </c>
      <c r="AY141" s="419">
        <v>0</v>
      </c>
      <c r="AZ141" s="419">
        <v>0</v>
      </c>
      <c r="BA141" s="419">
        <v>0</v>
      </c>
      <c r="BB141" s="419">
        <v>0.52</v>
      </c>
      <c r="BC141" s="419">
        <v>0</v>
      </c>
      <c r="BD141" s="419">
        <v>0</v>
      </c>
      <c r="BE141" s="419">
        <v>0</v>
      </c>
      <c r="BF141" s="419">
        <f t="shared" si="360"/>
        <v>0</v>
      </c>
      <c r="BG141" s="419">
        <f t="shared" si="361"/>
        <v>0.52</v>
      </c>
      <c r="BH141" s="894">
        <f t="shared" si="362"/>
        <v>0.52</v>
      </c>
      <c r="BI141" s="424">
        <f t="shared" si="363"/>
        <v>710364</v>
      </c>
      <c r="BJ141" s="418">
        <f t="shared" si="364"/>
        <v>525086</v>
      </c>
      <c r="BK141" s="418">
        <f t="shared" si="365"/>
        <v>0</v>
      </c>
      <c r="BL141" s="418">
        <f t="shared" si="365"/>
        <v>525086</v>
      </c>
      <c r="BM141" s="418">
        <f t="shared" si="366"/>
        <v>0</v>
      </c>
      <c r="BN141" s="418">
        <f t="shared" si="367"/>
        <v>0</v>
      </c>
      <c r="BO141" s="418">
        <f t="shared" si="367"/>
        <v>0</v>
      </c>
      <c r="BP141" s="418">
        <f t="shared" si="368"/>
        <v>177479</v>
      </c>
      <c r="BQ141" s="418">
        <f t="shared" si="368"/>
        <v>5251</v>
      </c>
      <c r="BR141" s="418">
        <f t="shared" si="369"/>
        <v>2548</v>
      </c>
      <c r="BS141" s="419">
        <f t="shared" si="370"/>
        <v>1.5667</v>
      </c>
      <c r="BT141" s="419">
        <f t="shared" si="371"/>
        <v>0</v>
      </c>
      <c r="BU141" s="421">
        <f t="shared" si="371"/>
        <v>1.5667</v>
      </c>
      <c r="BV141" s="888"/>
      <c r="BW141" s="723"/>
      <c r="BX141" s="723"/>
      <c r="BY141" s="723"/>
      <c r="BZ141" s="723"/>
      <c r="CA141" s="855"/>
    </row>
    <row r="142" spans="1:79" ht="12.95" customHeight="1" x14ac:dyDescent="0.25">
      <c r="A142" s="280">
        <v>26</v>
      </c>
      <c r="B142" s="321">
        <v>5452</v>
      </c>
      <c r="C142" s="322">
        <v>600099245</v>
      </c>
      <c r="D142" s="281">
        <v>70188416</v>
      </c>
      <c r="E142" s="323" t="s">
        <v>401</v>
      </c>
      <c r="F142" s="281">
        <v>3143</v>
      </c>
      <c r="G142" s="323" t="s">
        <v>595</v>
      </c>
      <c r="H142" s="284" t="s">
        <v>271</v>
      </c>
      <c r="I142" s="420">
        <v>581096</v>
      </c>
      <c r="J142" s="415">
        <v>431080</v>
      </c>
      <c r="K142" s="415">
        <v>431080</v>
      </c>
      <c r="L142" s="415">
        <v>0</v>
      </c>
      <c r="M142" s="415">
        <v>0</v>
      </c>
      <c r="N142" s="415">
        <v>0</v>
      </c>
      <c r="O142" s="415">
        <v>0</v>
      </c>
      <c r="P142" s="68">
        <v>145705</v>
      </c>
      <c r="Q142" s="68">
        <v>4311</v>
      </c>
      <c r="R142" s="415">
        <v>0</v>
      </c>
      <c r="S142" s="416">
        <v>0.89639999999999997</v>
      </c>
      <c r="T142" s="417">
        <v>0.89639999999999997</v>
      </c>
      <c r="U142" s="423">
        <v>0</v>
      </c>
      <c r="V142" s="424">
        <f t="shared" si="347"/>
        <v>0</v>
      </c>
      <c r="W142" s="418">
        <f t="shared" si="347"/>
        <v>0</v>
      </c>
      <c r="X142" s="418">
        <v>0</v>
      </c>
      <c r="Y142" s="418">
        <v>0</v>
      </c>
      <c r="Z142" s="418">
        <v>0</v>
      </c>
      <c r="AA142" s="418">
        <v>0</v>
      </c>
      <c r="AB142" s="418">
        <v>0</v>
      </c>
      <c r="AC142" s="418">
        <v>0</v>
      </c>
      <c r="AD142" s="418">
        <f t="shared" si="348"/>
        <v>0</v>
      </c>
      <c r="AE142" s="418">
        <f t="shared" si="349"/>
        <v>0</v>
      </c>
      <c r="AF142" s="794">
        <f t="shared" si="350"/>
        <v>0</v>
      </c>
      <c r="AG142" s="780">
        <v>0</v>
      </c>
      <c r="AH142" s="418">
        <v>0</v>
      </c>
      <c r="AI142" s="418">
        <v>0</v>
      </c>
      <c r="AJ142" s="418">
        <v>0</v>
      </c>
      <c r="AK142" s="418">
        <v>0</v>
      </c>
      <c r="AL142" s="418">
        <f t="shared" si="351"/>
        <v>0</v>
      </c>
      <c r="AM142" s="418">
        <f t="shared" si="352"/>
        <v>0</v>
      </c>
      <c r="AN142" s="418">
        <f t="shared" si="353"/>
        <v>0</v>
      </c>
      <c r="AO142" s="418">
        <f t="shared" si="354"/>
        <v>0</v>
      </c>
      <c r="AP142" s="418">
        <f t="shared" si="354"/>
        <v>0</v>
      </c>
      <c r="AQ142" s="418">
        <f t="shared" si="355"/>
        <v>0</v>
      </c>
      <c r="AR142" s="68">
        <f t="shared" si="356"/>
        <v>0</v>
      </c>
      <c r="AS142" s="68">
        <f t="shared" si="357"/>
        <v>0</v>
      </c>
      <c r="AT142" s="418">
        <v>0</v>
      </c>
      <c r="AU142" s="418">
        <v>0</v>
      </c>
      <c r="AV142" s="418">
        <f t="shared" si="358"/>
        <v>0</v>
      </c>
      <c r="AW142" s="418">
        <f t="shared" si="359"/>
        <v>0</v>
      </c>
      <c r="AX142" s="419">
        <v>0</v>
      </c>
      <c r="AY142" s="419">
        <v>0</v>
      </c>
      <c r="AZ142" s="419">
        <v>0</v>
      </c>
      <c r="BA142" s="419">
        <v>0</v>
      </c>
      <c r="BB142" s="419">
        <v>0</v>
      </c>
      <c r="BC142" s="419">
        <v>0</v>
      </c>
      <c r="BD142" s="419">
        <v>0</v>
      </c>
      <c r="BE142" s="419">
        <v>0</v>
      </c>
      <c r="BF142" s="419">
        <f t="shared" si="360"/>
        <v>0</v>
      </c>
      <c r="BG142" s="419">
        <f t="shared" si="361"/>
        <v>0</v>
      </c>
      <c r="BH142" s="894">
        <f t="shared" si="362"/>
        <v>0</v>
      </c>
      <c r="BI142" s="424">
        <f t="shared" si="363"/>
        <v>581096</v>
      </c>
      <c r="BJ142" s="418">
        <f t="shared" si="364"/>
        <v>431080</v>
      </c>
      <c r="BK142" s="418">
        <f t="shared" si="365"/>
        <v>431080</v>
      </c>
      <c r="BL142" s="418">
        <f t="shared" si="365"/>
        <v>0</v>
      </c>
      <c r="BM142" s="418">
        <f t="shared" si="366"/>
        <v>0</v>
      </c>
      <c r="BN142" s="418">
        <f t="shared" si="367"/>
        <v>0</v>
      </c>
      <c r="BO142" s="418">
        <f t="shared" si="367"/>
        <v>0</v>
      </c>
      <c r="BP142" s="418">
        <f t="shared" si="368"/>
        <v>145705</v>
      </c>
      <c r="BQ142" s="418">
        <f t="shared" si="368"/>
        <v>4311</v>
      </c>
      <c r="BR142" s="418">
        <f t="shared" si="369"/>
        <v>0</v>
      </c>
      <c r="BS142" s="419">
        <f t="shared" si="370"/>
        <v>0.89639999999999997</v>
      </c>
      <c r="BT142" s="419">
        <f t="shared" si="371"/>
        <v>0.89639999999999997</v>
      </c>
      <c r="BU142" s="421">
        <f t="shared" si="371"/>
        <v>0</v>
      </c>
      <c r="BV142" s="888"/>
      <c r="BW142" s="723"/>
      <c r="BX142" s="723"/>
      <c r="BY142" s="723"/>
      <c r="BZ142" s="723"/>
      <c r="CA142" s="855"/>
    </row>
    <row r="143" spans="1:79" ht="12.95" customHeight="1" x14ac:dyDescent="0.25">
      <c r="A143" s="280">
        <v>26</v>
      </c>
      <c r="B143" s="321">
        <v>5452</v>
      </c>
      <c r="C143" s="322">
        <v>600099245</v>
      </c>
      <c r="D143" s="281">
        <v>70188416</v>
      </c>
      <c r="E143" s="499" t="s">
        <v>401</v>
      </c>
      <c r="F143" s="281">
        <v>3143</v>
      </c>
      <c r="G143" s="323" t="s">
        <v>596</v>
      </c>
      <c r="H143" s="284" t="s">
        <v>272</v>
      </c>
      <c r="I143" s="420">
        <v>11767</v>
      </c>
      <c r="J143" s="415">
        <v>8422</v>
      </c>
      <c r="K143" s="415">
        <v>0</v>
      </c>
      <c r="L143" s="415">
        <v>8422</v>
      </c>
      <c r="M143" s="415">
        <v>0</v>
      </c>
      <c r="N143" s="415">
        <v>0</v>
      </c>
      <c r="O143" s="415">
        <v>0</v>
      </c>
      <c r="P143" s="68">
        <v>2847</v>
      </c>
      <c r="Q143" s="68">
        <v>84</v>
      </c>
      <c r="R143" s="415">
        <v>414</v>
      </c>
      <c r="S143" s="416">
        <v>3.1899999999999998E-2</v>
      </c>
      <c r="T143" s="417">
        <v>0</v>
      </c>
      <c r="U143" s="423">
        <v>3.1899999999999998E-2</v>
      </c>
      <c r="V143" s="424">
        <f t="shared" si="347"/>
        <v>0</v>
      </c>
      <c r="W143" s="418">
        <f t="shared" si="347"/>
        <v>0</v>
      </c>
      <c r="X143" s="418">
        <v>0</v>
      </c>
      <c r="Y143" s="418">
        <v>0</v>
      </c>
      <c r="Z143" s="418">
        <v>0</v>
      </c>
      <c r="AA143" s="418">
        <v>4228</v>
      </c>
      <c r="AB143" s="418">
        <v>0</v>
      </c>
      <c r="AC143" s="418">
        <v>0</v>
      </c>
      <c r="AD143" s="418">
        <f t="shared" si="348"/>
        <v>0</v>
      </c>
      <c r="AE143" s="418">
        <f t="shared" si="349"/>
        <v>4228</v>
      </c>
      <c r="AF143" s="794">
        <f t="shared" si="350"/>
        <v>4228</v>
      </c>
      <c r="AG143" s="780">
        <v>0</v>
      </c>
      <c r="AH143" s="418">
        <v>0</v>
      </c>
      <c r="AI143" s="418">
        <v>0</v>
      </c>
      <c r="AJ143" s="418">
        <v>0</v>
      </c>
      <c r="AK143" s="418">
        <v>0</v>
      </c>
      <c r="AL143" s="418">
        <f t="shared" si="351"/>
        <v>0</v>
      </c>
      <c r="AM143" s="418">
        <f t="shared" si="352"/>
        <v>0</v>
      </c>
      <c r="AN143" s="418">
        <f t="shared" si="353"/>
        <v>0</v>
      </c>
      <c r="AO143" s="418">
        <f t="shared" si="354"/>
        <v>0</v>
      </c>
      <c r="AP143" s="418">
        <f t="shared" si="354"/>
        <v>4228</v>
      </c>
      <c r="AQ143" s="418">
        <f t="shared" si="355"/>
        <v>4228</v>
      </c>
      <c r="AR143" s="68">
        <f t="shared" si="356"/>
        <v>1429</v>
      </c>
      <c r="AS143" s="68">
        <f t="shared" si="357"/>
        <v>42</v>
      </c>
      <c r="AT143" s="418">
        <v>0</v>
      </c>
      <c r="AU143" s="418">
        <v>207</v>
      </c>
      <c r="AV143" s="418">
        <f t="shared" si="358"/>
        <v>207</v>
      </c>
      <c r="AW143" s="418">
        <f t="shared" si="359"/>
        <v>5906</v>
      </c>
      <c r="AX143" s="419">
        <v>0</v>
      </c>
      <c r="AY143" s="419">
        <v>0</v>
      </c>
      <c r="AZ143" s="419">
        <v>0</v>
      </c>
      <c r="BA143" s="419">
        <v>0</v>
      </c>
      <c r="BB143" s="419">
        <v>0.02</v>
      </c>
      <c r="BC143" s="419">
        <v>0</v>
      </c>
      <c r="BD143" s="419">
        <v>0</v>
      </c>
      <c r="BE143" s="419">
        <v>0</v>
      </c>
      <c r="BF143" s="419">
        <f t="shared" si="360"/>
        <v>0</v>
      </c>
      <c r="BG143" s="419">
        <f t="shared" si="361"/>
        <v>0.02</v>
      </c>
      <c r="BH143" s="894">
        <f t="shared" si="362"/>
        <v>0.02</v>
      </c>
      <c r="BI143" s="424">
        <f t="shared" si="363"/>
        <v>17673</v>
      </c>
      <c r="BJ143" s="418">
        <f t="shared" si="364"/>
        <v>12650</v>
      </c>
      <c r="BK143" s="418">
        <f t="shared" si="365"/>
        <v>0</v>
      </c>
      <c r="BL143" s="418">
        <f t="shared" si="365"/>
        <v>12650</v>
      </c>
      <c r="BM143" s="418">
        <f t="shared" si="366"/>
        <v>0</v>
      </c>
      <c r="BN143" s="418">
        <f t="shared" si="367"/>
        <v>0</v>
      </c>
      <c r="BO143" s="418">
        <f t="shared" si="367"/>
        <v>0</v>
      </c>
      <c r="BP143" s="418">
        <f t="shared" si="368"/>
        <v>4276</v>
      </c>
      <c r="BQ143" s="418">
        <f t="shared" si="368"/>
        <v>126</v>
      </c>
      <c r="BR143" s="418">
        <f t="shared" si="369"/>
        <v>621</v>
      </c>
      <c r="BS143" s="419">
        <f t="shared" si="370"/>
        <v>5.1900000000000002E-2</v>
      </c>
      <c r="BT143" s="419">
        <f t="shared" si="371"/>
        <v>0</v>
      </c>
      <c r="BU143" s="421">
        <f t="shared" si="371"/>
        <v>5.1900000000000002E-2</v>
      </c>
      <c r="BV143" s="888"/>
      <c r="BW143" s="723"/>
      <c r="BX143" s="723"/>
      <c r="BY143" s="723"/>
      <c r="BZ143" s="723"/>
      <c r="CA143" s="855"/>
    </row>
    <row r="144" spans="1:79" ht="12.95" customHeight="1" x14ac:dyDescent="0.25">
      <c r="A144" s="324">
        <v>26</v>
      </c>
      <c r="B144" s="325">
        <v>5452</v>
      </c>
      <c r="C144" s="326">
        <v>600099245</v>
      </c>
      <c r="D144" s="325">
        <v>70188416</v>
      </c>
      <c r="E144" s="327" t="s">
        <v>402</v>
      </c>
      <c r="F144" s="291"/>
      <c r="G144" s="329"/>
      <c r="H144" s="292"/>
      <c r="I144" s="472">
        <v>7916934</v>
      </c>
      <c r="J144" s="468">
        <v>5823004</v>
      </c>
      <c r="K144" s="468">
        <v>5067508</v>
      </c>
      <c r="L144" s="468">
        <v>755496</v>
      </c>
      <c r="M144" s="468">
        <v>17000</v>
      </c>
      <c r="N144" s="468">
        <v>0</v>
      </c>
      <c r="O144" s="468">
        <v>17000</v>
      </c>
      <c r="P144" s="468">
        <v>1973921</v>
      </c>
      <c r="Q144" s="468">
        <v>58230</v>
      </c>
      <c r="R144" s="468">
        <v>44779</v>
      </c>
      <c r="S144" s="469">
        <v>11.9162</v>
      </c>
      <c r="T144" s="469">
        <v>9.6418999999999997</v>
      </c>
      <c r="U144" s="532">
        <v>2.2742999999999998</v>
      </c>
      <c r="V144" s="472">
        <f t="shared" ref="V144:CA144" si="372">SUM(V138:V143)</f>
        <v>0</v>
      </c>
      <c r="W144" s="468">
        <f t="shared" si="372"/>
        <v>0</v>
      </c>
      <c r="X144" s="468">
        <f t="shared" si="372"/>
        <v>0</v>
      </c>
      <c r="Y144" s="468">
        <f t="shared" si="372"/>
        <v>0</v>
      </c>
      <c r="Z144" s="468">
        <f t="shared" si="372"/>
        <v>0</v>
      </c>
      <c r="AA144" s="468">
        <f t="shared" si="372"/>
        <v>180260</v>
      </c>
      <c r="AB144" s="468">
        <f t="shared" si="372"/>
        <v>0</v>
      </c>
      <c r="AC144" s="468">
        <f t="shared" si="372"/>
        <v>0</v>
      </c>
      <c r="AD144" s="468">
        <f t="shared" si="372"/>
        <v>0</v>
      </c>
      <c r="AE144" s="468">
        <f t="shared" si="372"/>
        <v>180260</v>
      </c>
      <c r="AF144" s="795">
        <f t="shared" si="372"/>
        <v>180260</v>
      </c>
      <c r="AG144" s="785">
        <f t="shared" si="372"/>
        <v>0</v>
      </c>
      <c r="AH144" s="468">
        <f t="shared" si="372"/>
        <v>0</v>
      </c>
      <c r="AI144" s="468">
        <f t="shared" si="372"/>
        <v>0</v>
      </c>
      <c r="AJ144" s="468">
        <f t="shared" si="372"/>
        <v>0</v>
      </c>
      <c r="AK144" s="468">
        <f t="shared" si="372"/>
        <v>0</v>
      </c>
      <c r="AL144" s="468">
        <f t="shared" si="372"/>
        <v>0</v>
      </c>
      <c r="AM144" s="468">
        <f t="shared" si="372"/>
        <v>0</v>
      </c>
      <c r="AN144" s="468">
        <f t="shared" si="372"/>
        <v>0</v>
      </c>
      <c r="AO144" s="468">
        <f t="shared" si="372"/>
        <v>0</v>
      </c>
      <c r="AP144" s="468">
        <f t="shared" si="372"/>
        <v>180260</v>
      </c>
      <c r="AQ144" s="468">
        <f t="shared" si="372"/>
        <v>180260</v>
      </c>
      <c r="AR144" s="468">
        <f t="shared" si="372"/>
        <v>60928</v>
      </c>
      <c r="AS144" s="468">
        <f t="shared" si="372"/>
        <v>1802</v>
      </c>
      <c r="AT144" s="468">
        <f t="shared" si="372"/>
        <v>0</v>
      </c>
      <c r="AU144" s="468">
        <f t="shared" si="372"/>
        <v>1040</v>
      </c>
      <c r="AV144" s="468">
        <f t="shared" si="372"/>
        <v>1040</v>
      </c>
      <c r="AW144" s="468">
        <f t="shared" si="372"/>
        <v>244030</v>
      </c>
      <c r="AX144" s="469">
        <f t="shared" si="372"/>
        <v>0</v>
      </c>
      <c r="AY144" s="469">
        <f t="shared" si="372"/>
        <v>0</v>
      </c>
      <c r="AZ144" s="469">
        <f t="shared" si="372"/>
        <v>0</v>
      </c>
      <c r="BA144" s="469">
        <f t="shared" si="372"/>
        <v>0</v>
      </c>
      <c r="BB144" s="469">
        <f t="shared" ref="BB144" si="373">SUM(BB138:BB143)</f>
        <v>0.54</v>
      </c>
      <c r="BC144" s="469">
        <f t="shared" si="372"/>
        <v>0</v>
      </c>
      <c r="BD144" s="469">
        <f t="shared" si="372"/>
        <v>0</v>
      </c>
      <c r="BE144" s="469">
        <f t="shared" ref="BE144" si="374">SUM(BE138:BE143)</f>
        <v>0</v>
      </c>
      <c r="BF144" s="469">
        <f t="shared" si="372"/>
        <v>0</v>
      </c>
      <c r="BG144" s="469">
        <f t="shared" si="372"/>
        <v>0.54</v>
      </c>
      <c r="BH144" s="532">
        <f t="shared" si="372"/>
        <v>0.54</v>
      </c>
      <c r="BI144" s="472">
        <f t="shared" si="372"/>
        <v>8160964</v>
      </c>
      <c r="BJ144" s="468">
        <f t="shared" si="372"/>
        <v>6003264</v>
      </c>
      <c r="BK144" s="468">
        <f t="shared" si="372"/>
        <v>5067508</v>
      </c>
      <c r="BL144" s="468">
        <f t="shared" si="372"/>
        <v>935756</v>
      </c>
      <c r="BM144" s="468">
        <f t="shared" si="372"/>
        <v>17000</v>
      </c>
      <c r="BN144" s="468">
        <f t="shared" si="372"/>
        <v>0</v>
      </c>
      <c r="BO144" s="468">
        <f t="shared" si="372"/>
        <v>17000</v>
      </c>
      <c r="BP144" s="468">
        <f t="shared" si="372"/>
        <v>2034849</v>
      </c>
      <c r="BQ144" s="468">
        <f t="shared" si="372"/>
        <v>60032</v>
      </c>
      <c r="BR144" s="468">
        <f t="shared" si="372"/>
        <v>45819</v>
      </c>
      <c r="BS144" s="469">
        <f t="shared" si="372"/>
        <v>12.456199999999999</v>
      </c>
      <c r="BT144" s="469">
        <f t="shared" si="372"/>
        <v>9.6418999999999997</v>
      </c>
      <c r="BU144" s="328">
        <f t="shared" si="372"/>
        <v>2.8142999999999994</v>
      </c>
      <c r="BV144" s="886">
        <f t="shared" si="372"/>
        <v>152054</v>
      </c>
      <c r="BW144" s="727">
        <f t="shared" si="372"/>
        <v>112800</v>
      </c>
      <c r="BX144" s="727">
        <f t="shared" si="372"/>
        <v>0</v>
      </c>
      <c r="BY144" s="727">
        <f t="shared" si="372"/>
        <v>38126</v>
      </c>
      <c r="BZ144" s="727">
        <f t="shared" si="372"/>
        <v>1128</v>
      </c>
      <c r="CA144" s="859">
        <f t="shared" si="372"/>
        <v>0.2</v>
      </c>
    </row>
    <row r="145" spans="1:79" ht="12.95" customHeight="1" x14ac:dyDescent="0.25">
      <c r="A145" s="280">
        <v>27</v>
      </c>
      <c r="B145" s="321">
        <v>5428</v>
      </c>
      <c r="C145" s="322">
        <v>600099059</v>
      </c>
      <c r="D145" s="281">
        <v>70985740</v>
      </c>
      <c r="E145" s="323" t="s">
        <v>403</v>
      </c>
      <c r="F145" s="281">
        <v>3111</v>
      </c>
      <c r="G145" s="323" t="s">
        <v>304</v>
      </c>
      <c r="H145" s="284" t="s">
        <v>271</v>
      </c>
      <c r="I145" s="420">
        <v>1557597</v>
      </c>
      <c r="J145" s="415">
        <v>1151328</v>
      </c>
      <c r="K145" s="415">
        <v>1084760</v>
      </c>
      <c r="L145" s="415">
        <v>66568</v>
      </c>
      <c r="M145" s="415">
        <v>0</v>
      </c>
      <c r="N145" s="415">
        <v>0</v>
      </c>
      <c r="O145" s="415">
        <v>0</v>
      </c>
      <c r="P145" s="68">
        <v>389149</v>
      </c>
      <c r="Q145" s="68">
        <v>11513</v>
      </c>
      <c r="R145" s="415">
        <v>5607</v>
      </c>
      <c r="S145" s="416">
        <v>2.2021999999999999</v>
      </c>
      <c r="T145" s="417">
        <v>1.9355</v>
      </c>
      <c r="U145" s="423">
        <v>0.26669999999999999</v>
      </c>
      <c r="V145" s="424">
        <f t="shared" ref="V145:W150" si="375">AG145*-1</f>
        <v>0</v>
      </c>
      <c r="W145" s="418">
        <f t="shared" si="375"/>
        <v>0</v>
      </c>
      <c r="X145" s="418">
        <v>0</v>
      </c>
      <c r="Y145" s="418">
        <v>0</v>
      </c>
      <c r="Z145" s="418">
        <v>0</v>
      </c>
      <c r="AA145" s="418">
        <v>0</v>
      </c>
      <c r="AB145" s="418">
        <v>0</v>
      </c>
      <c r="AC145" s="418">
        <v>0</v>
      </c>
      <c r="AD145" s="418">
        <f t="shared" ref="AD145:AD150" si="376">V145+X145+Y145+Z145+AB145</f>
        <v>0</v>
      </c>
      <c r="AE145" s="418">
        <f t="shared" ref="AE145:AE150" si="377">W145+AA145+AC145</f>
        <v>0</v>
      </c>
      <c r="AF145" s="794">
        <f t="shared" ref="AF145:AF150" si="378">SUM(AD145:AE145)</f>
        <v>0</v>
      </c>
      <c r="AG145" s="780">
        <v>0</v>
      </c>
      <c r="AH145" s="418">
        <v>0</v>
      </c>
      <c r="AI145" s="418">
        <v>0</v>
      </c>
      <c r="AJ145" s="418">
        <v>0</v>
      </c>
      <c r="AK145" s="418">
        <v>0</v>
      </c>
      <c r="AL145" s="418">
        <f t="shared" ref="AL145:AL150" si="379">AG145+AI145+AJ145</f>
        <v>0</v>
      </c>
      <c r="AM145" s="418">
        <f t="shared" ref="AM145:AM150" si="380">AH145+AK145</f>
        <v>0</v>
      </c>
      <c r="AN145" s="418">
        <f t="shared" ref="AN145:AN150" si="381">SUM(AL145:AM145)</f>
        <v>0</v>
      </c>
      <c r="AO145" s="418">
        <f t="shared" ref="AO145:AP150" si="382">AD145+AL145</f>
        <v>0</v>
      </c>
      <c r="AP145" s="418">
        <f t="shared" si="382"/>
        <v>0</v>
      </c>
      <c r="AQ145" s="418">
        <f t="shared" ref="AQ145:AQ150" si="383">SUM(AO145:AP145)</f>
        <v>0</v>
      </c>
      <c r="AR145" s="68">
        <f t="shared" ref="AR145:AR150" si="384">ROUND((AF145+AG145+AH145+AI145)*33.8%,0)</f>
        <v>0</v>
      </c>
      <c r="AS145" s="68">
        <f t="shared" ref="AS145:AS150" si="385">ROUND(AF145*1%,0)</f>
        <v>0</v>
      </c>
      <c r="AT145" s="418">
        <v>0</v>
      </c>
      <c r="AU145" s="418">
        <v>0</v>
      </c>
      <c r="AV145" s="418">
        <f t="shared" ref="AV145:AV150" si="386">AT145+AU145</f>
        <v>0</v>
      </c>
      <c r="AW145" s="418">
        <f t="shared" ref="AW145:AW150" si="387">AQ145+AR145+AS145+AV145</f>
        <v>0</v>
      </c>
      <c r="AX145" s="419">
        <v>0</v>
      </c>
      <c r="AY145" s="419">
        <v>0</v>
      </c>
      <c r="AZ145" s="419">
        <v>0</v>
      </c>
      <c r="BA145" s="419">
        <v>0</v>
      </c>
      <c r="BB145" s="419">
        <v>0</v>
      </c>
      <c r="BC145" s="419">
        <v>0</v>
      </c>
      <c r="BD145" s="419">
        <v>0</v>
      </c>
      <c r="BE145" s="419">
        <v>0</v>
      </c>
      <c r="BF145" s="419">
        <f t="shared" ref="BF145:BF150" si="388">AX145+AZ145+BA145+BC145+BD145</f>
        <v>0</v>
      </c>
      <c r="BG145" s="419">
        <f t="shared" ref="BG145:BG150" si="389">AY145+BB145+BE145</f>
        <v>0</v>
      </c>
      <c r="BH145" s="894">
        <f t="shared" ref="BH145:BH150" si="390">SUM(BF145:BG145)</f>
        <v>0</v>
      </c>
      <c r="BI145" s="424">
        <f t="shared" ref="BI145:BI150" si="391">I145+AW145</f>
        <v>1557597</v>
      </c>
      <c r="BJ145" s="418">
        <f t="shared" ref="BJ145:BJ150" si="392">J145+AF145</f>
        <v>1151328</v>
      </c>
      <c r="BK145" s="418">
        <f t="shared" ref="BK145:BL150" si="393">K145+AD145</f>
        <v>1084760</v>
      </c>
      <c r="BL145" s="418">
        <f t="shared" si="393"/>
        <v>66568</v>
      </c>
      <c r="BM145" s="418">
        <f t="shared" ref="BM145:BM150" si="394">M145+AN145</f>
        <v>0</v>
      </c>
      <c r="BN145" s="418">
        <f t="shared" ref="BN145:BO150" si="395">N145+AL145</f>
        <v>0</v>
      </c>
      <c r="BO145" s="418">
        <f t="shared" si="395"/>
        <v>0</v>
      </c>
      <c r="BP145" s="418">
        <f t="shared" ref="BP145:BQ150" si="396">P145+AR145</f>
        <v>389149</v>
      </c>
      <c r="BQ145" s="418">
        <f t="shared" si="396"/>
        <v>11513</v>
      </c>
      <c r="BR145" s="418">
        <f t="shared" ref="BR145:BR150" si="397">R145+AV145</f>
        <v>5607</v>
      </c>
      <c r="BS145" s="419">
        <f t="shared" ref="BS145:BS150" si="398">S145+BH145</f>
        <v>2.2021999999999999</v>
      </c>
      <c r="BT145" s="419">
        <f t="shared" ref="BT145:BU150" si="399">T145+BF145</f>
        <v>1.9355</v>
      </c>
      <c r="BU145" s="421">
        <f t="shared" si="399"/>
        <v>0.26669999999999999</v>
      </c>
      <c r="BV145" s="888"/>
      <c r="BW145" s="723"/>
      <c r="BX145" s="723"/>
      <c r="BY145" s="723"/>
      <c r="BZ145" s="723"/>
      <c r="CA145" s="855"/>
    </row>
    <row r="146" spans="1:79" ht="12.95" customHeight="1" x14ac:dyDescent="0.25">
      <c r="A146" s="280">
        <v>27</v>
      </c>
      <c r="B146" s="321">
        <v>5428</v>
      </c>
      <c r="C146" s="322">
        <v>600099059</v>
      </c>
      <c r="D146" s="281">
        <v>70985740</v>
      </c>
      <c r="E146" s="323" t="s">
        <v>403</v>
      </c>
      <c r="F146" s="281">
        <v>3117</v>
      </c>
      <c r="G146" s="323" t="s">
        <v>293</v>
      </c>
      <c r="H146" s="284" t="s">
        <v>271</v>
      </c>
      <c r="I146" s="420">
        <v>2186399</v>
      </c>
      <c r="J146" s="415">
        <v>1573109</v>
      </c>
      <c r="K146" s="415">
        <v>1377131</v>
      </c>
      <c r="L146" s="415">
        <v>195978</v>
      </c>
      <c r="M146" s="415">
        <v>36480</v>
      </c>
      <c r="N146" s="415">
        <v>34480</v>
      </c>
      <c r="O146" s="415">
        <v>2000</v>
      </c>
      <c r="P146" s="68">
        <v>544041</v>
      </c>
      <c r="Q146" s="68">
        <v>15731</v>
      </c>
      <c r="R146" s="415">
        <v>17038</v>
      </c>
      <c r="S146" s="416">
        <v>2.7681000000000004</v>
      </c>
      <c r="T146" s="417">
        <v>2.2626000000000004</v>
      </c>
      <c r="U146" s="423">
        <v>0.50550000000000006</v>
      </c>
      <c r="V146" s="424">
        <f t="shared" si="375"/>
        <v>0</v>
      </c>
      <c r="W146" s="418">
        <f t="shared" si="375"/>
        <v>0</v>
      </c>
      <c r="X146" s="418">
        <v>0</v>
      </c>
      <c r="Y146" s="418">
        <v>0</v>
      </c>
      <c r="Z146" s="418">
        <v>0</v>
      </c>
      <c r="AA146" s="418">
        <v>0</v>
      </c>
      <c r="AB146" s="418">
        <v>0</v>
      </c>
      <c r="AC146" s="418">
        <v>0</v>
      </c>
      <c r="AD146" s="418">
        <f t="shared" si="376"/>
        <v>0</v>
      </c>
      <c r="AE146" s="418">
        <f t="shared" si="377"/>
        <v>0</v>
      </c>
      <c r="AF146" s="794">
        <f t="shared" si="378"/>
        <v>0</v>
      </c>
      <c r="AG146" s="780">
        <v>0</v>
      </c>
      <c r="AH146" s="418">
        <v>0</v>
      </c>
      <c r="AI146" s="418">
        <v>0</v>
      </c>
      <c r="AJ146" s="418">
        <v>0</v>
      </c>
      <c r="AK146" s="418">
        <v>0</v>
      </c>
      <c r="AL146" s="418">
        <f t="shared" si="379"/>
        <v>0</v>
      </c>
      <c r="AM146" s="418">
        <f t="shared" si="380"/>
        <v>0</v>
      </c>
      <c r="AN146" s="418">
        <f t="shared" si="381"/>
        <v>0</v>
      </c>
      <c r="AO146" s="418">
        <f t="shared" si="382"/>
        <v>0</v>
      </c>
      <c r="AP146" s="418">
        <f t="shared" si="382"/>
        <v>0</v>
      </c>
      <c r="AQ146" s="418">
        <f t="shared" si="383"/>
        <v>0</v>
      </c>
      <c r="AR146" s="68">
        <f t="shared" si="384"/>
        <v>0</v>
      </c>
      <c r="AS146" s="68">
        <f t="shared" si="385"/>
        <v>0</v>
      </c>
      <c r="AT146" s="418">
        <v>0</v>
      </c>
      <c r="AU146" s="418">
        <v>0</v>
      </c>
      <c r="AV146" s="418">
        <f t="shared" si="386"/>
        <v>0</v>
      </c>
      <c r="AW146" s="418">
        <f t="shared" si="387"/>
        <v>0</v>
      </c>
      <c r="AX146" s="419">
        <v>0</v>
      </c>
      <c r="AY146" s="419">
        <v>0</v>
      </c>
      <c r="AZ146" s="419">
        <v>0</v>
      </c>
      <c r="BA146" s="419">
        <v>0</v>
      </c>
      <c r="BB146" s="419">
        <v>0</v>
      </c>
      <c r="BC146" s="419">
        <v>0</v>
      </c>
      <c r="BD146" s="419">
        <v>0</v>
      </c>
      <c r="BE146" s="419">
        <v>0</v>
      </c>
      <c r="BF146" s="419">
        <f t="shared" si="388"/>
        <v>0</v>
      </c>
      <c r="BG146" s="419">
        <f t="shared" si="389"/>
        <v>0</v>
      </c>
      <c r="BH146" s="894">
        <f t="shared" si="390"/>
        <v>0</v>
      </c>
      <c r="BI146" s="424">
        <f t="shared" si="391"/>
        <v>2186399</v>
      </c>
      <c r="BJ146" s="418">
        <f t="shared" si="392"/>
        <v>1573109</v>
      </c>
      <c r="BK146" s="418">
        <f t="shared" si="393"/>
        <v>1377131</v>
      </c>
      <c r="BL146" s="418">
        <f t="shared" si="393"/>
        <v>195978</v>
      </c>
      <c r="BM146" s="418">
        <f t="shared" si="394"/>
        <v>36480</v>
      </c>
      <c r="BN146" s="418">
        <f t="shared" si="395"/>
        <v>34480</v>
      </c>
      <c r="BO146" s="418">
        <f t="shared" si="395"/>
        <v>2000</v>
      </c>
      <c r="BP146" s="418">
        <f t="shared" si="396"/>
        <v>544041</v>
      </c>
      <c r="BQ146" s="418">
        <f t="shared" si="396"/>
        <v>15731</v>
      </c>
      <c r="BR146" s="418">
        <f t="shared" si="397"/>
        <v>17038</v>
      </c>
      <c r="BS146" s="419">
        <f t="shared" si="398"/>
        <v>2.7681000000000004</v>
      </c>
      <c r="BT146" s="419">
        <f t="shared" si="399"/>
        <v>2.2626000000000004</v>
      </c>
      <c r="BU146" s="421">
        <f t="shared" si="399"/>
        <v>0.50550000000000006</v>
      </c>
      <c r="BV146" s="888"/>
      <c r="BW146" s="723"/>
      <c r="BX146" s="723"/>
      <c r="BY146" s="723"/>
      <c r="BZ146" s="723"/>
      <c r="CA146" s="855"/>
    </row>
    <row r="147" spans="1:79" ht="12.95" customHeight="1" x14ac:dyDescent="0.25">
      <c r="A147" s="280">
        <v>27</v>
      </c>
      <c r="B147" s="321">
        <v>5428</v>
      </c>
      <c r="C147" s="322">
        <v>600099059</v>
      </c>
      <c r="D147" s="281">
        <v>70985740</v>
      </c>
      <c r="E147" s="323" t="s">
        <v>403</v>
      </c>
      <c r="F147" s="281">
        <v>3117</v>
      </c>
      <c r="G147" s="323" t="s">
        <v>298</v>
      </c>
      <c r="H147" s="284" t="s">
        <v>272</v>
      </c>
      <c r="I147" s="420">
        <v>0</v>
      </c>
      <c r="J147" s="415">
        <v>0</v>
      </c>
      <c r="K147" s="415">
        <v>0</v>
      </c>
      <c r="L147" s="415">
        <v>0</v>
      </c>
      <c r="M147" s="415">
        <v>0</v>
      </c>
      <c r="N147" s="415">
        <v>0</v>
      </c>
      <c r="O147" s="415">
        <v>0</v>
      </c>
      <c r="P147" s="68">
        <v>0</v>
      </c>
      <c r="Q147" s="68">
        <v>0</v>
      </c>
      <c r="R147" s="415">
        <v>0</v>
      </c>
      <c r="S147" s="416">
        <v>0</v>
      </c>
      <c r="T147" s="417">
        <v>0</v>
      </c>
      <c r="U147" s="423">
        <v>0</v>
      </c>
      <c r="V147" s="424">
        <f t="shared" si="375"/>
        <v>0</v>
      </c>
      <c r="W147" s="418">
        <f t="shared" si="375"/>
        <v>0</v>
      </c>
      <c r="X147" s="418">
        <v>0</v>
      </c>
      <c r="Y147" s="418">
        <v>0</v>
      </c>
      <c r="Z147" s="418">
        <v>0</v>
      </c>
      <c r="AA147" s="418">
        <v>0</v>
      </c>
      <c r="AB147" s="418">
        <v>0</v>
      </c>
      <c r="AC147" s="418">
        <v>0</v>
      </c>
      <c r="AD147" s="418">
        <f t="shared" si="376"/>
        <v>0</v>
      </c>
      <c r="AE147" s="418">
        <f t="shared" si="377"/>
        <v>0</v>
      </c>
      <c r="AF147" s="794">
        <f t="shared" si="378"/>
        <v>0</v>
      </c>
      <c r="AG147" s="780">
        <v>0</v>
      </c>
      <c r="AH147" s="418">
        <v>0</v>
      </c>
      <c r="AI147" s="418">
        <v>0</v>
      </c>
      <c r="AJ147" s="418">
        <v>0</v>
      </c>
      <c r="AK147" s="418">
        <v>0</v>
      </c>
      <c r="AL147" s="418">
        <f t="shared" si="379"/>
        <v>0</v>
      </c>
      <c r="AM147" s="418">
        <f t="shared" si="380"/>
        <v>0</v>
      </c>
      <c r="AN147" s="418">
        <f t="shared" si="381"/>
        <v>0</v>
      </c>
      <c r="AO147" s="418">
        <f t="shared" si="382"/>
        <v>0</v>
      </c>
      <c r="AP147" s="418">
        <f t="shared" si="382"/>
        <v>0</v>
      </c>
      <c r="AQ147" s="418">
        <f t="shared" si="383"/>
        <v>0</v>
      </c>
      <c r="AR147" s="68">
        <f t="shared" si="384"/>
        <v>0</v>
      </c>
      <c r="AS147" s="68">
        <f t="shared" si="385"/>
        <v>0</v>
      </c>
      <c r="AT147" s="418">
        <v>0</v>
      </c>
      <c r="AU147" s="418">
        <v>0</v>
      </c>
      <c r="AV147" s="418">
        <f t="shared" si="386"/>
        <v>0</v>
      </c>
      <c r="AW147" s="418">
        <f t="shared" si="387"/>
        <v>0</v>
      </c>
      <c r="AX147" s="419">
        <v>0</v>
      </c>
      <c r="AY147" s="419">
        <v>0</v>
      </c>
      <c r="AZ147" s="419">
        <v>0</v>
      </c>
      <c r="BA147" s="419">
        <v>0</v>
      </c>
      <c r="BB147" s="419">
        <v>0</v>
      </c>
      <c r="BC147" s="419">
        <v>0</v>
      </c>
      <c r="BD147" s="419">
        <v>0</v>
      </c>
      <c r="BE147" s="419">
        <v>0</v>
      </c>
      <c r="BF147" s="419">
        <f t="shared" si="388"/>
        <v>0</v>
      </c>
      <c r="BG147" s="419">
        <f t="shared" si="389"/>
        <v>0</v>
      </c>
      <c r="BH147" s="894">
        <f t="shared" si="390"/>
        <v>0</v>
      </c>
      <c r="BI147" s="424">
        <f t="shared" si="391"/>
        <v>0</v>
      </c>
      <c r="BJ147" s="418">
        <f t="shared" si="392"/>
        <v>0</v>
      </c>
      <c r="BK147" s="418">
        <f t="shared" si="393"/>
        <v>0</v>
      </c>
      <c r="BL147" s="418">
        <f t="shared" si="393"/>
        <v>0</v>
      </c>
      <c r="BM147" s="418">
        <f t="shared" si="394"/>
        <v>0</v>
      </c>
      <c r="BN147" s="418">
        <f t="shared" si="395"/>
        <v>0</v>
      </c>
      <c r="BO147" s="418">
        <f t="shared" si="395"/>
        <v>0</v>
      </c>
      <c r="BP147" s="418">
        <f t="shared" si="396"/>
        <v>0</v>
      </c>
      <c r="BQ147" s="418">
        <f t="shared" si="396"/>
        <v>0</v>
      </c>
      <c r="BR147" s="418">
        <f t="shared" si="397"/>
        <v>0</v>
      </c>
      <c r="BS147" s="419">
        <f t="shared" si="398"/>
        <v>0</v>
      </c>
      <c r="BT147" s="419">
        <f t="shared" si="399"/>
        <v>0</v>
      </c>
      <c r="BU147" s="421">
        <f t="shared" si="399"/>
        <v>0</v>
      </c>
      <c r="BV147" s="888"/>
      <c r="BW147" s="723"/>
      <c r="BX147" s="723"/>
      <c r="BY147" s="723"/>
      <c r="BZ147" s="723"/>
      <c r="CA147" s="855"/>
    </row>
    <row r="148" spans="1:79" ht="12.95" customHeight="1" x14ac:dyDescent="0.25">
      <c r="A148" s="280">
        <v>27</v>
      </c>
      <c r="B148" s="321">
        <v>5428</v>
      </c>
      <c r="C148" s="322">
        <v>600099059</v>
      </c>
      <c r="D148" s="281">
        <v>70985740</v>
      </c>
      <c r="E148" s="323" t="s">
        <v>403</v>
      </c>
      <c r="F148" s="281">
        <v>3141</v>
      </c>
      <c r="G148" s="323" t="s">
        <v>294</v>
      </c>
      <c r="H148" s="284" t="s">
        <v>272</v>
      </c>
      <c r="I148" s="420">
        <v>360770</v>
      </c>
      <c r="J148" s="415">
        <v>258784</v>
      </c>
      <c r="K148" s="415">
        <v>0</v>
      </c>
      <c r="L148" s="415">
        <v>258784</v>
      </c>
      <c r="M148" s="415">
        <v>8000</v>
      </c>
      <c r="N148" s="415">
        <v>0</v>
      </c>
      <c r="O148" s="415">
        <v>8000</v>
      </c>
      <c r="P148" s="68">
        <v>90173</v>
      </c>
      <c r="Q148" s="68">
        <v>2588</v>
      </c>
      <c r="R148" s="415">
        <v>1225</v>
      </c>
      <c r="S148" s="416">
        <v>0.8</v>
      </c>
      <c r="T148" s="417">
        <v>0</v>
      </c>
      <c r="U148" s="423">
        <v>0.8</v>
      </c>
      <c r="V148" s="424">
        <f t="shared" si="375"/>
        <v>0</v>
      </c>
      <c r="W148" s="418">
        <f t="shared" si="375"/>
        <v>0</v>
      </c>
      <c r="X148" s="418">
        <v>0</v>
      </c>
      <c r="Y148" s="418">
        <v>0</v>
      </c>
      <c r="Z148" s="418">
        <v>0</v>
      </c>
      <c r="AA148" s="418">
        <v>132901</v>
      </c>
      <c r="AB148" s="418">
        <v>0</v>
      </c>
      <c r="AC148" s="418">
        <v>0</v>
      </c>
      <c r="AD148" s="418">
        <f t="shared" si="376"/>
        <v>0</v>
      </c>
      <c r="AE148" s="418">
        <f t="shared" si="377"/>
        <v>132901</v>
      </c>
      <c r="AF148" s="794">
        <f t="shared" si="378"/>
        <v>132901</v>
      </c>
      <c r="AG148" s="780">
        <v>0</v>
      </c>
      <c r="AH148" s="418">
        <v>0</v>
      </c>
      <c r="AI148" s="418">
        <v>0</v>
      </c>
      <c r="AJ148" s="418">
        <v>0</v>
      </c>
      <c r="AK148" s="418">
        <v>0</v>
      </c>
      <c r="AL148" s="418">
        <f t="shared" si="379"/>
        <v>0</v>
      </c>
      <c r="AM148" s="418">
        <f t="shared" si="380"/>
        <v>0</v>
      </c>
      <c r="AN148" s="418">
        <f t="shared" si="381"/>
        <v>0</v>
      </c>
      <c r="AO148" s="418">
        <f t="shared" si="382"/>
        <v>0</v>
      </c>
      <c r="AP148" s="418">
        <f t="shared" si="382"/>
        <v>132901</v>
      </c>
      <c r="AQ148" s="418">
        <f t="shared" si="383"/>
        <v>132901</v>
      </c>
      <c r="AR148" s="68">
        <f t="shared" si="384"/>
        <v>44921</v>
      </c>
      <c r="AS148" s="68">
        <f t="shared" si="385"/>
        <v>1329</v>
      </c>
      <c r="AT148" s="418">
        <v>0</v>
      </c>
      <c r="AU148" s="418">
        <v>595</v>
      </c>
      <c r="AV148" s="418">
        <f t="shared" si="386"/>
        <v>595</v>
      </c>
      <c r="AW148" s="418">
        <f t="shared" si="387"/>
        <v>179746</v>
      </c>
      <c r="AX148" s="419">
        <v>0</v>
      </c>
      <c r="AY148" s="419">
        <v>0</v>
      </c>
      <c r="AZ148" s="419">
        <v>0</v>
      </c>
      <c r="BA148" s="419">
        <v>0</v>
      </c>
      <c r="BB148" s="419">
        <v>0.4</v>
      </c>
      <c r="BC148" s="419">
        <v>0</v>
      </c>
      <c r="BD148" s="419">
        <v>0</v>
      </c>
      <c r="BE148" s="419">
        <v>0</v>
      </c>
      <c r="BF148" s="419">
        <f t="shared" si="388"/>
        <v>0</v>
      </c>
      <c r="BG148" s="419">
        <f t="shared" si="389"/>
        <v>0.4</v>
      </c>
      <c r="BH148" s="894">
        <f t="shared" si="390"/>
        <v>0.4</v>
      </c>
      <c r="BI148" s="424">
        <f t="shared" si="391"/>
        <v>540516</v>
      </c>
      <c r="BJ148" s="418">
        <f t="shared" si="392"/>
        <v>391685</v>
      </c>
      <c r="BK148" s="418">
        <f t="shared" si="393"/>
        <v>0</v>
      </c>
      <c r="BL148" s="418">
        <f t="shared" si="393"/>
        <v>391685</v>
      </c>
      <c r="BM148" s="418">
        <f t="shared" si="394"/>
        <v>8000</v>
      </c>
      <c r="BN148" s="418">
        <f t="shared" si="395"/>
        <v>0</v>
      </c>
      <c r="BO148" s="418">
        <f t="shared" si="395"/>
        <v>8000</v>
      </c>
      <c r="BP148" s="418">
        <f t="shared" si="396"/>
        <v>135094</v>
      </c>
      <c r="BQ148" s="418">
        <f t="shared" si="396"/>
        <v>3917</v>
      </c>
      <c r="BR148" s="418">
        <f t="shared" si="397"/>
        <v>1820</v>
      </c>
      <c r="BS148" s="419">
        <f t="shared" si="398"/>
        <v>1.2000000000000002</v>
      </c>
      <c r="BT148" s="419">
        <f t="shared" si="399"/>
        <v>0</v>
      </c>
      <c r="BU148" s="421">
        <f t="shared" si="399"/>
        <v>1.2000000000000002</v>
      </c>
      <c r="BV148" s="888"/>
      <c r="BW148" s="723"/>
      <c r="BX148" s="723"/>
      <c r="BY148" s="723"/>
      <c r="BZ148" s="723"/>
      <c r="CA148" s="855"/>
    </row>
    <row r="149" spans="1:79" ht="12.95" customHeight="1" x14ac:dyDescent="0.25">
      <c r="A149" s="280">
        <v>27</v>
      </c>
      <c r="B149" s="321">
        <v>5428</v>
      </c>
      <c r="C149" s="322">
        <v>600099059</v>
      </c>
      <c r="D149" s="281">
        <v>70985740</v>
      </c>
      <c r="E149" s="323" t="s">
        <v>403</v>
      </c>
      <c r="F149" s="281">
        <v>3143</v>
      </c>
      <c r="G149" s="323" t="s">
        <v>595</v>
      </c>
      <c r="H149" s="284" t="s">
        <v>271</v>
      </c>
      <c r="I149" s="420">
        <v>537565</v>
      </c>
      <c r="J149" s="415">
        <v>398787</v>
      </c>
      <c r="K149" s="415">
        <v>398787</v>
      </c>
      <c r="L149" s="415">
        <v>0</v>
      </c>
      <c r="M149" s="415">
        <v>0</v>
      </c>
      <c r="N149" s="415">
        <v>0</v>
      </c>
      <c r="O149" s="415">
        <v>0</v>
      </c>
      <c r="P149" s="68">
        <v>134790</v>
      </c>
      <c r="Q149" s="68">
        <v>3988</v>
      </c>
      <c r="R149" s="415">
        <v>0</v>
      </c>
      <c r="S149" s="416">
        <v>0.8</v>
      </c>
      <c r="T149" s="417">
        <v>0.8</v>
      </c>
      <c r="U149" s="423">
        <v>0</v>
      </c>
      <c r="V149" s="424">
        <f t="shared" si="375"/>
        <v>0</v>
      </c>
      <c r="W149" s="418">
        <f t="shared" si="375"/>
        <v>0</v>
      </c>
      <c r="X149" s="418">
        <v>0</v>
      </c>
      <c r="Y149" s="418">
        <v>0</v>
      </c>
      <c r="Z149" s="418">
        <v>0</v>
      </c>
      <c r="AA149" s="418">
        <v>0</v>
      </c>
      <c r="AB149" s="418">
        <v>0</v>
      </c>
      <c r="AC149" s="418">
        <v>0</v>
      </c>
      <c r="AD149" s="418">
        <f t="shared" si="376"/>
        <v>0</v>
      </c>
      <c r="AE149" s="418">
        <f t="shared" si="377"/>
        <v>0</v>
      </c>
      <c r="AF149" s="794">
        <f t="shared" si="378"/>
        <v>0</v>
      </c>
      <c r="AG149" s="780">
        <v>0</v>
      </c>
      <c r="AH149" s="418">
        <v>0</v>
      </c>
      <c r="AI149" s="418">
        <v>0</v>
      </c>
      <c r="AJ149" s="418">
        <v>0</v>
      </c>
      <c r="AK149" s="418">
        <v>0</v>
      </c>
      <c r="AL149" s="418">
        <f t="shared" si="379"/>
        <v>0</v>
      </c>
      <c r="AM149" s="418">
        <f t="shared" si="380"/>
        <v>0</v>
      </c>
      <c r="AN149" s="418">
        <f t="shared" si="381"/>
        <v>0</v>
      </c>
      <c r="AO149" s="418">
        <f t="shared" si="382"/>
        <v>0</v>
      </c>
      <c r="AP149" s="418">
        <f t="shared" si="382"/>
        <v>0</v>
      </c>
      <c r="AQ149" s="418">
        <f t="shared" si="383"/>
        <v>0</v>
      </c>
      <c r="AR149" s="68">
        <f t="shared" si="384"/>
        <v>0</v>
      </c>
      <c r="AS149" s="68">
        <f t="shared" si="385"/>
        <v>0</v>
      </c>
      <c r="AT149" s="418">
        <v>0</v>
      </c>
      <c r="AU149" s="418">
        <v>0</v>
      </c>
      <c r="AV149" s="418">
        <f t="shared" si="386"/>
        <v>0</v>
      </c>
      <c r="AW149" s="418">
        <f t="shared" si="387"/>
        <v>0</v>
      </c>
      <c r="AX149" s="419">
        <v>0</v>
      </c>
      <c r="AY149" s="419">
        <v>0</v>
      </c>
      <c r="AZ149" s="419">
        <v>0</v>
      </c>
      <c r="BA149" s="419">
        <v>0</v>
      </c>
      <c r="BB149" s="419">
        <v>0</v>
      </c>
      <c r="BC149" s="419">
        <v>0</v>
      </c>
      <c r="BD149" s="419">
        <v>0</v>
      </c>
      <c r="BE149" s="419">
        <v>0</v>
      </c>
      <c r="BF149" s="419">
        <f t="shared" si="388"/>
        <v>0</v>
      </c>
      <c r="BG149" s="419">
        <f t="shared" si="389"/>
        <v>0</v>
      </c>
      <c r="BH149" s="894">
        <f t="shared" si="390"/>
        <v>0</v>
      </c>
      <c r="BI149" s="424">
        <f t="shared" si="391"/>
        <v>537565</v>
      </c>
      <c r="BJ149" s="418">
        <f t="shared" si="392"/>
        <v>398787</v>
      </c>
      <c r="BK149" s="418">
        <f t="shared" si="393"/>
        <v>398787</v>
      </c>
      <c r="BL149" s="418">
        <f t="shared" si="393"/>
        <v>0</v>
      </c>
      <c r="BM149" s="418">
        <f t="shared" si="394"/>
        <v>0</v>
      </c>
      <c r="BN149" s="418">
        <f t="shared" si="395"/>
        <v>0</v>
      </c>
      <c r="BO149" s="418">
        <f t="shared" si="395"/>
        <v>0</v>
      </c>
      <c r="BP149" s="418">
        <f t="shared" si="396"/>
        <v>134790</v>
      </c>
      <c r="BQ149" s="418">
        <f t="shared" si="396"/>
        <v>3988</v>
      </c>
      <c r="BR149" s="418">
        <f t="shared" si="397"/>
        <v>0</v>
      </c>
      <c r="BS149" s="419">
        <f t="shared" si="398"/>
        <v>0.8</v>
      </c>
      <c r="BT149" s="419">
        <f t="shared" si="399"/>
        <v>0.8</v>
      </c>
      <c r="BU149" s="421">
        <f t="shared" si="399"/>
        <v>0</v>
      </c>
      <c r="BV149" s="888"/>
      <c r="BW149" s="723"/>
      <c r="BX149" s="723"/>
      <c r="BY149" s="723"/>
      <c r="BZ149" s="723"/>
      <c r="CA149" s="855"/>
    </row>
    <row r="150" spans="1:79" ht="12.95" customHeight="1" x14ac:dyDescent="0.25">
      <c r="A150" s="280">
        <v>27</v>
      </c>
      <c r="B150" s="321">
        <v>5428</v>
      </c>
      <c r="C150" s="322">
        <v>600099059</v>
      </c>
      <c r="D150" s="281">
        <v>70985740</v>
      </c>
      <c r="E150" s="323" t="s">
        <v>403</v>
      </c>
      <c r="F150" s="281">
        <v>3143</v>
      </c>
      <c r="G150" s="323" t="s">
        <v>596</v>
      </c>
      <c r="H150" s="284" t="s">
        <v>272</v>
      </c>
      <c r="I150" s="420">
        <v>7156</v>
      </c>
      <c r="J150" s="415">
        <v>5122</v>
      </c>
      <c r="K150" s="415">
        <v>0</v>
      </c>
      <c r="L150" s="415">
        <v>5122</v>
      </c>
      <c r="M150" s="415">
        <v>0</v>
      </c>
      <c r="N150" s="415">
        <v>0</v>
      </c>
      <c r="O150" s="415">
        <v>0</v>
      </c>
      <c r="P150" s="68">
        <v>1731</v>
      </c>
      <c r="Q150" s="68">
        <v>51</v>
      </c>
      <c r="R150" s="415">
        <v>252</v>
      </c>
      <c r="S150" s="416">
        <v>1.9400000000000001E-2</v>
      </c>
      <c r="T150" s="417">
        <v>0</v>
      </c>
      <c r="U150" s="423">
        <v>1.9400000000000001E-2</v>
      </c>
      <c r="V150" s="424">
        <f t="shared" si="375"/>
        <v>0</v>
      </c>
      <c r="W150" s="418">
        <f t="shared" si="375"/>
        <v>0</v>
      </c>
      <c r="X150" s="418">
        <v>0</v>
      </c>
      <c r="Y150" s="418">
        <v>0</v>
      </c>
      <c r="Z150" s="418">
        <v>0</v>
      </c>
      <c r="AA150" s="418">
        <v>2578</v>
      </c>
      <c r="AB150" s="418">
        <v>0</v>
      </c>
      <c r="AC150" s="418">
        <v>0</v>
      </c>
      <c r="AD150" s="418">
        <f t="shared" si="376"/>
        <v>0</v>
      </c>
      <c r="AE150" s="418">
        <f t="shared" si="377"/>
        <v>2578</v>
      </c>
      <c r="AF150" s="794">
        <f t="shared" si="378"/>
        <v>2578</v>
      </c>
      <c r="AG150" s="780">
        <v>0</v>
      </c>
      <c r="AH150" s="418">
        <v>0</v>
      </c>
      <c r="AI150" s="418">
        <v>0</v>
      </c>
      <c r="AJ150" s="418">
        <v>0</v>
      </c>
      <c r="AK150" s="418">
        <v>0</v>
      </c>
      <c r="AL150" s="418">
        <f t="shared" si="379"/>
        <v>0</v>
      </c>
      <c r="AM150" s="418">
        <f t="shared" si="380"/>
        <v>0</v>
      </c>
      <c r="AN150" s="418">
        <f t="shared" si="381"/>
        <v>0</v>
      </c>
      <c r="AO150" s="418">
        <f t="shared" si="382"/>
        <v>0</v>
      </c>
      <c r="AP150" s="418">
        <f t="shared" si="382"/>
        <v>2578</v>
      </c>
      <c r="AQ150" s="418">
        <f t="shared" si="383"/>
        <v>2578</v>
      </c>
      <c r="AR150" s="68">
        <f t="shared" si="384"/>
        <v>871</v>
      </c>
      <c r="AS150" s="68">
        <f t="shared" si="385"/>
        <v>26</v>
      </c>
      <c r="AT150" s="418">
        <v>0</v>
      </c>
      <c r="AU150" s="418">
        <v>126</v>
      </c>
      <c r="AV150" s="418">
        <f t="shared" si="386"/>
        <v>126</v>
      </c>
      <c r="AW150" s="418">
        <f t="shared" si="387"/>
        <v>3601</v>
      </c>
      <c r="AX150" s="419">
        <v>0</v>
      </c>
      <c r="AY150" s="419">
        <v>0</v>
      </c>
      <c r="AZ150" s="419">
        <v>0</v>
      </c>
      <c r="BA150" s="419">
        <v>0</v>
      </c>
      <c r="BB150" s="419">
        <v>0.01</v>
      </c>
      <c r="BC150" s="419">
        <v>0</v>
      </c>
      <c r="BD150" s="419">
        <v>0</v>
      </c>
      <c r="BE150" s="419">
        <v>0</v>
      </c>
      <c r="BF150" s="419">
        <f t="shared" si="388"/>
        <v>0</v>
      </c>
      <c r="BG150" s="419">
        <f t="shared" si="389"/>
        <v>0.01</v>
      </c>
      <c r="BH150" s="894">
        <f t="shared" si="390"/>
        <v>0.01</v>
      </c>
      <c r="BI150" s="424">
        <f t="shared" si="391"/>
        <v>10757</v>
      </c>
      <c r="BJ150" s="418">
        <f t="shared" si="392"/>
        <v>7700</v>
      </c>
      <c r="BK150" s="418">
        <f t="shared" si="393"/>
        <v>0</v>
      </c>
      <c r="BL150" s="418">
        <f t="shared" si="393"/>
        <v>7700</v>
      </c>
      <c r="BM150" s="418">
        <f t="shared" si="394"/>
        <v>0</v>
      </c>
      <c r="BN150" s="418">
        <f t="shared" si="395"/>
        <v>0</v>
      </c>
      <c r="BO150" s="418">
        <f t="shared" si="395"/>
        <v>0</v>
      </c>
      <c r="BP150" s="418">
        <f t="shared" si="396"/>
        <v>2602</v>
      </c>
      <c r="BQ150" s="418">
        <f t="shared" si="396"/>
        <v>77</v>
      </c>
      <c r="BR150" s="418">
        <f t="shared" si="397"/>
        <v>378</v>
      </c>
      <c r="BS150" s="419">
        <f t="shared" si="398"/>
        <v>2.9400000000000003E-2</v>
      </c>
      <c r="BT150" s="419">
        <f t="shared" si="399"/>
        <v>0</v>
      </c>
      <c r="BU150" s="421">
        <f t="shared" si="399"/>
        <v>2.9400000000000003E-2</v>
      </c>
      <c r="BV150" s="888"/>
      <c r="BW150" s="723"/>
      <c r="BX150" s="723"/>
      <c r="BY150" s="723"/>
      <c r="BZ150" s="723"/>
      <c r="CA150" s="855"/>
    </row>
    <row r="151" spans="1:79" ht="12.95" customHeight="1" x14ac:dyDescent="0.25">
      <c r="A151" s="324">
        <v>27</v>
      </c>
      <c r="B151" s="325">
        <v>5428</v>
      </c>
      <c r="C151" s="326">
        <v>600099059</v>
      </c>
      <c r="D151" s="325">
        <v>70985740</v>
      </c>
      <c r="E151" s="327" t="s">
        <v>404</v>
      </c>
      <c r="F151" s="291"/>
      <c r="G151" s="329"/>
      <c r="H151" s="292"/>
      <c r="I151" s="472">
        <v>4649487</v>
      </c>
      <c r="J151" s="468">
        <v>3387130</v>
      </c>
      <c r="K151" s="468">
        <v>2860678</v>
      </c>
      <c r="L151" s="468">
        <v>526452</v>
      </c>
      <c r="M151" s="468">
        <v>44480</v>
      </c>
      <c r="N151" s="468">
        <v>34480</v>
      </c>
      <c r="O151" s="468">
        <v>10000</v>
      </c>
      <c r="P151" s="468">
        <v>1159884</v>
      </c>
      <c r="Q151" s="468">
        <v>33871</v>
      </c>
      <c r="R151" s="468">
        <v>24122</v>
      </c>
      <c r="S151" s="469">
        <v>6.5896999999999997</v>
      </c>
      <c r="T151" s="469">
        <v>4.9981</v>
      </c>
      <c r="U151" s="532">
        <v>1.5916000000000001</v>
      </c>
      <c r="V151" s="472">
        <f t="shared" ref="V151:CA151" si="400">SUM(V145:V150)</f>
        <v>0</v>
      </c>
      <c r="W151" s="468">
        <f t="shared" si="400"/>
        <v>0</v>
      </c>
      <c r="X151" s="468">
        <f t="shared" si="400"/>
        <v>0</v>
      </c>
      <c r="Y151" s="468">
        <f t="shared" si="400"/>
        <v>0</v>
      </c>
      <c r="Z151" s="468">
        <f t="shared" si="400"/>
        <v>0</v>
      </c>
      <c r="AA151" s="468">
        <f t="shared" si="400"/>
        <v>135479</v>
      </c>
      <c r="AB151" s="468">
        <f t="shared" si="400"/>
        <v>0</v>
      </c>
      <c r="AC151" s="468">
        <f t="shared" si="400"/>
        <v>0</v>
      </c>
      <c r="AD151" s="468">
        <f t="shared" si="400"/>
        <v>0</v>
      </c>
      <c r="AE151" s="468">
        <f t="shared" si="400"/>
        <v>135479</v>
      </c>
      <c r="AF151" s="795">
        <f t="shared" si="400"/>
        <v>135479</v>
      </c>
      <c r="AG151" s="785">
        <f t="shared" si="400"/>
        <v>0</v>
      </c>
      <c r="AH151" s="468">
        <f t="shared" si="400"/>
        <v>0</v>
      </c>
      <c r="AI151" s="468">
        <f t="shared" si="400"/>
        <v>0</v>
      </c>
      <c r="AJ151" s="468">
        <f t="shared" si="400"/>
        <v>0</v>
      </c>
      <c r="AK151" s="468">
        <f t="shared" si="400"/>
        <v>0</v>
      </c>
      <c r="AL151" s="468">
        <f t="shared" si="400"/>
        <v>0</v>
      </c>
      <c r="AM151" s="468">
        <f t="shared" si="400"/>
        <v>0</v>
      </c>
      <c r="AN151" s="468">
        <f t="shared" si="400"/>
        <v>0</v>
      </c>
      <c r="AO151" s="468">
        <f t="shared" si="400"/>
        <v>0</v>
      </c>
      <c r="AP151" s="468">
        <f t="shared" si="400"/>
        <v>135479</v>
      </c>
      <c r="AQ151" s="468">
        <f t="shared" si="400"/>
        <v>135479</v>
      </c>
      <c r="AR151" s="468">
        <f t="shared" si="400"/>
        <v>45792</v>
      </c>
      <c r="AS151" s="468">
        <f t="shared" si="400"/>
        <v>1355</v>
      </c>
      <c r="AT151" s="468">
        <f t="shared" si="400"/>
        <v>0</v>
      </c>
      <c r="AU151" s="468">
        <f t="shared" si="400"/>
        <v>721</v>
      </c>
      <c r="AV151" s="468">
        <f t="shared" si="400"/>
        <v>721</v>
      </c>
      <c r="AW151" s="468">
        <f t="shared" si="400"/>
        <v>183347</v>
      </c>
      <c r="AX151" s="469">
        <f t="shared" si="400"/>
        <v>0</v>
      </c>
      <c r="AY151" s="469">
        <f t="shared" si="400"/>
        <v>0</v>
      </c>
      <c r="AZ151" s="469">
        <f t="shared" si="400"/>
        <v>0</v>
      </c>
      <c r="BA151" s="469">
        <f t="shared" si="400"/>
        <v>0</v>
      </c>
      <c r="BB151" s="469">
        <f t="shared" ref="BB151" si="401">SUM(BB145:BB150)</f>
        <v>0.41000000000000003</v>
      </c>
      <c r="BC151" s="469">
        <f t="shared" si="400"/>
        <v>0</v>
      </c>
      <c r="BD151" s="469">
        <f t="shared" si="400"/>
        <v>0</v>
      </c>
      <c r="BE151" s="469">
        <f t="shared" ref="BE151" si="402">SUM(BE145:BE150)</f>
        <v>0</v>
      </c>
      <c r="BF151" s="469">
        <f t="shared" si="400"/>
        <v>0</v>
      </c>
      <c r="BG151" s="469">
        <f t="shared" si="400"/>
        <v>0.41000000000000003</v>
      </c>
      <c r="BH151" s="532">
        <f t="shared" si="400"/>
        <v>0.41000000000000003</v>
      </c>
      <c r="BI151" s="472">
        <f t="shared" si="400"/>
        <v>4832834</v>
      </c>
      <c r="BJ151" s="468">
        <f t="shared" si="400"/>
        <v>3522609</v>
      </c>
      <c r="BK151" s="468">
        <f t="shared" si="400"/>
        <v>2860678</v>
      </c>
      <c r="BL151" s="468">
        <f t="shared" si="400"/>
        <v>661931</v>
      </c>
      <c r="BM151" s="468">
        <f t="shared" si="400"/>
        <v>44480</v>
      </c>
      <c r="BN151" s="468">
        <f t="shared" si="400"/>
        <v>34480</v>
      </c>
      <c r="BO151" s="468">
        <f t="shared" si="400"/>
        <v>10000</v>
      </c>
      <c r="BP151" s="468">
        <f t="shared" si="400"/>
        <v>1205676</v>
      </c>
      <c r="BQ151" s="468">
        <f t="shared" si="400"/>
        <v>35226</v>
      </c>
      <c r="BR151" s="468">
        <f t="shared" si="400"/>
        <v>24843</v>
      </c>
      <c r="BS151" s="469">
        <f t="shared" si="400"/>
        <v>6.9996999999999998</v>
      </c>
      <c r="BT151" s="469">
        <f t="shared" si="400"/>
        <v>4.9981</v>
      </c>
      <c r="BU151" s="328">
        <f t="shared" si="400"/>
        <v>2.0016000000000003</v>
      </c>
      <c r="BV151" s="886">
        <f t="shared" si="400"/>
        <v>0</v>
      </c>
      <c r="BW151" s="727">
        <f t="shared" si="400"/>
        <v>0</v>
      </c>
      <c r="BX151" s="727">
        <f t="shared" si="400"/>
        <v>0</v>
      </c>
      <c r="BY151" s="727">
        <f t="shared" si="400"/>
        <v>0</v>
      </c>
      <c r="BZ151" s="727">
        <f t="shared" si="400"/>
        <v>0</v>
      </c>
      <c r="CA151" s="859">
        <f t="shared" si="400"/>
        <v>0</v>
      </c>
    </row>
    <row r="152" spans="1:79" ht="12.95" customHeight="1" x14ac:dyDescent="0.25">
      <c r="A152" s="280">
        <v>28</v>
      </c>
      <c r="B152" s="321">
        <v>5472</v>
      </c>
      <c r="C152" s="322">
        <v>600098672</v>
      </c>
      <c r="D152" s="281">
        <v>72743565</v>
      </c>
      <c r="E152" s="323" t="s">
        <v>405</v>
      </c>
      <c r="F152" s="281">
        <v>3111</v>
      </c>
      <c r="G152" s="323" t="s">
        <v>304</v>
      </c>
      <c r="H152" s="284" t="s">
        <v>271</v>
      </c>
      <c r="I152" s="420">
        <v>3652153</v>
      </c>
      <c r="J152" s="415">
        <v>2700003</v>
      </c>
      <c r="K152" s="415">
        <v>2464883</v>
      </c>
      <c r="L152" s="415">
        <v>235120</v>
      </c>
      <c r="M152" s="415">
        <v>0</v>
      </c>
      <c r="N152" s="415">
        <v>0</v>
      </c>
      <c r="O152" s="415">
        <v>0</v>
      </c>
      <c r="P152" s="68">
        <v>912601</v>
      </c>
      <c r="Q152" s="68">
        <v>27000</v>
      </c>
      <c r="R152" s="415">
        <v>12549</v>
      </c>
      <c r="S152" s="416">
        <v>4.8001000000000005</v>
      </c>
      <c r="T152" s="417">
        <v>4</v>
      </c>
      <c r="U152" s="423">
        <v>0.80010000000000003</v>
      </c>
      <c r="V152" s="424">
        <f t="shared" ref="V152:W154" si="403">AG152*-1</f>
        <v>0</v>
      </c>
      <c r="W152" s="418">
        <f t="shared" si="403"/>
        <v>0</v>
      </c>
      <c r="X152" s="418">
        <v>0</v>
      </c>
      <c r="Y152" s="418">
        <v>0</v>
      </c>
      <c r="Z152" s="418">
        <v>0</v>
      </c>
      <c r="AA152" s="418">
        <v>0</v>
      </c>
      <c r="AB152" s="418">
        <v>0</v>
      </c>
      <c r="AC152" s="418">
        <v>0</v>
      </c>
      <c r="AD152" s="418">
        <f>V152+X152+Y152+Z152+AB152</f>
        <v>0</v>
      </c>
      <c r="AE152" s="418">
        <f>W152+AA152+AC152</f>
        <v>0</v>
      </c>
      <c r="AF152" s="794">
        <f>SUM(AD152:AE152)</f>
        <v>0</v>
      </c>
      <c r="AG152" s="780">
        <v>0</v>
      </c>
      <c r="AH152" s="418">
        <v>0</v>
      </c>
      <c r="AI152" s="418">
        <v>0</v>
      </c>
      <c r="AJ152" s="418">
        <v>0</v>
      </c>
      <c r="AK152" s="418">
        <v>0</v>
      </c>
      <c r="AL152" s="418">
        <f>AG152+AI152+AJ152</f>
        <v>0</v>
      </c>
      <c r="AM152" s="418">
        <f>AH152+AK152</f>
        <v>0</v>
      </c>
      <c r="AN152" s="418">
        <f>SUM(AL152:AM152)</f>
        <v>0</v>
      </c>
      <c r="AO152" s="418">
        <f t="shared" ref="AO152:AP154" si="404">AD152+AL152</f>
        <v>0</v>
      </c>
      <c r="AP152" s="418">
        <f t="shared" si="404"/>
        <v>0</v>
      </c>
      <c r="AQ152" s="418">
        <f>SUM(AO152:AP152)</f>
        <v>0</v>
      </c>
      <c r="AR152" s="68">
        <f>ROUND((AF152+AG152+AH152+AI152)*33.8%,0)</f>
        <v>0</v>
      </c>
      <c r="AS152" s="68">
        <f>ROUND(AF152*1%,0)</f>
        <v>0</v>
      </c>
      <c r="AT152" s="418">
        <v>0</v>
      </c>
      <c r="AU152" s="418">
        <v>0</v>
      </c>
      <c r="AV152" s="418">
        <f>AT152+AU152</f>
        <v>0</v>
      </c>
      <c r="AW152" s="418">
        <f>AQ152+AR152+AS152+AV152</f>
        <v>0</v>
      </c>
      <c r="AX152" s="419">
        <v>0</v>
      </c>
      <c r="AY152" s="419">
        <v>0</v>
      </c>
      <c r="AZ152" s="419">
        <v>0</v>
      </c>
      <c r="BA152" s="419">
        <v>0</v>
      </c>
      <c r="BB152" s="419">
        <v>0</v>
      </c>
      <c r="BC152" s="419">
        <v>0</v>
      </c>
      <c r="BD152" s="419">
        <v>0</v>
      </c>
      <c r="BE152" s="419">
        <v>0</v>
      </c>
      <c r="BF152" s="419">
        <f>AX152+AZ152+BA152+BC152+BD152</f>
        <v>0</v>
      </c>
      <c r="BG152" s="419">
        <f>AY152+BB152+BE152</f>
        <v>0</v>
      </c>
      <c r="BH152" s="894">
        <f>SUM(BF152:BG152)</f>
        <v>0</v>
      </c>
      <c r="BI152" s="424">
        <f>I152+AW152</f>
        <v>3652153</v>
      </c>
      <c r="BJ152" s="418">
        <f>J152+AF152</f>
        <v>2700003</v>
      </c>
      <c r="BK152" s="418">
        <f t="shared" ref="BK152:BL154" si="405">K152+AD152</f>
        <v>2464883</v>
      </c>
      <c r="BL152" s="418">
        <f t="shared" si="405"/>
        <v>235120</v>
      </c>
      <c r="BM152" s="418">
        <f>M152+AN152</f>
        <v>0</v>
      </c>
      <c r="BN152" s="418">
        <f t="shared" ref="BN152:BO154" si="406">N152+AL152</f>
        <v>0</v>
      </c>
      <c r="BO152" s="418">
        <f t="shared" si="406"/>
        <v>0</v>
      </c>
      <c r="BP152" s="418">
        <f t="shared" ref="BP152:BQ154" si="407">P152+AR152</f>
        <v>912601</v>
      </c>
      <c r="BQ152" s="418">
        <f t="shared" si="407"/>
        <v>27000</v>
      </c>
      <c r="BR152" s="418">
        <f>R152+AV152</f>
        <v>12549</v>
      </c>
      <c r="BS152" s="419">
        <f>S152+BH152</f>
        <v>4.8001000000000005</v>
      </c>
      <c r="BT152" s="419">
        <f t="shared" ref="BT152:BU154" si="408">T152+BF152</f>
        <v>4</v>
      </c>
      <c r="BU152" s="421">
        <f t="shared" si="408"/>
        <v>0.80010000000000003</v>
      </c>
      <c r="BV152" s="888"/>
      <c r="BW152" s="723"/>
      <c r="BX152" s="723"/>
      <c r="BY152" s="723"/>
      <c r="BZ152" s="723"/>
      <c r="CA152" s="855"/>
    </row>
    <row r="153" spans="1:79" ht="12.95" customHeight="1" x14ac:dyDescent="0.25">
      <c r="A153" s="280">
        <v>28</v>
      </c>
      <c r="B153" s="321">
        <v>5472</v>
      </c>
      <c r="C153" s="322">
        <v>600098672</v>
      </c>
      <c r="D153" s="281">
        <v>72743565</v>
      </c>
      <c r="E153" s="323" t="s">
        <v>405</v>
      </c>
      <c r="F153" s="281">
        <v>3111</v>
      </c>
      <c r="G153" s="323" t="s">
        <v>298</v>
      </c>
      <c r="H153" s="284" t="s">
        <v>272</v>
      </c>
      <c r="I153" s="420">
        <v>319348</v>
      </c>
      <c r="J153" s="415">
        <v>236905</v>
      </c>
      <c r="K153" s="415">
        <v>236905</v>
      </c>
      <c r="L153" s="415">
        <v>0</v>
      </c>
      <c r="M153" s="415">
        <v>0</v>
      </c>
      <c r="N153" s="415">
        <v>0</v>
      </c>
      <c r="O153" s="415">
        <v>0</v>
      </c>
      <c r="P153" s="68">
        <v>80074</v>
      </c>
      <c r="Q153" s="68">
        <v>2369</v>
      </c>
      <c r="R153" s="415">
        <v>0</v>
      </c>
      <c r="S153" s="416">
        <v>0.64</v>
      </c>
      <c r="T153" s="417">
        <v>0.64</v>
      </c>
      <c r="U153" s="423">
        <v>0</v>
      </c>
      <c r="V153" s="424">
        <f t="shared" si="403"/>
        <v>0</v>
      </c>
      <c r="W153" s="418">
        <f t="shared" si="403"/>
        <v>0</v>
      </c>
      <c r="X153" s="418">
        <v>0</v>
      </c>
      <c r="Y153" s="418">
        <v>0</v>
      </c>
      <c r="Z153" s="418">
        <v>0</v>
      </c>
      <c r="AA153" s="418">
        <v>0</v>
      </c>
      <c r="AB153" s="418">
        <v>0</v>
      </c>
      <c r="AC153" s="418">
        <v>0</v>
      </c>
      <c r="AD153" s="418">
        <f>V153+X153+Y153+Z153+AB153</f>
        <v>0</v>
      </c>
      <c r="AE153" s="418">
        <f>W153+AA153+AC153</f>
        <v>0</v>
      </c>
      <c r="AF153" s="794">
        <f>SUM(AD153:AE153)</f>
        <v>0</v>
      </c>
      <c r="AG153" s="780">
        <v>0</v>
      </c>
      <c r="AH153" s="418">
        <v>0</v>
      </c>
      <c r="AI153" s="418">
        <v>0</v>
      </c>
      <c r="AJ153" s="418">
        <v>0</v>
      </c>
      <c r="AK153" s="418">
        <v>0</v>
      </c>
      <c r="AL153" s="418">
        <f>AG153+AI153+AJ153</f>
        <v>0</v>
      </c>
      <c r="AM153" s="418">
        <f>AH153+AK153</f>
        <v>0</v>
      </c>
      <c r="AN153" s="418">
        <f>SUM(AL153:AM153)</f>
        <v>0</v>
      </c>
      <c r="AO153" s="418">
        <f t="shared" si="404"/>
        <v>0</v>
      </c>
      <c r="AP153" s="418">
        <f t="shared" si="404"/>
        <v>0</v>
      </c>
      <c r="AQ153" s="418">
        <f>SUM(AO153:AP153)</f>
        <v>0</v>
      </c>
      <c r="AR153" s="68">
        <f>ROUND((AF153+AG153+AH153+AI153)*33.8%,0)</f>
        <v>0</v>
      </c>
      <c r="AS153" s="68">
        <f>ROUND(AF153*1%,0)</f>
        <v>0</v>
      </c>
      <c r="AT153" s="418">
        <v>0</v>
      </c>
      <c r="AU153" s="418">
        <v>0</v>
      </c>
      <c r="AV153" s="418">
        <f>AT153+AU153</f>
        <v>0</v>
      </c>
      <c r="AW153" s="418">
        <f>AQ153+AR153+AS153+AV153</f>
        <v>0</v>
      </c>
      <c r="AX153" s="419">
        <v>0</v>
      </c>
      <c r="AY153" s="419">
        <v>0</v>
      </c>
      <c r="AZ153" s="419">
        <v>0</v>
      </c>
      <c r="BA153" s="419">
        <v>0</v>
      </c>
      <c r="BB153" s="419">
        <v>0</v>
      </c>
      <c r="BC153" s="419">
        <v>0</v>
      </c>
      <c r="BD153" s="419">
        <v>0</v>
      </c>
      <c r="BE153" s="419">
        <v>0</v>
      </c>
      <c r="BF153" s="419">
        <f>AX153+AZ153+BA153+BC153+BD153</f>
        <v>0</v>
      </c>
      <c r="BG153" s="419">
        <f>AY153+BB153+BE153</f>
        <v>0</v>
      </c>
      <c r="BH153" s="894">
        <f>SUM(BF153:BG153)</f>
        <v>0</v>
      </c>
      <c r="BI153" s="424">
        <f>I153+AW153</f>
        <v>319348</v>
      </c>
      <c r="BJ153" s="418">
        <f>J153+AF153</f>
        <v>236905</v>
      </c>
      <c r="BK153" s="418">
        <f t="shared" si="405"/>
        <v>236905</v>
      </c>
      <c r="BL153" s="418">
        <f t="shared" si="405"/>
        <v>0</v>
      </c>
      <c r="BM153" s="418">
        <f>M153+AN153</f>
        <v>0</v>
      </c>
      <c r="BN153" s="418">
        <f t="shared" si="406"/>
        <v>0</v>
      </c>
      <c r="BO153" s="418">
        <f t="shared" si="406"/>
        <v>0</v>
      </c>
      <c r="BP153" s="418">
        <f t="shared" si="407"/>
        <v>80074</v>
      </c>
      <c r="BQ153" s="418">
        <f t="shared" si="407"/>
        <v>2369</v>
      </c>
      <c r="BR153" s="418">
        <f>R153+AV153</f>
        <v>0</v>
      </c>
      <c r="BS153" s="419">
        <f>S153+BH153</f>
        <v>0.64</v>
      </c>
      <c r="BT153" s="419">
        <f t="shared" si="408"/>
        <v>0.64</v>
      </c>
      <c r="BU153" s="421">
        <f t="shared" si="408"/>
        <v>0</v>
      </c>
      <c r="BV153" s="888"/>
      <c r="BW153" s="723"/>
      <c r="BX153" s="723"/>
      <c r="BY153" s="723"/>
      <c r="BZ153" s="723"/>
      <c r="CA153" s="855"/>
    </row>
    <row r="154" spans="1:79" ht="12.95" customHeight="1" x14ac:dyDescent="0.25">
      <c r="A154" s="280">
        <v>28</v>
      </c>
      <c r="B154" s="321">
        <v>5472</v>
      </c>
      <c r="C154" s="322">
        <v>600098672</v>
      </c>
      <c r="D154" s="281">
        <v>72743565</v>
      </c>
      <c r="E154" s="323" t="s">
        <v>405</v>
      </c>
      <c r="F154" s="281">
        <v>3141</v>
      </c>
      <c r="G154" s="323" t="s">
        <v>294</v>
      </c>
      <c r="H154" s="284" t="s">
        <v>272</v>
      </c>
      <c r="I154" s="420">
        <v>445197</v>
      </c>
      <c r="J154" s="415">
        <v>329045</v>
      </c>
      <c r="K154" s="415">
        <v>0</v>
      </c>
      <c r="L154" s="415">
        <v>329045</v>
      </c>
      <c r="M154" s="415">
        <v>0</v>
      </c>
      <c r="N154" s="415">
        <v>0</v>
      </c>
      <c r="O154" s="415">
        <v>0</v>
      </c>
      <c r="P154" s="68">
        <v>111217</v>
      </c>
      <c r="Q154" s="68">
        <v>3290</v>
      </c>
      <c r="R154" s="415">
        <v>1645</v>
      </c>
      <c r="S154" s="416">
        <v>0.98670000000000002</v>
      </c>
      <c r="T154" s="417">
        <v>0</v>
      </c>
      <c r="U154" s="423">
        <v>0.98670000000000002</v>
      </c>
      <c r="V154" s="424">
        <f t="shared" si="403"/>
        <v>0</v>
      </c>
      <c r="W154" s="418">
        <f t="shared" si="403"/>
        <v>0</v>
      </c>
      <c r="X154" s="418">
        <v>0</v>
      </c>
      <c r="Y154" s="418">
        <v>0</v>
      </c>
      <c r="Z154" s="418">
        <v>0</v>
      </c>
      <c r="AA154" s="418">
        <v>163841</v>
      </c>
      <c r="AB154" s="418">
        <v>0</v>
      </c>
      <c r="AC154" s="418">
        <v>0</v>
      </c>
      <c r="AD154" s="418">
        <f>V154+X154+Y154+Z154+AB154</f>
        <v>0</v>
      </c>
      <c r="AE154" s="418">
        <f>W154+AA154+AC154</f>
        <v>163841</v>
      </c>
      <c r="AF154" s="794">
        <f>SUM(AD154:AE154)</f>
        <v>163841</v>
      </c>
      <c r="AG154" s="780">
        <v>0</v>
      </c>
      <c r="AH154" s="418">
        <v>0</v>
      </c>
      <c r="AI154" s="418">
        <v>0</v>
      </c>
      <c r="AJ154" s="418">
        <v>0</v>
      </c>
      <c r="AK154" s="418">
        <v>0</v>
      </c>
      <c r="AL154" s="418">
        <f>AG154+AI154+AJ154</f>
        <v>0</v>
      </c>
      <c r="AM154" s="418">
        <f>AH154+AK154</f>
        <v>0</v>
      </c>
      <c r="AN154" s="418">
        <f>SUM(AL154:AM154)</f>
        <v>0</v>
      </c>
      <c r="AO154" s="418">
        <f t="shared" si="404"/>
        <v>0</v>
      </c>
      <c r="AP154" s="418">
        <f t="shared" si="404"/>
        <v>163841</v>
      </c>
      <c r="AQ154" s="418">
        <f>SUM(AO154:AP154)</f>
        <v>163841</v>
      </c>
      <c r="AR154" s="68">
        <f>ROUND((AF154+AG154+AH154+AI154)*33.8%,0)</f>
        <v>55378</v>
      </c>
      <c r="AS154" s="68">
        <f>ROUND(AF154*1%,0)</f>
        <v>1638</v>
      </c>
      <c r="AT154" s="418">
        <v>0</v>
      </c>
      <c r="AU154" s="418">
        <v>799</v>
      </c>
      <c r="AV154" s="418">
        <f>AT154+AU154</f>
        <v>799</v>
      </c>
      <c r="AW154" s="418">
        <f>AQ154+AR154+AS154+AV154</f>
        <v>221656</v>
      </c>
      <c r="AX154" s="419">
        <v>0</v>
      </c>
      <c r="AY154" s="419">
        <v>0</v>
      </c>
      <c r="AZ154" s="419">
        <v>0</v>
      </c>
      <c r="BA154" s="419">
        <v>0</v>
      </c>
      <c r="BB154" s="419">
        <v>0.49</v>
      </c>
      <c r="BC154" s="419">
        <v>0</v>
      </c>
      <c r="BD154" s="419">
        <v>0</v>
      </c>
      <c r="BE154" s="419">
        <v>0</v>
      </c>
      <c r="BF154" s="419">
        <f>AX154+AZ154+BA154+BC154+BD154</f>
        <v>0</v>
      </c>
      <c r="BG154" s="419">
        <f>AY154+BB154+BE154</f>
        <v>0.49</v>
      </c>
      <c r="BH154" s="894">
        <f>SUM(BF154:BG154)</f>
        <v>0.49</v>
      </c>
      <c r="BI154" s="424">
        <f>I154+AW154</f>
        <v>666853</v>
      </c>
      <c r="BJ154" s="418">
        <f>J154+AF154</f>
        <v>492886</v>
      </c>
      <c r="BK154" s="418">
        <f t="shared" si="405"/>
        <v>0</v>
      </c>
      <c r="BL154" s="418">
        <f t="shared" si="405"/>
        <v>492886</v>
      </c>
      <c r="BM154" s="418">
        <f>M154+AN154</f>
        <v>0</v>
      </c>
      <c r="BN154" s="418">
        <f t="shared" si="406"/>
        <v>0</v>
      </c>
      <c r="BO154" s="418">
        <f t="shared" si="406"/>
        <v>0</v>
      </c>
      <c r="BP154" s="418">
        <f t="shared" si="407"/>
        <v>166595</v>
      </c>
      <c r="BQ154" s="418">
        <f t="shared" si="407"/>
        <v>4928</v>
      </c>
      <c r="BR154" s="418">
        <f>R154+AV154</f>
        <v>2444</v>
      </c>
      <c r="BS154" s="419">
        <f>S154+BH154</f>
        <v>1.4767000000000001</v>
      </c>
      <c r="BT154" s="419">
        <f t="shared" si="408"/>
        <v>0</v>
      </c>
      <c r="BU154" s="421">
        <f t="shared" si="408"/>
        <v>1.4767000000000001</v>
      </c>
      <c r="BV154" s="888"/>
      <c r="BW154" s="723"/>
      <c r="BX154" s="723"/>
      <c r="BY154" s="723"/>
      <c r="BZ154" s="723"/>
      <c r="CA154" s="855"/>
    </row>
    <row r="155" spans="1:79" ht="12.95" customHeight="1" x14ac:dyDescent="0.25">
      <c r="A155" s="324">
        <v>28</v>
      </c>
      <c r="B155" s="325">
        <v>5472</v>
      </c>
      <c r="C155" s="326">
        <v>600098672</v>
      </c>
      <c r="D155" s="325">
        <v>72743565</v>
      </c>
      <c r="E155" s="327" t="s">
        <v>406</v>
      </c>
      <c r="F155" s="291"/>
      <c r="G155" s="329"/>
      <c r="H155" s="292"/>
      <c r="I155" s="466">
        <v>4416698</v>
      </c>
      <c r="J155" s="463">
        <v>3265953</v>
      </c>
      <c r="K155" s="463">
        <v>2701788</v>
      </c>
      <c r="L155" s="463">
        <v>564165</v>
      </c>
      <c r="M155" s="463">
        <v>0</v>
      </c>
      <c r="N155" s="463">
        <v>0</v>
      </c>
      <c r="O155" s="463">
        <v>0</v>
      </c>
      <c r="P155" s="463">
        <v>1103892</v>
      </c>
      <c r="Q155" s="463">
        <v>32659</v>
      </c>
      <c r="R155" s="463">
        <v>14194</v>
      </c>
      <c r="S155" s="464">
        <v>6.4268000000000001</v>
      </c>
      <c r="T155" s="464">
        <v>4.6399999999999997</v>
      </c>
      <c r="U155" s="534">
        <v>1.7867999999999999</v>
      </c>
      <c r="V155" s="466">
        <f t="shared" ref="V155:CA155" si="409">SUM(V152:V154)</f>
        <v>0</v>
      </c>
      <c r="W155" s="463">
        <f t="shared" si="409"/>
        <v>0</v>
      </c>
      <c r="X155" s="463">
        <f t="shared" si="409"/>
        <v>0</v>
      </c>
      <c r="Y155" s="463">
        <f t="shared" si="409"/>
        <v>0</v>
      </c>
      <c r="Z155" s="463">
        <f t="shared" si="409"/>
        <v>0</v>
      </c>
      <c r="AA155" s="463">
        <f t="shared" si="409"/>
        <v>163841</v>
      </c>
      <c r="AB155" s="463">
        <f t="shared" si="409"/>
        <v>0</v>
      </c>
      <c r="AC155" s="463">
        <f t="shared" si="409"/>
        <v>0</v>
      </c>
      <c r="AD155" s="463">
        <f t="shared" si="409"/>
        <v>0</v>
      </c>
      <c r="AE155" s="463">
        <f t="shared" si="409"/>
        <v>163841</v>
      </c>
      <c r="AF155" s="797">
        <f t="shared" si="409"/>
        <v>163841</v>
      </c>
      <c r="AG155" s="787">
        <f t="shared" si="409"/>
        <v>0</v>
      </c>
      <c r="AH155" s="463">
        <f t="shared" si="409"/>
        <v>0</v>
      </c>
      <c r="AI155" s="463">
        <f t="shared" si="409"/>
        <v>0</v>
      </c>
      <c r="AJ155" s="463">
        <f t="shared" si="409"/>
        <v>0</v>
      </c>
      <c r="AK155" s="463">
        <f t="shared" si="409"/>
        <v>0</v>
      </c>
      <c r="AL155" s="463">
        <f t="shared" si="409"/>
        <v>0</v>
      </c>
      <c r="AM155" s="463">
        <f t="shared" si="409"/>
        <v>0</v>
      </c>
      <c r="AN155" s="463">
        <f t="shared" si="409"/>
        <v>0</v>
      </c>
      <c r="AO155" s="463">
        <f t="shared" si="409"/>
        <v>0</v>
      </c>
      <c r="AP155" s="463">
        <f t="shared" si="409"/>
        <v>163841</v>
      </c>
      <c r="AQ155" s="463">
        <f t="shared" si="409"/>
        <v>163841</v>
      </c>
      <c r="AR155" s="463">
        <f t="shared" si="409"/>
        <v>55378</v>
      </c>
      <c r="AS155" s="463">
        <f t="shared" si="409"/>
        <v>1638</v>
      </c>
      <c r="AT155" s="463">
        <f t="shared" si="409"/>
        <v>0</v>
      </c>
      <c r="AU155" s="463">
        <f t="shared" si="409"/>
        <v>799</v>
      </c>
      <c r="AV155" s="463">
        <f t="shared" si="409"/>
        <v>799</v>
      </c>
      <c r="AW155" s="463">
        <f t="shared" si="409"/>
        <v>221656</v>
      </c>
      <c r="AX155" s="464">
        <f t="shared" si="409"/>
        <v>0</v>
      </c>
      <c r="AY155" s="464">
        <f t="shared" si="409"/>
        <v>0</v>
      </c>
      <c r="AZ155" s="464">
        <f t="shared" si="409"/>
        <v>0</v>
      </c>
      <c r="BA155" s="464">
        <f t="shared" si="409"/>
        <v>0</v>
      </c>
      <c r="BB155" s="464">
        <f t="shared" ref="BB155" si="410">SUM(BB152:BB154)</f>
        <v>0.49</v>
      </c>
      <c r="BC155" s="464">
        <f t="shared" si="409"/>
        <v>0</v>
      </c>
      <c r="BD155" s="464">
        <f t="shared" si="409"/>
        <v>0</v>
      </c>
      <c r="BE155" s="464">
        <f t="shared" ref="BE155" si="411">SUM(BE152:BE154)</f>
        <v>0</v>
      </c>
      <c r="BF155" s="464">
        <f t="shared" si="409"/>
        <v>0</v>
      </c>
      <c r="BG155" s="464">
        <f t="shared" si="409"/>
        <v>0.49</v>
      </c>
      <c r="BH155" s="534">
        <f t="shared" si="409"/>
        <v>0.49</v>
      </c>
      <c r="BI155" s="466">
        <f t="shared" si="409"/>
        <v>4638354</v>
      </c>
      <c r="BJ155" s="463">
        <f t="shared" si="409"/>
        <v>3429794</v>
      </c>
      <c r="BK155" s="463">
        <f t="shared" si="409"/>
        <v>2701788</v>
      </c>
      <c r="BL155" s="463">
        <f t="shared" si="409"/>
        <v>728006</v>
      </c>
      <c r="BM155" s="463">
        <f t="shared" si="409"/>
        <v>0</v>
      </c>
      <c r="BN155" s="463">
        <f t="shared" si="409"/>
        <v>0</v>
      </c>
      <c r="BO155" s="463">
        <f t="shared" si="409"/>
        <v>0</v>
      </c>
      <c r="BP155" s="463">
        <f t="shared" si="409"/>
        <v>1159270</v>
      </c>
      <c r="BQ155" s="463">
        <f t="shared" si="409"/>
        <v>34297</v>
      </c>
      <c r="BR155" s="463">
        <f t="shared" si="409"/>
        <v>14993</v>
      </c>
      <c r="BS155" s="464">
        <f t="shared" si="409"/>
        <v>6.9168000000000003</v>
      </c>
      <c r="BT155" s="464">
        <f t="shared" si="409"/>
        <v>4.6399999999999997</v>
      </c>
      <c r="BU155" s="290">
        <f t="shared" si="409"/>
        <v>2.2768000000000002</v>
      </c>
      <c r="BV155" s="891">
        <f t="shared" si="409"/>
        <v>0</v>
      </c>
      <c r="BW155" s="722">
        <f t="shared" si="409"/>
        <v>0</v>
      </c>
      <c r="BX155" s="722">
        <f t="shared" si="409"/>
        <v>0</v>
      </c>
      <c r="BY155" s="722">
        <f t="shared" si="409"/>
        <v>0</v>
      </c>
      <c r="BZ155" s="722">
        <f t="shared" si="409"/>
        <v>0</v>
      </c>
      <c r="CA155" s="853">
        <f t="shared" si="409"/>
        <v>0</v>
      </c>
    </row>
    <row r="156" spans="1:79" ht="12.95" customHeight="1" x14ac:dyDescent="0.25">
      <c r="A156" s="280">
        <v>29</v>
      </c>
      <c r="B156" s="321">
        <v>5471</v>
      </c>
      <c r="C156" s="322">
        <v>600099229</v>
      </c>
      <c r="D156" s="281">
        <v>72743646</v>
      </c>
      <c r="E156" s="323" t="s">
        <v>407</v>
      </c>
      <c r="F156" s="281">
        <v>3113</v>
      </c>
      <c r="G156" s="323" t="s">
        <v>308</v>
      </c>
      <c r="H156" s="284" t="s">
        <v>271</v>
      </c>
      <c r="I156" s="420">
        <v>13196211</v>
      </c>
      <c r="J156" s="415">
        <v>9659181</v>
      </c>
      <c r="K156" s="415">
        <v>8794003</v>
      </c>
      <c r="L156" s="415">
        <v>865178</v>
      </c>
      <c r="M156" s="415">
        <v>10000</v>
      </c>
      <c r="N156" s="415">
        <v>10000</v>
      </c>
      <c r="O156" s="415">
        <v>0</v>
      </c>
      <c r="P156" s="68">
        <v>3268183</v>
      </c>
      <c r="Q156" s="68">
        <v>96592</v>
      </c>
      <c r="R156" s="415">
        <v>162255</v>
      </c>
      <c r="S156" s="416">
        <v>15.018699999999999</v>
      </c>
      <c r="T156" s="417">
        <v>12.5457</v>
      </c>
      <c r="U156" s="423">
        <v>2.4729999999999999</v>
      </c>
      <c r="V156" s="424">
        <f t="shared" ref="V156:W160" si="412">AG156*-1</f>
        <v>0</v>
      </c>
      <c r="W156" s="418">
        <f t="shared" si="412"/>
        <v>0</v>
      </c>
      <c r="X156" s="418">
        <v>0</v>
      </c>
      <c r="Y156" s="418">
        <v>0</v>
      </c>
      <c r="Z156" s="418">
        <v>0</v>
      </c>
      <c r="AA156" s="418">
        <v>0</v>
      </c>
      <c r="AB156" s="418">
        <v>0</v>
      </c>
      <c r="AC156" s="418">
        <v>0</v>
      </c>
      <c r="AD156" s="418">
        <f>V156+X156+Y156+Z156+AB156</f>
        <v>0</v>
      </c>
      <c r="AE156" s="418">
        <f>W156+AA156+AC156</f>
        <v>0</v>
      </c>
      <c r="AF156" s="794">
        <f>SUM(AD156:AE156)</f>
        <v>0</v>
      </c>
      <c r="AG156" s="780">
        <v>0</v>
      </c>
      <c r="AH156" s="418">
        <v>0</v>
      </c>
      <c r="AI156" s="418">
        <v>0</v>
      </c>
      <c r="AJ156" s="418">
        <v>0</v>
      </c>
      <c r="AK156" s="418">
        <v>0</v>
      </c>
      <c r="AL156" s="418">
        <f>AG156+AI156+AJ156</f>
        <v>0</v>
      </c>
      <c r="AM156" s="418">
        <f>AH156+AK156</f>
        <v>0</v>
      </c>
      <c r="AN156" s="418">
        <f>SUM(AL156:AM156)</f>
        <v>0</v>
      </c>
      <c r="AO156" s="418">
        <f t="shared" ref="AO156:AP160" si="413">AD156+AL156</f>
        <v>0</v>
      </c>
      <c r="AP156" s="418">
        <f t="shared" si="413"/>
        <v>0</v>
      </c>
      <c r="AQ156" s="418">
        <f>SUM(AO156:AP156)</f>
        <v>0</v>
      </c>
      <c r="AR156" s="68">
        <f>ROUND((AF156+AG156+AH156+AI156)*33.8%,0)</f>
        <v>0</v>
      </c>
      <c r="AS156" s="68">
        <f>ROUND(AF156*1%,0)</f>
        <v>0</v>
      </c>
      <c r="AT156" s="418">
        <v>0</v>
      </c>
      <c r="AU156" s="418">
        <v>0</v>
      </c>
      <c r="AV156" s="418">
        <f>AT156+AU156</f>
        <v>0</v>
      </c>
      <c r="AW156" s="418">
        <f>AQ156+AR156+AS156+AV156</f>
        <v>0</v>
      </c>
      <c r="AX156" s="419">
        <v>0</v>
      </c>
      <c r="AY156" s="419">
        <v>0</v>
      </c>
      <c r="AZ156" s="419">
        <v>0</v>
      </c>
      <c r="BA156" s="419">
        <v>0</v>
      </c>
      <c r="BB156" s="419">
        <v>0</v>
      </c>
      <c r="BC156" s="419">
        <v>0</v>
      </c>
      <c r="BD156" s="419">
        <v>0</v>
      </c>
      <c r="BE156" s="419">
        <v>0</v>
      </c>
      <c r="BF156" s="419">
        <f>AX156+AZ156+BA156+BC156+BD156</f>
        <v>0</v>
      </c>
      <c r="BG156" s="419">
        <f>AY156+BB156+BE156</f>
        <v>0</v>
      </c>
      <c r="BH156" s="894">
        <f>SUM(BF156:BG156)</f>
        <v>0</v>
      </c>
      <c r="BI156" s="424">
        <f>I156+AW156</f>
        <v>13196211</v>
      </c>
      <c r="BJ156" s="418">
        <f>J156+AF156</f>
        <v>9659181</v>
      </c>
      <c r="BK156" s="418">
        <f t="shared" ref="BK156:BL160" si="414">K156+AD156</f>
        <v>8794003</v>
      </c>
      <c r="BL156" s="418">
        <f t="shared" si="414"/>
        <v>865178</v>
      </c>
      <c r="BM156" s="418">
        <f>M156+AN156</f>
        <v>10000</v>
      </c>
      <c r="BN156" s="418">
        <f t="shared" ref="BN156:BO160" si="415">N156+AL156</f>
        <v>10000</v>
      </c>
      <c r="BO156" s="418">
        <f t="shared" si="415"/>
        <v>0</v>
      </c>
      <c r="BP156" s="418">
        <f t="shared" ref="BP156:BQ160" si="416">P156+AR156</f>
        <v>3268183</v>
      </c>
      <c r="BQ156" s="418">
        <f t="shared" si="416"/>
        <v>96592</v>
      </c>
      <c r="BR156" s="418">
        <f>R156+AV156</f>
        <v>162255</v>
      </c>
      <c r="BS156" s="419">
        <f>S156+BH156</f>
        <v>15.018699999999999</v>
      </c>
      <c r="BT156" s="419">
        <f t="shared" ref="BT156:BU160" si="417">T156+BF156</f>
        <v>12.5457</v>
      </c>
      <c r="BU156" s="421">
        <f t="shared" si="417"/>
        <v>2.4729999999999999</v>
      </c>
      <c r="BV156" s="888"/>
      <c r="BW156" s="723"/>
      <c r="BX156" s="723"/>
      <c r="BY156" s="723"/>
      <c r="BZ156" s="723"/>
      <c r="CA156" s="855"/>
    </row>
    <row r="157" spans="1:79" ht="12.95" customHeight="1" x14ac:dyDescent="0.25">
      <c r="A157" s="280">
        <v>29</v>
      </c>
      <c r="B157" s="321">
        <v>5471</v>
      </c>
      <c r="C157" s="322">
        <v>600099229</v>
      </c>
      <c r="D157" s="281">
        <v>72743646</v>
      </c>
      <c r="E157" s="323" t="s">
        <v>407</v>
      </c>
      <c r="F157" s="281">
        <v>3113</v>
      </c>
      <c r="G157" s="323" t="s">
        <v>298</v>
      </c>
      <c r="H157" s="284" t="s">
        <v>272</v>
      </c>
      <c r="I157" s="420">
        <v>1052648</v>
      </c>
      <c r="J157" s="415">
        <v>776742</v>
      </c>
      <c r="K157" s="415">
        <v>776742</v>
      </c>
      <c r="L157" s="415">
        <v>0</v>
      </c>
      <c r="M157" s="415">
        <v>0</v>
      </c>
      <c r="N157" s="415">
        <v>0</v>
      </c>
      <c r="O157" s="415">
        <v>0</v>
      </c>
      <c r="P157" s="68">
        <v>262539</v>
      </c>
      <c r="Q157" s="68">
        <v>7767</v>
      </c>
      <c r="R157" s="415">
        <v>5600</v>
      </c>
      <c r="S157" s="416">
        <v>2.1800000000000002</v>
      </c>
      <c r="T157" s="417">
        <v>2.1800000000000002</v>
      </c>
      <c r="U157" s="423">
        <v>0</v>
      </c>
      <c r="V157" s="424">
        <f t="shared" si="412"/>
        <v>0</v>
      </c>
      <c r="W157" s="418">
        <f t="shared" si="412"/>
        <v>0</v>
      </c>
      <c r="X157" s="418">
        <v>0</v>
      </c>
      <c r="Y157" s="418">
        <v>0</v>
      </c>
      <c r="Z157" s="418">
        <v>0</v>
      </c>
      <c r="AA157" s="418">
        <v>0</v>
      </c>
      <c r="AB157" s="418">
        <v>0</v>
      </c>
      <c r="AC157" s="418">
        <v>0</v>
      </c>
      <c r="AD157" s="418">
        <f>V157+X157+Y157+Z157+AB157</f>
        <v>0</v>
      </c>
      <c r="AE157" s="418">
        <f>W157+AA157+AC157</f>
        <v>0</v>
      </c>
      <c r="AF157" s="794">
        <f>SUM(AD157:AE157)</f>
        <v>0</v>
      </c>
      <c r="AG157" s="780">
        <v>0</v>
      </c>
      <c r="AH157" s="418">
        <v>0</v>
      </c>
      <c r="AI157" s="418">
        <v>0</v>
      </c>
      <c r="AJ157" s="418">
        <v>0</v>
      </c>
      <c r="AK157" s="418">
        <v>0</v>
      </c>
      <c r="AL157" s="418">
        <f>AG157+AI157+AJ157</f>
        <v>0</v>
      </c>
      <c r="AM157" s="418">
        <f>AH157+AK157</f>
        <v>0</v>
      </c>
      <c r="AN157" s="418">
        <f>SUM(AL157:AM157)</f>
        <v>0</v>
      </c>
      <c r="AO157" s="418">
        <f t="shared" si="413"/>
        <v>0</v>
      </c>
      <c r="AP157" s="418">
        <f t="shared" si="413"/>
        <v>0</v>
      </c>
      <c r="AQ157" s="418">
        <f>SUM(AO157:AP157)</f>
        <v>0</v>
      </c>
      <c r="AR157" s="68">
        <f>ROUND((AF157+AG157+AH157+AI157)*33.8%,0)</f>
        <v>0</v>
      </c>
      <c r="AS157" s="68">
        <f>ROUND(AF157*1%,0)</f>
        <v>0</v>
      </c>
      <c r="AT157" s="418">
        <v>0</v>
      </c>
      <c r="AU157" s="418">
        <v>0</v>
      </c>
      <c r="AV157" s="418">
        <f>AT157+AU157</f>
        <v>0</v>
      </c>
      <c r="AW157" s="418">
        <f>AQ157+AR157+AS157+AV157</f>
        <v>0</v>
      </c>
      <c r="AX157" s="419">
        <v>0</v>
      </c>
      <c r="AY157" s="419">
        <v>0</v>
      </c>
      <c r="AZ157" s="419">
        <v>0</v>
      </c>
      <c r="BA157" s="419">
        <v>0</v>
      </c>
      <c r="BB157" s="419">
        <v>0</v>
      </c>
      <c r="BC157" s="419">
        <v>0</v>
      </c>
      <c r="BD157" s="419">
        <v>0</v>
      </c>
      <c r="BE157" s="419">
        <v>0</v>
      </c>
      <c r="BF157" s="419">
        <f>AX157+AZ157+BA157+BC157+BD157</f>
        <v>0</v>
      </c>
      <c r="BG157" s="419">
        <f>AY157+BB157+BE157</f>
        <v>0</v>
      </c>
      <c r="BH157" s="894">
        <f>SUM(BF157:BG157)</f>
        <v>0</v>
      </c>
      <c r="BI157" s="424">
        <f>I157+AW157</f>
        <v>1052648</v>
      </c>
      <c r="BJ157" s="418">
        <f>J157+AF157</f>
        <v>776742</v>
      </c>
      <c r="BK157" s="418">
        <f t="shared" si="414"/>
        <v>776742</v>
      </c>
      <c r="BL157" s="418">
        <f t="shared" si="414"/>
        <v>0</v>
      </c>
      <c r="BM157" s="418">
        <f>M157+AN157</f>
        <v>0</v>
      </c>
      <c r="BN157" s="418">
        <f t="shared" si="415"/>
        <v>0</v>
      </c>
      <c r="BO157" s="418">
        <f t="shared" si="415"/>
        <v>0</v>
      </c>
      <c r="BP157" s="418">
        <f t="shared" si="416"/>
        <v>262539</v>
      </c>
      <c r="BQ157" s="418">
        <f t="shared" si="416"/>
        <v>7767</v>
      </c>
      <c r="BR157" s="418">
        <f>R157+AV157</f>
        <v>5600</v>
      </c>
      <c r="BS157" s="419">
        <f>S157+BH157</f>
        <v>2.1800000000000002</v>
      </c>
      <c r="BT157" s="419">
        <f t="shared" si="417"/>
        <v>2.1800000000000002</v>
      </c>
      <c r="BU157" s="421">
        <f t="shared" si="417"/>
        <v>0</v>
      </c>
      <c r="BV157" s="888"/>
      <c r="BW157" s="723"/>
      <c r="BX157" s="723"/>
      <c r="BY157" s="723"/>
      <c r="BZ157" s="723"/>
      <c r="CA157" s="855"/>
    </row>
    <row r="158" spans="1:79" ht="12.95" customHeight="1" x14ac:dyDescent="0.25">
      <c r="A158" s="280">
        <v>29</v>
      </c>
      <c r="B158" s="321">
        <v>5471</v>
      </c>
      <c r="C158" s="322">
        <v>600099229</v>
      </c>
      <c r="D158" s="281">
        <v>72743646</v>
      </c>
      <c r="E158" s="323" t="s">
        <v>407</v>
      </c>
      <c r="F158" s="281">
        <v>3141</v>
      </c>
      <c r="G158" s="323" t="s">
        <v>294</v>
      </c>
      <c r="H158" s="284" t="s">
        <v>272</v>
      </c>
      <c r="I158" s="420">
        <v>874738</v>
      </c>
      <c r="J158" s="415">
        <v>636717</v>
      </c>
      <c r="K158" s="415">
        <v>0</v>
      </c>
      <c r="L158" s="415">
        <v>636717</v>
      </c>
      <c r="M158" s="415">
        <v>8000</v>
      </c>
      <c r="N158" s="415">
        <v>0</v>
      </c>
      <c r="O158" s="415">
        <v>8000</v>
      </c>
      <c r="P158" s="68">
        <v>217914</v>
      </c>
      <c r="Q158" s="68">
        <v>6367</v>
      </c>
      <c r="R158" s="415">
        <v>5740</v>
      </c>
      <c r="S158" s="416">
        <v>1.9333</v>
      </c>
      <c r="T158" s="417">
        <v>0</v>
      </c>
      <c r="U158" s="423">
        <v>1.9333</v>
      </c>
      <c r="V158" s="424">
        <f t="shared" si="412"/>
        <v>0</v>
      </c>
      <c r="W158" s="418">
        <f t="shared" si="412"/>
        <v>0</v>
      </c>
      <c r="X158" s="418">
        <v>0</v>
      </c>
      <c r="Y158" s="418">
        <v>0</v>
      </c>
      <c r="Z158" s="418">
        <v>0</v>
      </c>
      <c r="AA158" s="418">
        <v>321022</v>
      </c>
      <c r="AB158" s="418">
        <v>0</v>
      </c>
      <c r="AC158" s="418">
        <v>0</v>
      </c>
      <c r="AD158" s="418">
        <f>V158+X158+Y158+Z158+AB158</f>
        <v>0</v>
      </c>
      <c r="AE158" s="418">
        <f>W158+AA158+AC158</f>
        <v>321022</v>
      </c>
      <c r="AF158" s="794">
        <f>SUM(AD158:AE158)</f>
        <v>321022</v>
      </c>
      <c r="AG158" s="780">
        <v>0</v>
      </c>
      <c r="AH158" s="418">
        <v>0</v>
      </c>
      <c r="AI158" s="418">
        <v>0</v>
      </c>
      <c r="AJ158" s="418">
        <v>0</v>
      </c>
      <c r="AK158" s="418">
        <v>0</v>
      </c>
      <c r="AL158" s="418">
        <f>AG158+AI158+AJ158</f>
        <v>0</v>
      </c>
      <c r="AM158" s="418">
        <f>AH158+AK158</f>
        <v>0</v>
      </c>
      <c r="AN158" s="418">
        <f>SUM(AL158:AM158)</f>
        <v>0</v>
      </c>
      <c r="AO158" s="418">
        <f t="shared" si="413"/>
        <v>0</v>
      </c>
      <c r="AP158" s="418">
        <f t="shared" si="413"/>
        <v>321022</v>
      </c>
      <c r="AQ158" s="418">
        <f>SUM(AO158:AP158)</f>
        <v>321022</v>
      </c>
      <c r="AR158" s="68">
        <f>ROUND((AF158+AG158+AH158+AI158)*33.8%,0)</f>
        <v>108505</v>
      </c>
      <c r="AS158" s="68">
        <f>ROUND(AF158*1%,0)</f>
        <v>3210</v>
      </c>
      <c r="AT158" s="418">
        <v>0</v>
      </c>
      <c r="AU158" s="418">
        <v>2788</v>
      </c>
      <c r="AV158" s="418">
        <f>AT158+AU158</f>
        <v>2788</v>
      </c>
      <c r="AW158" s="418">
        <f>AQ158+AR158+AS158+AV158</f>
        <v>435525</v>
      </c>
      <c r="AX158" s="419">
        <v>0</v>
      </c>
      <c r="AY158" s="419">
        <v>0</v>
      </c>
      <c r="AZ158" s="419">
        <v>0</v>
      </c>
      <c r="BA158" s="419">
        <v>0</v>
      </c>
      <c r="BB158" s="419">
        <v>0.97</v>
      </c>
      <c r="BC158" s="419">
        <v>0</v>
      </c>
      <c r="BD158" s="419">
        <v>0</v>
      </c>
      <c r="BE158" s="419">
        <v>0</v>
      </c>
      <c r="BF158" s="419">
        <f>AX158+AZ158+BA158+BC158+BD158</f>
        <v>0</v>
      </c>
      <c r="BG158" s="419">
        <f>AY158+BB158+BE158</f>
        <v>0.97</v>
      </c>
      <c r="BH158" s="894">
        <f>SUM(BF158:BG158)</f>
        <v>0.97</v>
      </c>
      <c r="BI158" s="424">
        <f>I158+AW158</f>
        <v>1310263</v>
      </c>
      <c r="BJ158" s="418">
        <f>J158+AF158</f>
        <v>957739</v>
      </c>
      <c r="BK158" s="418">
        <f t="shared" si="414"/>
        <v>0</v>
      </c>
      <c r="BL158" s="418">
        <f t="shared" si="414"/>
        <v>957739</v>
      </c>
      <c r="BM158" s="418">
        <f>M158+AN158</f>
        <v>8000</v>
      </c>
      <c r="BN158" s="418">
        <f t="shared" si="415"/>
        <v>0</v>
      </c>
      <c r="BO158" s="418">
        <f t="shared" si="415"/>
        <v>8000</v>
      </c>
      <c r="BP158" s="418">
        <f t="shared" si="416"/>
        <v>326419</v>
      </c>
      <c r="BQ158" s="418">
        <f t="shared" si="416"/>
        <v>9577</v>
      </c>
      <c r="BR158" s="418">
        <f>R158+AV158</f>
        <v>8528</v>
      </c>
      <c r="BS158" s="419">
        <f>S158+BH158</f>
        <v>2.9032999999999998</v>
      </c>
      <c r="BT158" s="419">
        <f t="shared" si="417"/>
        <v>0</v>
      </c>
      <c r="BU158" s="421">
        <f t="shared" si="417"/>
        <v>2.9032999999999998</v>
      </c>
      <c r="BV158" s="888"/>
      <c r="BW158" s="723"/>
      <c r="BX158" s="723"/>
      <c r="BY158" s="723"/>
      <c r="BZ158" s="723"/>
      <c r="CA158" s="855"/>
    </row>
    <row r="159" spans="1:79" ht="12.95" customHeight="1" x14ac:dyDescent="0.25">
      <c r="A159" s="280">
        <v>29</v>
      </c>
      <c r="B159" s="321">
        <v>5471</v>
      </c>
      <c r="C159" s="322">
        <v>600099229</v>
      </c>
      <c r="D159" s="281">
        <v>72743646</v>
      </c>
      <c r="E159" s="323" t="s">
        <v>407</v>
      </c>
      <c r="F159" s="281">
        <v>3143</v>
      </c>
      <c r="G159" s="323" t="s">
        <v>595</v>
      </c>
      <c r="H159" s="284" t="s">
        <v>271</v>
      </c>
      <c r="I159" s="420">
        <v>832371</v>
      </c>
      <c r="J159" s="415">
        <v>617486</v>
      </c>
      <c r="K159" s="415">
        <v>617486</v>
      </c>
      <c r="L159" s="415">
        <v>0</v>
      </c>
      <c r="M159" s="415">
        <v>0</v>
      </c>
      <c r="N159" s="415">
        <v>0</v>
      </c>
      <c r="O159" s="415">
        <v>0</v>
      </c>
      <c r="P159" s="68">
        <v>208710</v>
      </c>
      <c r="Q159" s="68">
        <v>6175</v>
      </c>
      <c r="R159" s="415">
        <v>0</v>
      </c>
      <c r="S159" s="416">
        <v>1.1834</v>
      </c>
      <c r="T159" s="417">
        <v>1.1834</v>
      </c>
      <c r="U159" s="423">
        <v>0</v>
      </c>
      <c r="V159" s="424">
        <f t="shared" si="412"/>
        <v>0</v>
      </c>
      <c r="W159" s="418">
        <f t="shared" si="412"/>
        <v>0</v>
      </c>
      <c r="X159" s="418">
        <v>0</v>
      </c>
      <c r="Y159" s="418">
        <v>0</v>
      </c>
      <c r="Z159" s="418">
        <v>0</v>
      </c>
      <c r="AA159" s="418">
        <v>0</v>
      </c>
      <c r="AB159" s="418">
        <v>0</v>
      </c>
      <c r="AC159" s="418">
        <v>0</v>
      </c>
      <c r="AD159" s="418">
        <f>V159+X159+Y159+Z159+AB159</f>
        <v>0</v>
      </c>
      <c r="AE159" s="418">
        <f>W159+AA159+AC159</f>
        <v>0</v>
      </c>
      <c r="AF159" s="794">
        <f>SUM(AD159:AE159)</f>
        <v>0</v>
      </c>
      <c r="AG159" s="780">
        <v>0</v>
      </c>
      <c r="AH159" s="418">
        <v>0</v>
      </c>
      <c r="AI159" s="418">
        <v>0</v>
      </c>
      <c r="AJ159" s="418">
        <v>0</v>
      </c>
      <c r="AK159" s="418">
        <v>0</v>
      </c>
      <c r="AL159" s="418">
        <f>AG159+AI159+AJ159</f>
        <v>0</v>
      </c>
      <c r="AM159" s="418">
        <f>AH159+AK159</f>
        <v>0</v>
      </c>
      <c r="AN159" s="418">
        <f>SUM(AL159:AM159)</f>
        <v>0</v>
      </c>
      <c r="AO159" s="418">
        <f t="shared" si="413"/>
        <v>0</v>
      </c>
      <c r="AP159" s="418">
        <f t="shared" si="413"/>
        <v>0</v>
      </c>
      <c r="AQ159" s="418">
        <f>SUM(AO159:AP159)</f>
        <v>0</v>
      </c>
      <c r="AR159" s="68">
        <f>ROUND((AF159+AG159+AH159+AI159)*33.8%,0)</f>
        <v>0</v>
      </c>
      <c r="AS159" s="68">
        <f>ROUND(AF159*1%,0)</f>
        <v>0</v>
      </c>
      <c r="AT159" s="418">
        <v>0</v>
      </c>
      <c r="AU159" s="418">
        <v>0</v>
      </c>
      <c r="AV159" s="418">
        <f>AT159+AU159</f>
        <v>0</v>
      </c>
      <c r="AW159" s="418">
        <f>AQ159+AR159+AS159+AV159</f>
        <v>0</v>
      </c>
      <c r="AX159" s="419">
        <v>0</v>
      </c>
      <c r="AY159" s="419">
        <v>0</v>
      </c>
      <c r="AZ159" s="419">
        <v>0</v>
      </c>
      <c r="BA159" s="419">
        <v>0</v>
      </c>
      <c r="BB159" s="419">
        <v>0</v>
      </c>
      <c r="BC159" s="419">
        <v>0</v>
      </c>
      <c r="BD159" s="419">
        <v>0</v>
      </c>
      <c r="BE159" s="419">
        <v>0</v>
      </c>
      <c r="BF159" s="419">
        <f>AX159+AZ159+BA159+BC159+BD159</f>
        <v>0</v>
      </c>
      <c r="BG159" s="419">
        <f>AY159+BB159+BE159</f>
        <v>0</v>
      </c>
      <c r="BH159" s="894">
        <f>SUM(BF159:BG159)</f>
        <v>0</v>
      </c>
      <c r="BI159" s="424">
        <f>I159+AW159</f>
        <v>832371</v>
      </c>
      <c r="BJ159" s="418">
        <f>J159+AF159</f>
        <v>617486</v>
      </c>
      <c r="BK159" s="418">
        <f t="shared" si="414"/>
        <v>617486</v>
      </c>
      <c r="BL159" s="418">
        <f t="shared" si="414"/>
        <v>0</v>
      </c>
      <c r="BM159" s="418">
        <f>M159+AN159</f>
        <v>0</v>
      </c>
      <c r="BN159" s="418">
        <f t="shared" si="415"/>
        <v>0</v>
      </c>
      <c r="BO159" s="418">
        <f t="shared" si="415"/>
        <v>0</v>
      </c>
      <c r="BP159" s="418">
        <f t="shared" si="416"/>
        <v>208710</v>
      </c>
      <c r="BQ159" s="418">
        <f t="shared" si="416"/>
        <v>6175</v>
      </c>
      <c r="BR159" s="418">
        <f>R159+AV159</f>
        <v>0</v>
      </c>
      <c r="BS159" s="419">
        <f>S159+BH159</f>
        <v>1.1834</v>
      </c>
      <c r="BT159" s="419">
        <f t="shared" si="417"/>
        <v>1.1834</v>
      </c>
      <c r="BU159" s="421">
        <f t="shared" si="417"/>
        <v>0</v>
      </c>
      <c r="BV159" s="888"/>
      <c r="BW159" s="723"/>
      <c r="BX159" s="723"/>
      <c r="BY159" s="723"/>
      <c r="BZ159" s="723"/>
      <c r="CA159" s="855"/>
    </row>
    <row r="160" spans="1:79" ht="12.95" customHeight="1" x14ac:dyDescent="0.25">
      <c r="A160" s="280">
        <v>29</v>
      </c>
      <c r="B160" s="321">
        <v>5471</v>
      </c>
      <c r="C160" s="322">
        <v>600099229</v>
      </c>
      <c r="D160" s="281">
        <v>72743646</v>
      </c>
      <c r="E160" s="323" t="s">
        <v>407</v>
      </c>
      <c r="F160" s="281">
        <v>3143</v>
      </c>
      <c r="G160" s="323" t="s">
        <v>596</v>
      </c>
      <c r="H160" s="284" t="s">
        <v>272</v>
      </c>
      <c r="I160" s="420">
        <v>23052</v>
      </c>
      <c r="J160" s="415">
        <v>16500</v>
      </c>
      <c r="K160" s="415">
        <v>0</v>
      </c>
      <c r="L160" s="415">
        <v>16500</v>
      </c>
      <c r="M160" s="415">
        <v>0</v>
      </c>
      <c r="N160" s="415">
        <v>0</v>
      </c>
      <c r="O160" s="415">
        <v>0</v>
      </c>
      <c r="P160" s="68">
        <v>5577</v>
      </c>
      <c r="Q160" s="68">
        <v>165</v>
      </c>
      <c r="R160" s="415">
        <v>810</v>
      </c>
      <c r="S160" s="416">
        <v>6.25E-2</v>
      </c>
      <c r="T160" s="417">
        <v>0</v>
      </c>
      <c r="U160" s="423">
        <v>6.25E-2</v>
      </c>
      <c r="V160" s="424">
        <f t="shared" si="412"/>
        <v>0</v>
      </c>
      <c r="W160" s="418">
        <f t="shared" si="412"/>
        <v>0</v>
      </c>
      <c r="X160" s="418">
        <v>0</v>
      </c>
      <c r="Y160" s="418">
        <v>0</v>
      </c>
      <c r="Z160" s="418">
        <v>0</v>
      </c>
      <c r="AA160" s="418">
        <v>8250</v>
      </c>
      <c r="AB160" s="418">
        <v>0</v>
      </c>
      <c r="AC160" s="418">
        <v>0</v>
      </c>
      <c r="AD160" s="418">
        <f>V160+X160+Y160+Z160+AB160</f>
        <v>0</v>
      </c>
      <c r="AE160" s="418">
        <f>W160+AA160+AC160</f>
        <v>8250</v>
      </c>
      <c r="AF160" s="794">
        <f>SUM(AD160:AE160)</f>
        <v>8250</v>
      </c>
      <c r="AG160" s="780">
        <v>0</v>
      </c>
      <c r="AH160" s="418">
        <v>0</v>
      </c>
      <c r="AI160" s="418">
        <v>0</v>
      </c>
      <c r="AJ160" s="418">
        <v>0</v>
      </c>
      <c r="AK160" s="418">
        <v>0</v>
      </c>
      <c r="AL160" s="418">
        <f>AG160+AI160+AJ160</f>
        <v>0</v>
      </c>
      <c r="AM160" s="418">
        <f>AH160+AK160</f>
        <v>0</v>
      </c>
      <c r="AN160" s="418">
        <f>SUM(AL160:AM160)</f>
        <v>0</v>
      </c>
      <c r="AO160" s="418">
        <f t="shared" si="413"/>
        <v>0</v>
      </c>
      <c r="AP160" s="418">
        <f t="shared" si="413"/>
        <v>8250</v>
      </c>
      <c r="AQ160" s="418">
        <f>SUM(AO160:AP160)</f>
        <v>8250</v>
      </c>
      <c r="AR160" s="68">
        <f>ROUND((AF160+AG160+AH160+AI160)*33.8%,0)</f>
        <v>2789</v>
      </c>
      <c r="AS160" s="68">
        <f>ROUND(AF160*1%,0)</f>
        <v>83</v>
      </c>
      <c r="AT160" s="418">
        <v>0</v>
      </c>
      <c r="AU160" s="418">
        <v>405</v>
      </c>
      <c r="AV160" s="418">
        <f>AT160+AU160</f>
        <v>405</v>
      </c>
      <c r="AW160" s="418">
        <f>AQ160+AR160+AS160+AV160</f>
        <v>11527</v>
      </c>
      <c r="AX160" s="419">
        <v>0</v>
      </c>
      <c r="AY160" s="419">
        <v>0</v>
      </c>
      <c r="AZ160" s="419">
        <v>0</v>
      </c>
      <c r="BA160" s="419">
        <v>0</v>
      </c>
      <c r="BB160" s="419">
        <v>0.03</v>
      </c>
      <c r="BC160" s="419">
        <v>0</v>
      </c>
      <c r="BD160" s="419">
        <v>0</v>
      </c>
      <c r="BE160" s="419">
        <v>0</v>
      </c>
      <c r="BF160" s="419">
        <f>AX160+AZ160+BA160+BC160+BD160</f>
        <v>0</v>
      </c>
      <c r="BG160" s="419">
        <f>AY160+BB160+BE160</f>
        <v>0.03</v>
      </c>
      <c r="BH160" s="894">
        <f>SUM(BF160:BG160)</f>
        <v>0.03</v>
      </c>
      <c r="BI160" s="424">
        <f>I160+AW160</f>
        <v>34579</v>
      </c>
      <c r="BJ160" s="418">
        <f>J160+AF160</f>
        <v>24750</v>
      </c>
      <c r="BK160" s="418">
        <f t="shared" si="414"/>
        <v>0</v>
      </c>
      <c r="BL160" s="418">
        <f t="shared" si="414"/>
        <v>24750</v>
      </c>
      <c r="BM160" s="418">
        <f>M160+AN160</f>
        <v>0</v>
      </c>
      <c r="BN160" s="418">
        <f t="shared" si="415"/>
        <v>0</v>
      </c>
      <c r="BO160" s="418">
        <f t="shared" si="415"/>
        <v>0</v>
      </c>
      <c r="BP160" s="418">
        <f t="shared" si="416"/>
        <v>8366</v>
      </c>
      <c r="BQ160" s="418">
        <f t="shared" si="416"/>
        <v>248</v>
      </c>
      <c r="BR160" s="418">
        <f>R160+AV160</f>
        <v>1215</v>
      </c>
      <c r="BS160" s="419">
        <f>S160+BH160</f>
        <v>9.2499999999999999E-2</v>
      </c>
      <c r="BT160" s="419">
        <f t="shared" si="417"/>
        <v>0</v>
      </c>
      <c r="BU160" s="421">
        <f t="shared" si="417"/>
        <v>9.2499999999999999E-2</v>
      </c>
      <c r="BV160" s="888"/>
      <c r="BW160" s="723"/>
      <c r="BX160" s="723"/>
      <c r="BY160" s="723"/>
      <c r="BZ160" s="723"/>
      <c r="CA160" s="855"/>
    </row>
    <row r="161" spans="1:79" ht="12.95" customHeight="1" x14ac:dyDescent="0.25">
      <c r="A161" s="324">
        <v>29</v>
      </c>
      <c r="B161" s="325">
        <v>5471</v>
      </c>
      <c r="C161" s="326">
        <v>600099229</v>
      </c>
      <c r="D161" s="325">
        <v>72743646</v>
      </c>
      <c r="E161" s="327" t="s">
        <v>408</v>
      </c>
      <c r="F161" s="291"/>
      <c r="G161" s="329"/>
      <c r="H161" s="292"/>
      <c r="I161" s="466">
        <v>15979020</v>
      </c>
      <c r="J161" s="463">
        <v>11706626</v>
      </c>
      <c r="K161" s="463">
        <v>10188231</v>
      </c>
      <c r="L161" s="463">
        <v>1518395</v>
      </c>
      <c r="M161" s="463">
        <v>18000</v>
      </c>
      <c r="N161" s="463">
        <v>10000</v>
      </c>
      <c r="O161" s="463">
        <v>8000</v>
      </c>
      <c r="P161" s="463">
        <v>3962923</v>
      </c>
      <c r="Q161" s="463">
        <v>117066</v>
      </c>
      <c r="R161" s="463">
        <v>174405</v>
      </c>
      <c r="S161" s="464">
        <v>20.377899999999997</v>
      </c>
      <c r="T161" s="464">
        <v>15.9091</v>
      </c>
      <c r="U161" s="534">
        <v>4.4687999999999999</v>
      </c>
      <c r="V161" s="466">
        <f t="shared" ref="V161:CA161" si="418">SUM(V156:V160)</f>
        <v>0</v>
      </c>
      <c r="W161" s="463">
        <f t="shared" si="418"/>
        <v>0</v>
      </c>
      <c r="X161" s="463">
        <f t="shared" si="418"/>
        <v>0</v>
      </c>
      <c r="Y161" s="463">
        <f t="shared" si="418"/>
        <v>0</v>
      </c>
      <c r="Z161" s="463">
        <f t="shared" si="418"/>
        <v>0</v>
      </c>
      <c r="AA161" s="463">
        <f t="shared" si="418"/>
        <v>329272</v>
      </c>
      <c r="AB161" s="463">
        <f t="shared" si="418"/>
        <v>0</v>
      </c>
      <c r="AC161" s="463">
        <f t="shared" si="418"/>
        <v>0</v>
      </c>
      <c r="AD161" s="463">
        <f t="shared" si="418"/>
        <v>0</v>
      </c>
      <c r="AE161" s="463">
        <f t="shared" si="418"/>
        <v>329272</v>
      </c>
      <c r="AF161" s="797">
        <f t="shared" si="418"/>
        <v>329272</v>
      </c>
      <c r="AG161" s="787">
        <f t="shared" si="418"/>
        <v>0</v>
      </c>
      <c r="AH161" s="463">
        <f t="shared" si="418"/>
        <v>0</v>
      </c>
      <c r="AI161" s="463">
        <f t="shared" si="418"/>
        <v>0</v>
      </c>
      <c r="AJ161" s="463">
        <f t="shared" si="418"/>
        <v>0</v>
      </c>
      <c r="AK161" s="463">
        <f t="shared" si="418"/>
        <v>0</v>
      </c>
      <c r="AL161" s="463">
        <f t="shared" si="418"/>
        <v>0</v>
      </c>
      <c r="AM161" s="463">
        <f t="shared" si="418"/>
        <v>0</v>
      </c>
      <c r="AN161" s="463">
        <f t="shared" si="418"/>
        <v>0</v>
      </c>
      <c r="AO161" s="463">
        <f t="shared" si="418"/>
        <v>0</v>
      </c>
      <c r="AP161" s="463">
        <f t="shared" si="418"/>
        <v>329272</v>
      </c>
      <c r="AQ161" s="463">
        <f t="shared" si="418"/>
        <v>329272</v>
      </c>
      <c r="AR161" s="463">
        <f t="shared" si="418"/>
        <v>111294</v>
      </c>
      <c r="AS161" s="463">
        <f t="shared" si="418"/>
        <v>3293</v>
      </c>
      <c r="AT161" s="463">
        <f t="shared" si="418"/>
        <v>0</v>
      </c>
      <c r="AU161" s="463">
        <f t="shared" si="418"/>
        <v>3193</v>
      </c>
      <c r="AV161" s="463">
        <f t="shared" si="418"/>
        <v>3193</v>
      </c>
      <c r="AW161" s="463">
        <f t="shared" si="418"/>
        <v>447052</v>
      </c>
      <c r="AX161" s="464">
        <f t="shared" si="418"/>
        <v>0</v>
      </c>
      <c r="AY161" s="464">
        <f t="shared" si="418"/>
        <v>0</v>
      </c>
      <c r="AZ161" s="464">
        <f t="shared" si="418"/>
        <v>0</v>
      </c>
      <c r="BA161" s="464">
        <f t="shared" si="418"/>
        <v>0</v>
      </c>
      <c r="BB161" s="464">
        <f t="shared" ref="BB161" si="419">SUM(BB156:BB160)</f>
        <v>1</v>
      </c>
      <c r="BC161" s="464">
        <f t="shared" si="418"/>
        <v>0</v>
      </c>
      <c r="BD161" s="464">
        <f t="shared" si="418"/>
        <v>0</v>
      </c>
      <c r="BE161" s="464">
        <f t="shared" ref="BE161" si="420">SUM(BE156:BE160)</f>
        <v>0</v>
      </c>
      <c r="BF161" s="464">
        <f t="shared" si="418"/>
        <v>0</v>
      </c>
      <c r="BG161" s="464">
        <f t="shared" si="418"/>
        <v>1</v>
      </c>
      <c r="BH161" s="534">
        <f t="shared" si="418"/>
        <v>1</v>
      </c>
      <c r="BI161" s="466">
        <f t="shared" si="418"/>
        <v>16426072</v>
      </c>
      <c r="BJ161" s="463">
        <f t="shared" si="418"/>
        <v>12035898</v>
      </c>
      <c r="BK161" s="463">
        <f t="shared" si="418"/>
        <v>10188231</v>
      </c>
      <c r="BL161" s="463">
        <f t="shared" si="418"/>
        <v>1847667</v>
      </c>
      <c r="BM161" s="463">
        <f t="shared" si="418"/>
        <v>18000</v>
      </c>
      <c r="BN161" s="463">
        <f t="shared" si="418"/>
        <v>10000</v>
      </c>
      <c r="BO161" s="463">
        <f t="shared" si="418"/>
        <v>8000</v>
      </c>
      <c r="BP161" s="463">
        <f t="shared" si="418"/>
        <v>4074217</v>
      </c>
      <c r="BQ161" s="463">
        <f t="shared" si="418"/>
        <v>120359</v>
      </c>
      <c r="BR161" s="463">
        <f t="shared" si="418"/>
        <v>177598</v>
      </c>
      <c r="BS161" s="464">
        <f t="shared" si="418"/>
        <v>21.377899999999997</v>
      </c>
      <c r="BT161" s="464">
        <f t="shared" si="418"/>
        <v>15.9091</v>
      </c>
      <c r="BU161" s="290">
        <f t="shared" si="418"/>
        <v>5.4687999999999999</v>
      </c>
      <c r="BV161" s="891">
        <f t="shared" si="418"/>
        <v>0</v>
      </c>
      <c r="BW161" s="722">
        <f t="shared" si="418"/>
        <v>0</v>
      </c>
      <c r="BX161" s="722">
        <f t="shared" si="418"/>
        <v>0</v>
      </c>
      <c r="BY161" s="722">
        <f t="shared" si="418"/>
        <v>0</v>
      </c>
      <c r="BZ161" s="722">
        <f t="shared" si="418"/>
        <v>0</v>
      </c>
      <c r="CA161" s="853">
        <f t="shared" si="418"/>
        <v>0</v>
      </c>
    </row>
    <row r="162" spans="1:79" ht="12.95" customHeight="1" x14ac:dyDescent="0.25">
      <c r="A162" s="280">
        <v>30</v>
      </c>
      <c r="B162" s="321">
        <v>5473</v>
      </c>
      <c r="C162" s="322">
        <v>600098583</v>
      </c>
      <c r="D162" s="281">
        <v>75016320</v>
      </c>
      <c r="E162" s="323" t="s">
        <v>409</v>
      </c>
      <c r="F162" s="281">
        <v>3111</v>
      </c>
      <c r="G162" s="323" t="s">
        <v>304</v>
      </c>
      <c r="H162" s="284" t="s">
        <v>271</v>
      </c>
      <c r="I162" s="420">
        <v>2034563</v>
      </c>
      <c r="J162" s="415">
        <v>1504962</v>
      </c>
      <c r="K162" s="415">
        <v>1387421</v>
      </c>
      <c r="L162" s="415">
        <v>117541</v>
      </c>
      <c r="M162" s="415">
        <v>0</v>
      </c>
      <c r="N162" s="415">
        <v>0</v>
      </c>
      <c r="O162" s="415">
        <v>0</v>
      </c>
      <c r="P162" s="68">
        <v>508677</v>
      </c>
      <c r="Q162" s="68">
        <v>15050</v>
      </c>
      <c r="R162" s="415">
        <v>5874</v>
      </c>
      <c r="S162" s="416">
        <v>2.7704</v>
      </c>
      <c r="T162" s="417">
        <v>2.3704000000000001</v>
      </c>
      <c r="U162" s="423">
        <v>0.4</v>
      </c>
      <c r="V162" s="424">
        <f t="shared" ref="V162:W164" si="421">AG162*-1</f>
        <v>0</v>
      </c>
      <c r="W162" s="418">
        <f t="shared" si="421"/>
        <v>0</v>
      </c>
      <c r="X162" s="418">
        <v>0</v>
      </c>
      <c r="Y162" s="418">
        <v>0</v>
      </c>
      <c r="Z162" s="418">
        <v>0</v>
      </c>
      <c r="AA162" s="418">
        <v>0</v>
      </c>
      <c r="AB162" s="418">
        <v>0</v>
      </c>
      <c r="AC162" s="418">
        <v>0</v>
      </c>
      <c r="AD162" s="418">
        <f>V162+X162+Y162+Z162+AB162</f>
        <v>0</v>
      </c>
      <c r="AE162" s="418">
        <f>W162+AA162+AC162</f>
        <v>0</v>
      </c>
      <c r="AF162" s="794">
        <f>SUM(AD162:AE162)</f>
        <v>0</v>
      </c>
      <c r="AG162" s="780">
        <v>0</v>
      </c>
      <c r="AH162" s="418">
        <v>0</v>
      </c>
      <c r="AI162" s="418">
        <v>0</v>
      </c>
      <c r="AJ162" s="418">
        <v>0</v>
      </c>
      <c r="AK162" s="418">
        <v>0</v>
      </c>
      <c r="AL162" s="418">
        <f>AG162+AI162+AJ162</f>
        <v>0</v>
      </c>
      <c r="AM162" s="418">
        <f>AH162+AK162</f>
        <v>0</v>
      </c>
      <c r="AN162" s="418">
        <f>SUM(AL162:AM162)</f>
        <v>0</v>
      </c>
      <c r="AO162" s="418">
        <f t="shared" ref="AO162:AP164" si="422">AD162+AL162</f>
        <v>0</v>
      </c>
      <c r="AP162" s="418">
        <f t="shared" si="422"/>
        <v>0</v>
      </c>
      <c r="AQ162" s="418">
        <f>SUM(AO162:AP162)</f>
        <v>0</v>
      </c>
      <c r="AR162" s="68">
        <f>ROUND((AF162+AG162+AH162+AI162)*33.8%,0)</f>
        <v>0</v>
      </c>
      <c r="AS162" s="68">
        <f>ROUND(AF162*1%,0)</f>
        <v>0</v>
      </c>
      <c r="AT162" s="418">
        <v>0</v>
      </c>
      <c r="AU162" s="418">
        <v>0</v>
      </c>
      <c r="AV162" s="418">
        <f>AT162+AU162</f>
        <v>0</v>
      </c>
      <c r="AW162" s="418">
        <f>AQ162+AR162+AS162+AV162</f>
        <v>0</v>
      </c>
      <c r="AX162" s="419">
        <v>0</v>
      </c>
      <c r="AY162" s="419">
        <v>0</v>
      </c>
      <c r="AZ162" s="419">
        <v>0</v>
      </c>
      <c r="BA162" s="419">
        <v>0</v>
      </c>
      <c r="BB162" s="419">
        <v>0</v>
      </c>
      <c r="BC162" s="419">
        <v>0</v>
      </c>
      <c r="BD162" s="419">
        <v>0</v>
      </c>
      <c r="BE162" s="419">
        <v>0</v>
      </c>
      <c r="BF162" s="419">
        <f>AX162+AZ162+BA162+BC162+BD162</f>
        <v>0</v>
      </c>
      <c r="BG162" s="419">
        <f>AY162+BB162+BE162</f>
        <v>0</v>
      </c>
      <c r="BH162" s="894">
        <f>SUM(BF162:BG162)</f>
        <v>0</v>
      </c>
      <c r="BI162" s="424">
        <f>I162+AW162</f>
        <v>2034563</v>
      </c>
      <c r="BJ162" s="418">
        <f>J162+AF162</f>
        <v>1504962</v>
      </c>
      <c r="BK162" s="418">
        <f t="shared" ref="BK162:BL164" si="423">K162+AD162</f>
        <v>1387421</v>
      </c>
      <c r="BL162" s="418">
        <f t="shared" si="423"/>
        <v>117541</v>
      </c>
      <c r="BM162" s="418">
        <f>M162+AN162</f>
        <v>0</v>
      </c>
      <c r="BN162" s="418">
        <f t="shared" ref="BN162:BO164" si="424">N162+AL162</f>
        <v>0</v>
      </c>
      <c r="BO162" s="418">
        <f t="shared" si="424"/>
        <v>0</v>
      </c>
      <c r="BP162" s="418">
        <f t="shared" ref="BP162:BQ164" si="425">P162+AR162</f>
        <v>508677</v>
      </c>
      <c r="BQ162" s="418">
        <f t="shared" si="425"/>
        <v>15050</v>
      </c>
      <c r="BR162" s="418">
        <f>R162+AV162</f>
        <v>5874</v>
      </c>
      <c r="BS162" s="419">
        <f>S162+BH162</f>
        <v>2.7704</v>
      </c>
      <c r="BT162" s="419">
        <f t="shared" ref="BT162:BU164" si="426">T162+BF162</f>
        <v>2.3704000000000001</v>
      </c>
      <c r="BU162" s="421">
        <f t="shared" si="426"/>
        <v>0.4</v>
      </c>
      <c r="BV162" s="888"/>
      <c r="BW162" s="723"/>
      <c r="BX162" s="723"/>
      <c r="BY162" s="723"/>
      <c r="BZ162" s="723"/>
      <c r="CA162" s="855"/>
    </row>
    <row r="163" spans="1:79" ht="12.95" customHeight="1" x14ac:dyDescent="0.25">
      <c r="A163" s="280">
        <v>30</v>
      </c>
      <c r="B163" s="321">
        <v>5473</v>
      </c>
      <c r="C163" s="322">
        <v>600098583</v>
      </c>
      <c r="D163" s="281">
        <v>75016320</v>
      </c>
      <c r="E163" s="323" t="s">
        <v>409</v>
      </c>
      <c r="F163" s="281">
        <v>3111</v>
      </c>
      <c r="G163" s="323" t="s">
        <v>298</v>
      </c>
      <c r="H163" s="284" t="s">
        <v>272</v>
      </c>
      <c r="I163" s="420">
        <v>0</v>
      </c>
      <c r="J163" s="415">
        <v>0</v>
      </c>
      <c r="K163" s="415">
        <v>0</v>
      </c>
      <c r="L163" s="415">
        <v>0</v>
      </c>
      <c r="M163" s="415">
        <v>0</v>
      </c>
      <c r="N163" s="415">
        <v>0</v>
      </c>
      <c r="O163" s="415">
        <v>0</v>
      </c>
      <c r="P163" s="68">
        <v>0</v>
      </c>
      <c r="Q163" s="68">
        <v>0</v>
      </c>
      <c r="R163" s="415">
        <v>0</v>
      </c>
      <c r="S163" s="416">
        <v>0</v>
      </c>
      <c r="T163" s="417">
        <v>0</v>
      </c>
      <c r="U163" s="423">
        <v>0</v>
      </c>
      <c r="V163" s="424">
        <f t="shared" si="421"/>
        <v>0</v>
      </c>
      <c r="W163" s="418">
        <f t="shared" si="421"/>
        <v>0</v>
      </c>
      <c r="X163" s="418">
        <v>0</v>
      </c>
      <c r="Y163" s="418">
        <v>0</v>
      </c>
      <c r="Z163" s="418">
        <v>0</v>
      </c>
      <c r="AA163" s="418">
        <v>0</v>
      </c>
      <c r="AB163" s="418">
        <v>0</v>
      </c>
      <c r="AC163" s="418">
        <v>0</v>
      </c>
      <c r="AD163" s="418">
        <f>V163+X163+Y163+Z163+AB163</f>
        <v>0</v>
      </c>
      <c r="AE163" s="418">
        <f>W163+AA163+AC163</f>
        <v>0</v>
      </c>
      <c r="AF163" s="794">
        <f>SUM(AD163:AE163)</f>
        <v>0</v>
      </c>
      <c r="AG163" s="780">
        <v>0</v>
      </c>
      <c r="AH163" s="418">
        <v>0</v>
      </c>
      <c r="AI163" s="418">
        <v>0</v>
      </c>
      <c r="AJ163" s="418">
        <v>0</v>
      </c>
      <c r="AK163" s="418">
        <v>0</v>
      </c>
      <c r="AL163" s="418">
        <f>AG163+AI163+AJ163</f>
        <v>0</v>
      </c>
      <c r="AM163" s="418">
        <f>AH163+AK163</f>
        <v>0</v>
      </c>
      <c r="AN163" s="418">
        <f>SUM(AL163:AM163)</f>
        <v>0</v>
      </c>
      <c r="AO163" s="418">
        <f t="shared" si="422"/>
        <v>0</v>
      </c>
      <c r="AP163" s="418">
        <f t="shared" si="422"/>
        <v>0</v>
      </c>
      <c r="AQ163" s="418">
        <f>SUM(AO163:AP163)</f>
        <v>0</v>
      </c>
      <c r="AR163" s="68">
        <f>ROUND((AF163+AG163+AH163+AI163)*33.8%,0)</f>
        <v>0</v>
      </c>
      <c r="AS163" s="68">
        <f>ROUND(AF163*1%,0)</f>
        <v>0</v>
      </c>
      <c r="AT163" s="418">
        <v>0</v>
      </c>
      <c r="AU163" s="418">
        <v>0</v>
      </c>
      <c r="AV163" s="418">
        <f>AT163+AU163</f>
        <v>0</v>
      </c>
      <c r="AW163" s="418">
        <f>AQ163+AR163+AS163+AV163</f>
        <v>0</v>
      </c>
      <c r="AX163" s="419">
        <v>0</v>
      </c>
      <c r="AY163" s="419">
        <v>0</v>
      </c>
      <c r="AZ163" s="419">
        <v>0</v>
      </c>
      <c r="BA163" s="419">
        <v>0</v>
      </c>
      <c r="BB163" s="419">
        <v>0</v>
      </c>
      <c r="BC163" s="419">
        <v>0</v>
      </c>
      <c r="BD163" s="419">
        <v>0</v>
      </c>
      <c r="BE163" s="419">
        <v>0</v>
      </c>
      <c r="BF163" s="419">
        <f>AX163+AZ163+BA163+BC163+BD163</f>
        <v>0</v>
      </c>
      <c r="BG163" s="419">
        <f>AY163+BB163+BE163</f>
        <v>0</v>
      </c>
      <c r="BH163" s="894">
        <f>SUM(BF163:BG163)</f>
        <v>0</v>
      </c>
      <c r="BI163" s="424">
        <f>I163+AW163</f>
        <v>0</v>
      </c>
      <c r="BJ163" s="418">
        <f>J163+AF163</f>
        <v>0</v>
      </c>
      <c r="BK163" s="418">
        <f t="shared" si="423"/>
        <v>0</v>
      </c>
      <c r="BL163" s="418">
        <f t="shared" si="423"/>
        <v>0</v>
      </c>
      <c r="BM163" s="418">
        <f>M163+AN163</f>
        <v>0</v>
      </c>
      <c r="BN163" s="418">
        <f t="shared" si="424"/>
        <v>0</v>
      </c>
      <c r="BO163" s="418">
        <f t="shared" si="424"/>
        <v>0</v>
      </c>
      <c r="BP163" s="418">
        <f t="shared" si="425"/>
        <v>0</v>
      </c>
      <c r="BQ163" s="418">
        <f t="shared" si="425"/>
        <v>0</v>
      </c>
      <c r="BR163" s="418">
        <f>R163+AV163</f>
        <v>0</v>
      </c>
      <c r="BS163" s="419">
        <f>S163+BH163</f>
        <v>0</v>
      </c>
      <c r="BT163" s="419">
        <f t="shared" si="426"/>
        <v>0</v>
      </c>
      <c r="BU163" s="421">
        <f t="shared" si="426"/>
        <v>0</v>
      </c>
      <c r="BV163" s="888"/>
      <c r="BW163" s="723"/>
      <c r="BX163" s="723"/>
      <c r="BY163" s="723"/>
      <c r="BZ163" s="723"/>
      <c r="CA163" s="855"/>
    </row>
    <row r="164" spans="1:79" ht="12.95" customHeight="1" x14ac:dyDescent="0.25">
      <c r="A164" s="280">
        <v>30</v>
      </c>
      <c r="B164" s="321">
        <v>5473</v>
      </c>
      <c r="C164" s="322">
        <v>600098583</v>
      </c>
      <c r="D164" s="281">
        <v>75016320</v>
      </c>
      <c r="E164" s="323" t="s">
        <v>409</v>
      </c>
      <c r="F164" s="281">
        <v>3141</v>
      </c>
      <c r="G164" s="323" t="s">
        <v>294</v>
      </c>
      <c r="H164" s="284" t="s">
        <v>272</v>
      </c>
      <c r="I164" s="420">
        <v>255519</v>
      </c>
      <c r="J164" s="415">
        <v>188983</v>
      </c>
      <c r="K164" s="415">
        <v>0</v>
      </c>
      <c r="L164" s="415">
        <v>188983</v>
      </c>
      <c r="M164" s="415">
        <v>0</v>
      </c>
      <c r="N164" s="415">
        <v>0</v>
      </c>
      <c r="O164" s="415">
        <v>0</v>
      </c>
      <c r="P164" s="68">
        <v>63876</v>
      </c>
      <c r="Q164" s="68">
        <v>1890</v>
      </c>
      <c r="R164" s="415">
        <v>770</v>
      </c>
      <c r="S164" s="416">
        <v>0.56669999999999998</v>
      </c>
      <c r="T164" s="417">
        <v>0</v>
      </c>
      <c r="U164" s="423">
        <v>0.56669999999999998</v>
      </c>
      <c r="V164" s="424">
        <f t="shared" si="421"/>
        <v>0</v>
      </c>
      <c r="W164" s="418">
        <f t="shared" si="421"/>
        <v>0</v>
      </c>
      <c r="X164" s="418">
        <v>0</v>
      </c>
      <c r="Y164" s="418">
        <v>0</v>
      </c>
      <c r="Z164" s="418">
        <v>0</v>
      </c>
      <c r="AA164" s="418">
        <v>94162</v>
      </c>
      <c r="AB164" s="418">
        <v>0</v>
      </c>
      <c r="AC164" s="418">
        <v>0</v>
      </c>
      <c r="AD164" s="418">
        <f>V164+X164+Y164+Z164+AB164</f>
        <v>0</v>
      </c>
      <c r="AE164" s="418">
        <f>W164+AA164+AC164</f>
        <v>94162</v>
      </c>
      <c r="AF164" s="794">
        <f>SUM(AD164:AE164)</f>
        <v>94162</v>
      </c>
      <c r="AG164" s="780">
        <v>0</v>
      </c>
      <c r="AH164" s="418">
        <v>0</v>
      </c>
      <c r="AI164" s="418">
        <v>0</v>
      </c>
      <c r="AJ164" s="418">
        <v>0</v>
      </c>
      <c r="AK164" s="418">
        <v>0</v>
      </c>
      <c r="AL164" s="418">
        <f>AG164+AI164+AJ164</f>
        <v>0</v>
      </c>
      <c r="AM164" s="418">
        <f>AH164+AK164</f>
        <v>0</v>
      </c>
      <c r="AN164" s="418">
        <f>SUM(AL164:AM164)</f>
        <v>0</v>
      </c>
      <c r="AO164" s="418">
        <f t="shared" si="422"/>
        <v>0</v>
      </c>
      <c r="AP164" s="418">
        <f t="shared" si="422"/>
        <v>94162</v>
      </c>
      <c r="AQ164" s="418">
        <f>SUM(AO164:AP164)</f>
        <v>94162</v>
      </c>
      <c r="AR164" s="68">
        <f>ROUND((AF164+AG164+AH164+AI164)*33.8%,0)</f>
        <v>31827</v>
      </c>
      <c r="AS164" s="68">
        <f>ROUND(AF164*1%,0)</f>
        <v>942</v>
      </c>
      <c r="AT164" s="418">
        <v>0</v>
      </c>
      <c r="AU164" s="418">
        <v>374</v>
      </c>
      <c r="AV164" s="418">
        <f>AT164+AU164</f>
        <v>374</v>
      </c>
      <c r="AW164" s="418">
        <f>AQ164+AR164+AS164+AV164</f>
        <v>127305</v>
      </c>
      <c r="AX164" s="419">
        <v>0</v>
      </c>
      <c r="AY164" s="419">
        <v>0</v>
      </c>
      <c r="AZ164" s="419">
        <v>0</v>
      </c>
      <c r="BA164" s="419">
        <v>0</v>
      </c>
      <c r="BB164" s="419">
        <v>0.28000000000000003</v>
      </c>
      <c r="BC164" s="419">
        <v>0</v>
      </c>
      <c r="BD164" s="419">
        <v>0</v>
      </c>
      <c r="BE164" s="419">
        <v>0</v>
      </c>
      <c r="BF164" s="419">
        <f>AX164+AZ164+BA164+BC164+BD164</f>
        <v>0</v>
      </c>
      <c r="BG164" s="419">
        <f>AY164+BB164+BE164</f>
        <v>0.28000000000000003</v>
      </c>
      <c r="BH164" s="894">
        <f>SUM(BF164:BG164)</f>
        <v>0.28000000000000003</v>
      </c>
      <c r="BI164" s="424">
        <f>I164+AW164</f>
        <v>382824</v>
      </c>
      <c r="BJ164" s="418">
        <f>J164+AF164</f>
        <v>283145</v>
      </c>
      <c r="BK164" s="418">
        <f t="shared" si="423"/>
        <v>0</v>
      </c>
      <c r="BL164" s="418">
        <f t="shared" si="423"/>
        <v>283145</v>
      </c>
      <c r="BM164" s="418">
        <f>M164+AN164</f>
        <v>0</v>
      </c>
      <c r="BN164" s="418">
        <f t="shared" si="424"/>
        <v>0</v>
      </c>
      <c r="BO164" s="418">
        <f t="shared" si="424"/>
        <v>0</v>
      </c>
      <c r="BP164" s="418">
        <f t="shared" si="425"/>
        <v>95703</v>
      </c>
      <c r="BQ164" s="418">
        <f t="shared" si="425"/>
        <v>2832</v>
      </c>
      <c r="BR164" s="418">
        <f>R164+AV164</f>
        <v>1144</v>
      </c>
      <c r="BS164" s="419">
        <f>S164+BH164</f>
        <v>0.84670000000000001</v>
      </c>
      <c r="BT164" s="419">
        <f t="shared" si="426"/>
        <v>0</v>
      </c>
      <c r="BU164" s="421">
        <f t="shared" si="426"/>
        <v>0.84670000000000001</v>
      </c>
      <c r="BV164" s="888"/>
      <c r="BW164" s="723"/>
      <c r="BX164" s="723"/>
      <c r="BY164" s="723"/>
      <c r="BZ164" s="723"/>
      <c r="CA164" s="855"/>
    </row>
    <row r="165" spans="1:79" ht="12.95" customHeight="1" thickBot="1" x14ac:dyDescent="0.3">
      <c r="A165" s="335">
        <v>30</v>
      </c>
      <c r="B165" s="336">
        <v>5473</v>
      </c>
      <c r="C165" s="337">
        <v>600098583</v>
      </c>
      <c r="D165" s="336">
        <v>75016320</v>
      </c>
      <c r="E165" s="338" t="s">
        <v>410</v>
      </c>
      <c r="F165" s="295"/>
      <c r="G165" s="339"/>
      <c r="H165" s="296"/>
      <c r="I165" s="500">
        <v>2290082</v>
      </c>
      <c r="J165" s="501">
        <v>1693945</v>
      </c>
      <c r="K165" s="501">
        <v>1387421</v>
      </c>
      <c r="L165" s="501">
        <v>306524</v>
      </c>
      <c r="M165" s="501">
        <v>0</v>
      </c>
      <c r="N165" s="501">
        <v>0</v>
      </c>
      <c r="O165" s="501">
        <v>0</v>
      </c>
      <c r="P165" s="501">
        <v>572553</v>
      </c>
      <c r="Q165" s="501">
        <v>16940</v>
      </c>
      <c r="R165" s="501">
        <v>6644</v>
      </c>
      <c r="S165" s="502">
        <v>3.3371</v>
      </c>
      <c r="T165" s="502">
        <v>2.3704000000000001</v>
      </c>
      <c r="U165" s="578">
        <v>0.9667</v>
      </c>
      <c r="V165" s="500">
        <f t="shared" ref="V165:CA165" si="427">SUM(V162:V164)</f>
        <v>0</v>
      </c>
      <c r="W165" s="501">
        <f t="shared" si="427"/>
        <v>0</v>
      </c>
      <c r="X165" s="501">
        <f t="shared" si="427"/>
        <v>0</v>
      </c>
      <c r="Y165" s="501">
        <f t="shared" si="427"/>
        <v>0</v>
      </c>
      <c r="Z165" s="501">
        <f t="shared" si="427"/>
        <v>0</v>
      </c>
      <c r="AA165" s="501">
        <f t="shared" si="427"/>
        <v>94162</v>
      </c>
      <c r="AB165" s="501">
        <f t="shared" si="427"/>
        <v>0</v>
      </c>
      <c r="AC165" s="501">
        <f t="shared" si="427"/>
        <v>0</v>
      </c>
      <c r="AD165" s="501">
        <f t="shared" si="427"/>
        <v>0</v>
      </c>
      <c r="AE165" s="501">
        <f t="shared" si="427"/>
        <v>94162</v>
      </c>
      <c r="AF165" s="798">
        <f t="shared" si="427"/>
        <v>94162</v>
      </c>
      <c r="AG165" s="788">
        <f t="shared" si="427"/>
        <v>0</v>
      </c>
      <c r="AH165" s="501">
        <f t="shared" si="427"/>
        <v>0</v>
      </c>
      <c r="AI165" s="501">
        <f t="shared" si="427"/>
        <v>0</v>
      </c>
      <c r="AJ165" s="501">
        <f t="shared" si="427"/>
        <v>0</v>
      </c>
      <c r="AK165" s="501">
        <f t="shared" si="427"/>
        <v>0</v>
      </c>
      <c r="AL165" s="501">
        <f t="shared" si="427"/>
        <v>0</v>
      </c>
      <c r="AM165" s="501">
        <f t="shared" si="427"/>
        <v>0</v>
      </c>
      <c r="AN165" s="501">
        <f t="shared" si="427"/>
        <v>0</v>
      </c>
      <c r="AO165" s="501">
        <f t="shared" si="427"/>
        <v>0</v>
      </c>
      <c r="AP165" s="501">
        <f t="shared" si="427"/>
        <v>94162</v>
      </c>
      <c r="AQ165" s="501">
        <f t="shared" si="427"/>
        <v>94162</v>
      </c>
      <c r="AR165" s="501">
        <f t="shared" si="427"/>
        <v>31827</v>
      </c>
      <c r="AS165" s="501">
        <f t="shared" si="427"/>
        <v>942</v>
      </c>
      <c r="AT165" s="501">
        <f t="shared" si="427"/>
        <v>0</v>
      </c>
      <c r="AU165" s="501">
        <f t="shared" si="427"/>
        <v>374</v>
      </c>
      <c r="AV165" s="501">
        <f t="shared" si="427"/>
        <v>374</v>
      </c>
      <c r="AW165" s="501">
        <f t="shared" si="427"/>
        <v>127305</v>
      </c>
      <c r="AX165" s="502">
        <f t="shared" si="427"/>
        <v>0</v>
      </c>
      <c r="AY165" s="502">
        <f t="shared" si="427"/>
        <v>0</v>
      </c>
      <c r="AZ165" s="502">
        <f t="shared" si="427"/>
        <v>0</v>
      </c>
      <c r="BA165" s="502">
        <f t="shared" si="427"/>
        <v>0</v>
      </c>
      <c r="BB165" s="502">
        <f t="shared" ref="BB165" si="428">SUM(BB162:BB164)</f>
        <v>0.28000000000000003</v>
      </c>
      <c r="BC165" s="502">
        <f t="shared" si="427"/>
        <v>0</v>
      </c>
      <c r="BD165" s="502">
        <f t="shared" si="427"/>
        <v>0</v>
      </c>
      <c r="BE165" s="502">
        <f t="shared" ref="BE165" si="429">SUM(BE162:BE164)</f>
        <v>0</v>
      </c>
      <c r="BF165" s="502">
        <f t="shared" si="427"/>
        <v>0</v>
      </c>
      <c r="BG165" s="502">
        <f t="shared" si="427"/>
        <v>0.28000000000000003</v>
      </c>
      <c r="BH165" s="578">
        <f t="shared" si="427"/>
        <v>0.28000000000000003</v>
      </c>
      <c r="BI165" s="500">
        <f t="shared" si="427"/>
        <v>2417387</v>
      </c>
      <c r="BJ165" s="501">
        <f t="shared" si="427"/>
        <v>1788107</v>
      </c>
      <c r="BK165" s="501">
        <f t="shared" si="427"/>
        <v>1387421</v>
      </c>
      <c r="BL165" s="501">
        <f t="shared" si="427"/>
        <v>400686</v>
      </c>
      <c r="BM165" s="501">
        <f t="shared" si="427"/>
        <v>0</v>
      </c>
      <c r="BN165" s="501">
        <f t="shared" si="427"/>
        <v>0</v>
      </c>
      <c r="BO165" s="501">
        <f t="shared" si="427"/>
        <v>0</v>
      </c>
      <c r="BP165" s="501">
        <f t="shared" si="427"/>
        <v>604380</v>
      </c>
      <c r="BQ165" s="501">
        <f t="shared" si="427"/>
        <v>17882</v>
      </c>
      <c r="BR165" s="501">
        <f t="shared" si="427"/>
        <v>7018</v>
      </c>
      <c r="BS165" s="502">
        <f t="shared" si="427"/>
        <v>3.6170999999999998</v>
      </c>
      <c r="BT165" s="502">
        <f t="shared" si="427"/>
        <v>2.3704000000000001</v>
      </c>
      <c r="BU165" s="512">
        <f t="shared" si="427"/>
        <v>1.2467000000000001</v>
      </c>
      <c r="BV165" s="892">
        <f t="shared" si="427"/>
        <v>0</v>
      </c>
      <c r="BW165" s="736">
        <f t="shared" si="427"/>
        <v>0</v>
      </c>
      <c r="BX165" s="736">
        <f t="shared" si="427"/>
        <v>0</v>
      </c>
      <c r="BY165" s="736">
        <f t="shared" si="427"/>
        <v>0</v>
      </c>
      <c r="BZ165" s="736">
        <f t="shared" si="427"/>
        <v>0</v>
      </c>
      <c r="CA165" s="863">
        <f t="shared" si="427"/>
        <v>0</v>
      </c>
    </row>
    <row r="166" spans="1:79" ht="12.95" customHeight="1" thickBot="1" x14ac:dyDescent="0.3">
      <c r="A166" s="340"/>
      <c r="B166" s="303"/>
      <c r="C166" s="341"/>
      <c r="D166" s="303"/>
      <c r="E166" s="305" t="s">
        <v>757</v>
      </c>
      <c r="F166" s="303"/>
      <c r="G166" s="303"/>
      <c r="H166" s="306"/>
      <c r="I166" s="577">
        <f t="shared" ref="I166:BT166" si="430">I165+I161+I155+I151+I144+I137+I130+I127+I124+I118+I114+I110+I108+I102+I98+I92+I88+I81+I74+I67+I60+I53+I51+I44+I38+I32+I25+I23+I19+I15</f>
        <v>367297982</v>
      </c>
      <c r="J166" s="751">
        <f t="shared" si="430"/>
        <v>268098545</v>
      </c>
      <c r="K166" s="751">
        <f t="shared" si="430"/>
        <v>236843119</v>
      </c>
      <c r="L166" s="751">
        <f t="shared" si="430"/>
        <v>31255426</v>
      </c>
      <c r="M166" s="751">
        <f t="shared" si="430"/>
        <v>2340388</v>
      </c>
      <c r="N166" s="751">
        <f t="shared" si="430"/>
        <v>1876108</v>
      </c>
      <c r="O166" s="751">
        <f t="shared" si="430"/>
        <v>464280</v>
      </c>
      <c r="P166" s="751">
        <f t="shared" si="430"/>
        <v>91313777</v>
      </c>
      <c r="Q166" s="751">
        <f t="shared" si="430"/>
        <v>2680985</v>
      </c>
      <c r="R166" s="751">
        <f t="shared" si="430"/>
        <v>2864287</v>
      </c>
      <c r="S166" s="752">
        <f t="shared" si="430"/>
        <v>487.39279999999997</v>
      </c>
      <c r="T166" s="752">
        <f t="shared" si="430"/>
        <v>392.36930000000001</v>
      </c>
      <c r="U166" s="848">
        <f t="shared" si="430"/>
        <v>95.023499999999999</v>
      </c>
      <c r="V166" s="577">
        <f t="shared" si="430"/>
        <v>0</v>
      </c>
      <c r="W166" s="557">
        <f t="shared" si="430"/>
        <v>0</v>
      </c>
      <c r="X166" s="557">
        <f t="shared" si="430"/>
        <v>-92701</v>
      </c>
      <c r="Y166" s="557">
        <f t="shared" si="430"/>
        <v>0</v>
      </c>
      <c r="Z166" s="760">
        <f t="shared" si="430"/>
        <v>0</v>
      </c>
      <c r="AA166" s="557">
        <f t="shared" si="430"/>
        <v>7199900</v>
      </c>
      <c r="AB166" s="557">
        <f t="shared" si="430"/>
        <v>0</v>
      </c>
      <c r="AC166" s="557">
        <f t="shared" si="430"/>
        <v>0</v>
      </c>
      <c r="AD166" s="557">
        <f t="shared" si="430"/>
        <v>-92701</v>
      </c>
      <c r="AE166" s="557">
        <f t="shared" si="430"/>
        <v>7199900</v>
      </c>
      <c r="AF166" s="849">
        <f t="shared" si="430"/>
        <v>7107199</v>
      </c>
      <c r="AG166" s="557">
        <f t="shared" si="430"/>
        <v>0</v>
      </c>
      <c r="AH166" s="557">
        <f t="shared" si="430"/>
        <v>0</v>
      </c>
      <c r="AI166" s="557">
        <f t="shared" si="430"/>
        <v>0</v>
      </c>
      <c r="AJ166" s="557">
        <f t="shared" si="430"/>
        <v>0</v>
      </c>
      <c r="AK166" s="557">
        <f t="shared" si="430"/>
        <v>0</v>
      </c>
      <c r="AL166" s="557">
        <f t="shared" si="430"/>
        <v>0</v>
      </c>
      <c r="AM166" s="557">
        <f t="shared" si="430"/>
        <v>0</v>
      </c>
      <c r="AN166" s="557">
        <f t="shared" si="430"/>
        <v>0</v>
      </c>
      <c r="AO166" s="557">
        <f t="shared" si="430"/>
        <v>-92701</v>
      </c>
      <c r="AP166" s="557">
        <f t="shared" si="430"/>
        <v>7199900</v>
      </c>
      <c r="AQ166" s="557">
        <f t="shared" si="430"/>
        <v>7107199</v>
      </c>
      <c r="AR166" s="557">
        <f t="shared" si="430"/>
        <v>2402233</v>
      </c>
      <c r="AS166" s="557">
        <f t="shared" si="430"/>
        <v>71073</v>
      </c>
      <c r="AT166" s="557">
        <f t="shared" si="430"/>
        <v>1400</v>
      </c>
      <c r="AU166" s="557">
        <f t="shared" si="430"/>
        <v>58296</v>
      </c>
      <c r="AV166" s="557">
        <f t="shared" si="430"/>
        <v>59696</v>
      </c>
      <c r="AW166" s="557">
        <f t="shared" si="430"/>
        <v>9640201</v>
      </c>
      <c r="AX166" s="569">
        <f t="shared" si="430"/>
        <v>0</v>
      </c>
      <c r="AY166" s="569">
        <f t="shared" si="430"/>
        <v>0</v>
      </c>
      <c r="AZ166" s="569">
        <f t="shared" si="430"/>
        <v>-0.25</v>
      </c>
      <c r="BA166" s="569">
        <f t="shared" si="430"/>
        <v>0</v>
      </c>
      <c r="BB166" s="569">
        <f t="shared" si="430"/>
        <v>21.780000000000005</v>
      </c>
      <c r="BC166" s="569">
        <f t="shared" si="430"/>
        <v>0</v>
      </c>
      <c r="BD166" s="569">
        <f t="shared" si="430"/>
        <v>0</v>
      </c>
      <c r="BE166" s="569">
        <f t="shared" ref="BE166" si="431">BE165+BE161+BE155+BE151+BE144+BE137+BE130+BE127+BE124+BE118+BE114+BE110+BE108+BE102+BE98+BE92+BE88+BE81+BE74+BE67+BE60+BE53+BE51+BE44+BE38+BE32+BE25+BE23+BE19+BE15</f>
        <v>0</v>
      </c>
      <c r="BF166" s="569">
        <f t="shared" si="430"/>
        <v>-0.25</v>
      </c>
      <c r="BG166" s="569">
        <f t="shared" si="430"/>
        <v>21.780000000000005</v>
      </c>
      <c r="BH166" s="579">
        <f t="shared" si="430"/>
        <v>21.530000000000005</v>
      </c>
      <c r="BI166" s="577">
        <f t="shared" si="430"/>
        <v>376938183</v>
      </c>
      <c r="BJ166" s="557">
        <f t="shared" si="430"/>
        <v>275205744</v>
      </c>
      <c r="BK166" s="557">
        <f t="shared" si="430"/>
        <v>236750418</v>
      </c>
      <c r="BL166" s="557">
        <f t="shared" si="430"/>
        <v>38455326</v>
      </c>
      <c r="BM166" s="557">
        <f t="shared" si="430"/>
        <v>2340388</v>
      </c>
      <c r="BN166" s="557">
        <f t="shared" si="430"/>
        <v>1876108</v>
      </c>
      <c r="BO166" s="557">
        <f t="shared" si="430"/>
        <v>464280</v>
      </c>
      <c r="BP166" s="557">
        <f t="shared" si="430"/>
        <v>93716010</v>
      </c>
      <c r="BQ166" s="557">
        <f t="shared" si="430"/>
        <v>2752058</v>
      </c>
      <c r="BR166" s="557">
        <f t="shared" si="430"/>
        <v>2923983</v>
      </c>
      <c r="BS166" s="569">
        <f t="shared" si="430"/>
        <v>508.9228</v>
      </c>
      <c r="BT166" s="569">
        <f t="shared" si="430"/>
        <v>392.11930000000001</v>
      </c>
      <c r="BU166" s="579">
        <f t="shared" ref="BU166:CA166" si="432">BU165+BU161+BU155+BU151+BU144+BU137+BU130+BU127+BU124+BU118+BU114+BU110+BU108+BU102+BU98+BU92+BU88+BU81+BU74+BU67+BU60+BU53+BU51+BU44+BU38+BU32+BU25+BU23+BU19+BU15</f>
        <v>116.80350000000001</v>
      </c>
      <c r="BV166" s="725">
        <f t="shared" si="432"/>
        <v>1974452</v>
      </c>
      <c r="BW166" s="726">
        <f t="shared" si="432"/>
        <v>1240800</v>
      </c>
      <c r="BX166" s="726">
        <f t="shared" si="432"/>
        <v>225600</v>
      </c>
      <c r="BY166" s="726">
        <f t="shared" si="432"/>
        <v>495644</v>
      </c>
      <c r="BZ166" s="726">
        <f t="shared" si="432"/>
        <v>12408</v>
      </c>
      <c r="CA166" s="858">
        <f t="shared" si="432"/>
        <v>2.2000000000000002</v>
      </c>
    </row>
    <row r="167" spans="1:79" ht="12.95" customHeight="1" x14ac:dyDescent="0.25">
      <c r="B167" s="309"/>
      <c r="D167" s="309"/>
      <c r="E167" s="310"/>
      <c r="F167" s="309"/>
      <c r="I167" s="428">
        <f>J166+M166+P166+Q166+R166</f>
        <v>367297982</v>
      </c>
      <c r="J167" s="428">
        <f>SUM(K166:L166)</f>
        <v>268098545</v>
      </c>
      <c r="K167" s="428"/>
      <c r="L167" s="428"/>
      <c r="M167" s="428">
        <f>SUM(N166:O166)</f>
        <v>2340388</v>
      </c>
      <c r="N167" s="428"/>
      <c r="O167" s="428"/>
      <c r="P167" s="428"/>
      <c r="Q167" s="428"/>
      <c r="R167" s="428"/>
      <c r="S167" s="429">
        <f>SUM(T166:U166)</f>
        <v>487.39280000000002</v>
      </c>
      <c r="T167" s="429"/>
      <c r="U167" s="429"/>
      <c r="V167" s="428">
        <f>AG166</f>
        <v>0</v>
      </c>
      <c r="W167" s="428">
        <f>AH166</f>
        <v>0</v>
      </c>
      <c r="X167" s="429"/>
      <c r="Y167" s="429"/>
      <c r="Z167" s="429"/>
      <c r="AA167" s="429"/>
      <c r="AB167" s="429"/>
      <c r="AC167" s="429"/>
      <c r="AD167" s="430"/>
      <c r="AE167" s="430"/>
      <c r="AF167" s="430">
        <f>SUM(AD166:AE166)</f>
        <v>7107199</v>
      </c>
      <c r="AG167" s="430">
        <f>V166</f>
        <v>0</v>
      </c>
      <c r="AH167" s="430">
        <f>W166</f>
        <v>0</v>
      </c>
      <c r="AI167" s="431"/>
      <c r="AJ167" s="431"/>
      <c r="AK167" s="431"/>
      <c r="AL167" s="430"/>
      <c r="AM167" s="430"/>
      <c r="AN167" s="430">
        <f>SUM(AL166:AM166)</f>
        <v>0</v>
      </c>
      <c r="AO167" s="430"/>
      <c r="AP167" s="430"/>
      <c r="AQ167" s="430">
        <f>SUM(AO166:AP166)</f>
        <v>7107199</v>
      </c>
      <c r="AR167" s="432"/>
      <c r="AS167" s="432"/>
      <c r="AT167" s="431"/>
      <c r="AU167" s="431"/>
      <c r="AV167" s="430">
        <f>SUM(AT166:AU166)</f>
        <v>59696</v>
      </c>
      <c r="AW167" s="430">
        <f>AF166+AN166+AR166+AS166+AV166</f>
        <v>9640201</v>
      </c>
      <c r="AX167" s="433"/>
      <c r="AY167" s="433"/>
      <c r="AZ167" s="433"/>
      <c r="BA167" s="433"/>
      <c r="BB167" s="433"/>
      <c r="BC167" s="433"/>
      <c r="BD167" s="433"/>
      <c r="BE167" s="433"/>
      <c r="BF167" s="508">
        <f>AX166+AZ166+BA166+BC166+BD166</f>
        <v>-0.25</v>
      </c>
      <c r="BG167" s="508">
        <f>AY166+BB166+BE166</f>
        <v>21.780000000000005</v>
      </c>
      <c r="BH167" s="508">
        <f>SUM(BF166:BG166)</f>
        <v>21.530000000000005</v>
      </c>
      <c r="BI167" s="428">
        <f>BJ166+BM166+BP166+BQ166+BR166</f>
        <v>376938183</v>
      </c>
      <c r="BJ167" s="428">
        <f>SUM(BK166:BL166)</f>
        <v>275205744</v>
      </c>
      <c r="BK167" s="430">
        <f>K166+AD166</f>
        <v>236750418</v>
      </c>
      <c r="BL167" s="430">
        <f>L166+AE166</f>
        <v>38455326</v>
      </c>
      <c r="BM167" s="86">
        <f>SUM(BN166:BO166)</f>
        <v>2340388</v>
      </c>
      <c r="BN167" s="430">
        <f>N166+AL166</f>
        <v>1876108</v>
      </c>
      <c r="BO167" s="430">
        <f>O166+AM166</f>
        <v>464280</v>
      </c>
      <c r="BP167" s="430">
        <f>P166+AR166</f>
        <v>93716010</v>
      </c>
      <c r="BQ167" s="430">
        <f>Q166+AS166</f>
        <v>2752058</v>
      </c>
      <c r="BR167" s="430">
        <f>R166+AV166</f>
        <v>2923983</v>
      </c>
      <c r="BS167" s="429">
        <f>SUM(BT166:BU166)</f>
        <v>508.92280000000005</v>
      </c>
      <c r="BT167" s="508">
        <f>T166+BF166</f>
        <v>392.11930000000001</v>
      </c>
      <c r="BU167" s="508">
        <f>U166+BG166</f>
        <v>116.8035</v>
      </c>
      <c r="BV167" s="235">
        <f>SUM(BW166:BZ166)</f>
        <v>1974452</v>
      </c>
      <c r="BW167" s="8"/>
      <c r="BX167" s="8"/>
      <c r="BY167" s="8"/>
      <c r="BZ167" s="8"/>
      <c r="CA167" s="7"/>
    </row>
    <row r="168" spans="1:79" ht="12.95" customHeight="1" thickBot="1" x14ac:dyDescent="0.3">
      <c r="B168" s="309"/>
      <c r="D168" s="309"/>
      <c r="F168" s="309"/>
      <c r="I168" s="428">
        <f>J169+M169+P169+Q169+R169</f>
        <v>367297982</v>
      </c>
      <c r="J168" s="428">
        <f>SUM(K169:L169)</f>
        <v>268098545</v>
      </c>
      <c r="K168" s="428"/>
      <c r="L168" s="428"/>
      <c r="M168" s="428">
        <f>SUM(N169:O169)</f>
        <v>2340388</v>
      </c>
      <c r="N168" s="428"/>
      <c r="O168" s="428"/>
      <c r="P168" s="428"/>
      <c r="Q168" s="428"/>
      <c r="R168" s="428"/>
      <c r="S168" s="429">
        <f>SUM(T169:U169)</f>
        <v>487.39280000000008</v>
      </c>
      <c r="T168" s="429"/>
      <c r="U168" s="429"/>
      <c r="V168" s="428">
        <f>AG169</f>
        <v>0</v>
      </c>
      <c r="W168" s="428">
        <f>AH169</f>
        <v>0</v>
      </c>
      <c r="X168" s="429"/>
      <c r="Y168" s="429"/>
      <c r="Z168" s="429"/>
      <c r="AA168" s="429"/>
      <c r="AB168" s="429"/>
      <c r="AC168" s="429"/>
      <c r="AD168" s="430"/>
      <c r="AE168" s="430"/>
      <c r="AF168" s="430">
        <f>SUM(AD169:AE169)</f>
        <v>7107199</v>
      </c>
      <c r="AG168" s="430"/>
      <c r="AH168" s="430"/>
      <c r="AI168" s="431"/>
      <c r="AJ168" s="431"/>
      <c r="AK168" s="431"/>
      <c r="AL168" s="430"/>
      <c r="AM168" s="430"/>
      <c r="AN168" s="430">
        <f>SUM(AL169:AM169)</f>
        <v>0</v>
      </c>
      <c r="AO168" s="430"/>
      <c r="AP168" s="430"/>
      <c r="AQ168" s="430">
        <f>SUM(AO169:AP169)</f>
        <v>7107199</v>
      </c>
      <c r="AR168" s="432"/>
      <c r="AS168" s="432"/>
      <c r="AT168" s="431"/>
      <c r="AU168" s="431"/>
      <c r="AV168" s="430">
        <f>SUM(AT169:AU169)</f>
        <v>59696</v>
      </c>
      <c r="AW168" s="430">
        <f>AF169+AN169+AR169+AS169+AV169</f>
        <v>9640201</v>
      </c>
      <c r="AX168" s="433"/>
      <c r="AY168" s="433"/>
      <c r="AZ168" s="433"/>
      <c r="BA168" s="433"/>
      <c r="BB168" s="433"/>
      <c r="BC168" s="433"/>
      <c r="BD168" s="433"/>
      <c r="BE168" s="433"/>
      <c r="BF168" s="508">
        <f>AX169+AZ169+BA169+BC169+BD169</f>
        <v>-0.25</v>
      </c>
      <c r="BG168" s="508">
        <f>AY169+BB169+BE169</f>
        <v>21.779999999999994</v>
      </c>
      <c r="BH168" s="508">
        <f>SUM(BF169:BG169)</f>
        <v>21.529999999999994</v>
      </c>
      <c r="BI168" s="428">
        <f>BJ169+BM169+BP169+BQ169+BR169</f>
        <v>376938183</v>
      </c>
      <c r="BJ168" s="428">
        <f>SUM(BK169:BL169)</f>
        <v>275205744</v>
      </c>
      <c r="BK168" s="53"/>
      <c r="BL168" s="53"/>
      <c r="BM168" s="86">
        <f>SUM(BN169:BO169)</f>
        <v>2340388</v>
      </c>
      <c r="BN168" s="53"/>
      <c r="BO168" s="53"/>
      <c r="BP168" s="53"/>
      <c r="BQ168" s="53"/>
      <c r="BR168" s="53"/>
      <c r="BS168" s="429">
        <f>SUM(BT169:BU169)</f>
        <v>508.92280000000005</v>
      </c>
      <c r="BT168" s="87"/>
      <c r="BU168" s="87"/>
      <c r="BV168" s="235">
        <f>SUM(BW169:BZ169)</f>
        <v>1974452</v>
      </c>
      <c r="BW168" s="8"/>
      <c r="BX168" s="8"/>
      <c r="BY168" s="8"/>
      <c r="BZ168" s="8"/>
      <c r="CA168" s="7"/>
    </row>
    <row r="169" spans="1:79" s="89" customFormat="1" ht="12.95" customHeight="1" thickBot="1" x14ac:dyDescent="0.3">
      <c r="D169" s="311"/>
      <c r="E169" s="312"/>
      <c r="F169" s="311"/>
      <c r="G169" s="313"/>
      <c r="H169" s="22" t="s">
        <v>0</v>
      </c>
      <c r="I169" s="139">
        <f t="shared" ref="I169:BT169" si="433">SUM(I170:I179)</f>
        <v>367297982</v>
      </c>
      <c r="J169" s="34">
        <f t="shared" si="433"/>
        <v>268098545</v>
      </c>
      <c r="K169" s="34">
        <f t="shared" si="433"/>
        <v>236843119</v>
      </c>
      <c r="L169" s="34">
        <f t="shared" si="433"/>
        <v>31255426</v>
      </c>
      <c r="M169" s="34">
        <f t="shared" si="433"/>
        <v>2340388</v>
      </c>
      <c r="N169" s="34">
        <f t="shared" si="433"/>
        <v>1876108</v>
      </c>
      <c r="O169" s="34">
        <f t="shared" si="433"/>
        <v>464280</v>
      </c>
      <c r="P169" s="34">
        <f t="shared" si="433"/>
        <v>91313777</v>
      </c>
      <c r="Q169" s="34">
        <f t="shared" si="433"/>
        <v>2680985</v>
      </c>
      <c r="R169" s="34">
        <f t="shared" si="433"/>
        <v>2864287</v>
      </c>
      <c r="S169" s="35">
        <f t="shared" si="433"/>
        <v>487.39280000000002</v>
      </c>
      <c r="T169" s="35">
        <f t="shared" si="433"/>
        <v>392.36930000000007</v>
      </c>
      <c r="U169" s="36">
        <f t="shared" si="433"/>
        <v>95.023499999999984</v>
      </c>
      <c r="V169" s="149">
        <f t="shared" si="433"/>
        <v>0</v>
      </c>
      <c r="W169" s="34">
        <f t="shared" si="433"/>
        <v>0</v>
      </c>
      <c r="X169" s="34">
        <f t="shared" si="433"/>
        <v>-92701</v>
      </c>
      <c r="Y169" s="34">
        <f t="shared" si="433"/>
        <v>0</v>
      </c>
      <c r="Z169" s="34">
        <f t="shared" si="433"/>
        <v>0</v>
      </c>
      <c r="AA169" s="34">
        <f t="shared" si="433"/>
        <v>7199900</v>
      </c>
      <c r="AB169" s="34">
        <f t="shared" si="433"/>
        <v>0</v>
      </c>
      <c r="AC169" s="34">
        <f t="shared" si="433"/>
        <v>0</v>
      </c>
      <c r="AD169" s="34">
        <f t="shared" si="433"/>
        <v>-92701</v>
      </c>
      <c r="AE169" s="34">
        <f t="shared" si="433"/>
        <v>7199900</v>
      </c>
      <c r="AF169" s="34">
        <f t="shared" si="433"/>
        <v>7107199</v>
      </c>
      <c r="AG169" s="34">
        <f t="shared" si="433"/>
        <v>0</v>
      </c>
      <c r="AH169" s="34">
        <f t="shared" si="433"/>
        <v>0</v>
      </c>
      <c r="AI169" s="34">
        <f t="shared" si="433"/>
        <v>0</v>
      </c>
      <c r="AJ169" s="34">
        <f t="shared" si="433"/>
        <v>0</v>
      </c>
      <c r="AK169" s="34">
        <f t="shared" si="433"/>
        <v>0</v>
      </c>
      <c r="AL169" s="34">
        <f t="shared" si="433"/>
        <v>0</v>
      </c>
      <c r="AM169" s="34">
        <f t="shared" si="433"/>
        <v>0</v>
      </c>
      <c r="AN169" s="34">
        <f t="shared" si="433"/>
        <v>0</v>
      </c>
      <c r="AO169" s="34">
        <f t="shared" si="433"/>
        <v>-92701</v>
      </c>
      <c r="AP169" s="34">
        <f t="shared" si="433"/>
        <v>7199900</v>
      </c>
      <c r="AQ169" s="34">
        <f t="shared" si="433"/>
        <v>7107199</v>
      </c>
      <c r="AR169" s="34">
        <f t="shared" si="433"/>
        <v>2402233</v>
      </c>
      <c r="AS169" s="34">
        <f t="shared" si="433"/>
        <v>71073</v>
      </c>
      <c r="AT169" s="34">
        <f t="shared" si="433"/>
        <v>1400</v>
      </c>
      <c r="AU169" s="34">
        <f t="shared" si="433"/>
        <v>58296</v>
      </c>
      <c r="AV169" s="34">
        <f t="shared" si="433"/>
        <v>59696</v>
      </c>
      <c r="AW169" s="34">
        <f t="shared" si="433"/>
        <v>9640201</v>
      </c>
      <c r="AX169" s="35">
        <f t="shared" si="433"/>
        <v>0</v>
      </c>
      <c r="AY169" s="35">
        <f t="shared" si="433"/>
        <v>0</v>
      </c>
      <c r="AZ169" s="35">
        <f t="shared" si="433"/>
        <v>-0.25</v>
      </c>
      <c r="BA169" s="35">
        <f t="shared" si="433"/>
        <v>0</v>
      </c>
      <c r="BB169" s="35">
        <f t="shared" si="433"/>
        <v>21.779999999999994</v>
      </c>
      <c r="BC169" s="35">
        <f t="shared" si="433"/>
        <v>0</v>
      </c>
      <c r="BD169" s="35">
        <f t="shared" si="433"/>
        <v>0</v>
      </c>
      <c r="BE169" s="35">
        <f t="shared" si="433"/>
        <v>0</v>
      </c>
      <c r="BF169" s="35">
        <f t="shared" si="433"/>
        <v>-0.25</v>
      </c>
      <c r="BG169" s="35">
        <f t="shared" si="433"/>
        <v>21.779999999999994</v>
      </c>
      <c r="BH169" s="148">
        <f t="shared" si="433"/>
        <v>21.529999999999994</v>
      </c>
      <c r="BI169" s="139">
        <f t="shared" si="433"/>
        <v>376938183</v>
      </c>
      <c r="BJ169" s="34">
        <f t="shared" si="433"/>
        <v>275205744</v>
      </c>
      <c r="BK169" s="34">
        <f t="shared" si="433"/>
        <v>236750418</v>
      </c>
      <c r="BL169" s="34">
        <f t="shared" si="433"/>
        <v>38455326</v>
      </c>
      <c r="BM169" s="34">
        <f t="shared" si="433"/>
        <v>2340388</v>
      </c>
      <c r="BN169" s="34">
        <f t="shared" si="433"/>
        <v>1876108</v>
      </c>
      <c r="BO169" s="34">
        <f t="shared" si="433"/>
        <v>464280</v>
      </c>
      <c r="BP169" s="34">
        <f t="shared" si="433"/>
        <v>93716010</v>
      </c>
      <c r="BQ169" s="34">
        <f t="shared" si="433"/>
        <v>2752058</v>
      </c>
      <c r="BR169" s="34">
        <f t="shared" si="433"/>
        <v>2923983</v>
      </c>
      <c r="BS169" s="35">
        <f t="shared" si="433"/>
        <v>508.9228</v>
      </c>
      <c r="BT169" s="35">
        <f t="shared" si="433"/>
        <v>392.11930000000007</v>
      </c>
      <c r="BU169" s="148">
        <f t="shared" ref="BU169:CA169" si="434">SUM(BU170:BU179)</f>
        <v>116.80349999999999</v>
      </c>
      <c r="BV169" s="676">
        <f t="shared" si="434"/>
        <v>1974452</v>
      </c>
      <c r="BW169" s="672">
        <f t="shared" si="434"/>
        <v>1240800</v>
      </c>
      <c r="BX169" s="672">
        <f t="shared" si="434"/>
        <v>225600</v>
      </c>
      <c r="BY169" s="672">
        <f t="shared" si="434"/>
        <v>495644</v>
      </c>
      <c r="BZ169" s="672">
        <f t="shared" si="434"/>
        <v>12408</v>
      </c>
      <c r="CA169" s="677">
        <f t="shared" si="434"/>
        <v>2.2000000000000002</v>
      </c>
    </row>
    <row r="170" spans="1:79" s="89" customFormat="1" ht="12.95" customHeight="1" x14ac:dyDescent="0.25">
      <c r="D170" s="311"/>
      <c r="E170" s="312"/>
      <c r="F170" s="311"/>
      <c r="G170" s="313"/>
      <c r="H170" s="1">
        <v>3111</v>
      </c>
      <c r="I170" s="489">
        <f t="shared" ref="I170:BV170" si="435">SUMIF($F$12:$F$463,"=3111",I$12:I$463)</f>
        <v>75700926</v>
      </c>
      <c r="J170" s="490">
        <f t="shared" si="435"/>
        <v>55665586</v>
      </c>
      <c r="K170" s="490">
        <f t="shared" si="435"/>
        <v>51494308</v>
      </c>
      <c r="L170" s="490">
        <f t="shared" si="435"/>
        <v>4171278</v>
      </c>
      <c r="M170" s="490">
        <f t="shared" si="435"/>
        <v>344615</v>
      </c>
      <c r="N170" s="490">
        <f t="shared" si="435"/>
        <v>237815</v>
      </c>
      <c r="O170" s="490">
        <f t="shared" si="435"/>
        <v>106800</v>
      </c>
      <c r="P170" s="490">
        <f t="shared" si="435"/>
        <v>18896560</v>
      </c>
      <c r="Q170" s="490">
        <f t="shared" si="435"/>
        <v>556655</v>
      </c>
      <c r="R170" s="490">
        <f t="shared" si="435"/>
        <v>237510</v>
      </c>
      <c r="S170" s="493">
        <f t="shared" si="435"/>
        <v>108.18380000000001</v>
      </c>
      <c r="T170" s="493">
        <f t="shared" si="435"/>
        <v>93.283000000000015</v>
      </c>
      <c r="U170" s="496">
        <f t="shared" si="435"/>
        <v>14.9008</v>
      </c>
      <c r="V170" s="491">
        <f t="shared" si="435"/>
        <v>0</v>
      </c>
      <c r="W170" s="490">
        <f t="shared" si="435"/>
        <v>0</v>
      </c>
      <c r="X170" s="490">
        <f t="shared" si="435"/>
        <v>-92701</v>
      </c>
      <c r="Y170" s="490">
        <f t="shared" si="435"/>
        <v>0</v>
      </c>
      <c r="Z170" s="490">
        <f t="shared" si="435"/>
        <v>0</v>
      </c>
      <c r="AA170" s="490">
        <f t="shared" si="435"/>
        <v>0</v>
      </c>
      <c r="AB170" s="490">
        <f t="shared" si="435"/>
        <v>0</v>
      </c>
      <c r="AC170" s="490">
        <f t="shared" si="435"/>
        <v>0</v>
      </c>
      <c r="AD170" s="490">
        <f t="shared" si="435"/>
        <v>-92701</v>
      </c>
      <c r="AE170" s="490">
        <f t="shared" si="435"/>
        <v>0</v>
      </c>
      <c r="AF170" s="490">
        <f t="shared" si="435"/>
        <v>-92701</v>
      </c>
      <c r="AG170" s="490">
        <f t="shared" si="435"/>
        <v>0</v>
      </c>
      <c r="AH170" s="490">
        <f t="shared" si="435"/>
        <v>0</v>
      </c>
      <c r="AI170" s="490">
        <f t="shared" si="435"/>
        <v>0</v>
      </c>
      <c r="AJ170" s="490">
        <f t="shared" si="435"/>
        <v>0</v>
      </c>
      <c r="AK170" s="490">
        <f t="shared" si="435"/>
        <v>0</v>
      </c>
      <c r="AL170" s="490">
        <f t="shared" si="435"/>
        <v>0</v>
      </c>
      <c r="AM170" s="490">
        <f t="shared" si="435"/>
        <v>0</v>
      </c>
      <c r="AN170" s="490">
        <f t="shared" si="435"/>
        <v>0</v>
      </c>
      <c r="AO170" s="490">
        <f t="shared" si="435"/>
        <v>-92701</v>
      </c>
      <c r="AP170" s="490">
        <f t="shared" si="435"/>
        <v>0</v>
      </c>
      <c r="AQ170" s="490">
        <f t="shared" si="435"/>
        <v>-92701</v>
      </c>
      <c r="AR170" s="490">
        <f t="shared" si="435"/>
        <v>-31333</v>
      </c>
      <c r="AS170" s="490">
        <f t="shared" si="435"/>
        <v>-927</v>
      </c>
      <c r="AT170" s="490">
        <f t="shared" si="435"/>
        <v>0</v>
      </c>
      <c r="AU170" s="490">
        <f t="shared" si="435"/>
        <v>0</v>
      </c>
      <c r="AV170" s="490">
        <f t="shared" si="435"/>
        <v>0</v>
      </c>
      <c r="AW170" s="490">
        <f t="shared" si="435"/>
        <v>-124961</v>
      </c>
      <c r="AX170" s="493">
        <f t="shared" si="435"/>
        <v>0</v>
      </c>
      <c r="AY170" s="493">
        <f t="shared" si="435"/>
        <v>0</v>
      </c>
      <c r="AZ170" s="493">
        <f t="shared" si="435"/>
        <v>-0.25</v>
      </c>
      <c r="BA170" s="493">
        <f t="shared" si="435"/>
        <v>0</v>
      </c>
      <c r="BB170" s="493">
        <f t="shared" si="435"/>
        <v>0</v>
      </c>
      <c r="BC170" s="493">
        <f t="shared" si="435"/>
        <v>0</v>
      </c>
      <c r="BD170" s="493">
        <f t="shared" si="435"/>
        <v>0</v>
      </c>
      <c r="BE170" s="493">
        <f t="shared" si="435"/>
        <v>0</v>
      </c>
      <c r="BF170" s="493">
        <f t="shared" si="435"/>
        <v>-0.25</v>
      </c>
      <c r="BG170" s="493">
        <f t="shared" si="435"/>
        <v>0</v>
      </c>
      <c r="BH170" s="494">
        <f t="shared" si="435"/>
        <v>-0.25</v>
      </c>
      <c r="BI170" s="489">
        <f t="shared" si="435"/>
        <v>75575965</v>
      </c>
      <c r="BJ170" s="490">
        <f t="shared" si="435"/>
        <v>55572885</v>
      </c>
      <c r="BK170" s="490">
        <f t="shared" si="435"/>
        <v>51401607</v>
      </c>
      <c r="BL170" s="490">
        <f t="shared" si="435"/>
        <v>4171278</v>
      </c>
      <c r="BM170" s="490">
        <f t="shared" si="435"/>
        <v>344615</v>
      </c>
      <c r="BN170" s="490">
        <f t="shared" si="435"/>
        <v>237815</v>
      </c>
      <c r="BO170" s="490">
        <f t="shared" si="435"/>
        <v>106800</v>
      </c>
      <c r="BP170" s="490">
        <f t="shared" si="435"/>
        <v>18865227</v>
      </c>
      <c r="BQ170" s="490">
        <f t="shared" si="435"/>
        <v>555728</v>
      </c>
      <c r="BR170" s="490">
        <f t="shared" si="435"/>
        <v>237510</v>
      </c>
      <c r="BS170" s="493">
        <f t="shared" si="435"/>
        <v>107.93380000000001</v>
      </c>
      <c r="BT170" s="493">
        <f t="shared" si="435"/>
        <v>93.033000000000015</v>
      </c>
      <c r="BU170" s="494">
        <f t="shared" si="435"/>
        <v>14.9008</v>
      </c>
      <c r="BV170" s="489">
        <f t="shared" si="435"/>
        <v>0</v>
      </c>
      <c r="BW170" s="490">
        <f t="shared" ref="BW170:CA170" si="436">SUMIF($F$12:$F$463,"=3111",BW$12:BW$463)</f>
        <v>0</v>
      </c>
      <c r="BX170" s="490">
        <f t="shared" si="436"/>
        <v>0</v>
      </c>
      <c r="BY170" s="490">
        <f t="shared" si="436"/>
        <v>0</v>
      </c>
      <c r="BZ170" s="490">
        <f t="shared" si="436"/>
        <v>0</v>
      </c>
      <c r="CA170" s="496">
        <f t="shared" si="436"/>
        <v>0</v>
      </c>
    </row>
    <row r="171" spans="1:79" s="89" customFormat="1" ht="12.95" customHeight="1" x14ac:dyDescent="0.25">
      <c r="D171" s="311"/>
      <c r="E171" s="312"/>
      <c r="F171" s="311"/>
      <c r="G171" s="313"/>
      <c r="H171" s="2">
        <v>3113</v>
      </c>
      <c r="I171" s="167">
        <f t="shared" ref="I171:BV171" si="437">SUMIF($F$12:$F$463,"=3113",I$12:I$463)</f>
        <v>156582867</v>
      </c>
      <c r="J171" s="16">
        <f t="shared" si="437"/>
        <v>113740216</v>
      </c>
      <c r="K171" s="16">
        <f t="shared" si="437"/>
        <v>105514988</v>
      </c>
      <c r="L171" s="16">
        <f t="shared" si="437"/>
        <v>8225228</v>
      </c>
      <c r="M171" s="16">
        <f t="shared" si="437"/>
        <v>1019333</v>
      </c>
      <c r="N171" s="16">
        <f t="shared" si="437"/>
        <v>965333</v>
      </c>
      <c r="O171" s="16">
        <f t="shared" si="437"/>
        <v>54000</v>
      </c>
      <c r="P171" s="16">
        <f t="shared" si="437"/>
        <v>38754344</v>
      </c>
      <c r="Q171" s="16">
        <f t="shared" si="437"/>
        <v>1137402</v>
      </c>
      <c r="R171" s="16">
        <f t="shared" si="437"/>
        <v>1931572</v>
      </c>
      <c r="S171" s="13">
        <f t="shared" si="437"/>
        <v>190.67130000000003</v>
      </c>
      <c r="T171" s="13">
        <f t="shared" si="437"/>
        <v>166.83890000000005</v>
      </c>
      <c r="U171" s="17">
        <f t="shared" si="437"/>
        <v>23.8324</v>
      </c>
      <c r="V171" s="168">
        <f t="shared" si="437"/>
        <v>0</v>
      </c>
      <c r="W171" s="16">
        <f t="shared" si="437"/>
        <v>0</v>
      </c>
      <c r="X171" s="16">
        <f t="shared" si="437"/>
        <v>0</v>
      </c>
      <c r="Y171" s="16">
        <f t="shared" si="437"/>
        <v>0</v>
      </c>
      <c r="Z171" s="16">
        <f t="shared" si="437"/>
        <v>0</v>
      </c>
      <c r="AA171" s="16">
        <f t="shared" si="437"/>
        <v>0</v>
      </c>
      <c r="AB171" s="16">
        <f t="shared" si="437"/>
        <v>0</v>
      </c>
      <c r="AC171" s="16">
        <f t="shared" si="437"/>
        <v>0</v>
      </c>
      <c r="AD171" s="16">
        <f t="shared" si="437"/>
        <v>0</v>
      </c>
      <c r="AE171" s="16">
        <f t="shared" si="437"/>
        <v>0</v>
      </c>
      <c r="AF171" s="16">
        <f t="shared" si="437"/>
        <v>0</v>
      </c>
      <c r="AG171" s="16">
        <f t="shared" si="437"/>
        <v>0</v>
      </c>
      <c r="AH171" s="16">
        <f t="shared" si="437"/>
        <v>0</v>
      </c>
      <c r="AI171" s="16">
        <f t="shared" si="437"/>
        <v>0</v>
      </c>
      <c r="AJ171" s="16">
        <f t="shared" si="437"/>
        <v>0</v>
      </c>
      <c r="AK171" s="16">
        <f t="shared" si="437"/>
        <v>0</v>
      </c>
      <c r="AL171" s="16">
        <f t="shared" si="437"/>
        <v>0</v>
      </c>
      <c r="AM171" s="16">
        <f t="shared" si="437"/>
        <v>0</v>
      </c>
      <c r="AN171" s="16">
        <f t="shared" si="437"/>
        <v>0</v>
      </c>
      <c r="AO171" s="16">
        <f t="shared" si="437"/>
        <v>0</v>
      </c>
      <c r="AP171" s="16">
        <f t="shared" si="437"/>
        <v>0</v>
      </c>
      <c r="AQ171" s="16">
        <f t="shared" si="437"/>
        <v>0</v>
      </c>
      <c r="AR171" s="16">
        <f t="shared" si="437"/>
        <v>0</v>
      </c>
      <c r="AS171" s="16">
        <f t="shared" si="437"/>
        <v>0</v>
      </c>
      <c r="AT171" s="16">
        <f t="shared" si="437"/>
        <v>1400</v>
      </c>
      <c r="AU171" s="16">
        <f t="shared" si="437"/>
        <v>0</v>
      </c>
      <c r="AV171" s="16">
        <f t="shared" si="437"/>
        <v>1400</v>
      </c>
      <c r="AW171" s="16">
        <f t="shared" si="437"/>
        <v>1400</v>
      </c>
      <c r="AX171" s="13">
        <f t="shared" si="437"/>
        <v>0</v>
      </c>
      <c r="AY171" s="13">
        <f t="shared" si="437"/>
        <v>0</v>
      </c>
      <c r="AZ171" s="13">
        <f t="shared" si="437"/>
        <v>0</v>
      </c>
      <c r="BA171" s="13">
        <f t="shared" si="437"/>
        <v>0</v>
      </c>
      <c r="BB171" s="13">
        <f t="shared" si="437"/>
        <v>0</v>
      </c>
      <c r="BC171" s="13">
        <f t="shared" si="437"/>
        <v>0</v>
      </c>
      <c r="BD171" s="13">
        <f t="shared" si="437"/>
        <v>0</v>
      </c>
      <c r="BE171" s="13">
        <f t="shared" si="437"/>
        <v>0</v>
      </c>
      <c r="BF171" s="13">
        <f t="shared" si="437"/>
        <v>0</v>
      </c>
      <c r="BG171" s="13">
        <f t="shared" si="437"/>
        <v>0</v>
      </c>
      <c r="BH171" s="169">
        <f t="shared" si="437"/>
        <v>0</v>
      </c>
      <c r="BI171" s="167">
        <f t="shared" si="437"/>
        <v>156584267</v>
      </c>
      <c r="BJ171" s="16">
        <f t="shared" si="437"/>
        <v>113740216</v>
      </c>
      <c r="BK171" s="16">
        <f t="shared" si="437"/>
        <v>105514988</v>
      </c>
      <c r="BL171" s="16">
        <f t="shared" si="437"/>
        <v>8225228</v>
      </c>
      <c r="BM171" s="16">
        <f t="shared" si="437"/>
        <v>1019333</v>
      </c>
      <c r="BN171" s="16">
        <f t="shared" si="437"/>
        <v>965333</v>
      </c>
      <c r="BO171" s="16">
        <f t="shared" si="437"/>
        <v>54000</v>
      </c>
      <c r="BP171" s="16">
        <f t="shared" si="437"/>
        <v>38754344</v>
      </c>
      <c r="BQ171" s="16">
        <f t="shared" si="437"/>
        <v>1137402</v>
      </c>
      <c r="BR171" s="16">
        <f t="shared" si="437"/>
        <v>1932972</v>
      </c>
      <c r="BS171" s="13">
        <f t="shared" si="437"/>
        <v>190.67130000000003</v>
      </c>
      <c r="BT171" s="13">
        <f t="shared" si="437"/>
        <v>166.83890000000005</v>
      </c>
      <c r="BU171" s="169">
        <f t="shared" si="437"/>
        <v>23.8324</v>
      </c>
      <c r="BV171" s="167">
        <f t="shared" si="437"/>
        <v>1822398</v>
      </c>
      <c r="BW171" s="16">
        <f t="shared" ref="BW171:CA171" si="438">SUMIF($F$12:$F$463,"=3113",BW$12:BW$463)</f>
        <v>1128000</v>
      </c>
      <c r="BX171" s="16">
        <f t="shared" si="438"/>
        <v>225600</v>
      </c>
      <c r="BY171" s="16">
        <f t="shared" si="438"/>
        <v>457518</v>
      </c>
      <c r="BZ171" s="16">
        <f t="shared" si="438"/>
        <v>11280</v>
      </c>
      <c r="CA171" s="17">
        <f t="shared" si="438"/>
        <v>2</v>
      </c>
    </row>
    <row r="172" spans="1:79" s="89" customFormat="1" ht="12.95" customHeight="1" x14ac:dyDescent="0.25">
      <c r="D172" s="311"/>
      <c r="E172" s="312"/>
      <c r="F172" s="311"/>
      <c r="G172" s="313"/>
      <c r="H172" s="2">
        <v>3114</v>
      </c>
      <c r="I172" s="167">
        <f t="shared" ref="I172:BV172" si="439">SUMIF($F$12:$F$463,"=3114",I$12:I$463)</f>
        <v>20451333</v>
      </c>
      <c r="J172" s="16">
        <f t="shared" si="439"/>
        <v>14878889</v>
      </c>
      <c r="K172" s="16">
        <f t="shared" si="439"/>
        <v>13833617</v>
      </c>
      <c r="L172" s="16">
        <f t="shared" si="439"/>
        <v>1045272</v>
      </c>
      <c r="M172" s="16">
        <f t="shared" si="439"/>
        <v>210920</v>
      </c>
      <c r="N172" s="16">
        <f t="shared" si="439"/>
        <v>155920</v>
      </c>
      <c r="O172" s="16">
        <f t="shared" si="439"/>
        <v>55000</v>
      </c>
      <c r="P172" s="16">
        <f t="shared" si="439"/>
        <v>5100356</v>
      </c>
      <c r="Q172" s="16">
        <f t="shared" si="439"/>
        <v>148788</v>
      </c>
      <c r="R172" s="16">
        <f t="shared" si="439"/>
        <v>112380</v>
      </c>
      <c r="S172" s="13">
        <f t="shared" si="439"/>
        <v>23.184399999999997</v>
      </c>
      <c r="T172" s="13">
        <f t="shared" si="439"/>
        <v>20.201099999999997</v>
      </c>
      <c r="U172" s="17">
        <f t="shared" si="439"/>
        <v>2.9832999999999998</v>
      </c>
      <c r="V172" s="168">
        <f t="shared" si="439"/>
        <v>0</v>
      </c>
      <c r="W172" s="16">
        <f t="shared" si="439"/>
        <v>0</v>
      </c>
      <c r="X172" s="16">
        <f t="shared" si="439"/>
        <v>0</v>
      </c>
      <c r="Y172" s="16">
        <f t="shared" si="439"/>
        <v>0</v>
      </c>
      <c r="Z172" s="16">
        <f t="shared" si="439"/>
        <v>0</v>
      </c>
      <c r="AA172" s="16">
        <f t="shared" si="439"/>
        <v>0</v>
      </c>
      <c r="AB172" s="16">
        <f t="shared" si="439"/>
        <v>0</v>
      </c>
      <c r="AC172" s="16">
        <f t="shared" si="439"/>
        <v>0</v>
      </c>
      <c r="AD172" s="16">
        <f t="shared" si="439"/>
        <v>0</v>
      </c>
      <c r="AE172" s="16">
        <f t="shared" si="439"/>
        <v>0</v>
      </c>
      <c r="AF172" s="16">
        <f t="shared" si="439"/>
        <v>0</v>
      </c>
      <c r="AG172" s="16">
        <f t="shared" si="439"/>
        <v>0</v>
      </c>
      <c r="AH172" s="16">
        <f t="shared" si="439"/>
        <v>0</v>
      </c>
      <c r="AI172" s="16">
        <f t="shared" si="439"/>
        <v>0</v>
      </c>
      <c r="AJ172" s="16">
        <f t="shared" si="439"/>
        <v>0</v>
      </c>
      <c r="AK172" s="16">
        <f t="shared" si="439"/>
        <v>0</v>
      </c>
      <c r="AL172" s="16">
        <f t="shared" si="439"/>
        <v>0</v>
      </c>
      <c r="AM172" s="16">
        <f t="shared" si="439"/>
        <v>0</v>
      </c>
      <c r="AN172" s="16">
        <f t="shared" si="439"/>
        <v>0</v>
      </c>
      <c r="AO172" s="16">
        <f t="shared" si="439"/>
        <v>0</v>
      </c>
      <c r="AP172" s="16">
        <f t="shared" si="439"/>
        <v>0</v>
      </c>
      <c r="AQ172" s="16">
        <f t="shared" si="439"/>
        <v>0</v>
      </c>
      <c r="AR172" s="16">
        <f t="shared" si="439"/>
        <v>0</v>
      </c>
      <c r="AS172" s="16">
        <f t="shared" si="439"/>
        <v>0</v>
      </c>
      <c r="AT172" s="16">
        <f t="shared" si="439"/>
        <v>0</v>
      </c>
      <c r="AU172" s="16">
        <f t="shared" si="439"/>
        <v>0</v>
      </c>
      <c r="AV172" s="16">
        <f t="shared" si="439"/>
        <v>0</v>
      </c>
      <c r="AW172" s="16">
        <f t="shared" si="439"/>
        <v>0</v>
      </c>
      <c r="AX172" s="13">
        <f t="shared" si="439"/>
        <v>0</v>
      </c>
      <c r="AY172" s="13">
        <f t="shared" si="439"/>
        <v>0</v>
      </c>
      <c r="AZ172" s="13">
        <f t="shared" si="439"/>
        <v>0</v>
      </c>
      <c r="BA172" s="13">
        <f t="shared" si="439"/>
        <v>0</v>
      </c>
      <c r="BB172" s="13">
        <f t="shared" si="439"/>
        <v>0</v>
      </c>
      <c r="BC172" s="13">
        <f t="shared" si="439"/>
        <v>0</v>
      </c>
      <c r="BD172" s="13">
        <f t="shared" si="439"/>
        <v>0</v>
      </c>
      <c r="BE172" s="13">
        <f t="shared" si="439"/>
        <v>0</v>
      </c>
      <c r="BF172" s="13">
        <f t="shared" si="439"/>
        <v>0</v>
      </c>
      <c r="BG172" s="13">
        <f t="shared" si="439"/>
        <v>0</v>
      </c>
      <c r="BH172" s="169">
        <f t="shared" si="439"/>
        <v>0</v>
      </c>
      <c r="BI172" s="167">
        <f t="shared" si="439"/>
        <v>20451333</v>
      </c>
      <c r="BJ172" s="16">
        <f t="shared" si="439"/>
        <v>14878889</v>
      </c>
      <c r="BK172" s="16">
        <f t="shared" si="439"/>
        <v>13833617</v>
      </c>
      <c r="BL172" s="16">
        <f t="shared" si="439"/>
        <v>1045272</v>
      </c>
      <c r="BM172" s="16">
        <f t="shared" si="439"/>
        <v>210920</v>
      </c>
      <c r="BN172" s="16">
        <f t="shared" si="439"/>
        <v>155920</v>
      </c>
      <c r="BO172" s="16">
        <f t="shared" si="439"/>
        <v>55000</v>
      </c>
      <c r="BP172" s="16">
        <f t="shared" si="439"/>
        <v>5100356</v>
      </c>
      <c r="BQ172" s="16">
        <f t="shared" si="439"/>
        <v>148788</v>
      </c>
      <c r="BR172" s="16">
        <f t="shared" si="439"/>
        <v>112380</v>
      </c>
      <c r="BS172" s="13">
        <f t="shared" si="439"/>
        <v>23.184399999999997</v>
      </c>
      <c r="BT172" s="13">
        <f t="shared" si="439"/>
        <v>20.201099999999997</v>
      </c>
      <c r="BU172" s="169">
        <f t="shared" si="439"/>
        <v>2.9832999999999998</v>
      </c>
      <c r="BV172" s="167">
        <f t="shared" si="439"/>
        <v>0</v>
      </c>
      <c r="BW172" s="16">
        <f t="shared" ref="BW172:CA172" si="440">SUMIF($F$12:$F$463,"=3114",BW$12:BW$463)</f>
        <v>0</v>
      </c>
      <c r="BX172" s="16">
        <f t="shared" si="440"/>
        <v>0</v>
      </c>
      <c r="BY172" s="16">
        <f t="shared" si="440"/>
        <v>0</v>
      </c>
      <c r="BZ172" s="16">
        <f t="shared" si="440"/>
        <v>0</v>
      </c>
      <c r="CA172" s="17">
        <f t="shared" si="440"/>
        <v>0</v>
      </c>
    </row>
    <row r="173" spans="1:79" s="89" customFormat="1" ht="12.95" customHeight="1" x14ac:dyDescent="0.25">
      <c r="D173" s="311"/>
      <c r="E173" s="312"/>
      <c r="F173" s="311"/>
      <c r="G173" s="313"/>
      <c r="H173" s="2">
        <v>3117</v>
      </c>
      <c r="I173" s="167">
        <f t="shared" ref="I173:BV173" si="441">SUMIF($F$12:$F$463,"=3117",I$12:I$463)</f>
        <v>29197204</v>
      </c>
      <c r="J173" s="16">
        <f t="shared" si="441"/>
        <v>21199416</v>
      </c>
      <c r="K173" s="16">
        <f t="shared" si="441"/>
        <v>18873100</v>
      </c>
      <c r="L173" s="16">
        <f t="shared" si="441"/>
        <v>2326316</v>
      </c>
      <c r="M173" s="16">
        <f t="shared" si="441"/>
        <v>190480</v>
      </c>
      <c r="N173" s="16">
        <f t="shared" si="441"/>
        <v>140080</v>
      </c>
      <c r="O173" s="16">
        <f t="shared" si="441"/>
        <v>50400</v>
      </c>
      <c r="P173" s="16">
        <f t="shared" si="441"/>
        <v>7229785</v>
      </c>
      <c r="Q173" s="16">
        <f t="shared" si="441"/>
        <v>211994</v>
      </c>
      <c r="R173" s="16">
        <f t="shared" si="441"/>
        <v>365529</v>
      </c>
      <c r="S173" s="13">
        <f t="shared" si="441"/>
        <v>38.859500000000011</v>
      </c>
      <c r="T173" s="13">
        <f t="shared" si="441"/>
        <v>32.390999999999998</v>
      </c>
      <c r="U173" s="17">
        <f t="shared" si="441"/>
        <v>6.4685000000000006</v>
      </c>
      <c r="V173" s="168">
        <f t="shared" si="441"/>
        <v>0</v>
      </c>
      <c r="W173" s="16">
        <f t="shared" si="441"/>
        <v>0</v>
      </c>
      <c r="X173" s="16">
        <f t="shared" si="441"/>
        <v>0</v>
      </c>
      <c r="Y173" s="16">
        <f t="shared" si="441"/>
        <v>0</v>
      </c>
      <c r="Z173" s="16">
        <f t="shared" si="441"/>
        <v>0</v>
      </c>
      <c r="AA173" s="16">
        <f t="shared" si="441"/>
        <v>0</v>
      </c>
      <c r="AB173" s="16">
        <f t="shared" si="441"/>
        <v>0</v>
      </c>
      <c r="AC173" s="16">
        <f t="shared" si="441"/>
        <v>0</v>
      </c>
      <c r="AD173" s="16">
        <f t="shared" si="441"/>
        <v>0</v>
      </c>
      <c r="AE173" s="16">
        <f t="shared" si="441"/>
        <v>0</v>
      </c>
      <c r="AF173" s="16">
        <f t="shared" si="441"/>
        <v>0</v>
      </c>
      <c r="AG173" s="16">
        <f t="shared" si="441"/>
        <v>0</v>
      </c>
      <c r="AH173" s="16">
        <f t="shared" si="441"/>
        <v>0</v>
      </c>
      <c r="AI173" s="16">
        <f t="shared" si="441"/>
        <v>0</v>
      </c>
      <c r="AJ173" s="16">
        <f t="shared" si="441"/>
        <v>0</v>
      </c>
      <c r="AK173" s="16">
        <f t="shared" si="441"/>
        <v>0</v>
      </c>
      <c r="AL173" s="16">
        <f t="shared" si="441"/>
        <v>0</v>
      </c>
      <c r="AM173" s="16">
        <f t="shared" si="441"/>
        <v>0</v>
      </c>
      <c r="AN173" s="16">
        <f t="shared" si="441"/>
        <v>0</v>
      </c>
      <c r="AO173" s="16">
        <f t="shared" si="441"/>
        <v>0</v>
      </c>
      <c r="AP173" s="16">
        <f t="shared" si="441"/>
        <v>0</v>
      </c>
      <c r="AQ173" s="16">
        <f t="shared" si="441"/>
        <v>0</v>
      </c>
      <c r="AR173" s="16">
        <f t="shared" si="441"/>
        <v>0</v>
      </c>
      <c r="AS173" s="16">
        <f t="shared" si="441"/>
        <v>0</v>
      </c>
      <c r="AT173" s="16">
        <f t="shared" si="441"/>
        <v>0</v>
      </c>
      <c r="AU173" s="16">
        <f t="shared" si="441"/>
        <v>0</v>
      </c>
      <c r="AV173" s="16">
        <f t="shared" si="441"/>
        <v>0</v>
      </c>
      <c r="AW173" s="16">
        <f t="shared" si="441"/>
        <v>0</v>
      </c>
      <c r="AX173" s="13">
        <f t="shared" si="441"/>
        <v>0</v>
      </c>
      <c r="AY173" s="13">
        <f t="shared" si="441"/>
        <v>0</v>
      </c>
      <c r="AZ173" s="13">
        <f t="shared" si="441"/>
        <v>0</v>
      </c>
      <c r="BA173" s="13">
        <f t="shared" si="441"/>
        <v>0</v>
      </c>
      <c r="BB173" s="13">
        <f t="shared" si="441"/>
        <v>0</v>
      </c>
      <c r="BC173" s="13">
        <f t="shared" si="441"/>
        <v>0</v>
      </c>
      <c r="BD173" s="13">
        <f t="shared" si="441"/>
        <v>0</v>
      </c>
      <c r="BE173" s="13">
        <f t="shared" si="441"/>
        <v>0</v>
      </c>
      <c r="BF173" s="13">
        <f t="shared" si="441"/>
        <v>0</v>
      </c>
      <c r="BG173" s="13">
        <f t="shared" si="441"/>
        <v>0</v>
      </c>
      <c r="BH173" s="169">
        <f t="shared" si="441"/>
        <v>0</v>
      </c>
      <c r="BI173" s="167">
        <f t="shared" si="441"/>
        <v>29197204</v>
      </c>
      <c r="BJ173" s="16">
        <f t="shared" si="441"/>
        <v>21199416</v>
      </c>
      <c r="BK173" s="16">
        <f t="shared" si="441"/>
        <v>18873100</v>
      </c>
      <c r="BL173" s="16">
        <f t="shared" si="441"/>
        <v>2326316</v>
      </c>
      <c r="BM173" s="16">
        <f t="shared" si="441"/>
        <v>190480</v>
      </c>
      <c r="BN173" s="16">
        <f t="shared" si="441"/>
        <v>140080</v>
      </c>
      <c r="BO173" s="16">
        <f t="shared" si="441"/>
        <v>50400</v>
      </c>
      <c r="BP173" s="16">
        <f t="shared" si="441"/>
        <v>7229785</v>
      </c>
      <c r="BQ173" s="16">
        <f t="shared" si="441"/>
        <v>211994</v>
      </c>
      <c r="BR173" s="16">
        <f t="shared" si="441"/>
        <v>365529</v>
      </c>
      <c r="BS173" s="13">
        <f t="shared" si="441"/>
        <v>38.859500000000011</v>
      </c>
      <c r="BT173" s="13">
        <f t="shared" si="441"/>
        <v>32.390999999999998</v>
      </c>
      <c r="BU173" s="169">
        <f t="shared" si="441"/>
        <v>6.4685000000000006</v>
      </c>
      <c r="BV173" s="167">
        <f t="shared" si="441"/>
        <v>152054</v>
      </c>
      <c r="BW173" s="16">
        <f t="shared" ref="BW173:CA173" si="442">SUMIF($F$12:$F$463,"=3117",BW$12:BW$463)</f>
        <v>112800</v>
      </c>
      <c r="BX173" s="16">
        <f t="shared" si="442"/>
        <v>0</v>
      </c>
      <c r="BY173" s="16">
        <f t="shared" si="442"/>
        <v>38126</v>
      </c>
      <c r="BZ173" s="16">
        <f t="shared" si="442"/>
        <v>1128</v>
      </c>
      <c r="CA173" s="17">
        <f t="shared" si="442"/>
        <v>0.2</v>
      </c>
    </row>
    <row r="174" spans="1:79" s="89" customFormat="1" ht="12.95" customHeight="1" x14ac:dyDescent="0.25">
      <c r="D174" s="311"/>
      <c r="E174" s="312"/>
      <c r="F174" s="311"/>
      <c r="G174" s="313"/>
      <c r="H174" s="2">
        <v>3122</v>
      </c>
      <c r="I174" s="167">
        <f t="shared" ref="I174:BV174" si="443">SUMIF($F$12:$F$463,"=3122",I$12:I$463)</f>
        <v>10399274</v>
      </c>
      <c r="J174" s="16">
        <f t="shared" si="443"/>
        <v>7546920</v>
      </c>
      <c r="K174" s="16">
        <f t="shared" si="443"/>
        <v>7314644</v>
      </c>
      <c r="L174" s="16">
        <f t="shared" si="443"/>
        <v>232276</v>
      </c>
      <c r="M174" s="16">
        <f t="shared" si="443"/>
        <v>128360</v>
      </c>
      <c r="N174" s="16">
        <f t="shared" si="443"/>
        <v>128360</v>
      </c>
      <c r="O174" s="16">
        <f t="shared" si="443"/>
        <v>0</v>
      </c>
      <c r="P174" s="16">
        <f t="shared" si="443"/>
        <v>2594245</v>
      </c>
      <c r="Q174" s="16">
        <f t="shared" si="443"/>
        <v>75469</v>
      </c>
      <c r="R174" s="16">
        <f t="shared" si="443"/>
        <v>54280</v>
      </c>
      <c r="S174" s="13">
        <f t="shared" si="443"/>
        <v>10.7186</v>
      </c>
      <c r="T174" s="13">
        <f t="shared" si="443"/>
        <v>10.025400000000001</v>
      </c>
      <c r="U174" s="17">
        <f t="shared" si="443"/>
        <v>0.69320000000000004</v>
      </c>
      <c r="V174" s="168">
        <f t="shared" si="443"/>
        <v>0</v>
      </c>
      <c r="W174" s="16">
        <f t="shared" si="443"/>
        <v>0</v>
      </c>
      <c r="X174" s="16">
        <f t="shared" si="443"/>
        <v>0</v>
      </c>
      <c r="Y174" s="16">
        <f t="shared" si="443"/>
        <v>0</v>
      </c>
      <c r="Z174" s="16">
        <f t="shared" si="443"/>
        <v>0</v>
      </c>
      <c r="AA174" s="16">
        <f t="shared" si="443"/>
        <v>0</v>
      </c>
      <c r="AB174" s="16">
        <f t="shared" si="443"/>
        <v>0</v>
      </c>
      <c r="AC174" s="16">
        <f t="shared" si="443"/>
        <v>0</v>
      </c>
      <c r="AD174" s="16">
        <f t="shared" si="443"/>
        <v>0</v>
      </c>
      <c r="AE174" s="16">
        <f t="shared" si="443"/>
        <v>0</v>
      </c>
      <c r="AF174" s="16">
        <f t="shared" si="443"/>
        <v>0</v>
      </c>
      <c r="AG174" s="16">
        <f t="shared" si="443"/>
        <v>0</v>
      </c>
      <c r="AH174" s="16">
        <f t="shared" si="443"/>
        <v>0</v>
      </c>
      <c r="AI174" s="16">
        <f t="shared" si="443"/>
        <v>0</v>
      </c>
      <c r="AJ174" s="16">
        <f t="shared" si="443"/>
        <v>0</v>
      </c>
      <c r="AK174" s="16">
        <f t="shared" si="443"/>
        <v>0</v>
      </c>
      <c r="AL174" s="16">
        <f t="shared" si="443"/>
        <v>0</v>
      </c>
      <c r="AM174" s="16">
        <f t="shared" si="443"/>
        <v>0</v>
      </c>
      <c r="AN174" s="16">
        <f t="shared" si="443"/>
        <v>0</v>
      </c>
      <c r="AO174" s="16">
        <f t="shared" si="443"/>
        <v>0</v>
      </c>
      <c r="AP174" s="16">
        <f t="shared" si="443"/>
        <v>0</v>
      </c>
      <c r="AQ174" s="16">
        <f t="shared" si="443"/>
        <v>0</v>
      </c>
      <c r="AR174" s="16">
        <f t="shared" si="443"/>
        <v>0</v>
      </c>
      <c r="AS174" s="16">
        <f t="shared" si="443"/>
        <v>0</v>
      </c>
      <c r="AT174" s="16">
        <f t="shared" si="443"/>
        <v>0</v>
      </c>
      <c r="AU174" s="16">
        <f t="shared" si="443"/>
        <v>0</v>
      </c>
      <c r="AV174" s="16">
        <f t="shared" si="443"/>
        <v>0</v>
      </c>
      <c r="AW174" s="16">
        <f t="shared" si="443"/>
        <v>0</v>
      </c>
      <c r="AX174" s="13">
        <f t="shared" si="443"/>
        <v>0</v>
      </c>
      <c r="AY174" s="13">
        <f t="shared" si="443"/>
        <v>0</v>
      </c>
      <c r="AZ174" s="13">
        <f t="shared" si="443"/>
        <v>0</v>
      </c>
      <c r="BA174" s="13">
        <f t="shared" si="443"/>
        <v>0</v>
      </c>
      <c r="BB174" s="13">
        <f t="shared" si="443"/>
        <v>0</v>
      </c>
      <c r="BC174" s="13">
        <f t="shared" si="443"/>
        <v>0</v>
      </c>
      <c r="BD174" s="13">
        <f t="shared" si="443"/>
        <v>0</v>
      </c>
      <c r="BE174" s="13">
        <f t="shared" si="443"/>
        <v>0</v>
      </c>
      <c r="BF174" s="13">
        <f t="shared" si="443"/>
        <v>0</v>
      </c>
      <c r="BG174" s="13">
        <f t="shared" si="443"/>
        <v>0</v>
      </c>
      <c r="BH174" s="169">
        <f t="shared" si="443"/>
        <v>0</v>
      </c>
      <c r="BI174" s="167">
        <f t="shared" si="443"/>
        <v>10399274</v>
      </c>
      <c r="BJ174" s="16">
        <f t="shared" si="443"/>
        <v>7546920</v>
      </c>
      <c r="BK174" s="16">
        <f t="shared" si="443"/>
        <v>7314644</v>
      </c>
      <c r="BL174" s="16">
        <f t="shared" si="443"/>
        <v>232276</v>
      </c>
      <c r="BM174" s="16">
        <f t="shared" si="443"/>
        <v>128360</v>
      </c>
      <c r="BN174" s="16">
        <f t="shared" si="443"/>
        <v>128360</v>
      </c>
      <c r="BO174" s="16">
        <f t="shared" si="443"/>
        <v>0</v>
      </c>
      <c r="BP174" s="16">
        <f t="shared" si="443"/>
        <v>2594245</v>
      </c>
      <c r="BQ174" s="16">
        <f t="shared" si="443"/>
        <v>75469</v>
      </c>
      <c r="BR174" s="16">
        <f t="shared" si="443"/>
        <v>54280</v>
      </c>
      <c r="BS174" s="13">
        <f t="shared" si="443"/>
        <v>10.7186</v>
      </c>
      <c r="BT174" s="13">
        <f t="shared" si="443"/>
        <v>10.025400000000001</v>
      </c>
      <c r="BU174" s="169">
        <f t="shared" si="443"/>
        <v>0.69320000000000004</v>
      </c>
      <c r="BV174" s="167">
        <f t="shared" si="443"/>
        <v>0</v>
      </c>
      <c r="BW174" s="16">
        <f t="shared" ref="BW174:CA174" si="444">SUMIF($F$12:$F$463,"=3122",BW$12:BW$463)</f>
        <v>0</v>
      </c>
      <c r="BX174" s="16">
        <f t="shared" si="444"/>
        <v>0</v>
      </c>
      <c r="BY174" s="16">
        <f t="shared" si="444"/>
        <v>0</v>
      </c>
      <c r="BZ174" s="16">
        <f t="shared" si="444"/>
        <v>0</v>
      </c>
      <c r="CA174" s="17">
        <f t="shared" si="444"/>
        <v>0</v>
      </c>
    </row>
    <row r="175" spans="1:79" s="89" customFormat="1" ht="12.95" customHeight="1" x14ac:dyDescent="0.25">
      <c r="D175" s="311"/>
      <c r="E175" s="312"/>
      <c r="F175" s="311"/>
      <c r="G175" s="313"/>
      <c r="H175" s="2">
        <v>3124</v>
      </c>
      <c r="I175" s="167">
        <f t="shared" ref="I175:BV175" si="445">SUMIF($F$12:$F$463,"=3124",I$12:I$463)</f>
        <v>0</v>
      </c>
      <c r="J175" s="16">
        <f t="shared" si="445"/>
        <v>0</v>
      </c>
      <c r="K175" s="16">
        <f t="shared" si="445"/>
        <v>0</v>
      </c>
      <c r="L175" s="16">
        <f t="shared" si="445"/>
        <v>0</v>
      </c>
      <c r="M175" s="16">
        <f t="shared" si="445"/>
        <v>0</v>
      </c>
      <c r="N175" s="16">
        <f t="shared" si="445"/>
        <v>0</v>
      </c>
      <c r="O175" s="16">
        <f t="shared" si="445"/>
        <v>0</v>
      </c>
      <c r="P175" s="16">
        <f t="shared" si="445"/>
        <v>0</v>
      </c>
      <c r="Q175" s="16">
        <f t="shared" si="445"/>
        <v>0</v>
      </c>
      <c r="R175" s="16">
        <f t="shared" si="445"/>
        <v>0</v>
      </c>
      <c r="S175" s="13">
        <f t="shared" si="445"/>
        <v>0</v>
      </c>
      <c r="T175" s="13">
        <f t="shared" si="445"/>
        <v>0</v>
      </c>
      <c r="U175" s="17">
        <f t="shared" si="445"/>
        <v>0</v>
      </c>
      <c r="V175" s="168">
        <f t="shared" si="445"/>
        <v>0</v>
      </c>
      <c r="W175" s="16">
        <f t="shared" si="445"/>
        <v>0</v>
      </c>
      <c r="X175" s="16">
        <f t="shared" si="445"/>
        <v>0</v>
      </c>
      <c r="Y175" s="16">
        <f t="shared" si="445"/>
        <v>0</v>
      </c>
      <c r="Z175" s="16">
        <f t="shared" si="445"/>
        <v>0</v>
      </c>
      <c r="AA175" s="16">
        <f t="shared" si="445"/>
        <v>0</v>
      </c>
      <c r="AB175" s="16">
        <f t="shared" si="445"/>
        <v>0</v>
      </c>
      <c r="AC175" s="16">
        <f t="shared" si="445"/>
        <v>0</v>
      </c>
      <c r="AD175" s="16">
        <f t="shared" si="445"/>
        <v>0</v>
      </c>
      <c r="AE175" s="16">
        <f t="shared" si="445"/>
        <v>0</v>
      </c>
      <c r="AF175" s="16">
        <f t="shared" si="445"/>
        <v>0</v>
      </c>
      <c r="AG175" s="16">
        <f t="shared" si="445"/>
        <v>0</v>
      </c>
      <c r="AH175" s="16">
        <f t="shared" si="445"/>
        <v>0</v>
      </c>
      <c r="AI175" s="16">
        <f t="shared" si="445"/>
        <v>0</v>
      </c>
      <c r="AJ175" s="16">
        <f t="shared" si="445"/>
        <v>0</v>
      </c>
      <c r="AK175" s="16">
        <f t="shared" si="445"/>
        <v>0</v>
      </c>
      <c r="AL175" s="16">
        <f t="shared" si="445"/>
        <v>0</v>
      </c>
      <c r="AM175" s="16">
        <f t="shared" si="445"/>
        <v>0</v>
      </c>
      <c r="AN175" s="16">
        <f t="shared" si="445"/>
        <v>0</v>
      </c>
      <c r="AO175" s="16">
        <f t="shared" si="445"/>
        <v>0</v>
      </c>
      <c r="AP175" s="16">
        <f t="shared" si="445"/>
        <v>0</v>
      </c>
      <c r="AQ175" s="16">
        <f t="shared" si="445"/>
        <v>0</v>
      </c>
      <c r="AR175" s="16">
        <f t="shared" si="445"/>
        <v>0</v>
      </c>
      <c r="AS175" s="16">
        <f t="shared" si="445"/>
        <v>0</v>
      </c>
      <c r="AT175" s="16">
        <f t="shared" si="445"/>
        <v>0</v>
      </c>
      <c r="AU175" s="16">
        <f t="shared" si="445"/>
        <v>0</v>
      </c>
      <c r="AV175" s="16">
        <f t="shared" si="445"/>
        <v>0</v>
      </c>
      <c r="AW175" s="16">
        <f t="shared" si="445"/>
        <v>0</v>
      </c>
      <c r="AX175" s="13">
        <f t="shared" si="445"/>
        <v>0</v>
      </c>
      <c r="AY175" s="13">
        <f t="shared" si="445"/>
        <v>0</v>
      </c>
      <c r="AZ175" s="13">
        <f t="shared" si="445"/>
        <v>0</v>
      </c>
      <c r="BA175" s="13">
        <f t="shared" si="445"/>
        <v>0</v>
      </c>
      <c r="BB175" s="13">
        <f t="shared" si="445"/>
        <v>0</v>
      </c>
      <c r="BC175" s="13">
        <f t="shared" si="445"/>
        <v>0</v>
      </c>
      <c r="BD175" s="13">
        <f t="shared" si="445"/>
        <v>0</v>
      </c>
      <c r="BE175" s="13">
        <f t="shared" si="445"/>
        <v>0</v>
      </c>
      <c r="BF175" s="13">
        <f t="shared" si="445"/>
        <v>0</v>
      </c>
      <c r="BG175" s="13">
        <f t="shared" si="445"/>
        <v>0</v>
      </c>
      <c r="BH175" s="169">
        <f t="shared" si="445"/>
        <v>0</v>
      </c>
      <c r="BI175" s="167">
        <f t="shared" si="445"/>
        <v>0</v>
      </c>
      <c r="BJ175" s="16">
        <f t="shared" si="445"/>
        <v>0</v>
      </c>
      <c r="BK175" s="16">
        <f t="shared" si="445"/>
        <v>0</v>
      </c>
      <c r="BL175" s="16">
        <f t="shared" si="445"/>
        <v>0</v>
      </c>
      <c r="BM175" s="16">
        <f t="shared" si="445"/>
        <v>0</v>
      </c>
      <c r="BN175" s="16">
        <f t="shared" si="445"/>
        <v>0</v>
      </c>
      <c r="BO175" s="16">
        <f t="shared" si="445"/>
        <v>0</v>
      </c>
      <c r="BP175" s="16">
        <f t="shared" si="445"/>
        <v>0</v>
      </c>
      <c r="BQ175" s="16">
        <f t="shared" si="445"/>
        <v>0</v>
      </c>
      <c r="BR175" s="16">
        <f t="shared" si="445"/>
        <v>0</v>
      </c>
      <c r="BS175" s="13">
        <f t="shared" si="445"/>
        <v>0</v>
      </c>
      <c r="BT175" s="13">
        <f t="shared" si="445"/>
        <v>0</v>
      </c>
      <c r="BU175" s="169">
        <f t="shared" si="445"/>
        <v>0</v>
      </c>
      <c r="BV175" s="167">
        <f t="shared" si="445"/>
        <v>0</v>
      </c>
      <c r="BW175" s="16">
        <f t="shared" ref="BW175:CA175" si="446">SUMIF($F$12:$F$463,"=3124",BW$12:BW$463)</f>
        <v>0</v>
      </c>
      <c r="BX175" s="16">
        <f t="shared" si="446"/>
        <v>0</v>
      </c>
      <c r="BY175" s="16">
        <f t="shared" si="446"/>
        <v>0</v>
      </c>
      <c r="BZ175" s="16">
        <f t="shared" si="446"/>
        <v>0</v>
      </c>
      <c r="CA175" s="17">
        <f t="shared" si="446"/>
        <v>0</v>
      </c>
    </row>
    <row r="176" spans="1:79" s="89" customFormat="1" ht="12.95" customHeight="1" x14ac:dyDescent="0.25">
      <c r="D176" s="311"/>
      <c r="E176" s="312"/>
      <c r="F176" s="311"/>
      <c r="G176" s="313"/>
      <c r="H176" s="2">
        <v>3141</v>
      </c>
      <c r="I176" s="167">
        <f t="shared" ref="I176:BV176" si="447">SUMIF($F$12:$F$463,"=3141",I$12:I$463)</f>
        <v>18179361</v>
      </c>
      <c r="J176" s="16">
        <f t="shared" si="447"/>
        <v>13255741</v>
      </c>
      <c r="K176" s="16">
        <f t="shared" si="447"/>
        <v>0</v>
      </c>
      <c r="L176" s="16">
        <f t="shared" si="447"/>
        <v>13255741</v>
      </c>
      <c r="M176" s="16">
        <f t="shared" si="447"/>
        <v>173880</v>
      </c>
      <c r="N176" s="16">
        <f t="shared" si="447"/>
        <v>0</v>
      </c>
      <c r="O176" s="16">
        <f t="shared" si="447"/>
        <v>173880</v>
      </c>
      <c r="P176" s="16">
        <f t="shared" si="447"/>
        <v>4513901</v>
      </c>
      <c r="Q176" s="16">
        <f t="shared" si="447"/>
        <v>132558</v>
      </c>
      <c r="R176" s="16">
        <f t="shared" si="447"/>
        <v>103281</v>
      </c>
      <c r="S176" s="13">
        <f t="shared" si="447"/>
        <v>39.936599999999999</v>
      </c>
      <c r="T176" s="13">
        <f t="shared" si="447"/>
        <v>0</v>
      </c>
      <c r="U176" s="17">
        <f t="shared" si="447"/>
        <v>39.936599999999999</v>
      </c>
      <c r="V176" s="168">
        <f t="shared" si="447"/>
        <v>0</v>
      </c>
      <c r="W176" s="16">
        <f t="shared" si="447"/>
        <v>0</v>
      </c>
      <c r="X176" s="16">
        <f t="shared" si="447"/>
        <v>0</v>
      </c>
      <c r="Y176" s="16">
        <f t="shared" si="447"/>
        <v>0</v>
      </c>
      <c r="Z176" s="16">
        <f t="shared" si="447"/>
        <v>0</v>
      </c>
      <c r="AA176" s="16">
        <f t="shared" si="447"/>
        <v>6672929</v>
      </c>
      <c r="AB176" s="16">
        <f t="shared" si="447"/>
        <v>0</v>
      </c>
      <c r="AC176" s="16">
        <f t="shared" si="447"/>
        <v>0</v>
      </c>
      <c r="AD176" s="16">
        <f t="shared" si="447"/>
        <v>0</v>
      </c>
      <c r="AE176" s="16">
        <f t="shared" si="447"/>
        <v>6672929</v>
      </c>
      <c r="AF176" s="16">
        <f t="shared" si="447"/>
        <v>6672929</v>
      </c>
      <c r="AG176" s="16">
        <f t="shared" si="447"/>
        <v>0</v>
      </c>
      <c r="AH176" s="16">
        <f t="shared" si="447"/>
        <v>0</v>
      </c>
      <c r="AI176" s="16">
        <f t="shared" si="447"/>
        <v>0</v>
      </c>
      <c r="AJ176" s="16">
        <f t="shared" si="447"/>
        <v>0</v>
      </c>
      <c r="AK176" s="16">
        <f t="shared" si="447"/>
        <v>0</v>
      </c>
      <c r="AL176" s="16">
        <f t="shared" si="447"/>
        <v>0</v>
      </c>
      <c r="AM176" s="16">
        <f t="shared" si="447"/>
        <v>0</v>
      </c>
      <c r="AN176" s="16">
        <f t="shared" si="447"/>
        <v>0</v>
      </c>
      <c r="AO176" s="16">
        <f t="shared" si="447"/>
        <v>0</v>
      </c>
      <c r="AP176" s="16">
        <f t="shared" si="447"/>
        <v>6672929</v>
      </c>
      <c r="AQ176" s="16">
        <f t="shared" si="447"/>
        <v>6672929</v>
      </c>
      <c r="AR176" s="16">
        <f t="shared" si="447"/>
        <v>2255450</v>
      </c>
      <c r="AS176" s="16">
        <f t="shared" si="447"/>
        <v>66729</v>
      </c>
      <c r="AT176" s="16">
        <f t="shared" si="447"/>
        <v>0</v>
      </c>
      <c r="AU176" s="16">
        <f t="shared" si="447"/>
        <v>50067</v>
      </c>
      <c r="AV176" s="16">
        <f t="shared" si="447"/>
        <v>50067</v>
      </c>
      <c r="AW176" s="16">
        <f t="shared" si="447"/>
        <v>9045175</v>
      </c>
      <c r="AX176" s="13">
        <f t="shared" si="447"/>
        <v>0</v>
      </c>
      <c r="AY176" s="13">
        <f t="shared" si="447"/>
        <v>0</v>
      </c>
      <c r="AZ176" s="13">
        <f t="shared" si="447"/>
        <v>0</v>
      </c>
      <c r="BA176" s="13">
        <f t="shared" si="447"/>
        <v>0</v>
      </c>
      <c r="BB176" s="13">
        <f t="shared" si="447"/>
        <v>20.019999999999996</v>
      </c>
      <c r="BC176" s="13">
        <f t="shared" si="447"/>
        <v>0</v>
      </c>
      <c r="BD176" s="13">
        <f t="shared" si="447"/>
        <v>0</v>
      </c>
      <c r="BE176" s="13">
        <f t="shared" si="447"/>
        <v>0</v>
      </c>
      <c r="BF176" s="13">
        <f t="shared" si="447"/>
        <v>0</v>
      </c>
      <c r="BG176" s="13">
        <f t="shared" si="447"/>
        <v>20.019999999999996</v>
      </c>
      <c r="BH176" s="169">
        <f t="shared" si="447"/>
        <v>20.019999999999996</v>
      </c>
      <c r="BI176" s="167">
        <f t="shared" si="447"/>
        <v>27224536</v>
      </c>
      <c r="BJ176" s="16">
        <f t="shared" si="447"/>
        <v>19928670</v>
      </c>
      <c r="BK176" s="16">
        <f t="shared" si="447"/>
        <v>0</v>
      </c>
      <c r="BL176" s="16">
        <f t="shared" si="447"/>
        <v>19928670</v>
      </c>
      <c r="BM176" s="16">
        <f t="shared" si="447"/>
        <v>173880</v>
      </c>
      <c r="BN176" s="16">
        <f t="shared" si="447"/>
        <v>0</v>
      </c>
      <c r="BO176" s="16">
        <f t="shared" si="447"/>
        <v>173880</v>
      </c>
      <c r="BP176" s="16">
        <f t="shared" si="447"/>
        <v>6769351</v>
      </c>
      <c r="BQ176" s="16">
        <f t="shared" si="447"/>
        <v>199287</v>
      </c>
      <c r="BR176" s="16">
        <f t="shared" si="447"/>
        <v>153348</v>
      </c>
      <c r="BS176" s="13">
        <f t="shared" si="447"/>
        <v>59.956599999999995</v>
      </c>
      <c r="BT176" s="13">
        <f t="shared" si="447"/>
        <v>0</v>
      </c>
      <c r="BU176" s="169">
        <f t="shared" si="447"/>
        <v>59.956599999999995</v>
      </c>
      <c r="BV176" s="167">
        <f t="shared" si="447"/>
        <v>0</v>
      </c>
      <c r="BW176" s="16">
        <f t="shared" ref="BW176:CA176" si="448">SUMIF($F$12:$F$463,"=3141",BW$12:BW$463)</f>
        <v>0</v>
      </c>
      <c r="BX176" s="16">
        <f t="shared" si="448"/>
        <v>0</v>
      </c>
      <c r="BY176" s="16">
        <f t="shared" si="448"/>
        <v>0</v>
      </c>
      <c r="BZ176" s="16">
        <f t="shared" si="448"/>
        <v>0</v>
      </c>
      <c r="CA176" s="17">
        <f t="shared" si="448"/>
        <v>0</v>
      </c>
    </row>
    <row r="177" spans="1:79" s="89" customFormat="1" ht="12.95" customHeight="1" x14ac:dyDescent="0.25">
      <c r="D177" s="311"/>
      <c r="E177" s="312"/>
      <c r="F177" s="311"/>
      <c r="G177" s="313"/>
      <c r="H177" s="2">
        <v>3143</v>
      </c>
      <c r="I177" s="167">
        <f t="shared" ref="I177:BV177" si="449">SUMIF($F$12:$F$463,"=3143",I$12:I$463)</f>
        <v>15360712</v>
      </c>
      <c r="J177" s="16">
        <f t="shared" si="449"/>
        <v>11222513</v>
      </c>
      <c r="K177" s="16">
        <f t="shared" si="449"/>
        <v>10977454</v>
      </c>
      <c r="L177" s="16">
        <f t="shared" si="449"/>
        <v>245059</v>
      </c>
      <c r="M177" s="16">
        <f t="shared" si="449"/>
        <v>165000</v>
      </c>
      <c r="N177" s="16">
        <f t="shared" si="449"/>
        <v>159600</v>
      </c>
      <c r="O177" s="16">
        <f t="shared" si="449"/>
        <v>5400</v>
      </c>
      <c r="P177" s="16">
        <f t="shared" si="449"/>
        <v>3848978</v>
      </c>
      <c r="Q177" s="16">
        <f t="shared" si="449"/>
        <v>112227</v>
      </c>
      <c r="R177" s="16">
        <f t="shared" si="449"/>
        <v>11994</v>
      </c>
      <c r="S177" s="13">
        <f t="shared" si="449"/>
        <v>23.8308</v>
      </c>
      <c r="T177" s="13">
        <f t="shared" si="449"/>
        <v>22.8825</v>
      </c>
      <c r="U177" s="17">
        <f t="shared" si="449"/>
        <v>0.94829999999999992</v>
      </c>
      <c r="V177" s="168">
        <f t="shared" si="449"/>
        <v>0</v>
      </c>
      <c r="W177" s="16">
        <f t="shared" si="449"/>
        <v>0</v>
      </c>
      <c r="X177" s="16">
        <f t="shared" si="449"/>
        <v>0</v>
      </c>
      <c r="Y177" s="16">
        <f t="shared" si="449"/>
        <v>0</v>
      </c>
      <c r="Z177" s="16">
        <f t="shared" si="449"/>
        <v>0</v>
      </c>
      <c r="AA177" s="16">
        <f t="shared" si="449"/>
        <v>125191</v>
      </c>
      <c r="AB177" s="16">
        <f t="shared" si="449"/>
        <v>0</v>
      </c>
      <c r="AC177" s="16">
        <f t="shared" si="449"/>
        <v>0</v>
      </c>
      <c r="AD177" s="16">
        <f t="shared" si="449"/>
        <v>0</v>
      </c>
      <c r="AE177" s="16">
        <f t="shared" si="449"/>
        <v>125191</v>
      </c>
      <c r="AF177" s="16">
        <f t="shared" si="449"/>
        <v>125191</v>
      </c>
      <c r="AG177" s="16">
        <f t="shared" si="449"/>
        <v>0</v>
      </c>
      <c r="AH177" s="16">
        <f t="shared" si="449"/>
        <v>0</v>
      </c>
      <c r="AI177" s="16">
        <f t="shared" si="449"/>
        <v>0</v>
      </c>
      <c r="AJ177" s="16">
        <f t="shared" si="449"/>
        <v>0</v>
      </c>
      <c r="AK177" s="16">
        <f t="shared" si="449"/>
        <v>0</v>
      </c>
      <c r="AL177" s="16">
        <f t="shared" si="449"/>
        <v>0</v>
      </c>
      <c r="AM177" s="16">
        <f t="shared" si="449"/>
        <v>0</v>
      </c>
      <c r="AN177" s="16">
        <f t="shared" si="449"/>
        <v>0</v>
      </c>
      <c r="AO177" s="16">
        <f t="shared" si="449"/>
        <v>0</v>
      </c>
      <c r="AP177" s="16">
        <f t="shared" si="449"/>
        <v>125191</v>
      </c>
      <c r="AQ177" s="16">
        <f t="shared" si="449"/>
        <v>125191</v>
      </c>
      <c r="AR177" s="16">
        <f t="shared" si="449"/>
        <v>42315</v>
      </c>
      <c r="AS177" s="16">
        <f t="shared" si="449"/>
        <v>1253</v>
      </c>
      <c r="AT177" s="16">
        <f t="shared" si="449"/>
        <v>0</v>
      </c>
      <c r="AU177" s="16">
        <f t="shared" si="449"/>
        <v>5997</v>
      </c>
      <c r="AV177" s="16">
        <f t="shared" si="449"/>
        <v>5997</v>
      </c>
      <c r="AW177" s="16">
        <f t="shared" si="449"/>
        <v>174756</v>
      </c>
      <c r="AX177" s="13">
        <f t="shared" si="449"/>
        <v>0</v>
      </c>
      <c r="AY177" s="13">
        <f t="shared" si="449"/>
        <v>0</v>
      </c>
      <c r="AZ177" s="13">
        <f t="shared" si="449"/>
        <v>0</v>
      </c>
      <c r="BA177" s="13">
        <f t="shared" si="449"/>
        <v>0</v>
      </c>
      <c r="BB177" s="13">
        <f t="shared" si="449"/>
        <v>0.47000000000000008</v>
      </c>
      <c r="BC177" s="13">
        <f t="shared" si="449"/>
        <v>0</v>
      </c>
      <c r="BD177" s="13">
        <f t="shared" si="449"/>
        <v>0</v>
      </c>
      <c r="BE177" s="13">
        <f t="shared" si="449"/>
        <v>0</v>
      </c>
      <c r="BF177" s="13">
        <f t="shared" si="449"/>
        <v>0</v>
      </c>
      <c r="BG177" s="13">
        <f t="shared" si="449"/>
        <v>0.47000000000000008</v>
      </c>
      <c r="BH177" s="169">
        <f t="shared" si="449"/>
        <v>0.47000000000000008</v>
      </c>
      <c r="BI177" s="167">
        <f t="shared" si="449"/>
        <v>15535468</v>
      </c>
      <c r="BJ177" s="16">
        <f t="shared" si="449"/>
        <v>11347704</v>
      </c>
      <c r="BK177" s="16">
        <f t="shared" si="449"/>
        <v>10977454</v>
      </c>
      <c r="BL177" s="16">
        <f t="shared" si="449"/>
        <v>370250</v>
      </c>
      <c r="BM177" s="16">
        <f t="shared" si="449"/>
        <v>165000</v>
      </c>
      <c r="BN177" s="16">
        <f t="shared" si="449"/>
        <v>159600</v>
      </c>
      <c r="BO177" s="16">
        <f t="shared" si="449"/>
        <v>5400</v>
      </c>
      <c r="BP177" s="16">
        <f t="shared" si="449"/>
        <v>3891293</v>
      </c>
      <c r="BQ177" s="16">
        <f t="shared" si="449"/>
        <v>113480</v>
      </c>
      <c r="BR177" s="16">
        <f t="shared" si="449"/>
        <v>17991</v>
      </c>
      <c r="BS177" s="13">
        <f t="shared" si="449"/>
        <v>24.300800000000002</v>
      </c>
      <c r="BT177" s="13">
        <f t="shared" si="449"/>
        <v>22.8825</v>
      </c>
      <c r="BU177" s="169">
        <f t="shared" si="449"/>
        <v>1.4183000000000001</v>
      </c>
      <c r="BV177" s="167">
        <f t="shared" si="449"/>
        <v>0</v>
      </c>
      <c r="BW177" s="16">
        <f t="shared" ref="BW177:CA177" si="450">SUMIF($F$12:$F$463,"=3143",BW$12:BW$463)</f>
        <v>0</v>
      </c>
      <c r="BX177" s="16">
        <f t="shared" si="450"/>
        <v>0</v>
      </c>
      <c r="BY177" s="16">
        <f t="shared" si="450"/>
        <v>0</v>
      </c>
      <c r="BZ177" s="16">
        <f t="shared" si="450"/>
        <v>0</v>
      </c>
      <c r="CA177" s="17">
        <f t="shared" si="450"/>
        <v>0</v>
      </c>
    </row>
    <row r="178" spans="1:79" s="89" customFormat="1" ht="12.95" customHeight="1" x14ac:dyDescent="0.25">
      <c r="D178" s="311"/>
      <c r="E178" s="312"/>
      <c r="F178" s="311"/>
      <c r="G178" s="313"/>
      <c r="H178" s="2">
        <v>3231</v>
      </c>
      <c r="I178" s="167">
        <f t="shared" ref="I178:BV178" si="451">SUMIF($F$12:$F$463,"=3231",I$12:I$463)</f>
        <v>34680715</v>
      </c>
      <c r="J178" s="16">
        <f t="shared" si="451"/>
        <v>25609108</v>
      </c>
      <c r="K178" s="16">
        <f t="shared" si="451"/>
        <v>24653395</v>
      </c>
      <c r="L178" s="16">
        <f t="shared" si="451"/>
        <v>955713</v>
      </c>
      <c r="M178" s="16">
        <f t="shared" si="451"/>
        <v>87800</v>
      </c>
      <c r="N178" s="16">
        <f t="shared" si="451"/>
        <v>74000</v>
      </c>
      <c r="O178" s="16">
        <f t="shared" si="451"/>
        <v>13800</v>
      </c>
      <c r="P178" s="16">
        <f t="shared" si="451"/>
        <v>8685555</v>
      </c>
      <c r="Q178" s="16">
        <f t="shared" si="451"/>
        <v>256091</v>
      </c>
      <c r="R178" s="16">
        <f t="shared" si="451"/>
        <v>42161</v>
      </c>
      <c r="S178" s="13">
        <f t="shared" si="451"/>
        <v>41.867800000000003</v>
      </c>
      <c r="T178" s="13">
        <f t="shared" si="451"/>
        <v>39.177399999999999</v>
      </c>
      <c r="U178" s="17">
        <f t="shared" si="451"/>
        <v>2.6903999999999999</v>
      </c>
      <c r="V178" s="168">
        <f t="shared" si="451"/>
        <v>0</v>
      </c>
      <c r="W178" s="16">
        <f t="shared" si="451"/>
        <v>0</v>
      </c>
      <c r="X178" s="16">
        <f t="shared" si="451"/>
        <v>0</v>
      </c>
      <c r="Y178" s="16">
        <f t="shared" si="451"/>
        <v>0</v>
      </c>
      <c r="Z178" s="16">
        <f t="shared" si="451"/>
        <v>0</v>
      </c>
      <c r="AA178" s="16">
        <f t="shared" si="451"/>
        <v>0</v>
      </c>
      <c r="AB178" s="16">
        <f t="shared" si="451"/>
        <v>0</v>
      </c>
      <c r="AC178" s="16">
        <f t="shared" si="451"/>
        <v>0</v>
      </c>
      <c r="AD178" s="16">
        <f t="shared" si="451"/>
        <v>0</v>
      </c>
      <c r="AE178" s="16">
        <f t="shared" si="451"/>
        <v>0</v>
      </c>
      <c r="AF178" s="16">
        <f t="shared" si="451"/>
        <v>0</v>
      </c>
      <c r="AG178" s="16">
        <f t="shared" si="451"/>
        <v>0</v>
      </c>
      <c r="AH178" s="16">
        <f t="shared" si="451"/>
        <v>0</v>
      </c>
      <c r="AI178" s="16">
        <f t="shared" si="451"/>
        <v>0</v>
      </c>
      <c r="AJ178" s="16">
        <f t="shared" si="451"/>
        <v>0</v>
      </c>
      <c r="AK178" s="16">
        <f t="shared" si="451"/>
        <v>0</v>
      </c>
      <c r="AL178" s="16">
        <f t="shared" si="451"/>
        <v>0</v>
      </c>
      <c r="AM178" s="16">
        <f t="shared" si="451"/>
        <v>0</v>
      </c>
      <c r="AN178" s="16">
        <f t="shared" si="451"/>
        <v>0</v>
      </c>
      <c r="AO178" s="16">
        <f t="shared" si="451"/>
        <v>0</v>
      </c>
      <c r="AP178" s="16">
        <f t="shared" si="451"/>
        <v>0</v>
      </c>
      <c r="AQ178" s="16">
        <f t="shared" si="451"/>
        <v>0</v>
      </c>
      <c r="AR178" s="16">
        <f t="shared" si="451"/>
        <v>0</v>
      </c>
      <c r="AS178" s="16">
        <f t="shared" si="451"/>
        <v>0</v>
      </c>
      <c r="AT178" s="16">
        <f t="shared" si="451"/>
        <v>0</v>
      </c>
      <c r="AU178" s="16">
        <f t="shared" si="451"/>
        <v>0</v>
      </c>
      <c r="AV178" s="16">
        <f t="shared" si="451"/>
        <v>0</v>
      </c>
      <c r="AW178" s="16">
        <f t="shared" si="451"/>
        <v>0</v>
      </c>
      <c r="AX178" s="13">
        <f t="shared" si="451"/>
        <v>0</v>
      </c>
      <c r="AY178" s="13">
        <f t="shared" si="451"/>
        <v>0</v>
      </c>
      <c r="AZ178" s="13">
        <f t="shared" si="451"/>
        <v>0</v>
      </c>
      <c r="BA178" s="13">
        <f t="shared" si="451"/>
        <v>0</v>
      </c>
      <c r="BB178" s="13">
        <f t="shared" si="451"/>
        <v>0</v>
      </c>
      <c r="BC178" s="13">
        <f t="shared" si="451"/>
        <v>0</v>
      </c>
      <c r="BD178" s="13">
        <f t="shared" si="451"/>
        <v>0</v>
      </c>
      <c r="BE178" s="13">
        <f t="shared" si="451"/>
        <v>0</v>
      </c>
      <c r="BF178" s="13">
        <f t="shared" si="451"/>
        <v>0</v>
      </c>
      <c r="BG178" s="13">
        <f t="shared" si="451"/>
        <v>0</v>
      </c>
      <c r="BH178" s="169">
        <f t="shared" si="451"/>
        <v>0</v>
      </c>
      <c r="BI178" s="167">
        <f t="shared" si="451"/>
        <v>34680715</v>
      </c>
      <c r="BJ178" s="16">
        <f t="shared" si="451"/>
        <v>25609108</v>
      </c>
      <c r="BK178" s="16">
        <f t="shared" si="451"/>
        <v>24653395</v>
      </c>
      <c r="BL178" s="16">
        <f t="shared" si="451"/>
        <v>955713</v>
      </c>
      <c r="BM178" s="16">
        <f t="shared" si="451"/>
        <v>87800</v>
      </c>
      <c r="BN178" s="16">
        <f t="shared" si="451"/>
        <v>74000</v>
      </c>
      <c r="BO178" s="16">
        <f t="shared" si="451"/>
        <v>13800</v>
      </c>
      <c r="BP178" s="16">
        <f t="shared" si="451"/>
        <v>8685555</v>
      </c>
      <c r="BQ178" s="16">
        <f t="shared" si="451"/>
        <v>256091</v>
      </c>
      <c r="BR178" s="16">
        <f t="shared" si="451"/>
        <v>42161</v>
      </c>
      <c r="BS178" s="13">
        <f t="shared" si="451"/>
        <v>41.867800000000003</v>
      </c>
      <c r="BT178" s="13">
        <f t="shared" si="451"/>
        <v>39.177399999999999</v>
      </c>
      <c r="BU178" s="169">
        <f t="shared" si="451"/>
        <v>2.6903999999999999</v>
      </c>
      <c r="BV178" s="167">
        <f t="shared" si="451"/>
        <v>0</v>
      </c>
      <c r="BW178" s="16">
        <f t="shared" ref="BW178:CA178" si="452">SUMIF($F$12:$F$463,"=3231",BW$12:BW$463)</f>
        <v>0</v>
      </c>
      <c r="BX178" s="16">
        <f t="shared" si="452"/>
        <v>0</v>
      </c>
      <c r="BY178" s="16">
        <f t="shared" si="452"/>
        <v>0</v>
      </c>
      <c r="BZ178" s="16">
        <f t="shared" si="452"/>
        <v>0</v>
      </c>
      <c r="CA178" s="17">
        <f t="shared" si="452"/>
        <v>0</v>
      </c>
    </row>
    <row r="179" spans="1:79" s="89" customFormat="1" ht="12.95" customHeight="1" thickBot="1" x14ac:dyDescent="0.3">
      <c r="D179" s="311"/>
      <c r="E179" s="312"/>
      <c r="F179" s="311"/>
      <c r="G179" s="313"/>
      <c r="H179" s="151">
        <v>3233</v>
      </c>
      <c r="I179" s="170">
        <f t="shared" ref="I179:BV179" si="453">SUMIF($F$12:$F$463,"=3233",I$12:I$463)</f>
        <v>6745590</v>
      </c>
      <c r="J179" s="171">
        <f t="shared" si="453"/>
        <v>4980156</v>
      </c>
      <c r="K179" s="171">
        <f t="shared" si="453"/>
        <v>4181613</v>
      </c>
      <c r="L179" s="171">
        <f t="shared" si="453"/>
        <v>798543</v>
      </c>
      <c r="M179" s="171">
        <f t="shared" si="453"/>
        <v>20000</v>
      </c>
      <c r="N179" s="171">
        <f t="shared" si="453"/>
        <v>15000</v>
      </c>
      <c r="O179" s="171">
        <f t="shared" si="453"/>
        <v>5000</v>
      </c>
      <c r="P179" s="171">
        <f t="shared" si="453"/>
        <v>1690053</v>
      </c>
      <c r="Q179" s="171">
        <f t="shared" si="453"/>
        <v>49801</v>
      </c>
      <c r="R179" s="171">
        <f t="shared" si="453"/>
        <v>5580</v>
      </c>
      <c r="S179" s="172">
        <f t="shared" si="453"/>
        <v>10.14</v>
      </c>
      <c r="T179" s="172">
        <f t="shared" si="453"/>
        <v>7.57</v>
      </c>
      <c r="U179" s="173">
        <f t="shared" si="453"/>
        <v>2.57</v>
      </c>
      <c r="V179" s="174">
        <f t="shared" si="453"/>
        <v>0</v>
      </c>
      <c r="W179" s="171">
        <f t="shared" si="453"/>
        <v>0</v>
      </c>
      <c r="X179" s="171">
        <f t="shared" si="453"/>
        <v>0</v>
      </c>
      <c r="Y179" s="171">
        <f t="shared" si="453"/>
        <v>0</v>
      </c>
      <c r="Z179" s="171">
        <f t="shared" si="453"/>
        <v>0</v>
      </c>
      <c r="AA179" s="171">
        <f t="shared" si="453"/>
        <v>401780</v>
      </c>
      <c r="AB179" s="171">
        <f t="shared" si="453"/>
        <v>0</v>
      </c>
      <c r="AC179" s="171">
        <f t="shared" si="453"/>
        <v>0</v>
      </c>
      <c r="AD179" s="171">
        <f t="shared" si="453"/>
        <v>0</v>
      </c>
      <c r="AE179" s="171">
        <f t="shared" si="453"/>
        <v>401780</v>
      </c>
      <c r="AF179" s="171">
        <f t="shared" si="453"/>
        <v>401780</v>
      </c>
      <c r="AG179" s="171">
        <f t="shared" si="453"/>
        <v>0</v>
      </c>
      <c r="AH179" s="171">
        <f t="shared" si="453"/>
        <v>0</v>
      </c>
      <c r="AI179" s="171">
        <f t="shared" si="453"/>
        <v>0</v>
      </c>
      <c r="AJ179" s="171">
        <f t="shared" si="453"/>
        <v>0</v>
      </c>
      <c r="AK179" s="171">
        <f t="shared" si="453"/>
        <v>0</v>
      </c>
      <c r="AL179" s="171">
        <f t="shared" si="453"/>
        <v>0</v>
      </c>
      <c r="AM179" s="171">
        <f t="shared" si="453"/>
        <v>0</v>
      </c>
      <c r="AN179" s="171">
        <f t="shared" si="453"/>
        <v>0</v>
      </c>
      <c r="AO179" s="171">
        <f t="shared" si="453"/>
        <v>0</v>
      </c>
      <c r="AP179" s="171">
        <f t="shared" si="453"/>
        <v>401780</v>
      </c>
      <c r="AQ179" s="171">
        <f t="shared" si="453"/>
        <v>401780</v>
      </c>
      <c r="AR179" s="171">
        <f t="shared" si="453"/>
        <v>135801</v>
      </c>
      <c r="AS179" s="171">
        <f t="shared" si="453"/>
        <v>4018</v>
      </c>
      <c r="AT179" s="171">
        <f t="shared" si="453"/>
        <v>0</v>
      </c>
      <c r="AU179" s="171">
        <f t="shared" si="453"/>
        <v>2232</v>
      </c>
      <c r="AV179" s="171">
        <f t="shared" si="453"/>
        <v>2232</v>
      </c>
      <c r="AW179" s="171">
        <f t="shared" si="453"/>
        <v>543831</v>
      </c>
      <c r="AX179" s="172">
        <f t="shared" si="453"/>
        <v>0</v>
      </c>
      <c r="AY179" s="172">
        <f t="shared" si="453"/>
        <v>0</v>
      </c>
      <c r="AZ179" s="172">
        <f t="shared" si="453"/>
        <v>0</v>
      </c>
      <c r="BA179" s="172">
        <f t="shared" si="453"/>
        <v>0</v>
      </c>
      <c r="BB179" s="172">
        <f t="shared" si="453"/>
        <v>1.29</v>
      </c>
      <c r="BC179" s="172">
        <f t="shared" si="453"/>
        <v>0</v>
      </c>
      <c r="BD179" s="172">
        <f t="shared" si="453"/>
        <v>0</v>
      </c>
      <c r="BE179" s="172">
        <f t="shared" si="453"/>
        <v>0</v>
      </c>
      <c r="BF179" s="172">
        <f t="shared" si="453"/>
        <v>0</v>
      </c>
      <c r="BG179" s="172">
        <f t="shared" si="453"/>
        <v>1.29</v>
      </c>
      <c r="BH179" s="175">
        <f t="shared" si="453"/>
        <v>1.29</v>
      </c>
      <c r="BI179" s="170">
        <f t="shared" si="453"/>
        <v>7289421</v>
      </c>
      <c r="BJ179" s="171">
        <f t="shared" si="453"/>
        <v>5381936</v>
      </c>
      <c r="BK179" s="171">
        <f t="shared" si="453"/>
        <v>4181613</v>
      </c>
      <c r="BL179" s="171">
        <f t="shared" si="453"/>
        <v>1200323</v>
      </c>
      <c r="BM179" s="171">
        <f t="shared" si="453"/>
        <v>20000</v>
      </c>
      <c r="BN179" s="171">
        <f t="shared" si="453"/>
        <v>15000</v>
      </c>
      <c r="BO179" s="171">
        <f t="shared" si="453"/>
        <v>5000</v>
      </c>
      <c r="BP179" s="171">
        <f t="shared" si="453"/>
        <v>1825854</v>
      </c>
      <c r="BQ179" s="171">
        <f t="shared" si="453"/>
        <v>53819</v>
      </c>
      <c r="BR179" s="171">
        <f t="shared" si="453"/>
        <v>7812</v>
      </c>
      <c r="BS179" s="172">
        <f t="shared" si="453"/>
        <v>11.43</v>
      </c>
      <c r="BT179" s="172">
        <f t="shared" si="453"/>
        <v>7.57</v>
      </c>
      <c r="BU179" s="175">
        <f t="shared" si="453"/>
        <v>3.86</v>
      </c>
      <c r="BV179" s="170">
        <f t="shared" si="453"/>
        <v>0</v>
      </c>
      <c r="BW179" s="171">
        <f t="shared" ref="BW179:CA179" si="454">SUMIF($F$12:$F$463,"=3233",BW$12:BW$463)</f>
        <v>0</v>
      </c>
      <c r="BX179" s="171">
        <f t="shared" si="454"/>
        <v>0</v>
      </c>
      <c r="BY179" s="171">
        <f t="shared" si="454"/>
        <v>0</v>
      </c>
      <c r="BZ179" s="171">
        <f t="shared" si="454"/>
        <v>0</v>
      </c>
      <c r="CA179" s="173">
        <f t="shared" si="454"/>
        <v>0</v>
      </c>
    </row>
    <row r="181" spans="1:79" s="314" customFormat="1" x14ac:dyDescent="0.25">
      <c r="A181" s="308"/>
      <c r="B181" s="250"/>
      <c r="C181" s="342"/>
      <c r="D181" s="250"/>
      <c r="E181" s="250"/>
      <c r="F181" s="250"/>
      <c r="G181" s="250"/>
      <c r="H181" s="250"/>
      <c r="S181" s="315"/>
      <c r="T181" s="315"/>
      <c r="U181" s="315"/>
      <c r="AP181" s="315"/>
      <c r="AQ181" s="315"/>
      <c r="AR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CA181" s="315"/>
    </row>
    <row r="184" spans="1:79" x14ac:dyDescent="0.25">
      <c r="AP184" s="314"/>
    </row>
  </sheetData>
  <mergeCells count="54">
    <mergeCell ref="A3:E3"/>
    <mergeCell ref="I8:I10"/>
    <mergeCell ref="I6:U7"/>
    <mergeCell ref="AN9:AN10"/>
    <mergeCell ref="AL9:AM9"/>
    <mergeCell ref="V6:BH6"/>
    <mergeCell ref="AF9:AF10"/>
    <mergeCell ref="AG9:AH9"/>
    <mergeCell ref="AI9:AI10"/>
    <mergeCell ref="AJ9:AK9"/>
    <mergeCell ref="Y9:Y10"/>
    <mergeCell ref="AB9:AC9"/>
    <mergeCell ref="AX7:BH7"/>
    <mergeCell ref="Z9:AA9"/>
    <mergeCell ref="Q9:Q10"/>
    <mergeCell ref="AT7:AV9"/>
    <mergeCell ref="AW7:AW10"/>
    <mergeCell ref="V9:W9"/>
    <mergeCell ref="X9:X10"/>
    <mergeCell ref="V7:AF8"/>
    <mergeCell ref="AG7:AN8"/>
    <mergeCell ref="AO7:AQ9"/>
    <mergeCell ref="AR7:AR10"/>
    <mergeCell ref="AS7:AS10"/>
    <mergeCell ref="AD9:AE9"/>
    <mergeCell ref="AX8:AY9"/>
    <mergeCell ref="BJ8:BR8"/>
    <mergeCell ref="AZ8:AZ9"/>
    <mergeCell ref="BJ9:BJ10"/>
    <mergeCell ref="BP9:BP10"/>
    <mergeCell ref="BQ9:BQ10"/>
    <mergeCell ref="BI8:BI10"/>
    <mergeCell ref="BR9:BR10"/>
    <mergeCell ref="BC8:BC9"/>
    <mergeCell ref="BD8:BE9"/>
    <mergeCell ref="BF8:BH9"/>
    <mergeCell ref="BA8:BB9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BV6:CA7"/>
    <mergeCell ref="BV8:CA9"/>
    <mergeCell ref="BI6:BU7"/>
    <mergeCell ref="BM9:BM10"/>
    <mergeCell ref="BT8:BU9"/>
    <mergeCell ref="BS8:BS10"/>
    <mergeCell ref="BN9:BO9"/>
    <mergeCell ref="BK9:BL9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Křiváková Kalíková Kateřina</cp:lastModifiedBy>
  <cp:lastPrinted>2025-08-12T13:25:57Z</cp:lastPrinted>
  <dcterms:created xsi:type="dcterms:W3CDTF">2009-03-06T07:28:09Z</dcterms:created>
  <dcterms:modified xsi:type="dcterms:W3CDTF">2025-09-12T07:57:23Z</dcterms:modified>
</cp:coreProperties>
</file>